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8_{81C0EC52-52ED-438B-9BF8-3FC41CF6BD90}" xr6:coauthVersionLast="47" xr6:coauthVersionMax="47" xr10:uidLastSave="{00000000-0000-0000-0000-000000000000}"/>
  <bookViews>
    <workbookView xWindow="-120" yWindow="-120" windowWidth="29040" windowHeight="15840" tabRatio="988" xr2:uid="{00000000-000D-0000-FFFF-FFFF00000000}"/>
  </bookViews>
  <sheets>
    <sheet name="Saturs" sheetId="101" r:id="rId1"/>
    <sheet name="1.1" sheetId="298" r:id="rId2"/>
    <sheet name="1.2" sheetId="299" r:id="rId3"/>
    <sheet name="1.3" sheetId="300" r:id="rId4"/>
    <sheet name="1.4" sheetId="289" r:id="rId5"/>
    <sheet name="1.5" sheetId="290" r:id="rId6"/>
    <sheet name="1.6" sheetId="291" r:id="rId7"/>
    <sheet name="1.7" sheetId="292" r:id="rId8"/>
    <sheet name="1.8" sheetId="293" r:id="rId9"/>
    <sheet name="1.9" sheetId="294" r:id="rId10"/>
    <sheet name="1.10" sheetId="295" r:id="rId11"/>
    <sheet name="1.11" sheetId="296" r:id="rId12"/>
    <sheet name="1.12" sheetId="297" r:id="rId13"/>
    <sheet name="2.1" sheetId="237" r:id="rId14"/>
    <sheet name="2.2" sheetId="238" r:id="rId15"/>
    <sheet name="2.3" sheetId="239" r:id="rId16"/>
    <sheet name="2.4" sheetId="240" r:id="rId17"/>
    <sheet name="2.5" sheetId="241" r:id="rId18"/>
    <sheet name="2.6" sheetId="242" r:id="rId19"/>
    <sheet name="2.7" sheetId="243" r:id="rId20"/>
    <sheet name="2.8" sheetId="244" r:id="rId21"/>
    <sheet name="2.9" sheetId="245" r:id="rId22"/>
    <sheet name="2.10" sheetId="246" r:id="rId23"/>
    <sheet name="2.11" sheetId="247" r:id="rId24"/>
    <sheet name="2.12" sheetId="248" r:id="rId25"/>
    <sheet name="2.13" sheetId="249" r:id="rId26"/>
    <sheet name="2.14" sheetId="250" r:id="rId27"/>
    <sheet name="2.15" sheetId="251" r:id="rId28"/>
    <sheet name="2.16" sheetId="252" r:id="rId29"/>
    <sheet name="2.17" sheetId="253" r:id="rId30"/>
    <sheet name="2.18" sheetId="254" r:id="rId31"/>
    <sheet name="2.19" sheetId="255" r:id="rId32"/>
    <sheet name="2.20" sheetId="256" r:id="rId33"/>
    <sheet name="2.21" sheetId="257" r:id="rId34"/>
    <sheet name="2.22" sheetId="273" r:id="rId35"/>
    <sheet name="2.23" sheetId="259" r:id="rId36"/>
    <sheet name="2.24" sheetId="260" r:id="rId37"/>
    <sheet name="2.25" sheetId="261" r:id="rId38"/>
    <sheet name="2.26" sheetId="262" r:id="rId39"/>
    <sheet name="2.27" sheetId="263" r:id="rId40"/>
    <sheet name="2.28" sheetId="264" r:id="rId41"/>
    <sheet name="2.29" sheetId="265" r:id="rId42"/>
    <sheet name="2.30" sheetId="266" r:id="rId43"/>
    <sheet name="2.31" sheetId="267" r:id="rId44"/>
    <sheet name="2.32" sheetId="268" r:id="rId45"/>
    <sheet name="2.33" sheetId="274" r:id="rId46"/>
    <sheet name="2.34" sheetId="276" r:id="rId47"/>
    <sheet name="2.35" sheetId="277" r:id="rId48"/>
    <sheet name="2.36" sheetId="275" r:id="rId49"/>
    <sheet name="2.37" sheetId="280" r:id="rId50"/>
    <sheet name="2.38" sheetId="281" r:id="rId51"/>
    <sheet name="2.39" sheetId="279" r:id="rId52"/>
    <sheet name="2.40" sheetId="285" r:id="rId53"/>
    <sheet name="2.41" sheetId="282" r:id="rId54"/>
    <sheet name="2.42" sheetId="278" r:id="rId55"/>
    <sheet name="3.1" sheetId="150" r:id="rId56"/>
    <sheet name="3.2" sheetId="151" r:id="rId57"/>
    <sheet name="3.3" sheetId="153" r:id="rId58"/>
    <sheet name="3.4" sheetId="152" r:id="rId59"/>
    <sheet name="3.5" sheetId="155" r:id="rId60"/>
    <sheet name="3.6" sheetId="154" r:id="rId61"/>
    <sheet name="3.7" sheetId="157" r:id="rId62"/>
    <sheet name="3.8" sheetId="158" r:id="rId63"/>
    <sheet name="3.9" sheetId="156" r:id="rId64"/>
    <sheet name="3.10" sheetId="161" r:id="rId65"/>
    <sheet name="3.11" sheetId="160" r:id="rId66"/>
    <sheet name="3.12" sheetId="159" r:id="rId67"/>
    <sheet name="3.13" sheetId="162" r:id="rId68"/>
    <sheet name="4.1" sheetId="12" r:id="rId69"/>
    <sheet name="4.2" sheetId="13" r:id="rId70"/>
    <sheet name="4.3" sheetId="22" r:id="rId71"/>
    <sheet name="4.4" sheetId="26" r:id="rId72"/>
    <sheet name="4.5" sheetId="38" r:id="rId73"/>
    <sheet name="4.6" sheetId="44" r:id="rId74"/>
    <sheet name="4.7" sheetId="48" r:id="rId75"/>
    <sheet name="4.8" sheetId="52" r:id="rId76"/>
    <sheet name="4.9" sheetId="56" r:id="rId77"/>
    <sheet name="4.10" sheetId="60" r:id="rId78"/>
    <sheet name="4.11" sheetId="70" r:id="rId79"/>
    <sheet name="4.12" sheetId="76" r:id="rId80"/>
    <sheet name="4.13" sheetId="80" r:id="rId81"/>
    <sheet name="5.1" sheetId="171" r:id="rId82"/>
    <sheet name="5.2" sheetId="172" r:id="rId83"/>
    <sheet name="5.3" sheetId="173" r:id="rId84"/>
    <sheet name="5.4" sheetId="174" r:id="rId85"/>
    <sheet name="5.5" sheetId="175" r:id="rId86"/>
    <sheet name="5.6" sheetId="176" r:id="rId87"/>
    <sheet name="5.7" sheetId="177" r:id="rId88"/>
    <sheet name="5.8" sheetId="203" r:id="rId89"/>
    <sheet name="5.9" sheetId="179" r:id="rId90"/>
    <sheet name="5.10" sheetId="180" r:id="rId91"/>
    <sheet name="5.11" sheetId="181" r:id="rId92"/>
    <sheet name="5.12" sheetId="182" r:id="rId93"/>
    <sheet name="5.13" sheetId="183" r:id="rId94"/>
    <sheet name="6.1" sheetId="82" r:id="rId95"/>
    <sheet name="6.2" sheetId="84" r:id="rId96"/>
    <sheet name="6.3" sheetId="86" r:id="rId97"/>
    <sheet name="6.4" sheetId="88" r:id="rId98"/>
    <sheet name="6.5" sheetId="164" r:id="rId99"/>
    <sheet name="6.6" sheetId="167" r:id="rId100"/>
    <sheet name="6.7" sheetId="163" r:id="rId101"/>
    <sheet name="6.8" sheetId="166" r:id="rId102"/>
    <sheet name="6.9" sheetId="165" r:id="rId103"/>
    <sheet name="6.10" sheetId="90" r:id="rId104"/>
    <sheet name="6.11" sheetId="168" r:id="rId105"/>
    <sheet name="6.12" sheetId="169" r:id="rId106"/>
    <sheet name="6.13" sheetId="170" r:id="rId107"/>
    <sheet name="7.1" sheetId="184" r:id="rId108"/>
    <sheet name="7.2" sheetId="186" r:id="rId109"/>
    <sheet name="7.3" sheetId="187" r:id="rId110"/>
    <sheet name="7.4" sheetId="188" r:id="rId111"/>
    <sheet name="7.5" sheetId="189" r:id="rId112"/>
    <sheet name="7.6" sheetId="190" r:id="rId113"/>
    <sheet name="7.7" sheetId="191" r:id="rId114"/>
    <sheet name="7.8" sheetId="204" r:id="rId115"/>
    <sheet name="7.9" sheetId="205" r:id="rId116"/>
    <sheet name="7.10" sheetId="206" r:id="rId117"/>
    <sheet name="7.11" sheetId="208" r:id="rId118"/>
    <sheet name="7.12" sheetId="196" r:id="rId119"/>
    <sheet name="7.13" sheetId="207" r:id="rId120"/>
    <sheet name="8.1" sheetId="211" r:id="rId121"/>
    <sheet name="8.2" sheetId="212" r:id="rId122"/>
    <sheet name="8.3" sheetId="213" r:id="rId123"/>
    <sheet name="8.4" sheetId="214" r:id="rId124"/>
    <sheet name="8.5" sheetId="215" r:id="rId125"/>
    <sheet name="8.6" sheetId="216" r:id="rId126"/>
    <sheet name="8.7" sheetId="217" r:id="rId127"/>
    <sheet name="8.8 " sheetId="218" r:id="rId128"/>
    <sheet name="8.9" sheetId="219" r:id="rId129"/>
    <sheet name="8.10 " sheetId="220" r:id="rId130"/>
    <sheet name="8.11" sheetId="221" r:id="rId131"/>
    <sheet name="8.12" sheetId="222" r:id="rId132"/>
    <sheet name="8.13" sheetId="223" r:id="rId133"/>
    <sheet name="9.1" sheetId="224" r:id="rId134"/>
    <sheet name="9.2" sheetId="225" r:id="rId135"/>
    <sheet name="9.3 " sheetId="226" r:id="rId136"/>
    <sheet name="9.4" sheetId="227" r:id="rId137"/>
    <sheet name="9.5" sheetId="228" r:id="rId138"/>
    <sheet name="9.6 " sheetId="229" r:id="rId139"/>
    <sheet name="9.7" sheetId="230" r:id="rId140"/>
    <sheet name="9.8" sheetId="231" r:id="rId141"/>
    <sheet name="9.9" sheetId="232" r:id="rId142"/>
    <sheet name="9.10" sheetId="233" r:id="rId143"/>
    <sheet name="9.11" sheetId="234" r:id="rId144"/>
    <sheet name="9.12" sheetId="235" r:id="rId145"/>
    <sheet name="9.13" sheetId="236" r:id="rId146"/>
  </sheets>
  <definedNames>
    <definedName name="_xlnm.Print_Area" localSheetId="1">'1.1'!$A$1:$D$85</definedName>
    <definedName name="_xlnm.Print_Area" localSheetId="10">'1.10'!$A$1:$D$96</definedName>
    <definedName name="_xlnm.Print_Area" localSheetId="11">'1.11'!$A$1:$D$90</definedName>
    <definedName name="_xlnm.Print_Area" localSheetId="12">'1.12'!$A$1:$D$91</definedName>
    <definedName name="_xlnm.Print_Area" localSheetId="2">'1.2'!$A$1:$D$85</definedName>
    <definedName name="_xlnm.Print_Area" localSheetId="3">'1.3'!$A$1:$D$91</definedName>
    <definedName name="_xlnm.Print_Area" localSheetId="4">'1.4'!$A$1:$D$103</definedName>
    <definedName name="_xlnm.Print_Area" localSheetId="5">'1.5'!$A$1:$D$85</definedName>
    <definedName name="_xlnm.Print_Area" localSheetId="6">'1.6'!$A$1:$D$86</definedName>
    <definedName name="_xlnm.Print_Area" localSheetId="7">'1.7'!$A$1:$D$89</definedName>
    <definedName name="_xlnm.Print_Area" localSheetId="8">'1.8'!$A$1:$D$33</definedName>
    <definedName name="_xlnm.Print_Area" localSheetId="9">'1.9'!$A$1:$D$30</definedName>
    <definedName name="_xlnm.Print_Area" localSheetId="22">'2.10'!$A$1:$D$90</definedName>
    <definedName name="_xlnm.Print_Area" localSheetId="23">'2.11'!$A$1:$D$91</definedName>
    <definedName name="_xlnm.Print_Area" localSheetId="24">'2.12'!$A$1:$D$91</definedName>
    <definedName name="_xlnm.Print_Area" localSheetId="25">'2.13'!$A$1:$D$90</definedName>
    <definedName name="_xlnm.Print_Area" localSheetId="26">'2.14'!$A$1:$D$90</definedName>
    <definedName name="_xlnm.Print_Area" localSheetId="27">'2.15'!$A$1:$D$90</definedName>
    <definedName name="_xlnm.Print_Area" localSheetId="29">'2.17'!$A$1:$D$90</definedName>
    <definedName name="_xlnm.Print_Area" localSheetId="30">'2.18'!$A$1:$D$90</definedName>
    <definedName name="_xlnm.Print_Area" localSheetId="31">'2.19'!$A$1:$D$90</definedName>
    <definedName name="_xlnm.Print_Area" localSheetId="14">'2.2'!$A$1:$D$93</definedName>
    <definedName name="_xlnm.Print_Area" localSheetId="32">'2.20'!$A$1:$D$90</definedName>
    <definedName name="_xlnm.Print_Area" localSheetId="33">'2.21'!$A$1:$D$90</definedName>
    <definedName name="_xlnm.Print_Area" localSheetId="35">'2.23'!$A$1:$D$90</definedName>
    <definedName name="_xlnm.Print_Area" localSheetId="36">'2.24'!$A$1:$D$90</definedName>
    <definedName name="_xlnm.Print_Area" localSheetId="37">'2.25'!$A$1:$D$90</definedName>
    <definedName name="_xlnm.Print_Area" localSheetId="38">'2.26'!$A$1:$D$90</definedName>
    <definedName name="_xlnm.Print_Area" localSheetId="39">'2.27'!$A$1:$D$90</definedName>
    <definedName name="_xlnm.Print_Area" localSheetId="41">'2.29'!$A$1:$D$90</definedName>
    <definedName name="_xlnm.Print_Area" localSheetId="15">'2.3'!$A$1:$D$90</definedName>
    <definedName name="_xlnm.Print_Area" localSheetId="42">'2.30'!$A$1:$D$90</definedName>
    <definedName name="_xlnm.Print_Area" localSheetId="43">'2.31'!$A$1:$D$90</definedName>
    <definedName name="_xlnm.Print_Area" localSheetId="44">'2.32'!$A$1:$D$90</definedName>
    <definedName name="_xlnm.Print_Area" localSheetId="47">'2.35'!$A$1:$D$90</definedName>
    <definedName name="_xlnm.Print_Area" localSheetId="16">'2.4'!$A$1:$D$90</definedName>
    <definedName name="_xlnm.Print_Area" localSheetId="17">'2.5'!$A$1:$D$90</definedName>
    <definedName name="_xlnm.Print_Area" localSheetId="18">'2.6'!$A$1:$D$90</definedName>
    <definedName name="_xlnm.Print_Area" localSheetId="19">'2.7'!$A$1:$D$92</definedName>
    <definedName name="_xlnm.Print_Area" localSheetId="20">'2.8'!$A$1:$D$90</definedName>
    <definedName name="_xlnm.Print_Area" localSheetId="21">'2.9'!$A$1:$D$90</definedName>
    <definedName name="_xlnm.Print_Area" localSheetId="55">'3.1'!$A$1:$D$90</definedName>
    <definedName name="_xlnm.Print_Area" localSheetId="64">'3.10'!$A$1:$D$90</definedName>
    <definedName name="_xlnm.Print_Area" localSheetId="65">'3.11'!$A$1:$D$90</definedName>
    <definedName name="_xlnm.Print_Area" localSheetId="66">'3.12'!$A$1:$D$90</definedName>
    <definedName name="_xlnm.Print_Area" localSheetId="67">'3.13'!$A$1:$D$90</definedName>
    <definedName name="_xlnm.Print_Area" localSheetId="56">'3.2'!$A$1:$D$90</definedName>
    <definedName name="_xlnm.Print_Area" localSheetId="57">'3.3'!$A$1:$D$90</definedName>
    <definedName name="_xlnm.Print_Area" localSheetId="58">'3.4'!$A$1:$D$90</definedName>
    <definedName name="_xlnm.Print_Area" localSheetId="59">'3.5'!$A$1:$D$91</definedName>
    <definedName name="_xlnm.Print_Area" localSheetId="60">'3.6'!$A$1:$D$90</definedName>
    <definedName name="_xlnm.Print_Area" localSheetId="61">'3.7'!$A$1:$D$90</definedName>
    <definedName name="_xlnm.Print_Area" localSheetId="62">'3.8'!$A$1:$D$90</definedName>
    <definedName name="_xlnm.Print_Area" localSheetId="63">'3.9'!$A$1:$D$90</definedName>
    <definedName name="_xlnm.Print_Area" localSheetId="68">'4.1'!$A$1:$D$90</definedName>
    <definedName name="_xlnm.Print_Area" localSheetId="77">'4.10'!$A$1:$D$90</definedName>
    <definedName name="_xlnm.Print_Area" localSheetId="78">'4.11'!$A$1:$D$90</definedName>
    <definedName name="_xlnm.Print_Area" localSheetId="79">'4.12'!$A$1:$D$91</definedName>
    <definedName name="_xlnm.Print_Area" localSheetId="80">'4.13'!$A$1:$D$90</definedName>
    <definedName name="_xlnm.Print_Area" localSheetId="69">'4.2'!$A$1:$D$90</definedName>
    <definedName name="_xlnm.Print_Area" localSheetId="70">'4.3'!$A$1:$D$90</definedName>
    <definedName name="_xlnm.Print_Area" localSheetId="71">'4.4'!$A$1:$D$90</definedName>
    <definedName name="_xlnm.Print_Area" localSheetId="72">'4.5'!$A$1:$D$91</definedName>
    <definedName name="_xlnm.Print_Area" localSheetId="73">'4.6'!$A$1:$D$90</definedName>
    <definedName name="_xlnm.Print_Area" localSheetId="74">'4.7'!$A$1:$D$90</definedName>
    <definedName name="_xlnm.Print_Area" localSheetId="75">'4.8'!$A$1:$D$90</definedName>
    <definedName name="_xlnm.Print_Area" localSheetId="76">'4.9'!$A$1:$D$90</definedName>
    <definedName name="_xlnm.Print_Area" localSheetId="81">'5.1'!$A$1:$D$90</definedName>
    <definedName name="_xlnm.Print_Area" localSheetId="90">'5.10'!$A$1:$D$90</definedName>
    <definedName name="_xlnm.Print_Area" localSheetId="91">'5.11'!$A$1:$D$90</definedName>
    <definedName name="_xlnm.Print_Area" localSheetId="92">'5.12'!$A$1:$D$90</definedName>
    <definedName name="_xlnm.Print_Area" localSheetId="93">'5.13'!$A$1:$D$91</definedName>
    <definedName name="_xlnm.Print_Area" localSheetId="82">'5.2'!$A$1:$D$91</definedName>
    <definedName name="_xlnm.Print_Area" localSheetId="83">'5.3'!$A$1:$D$90</definedName>
    <definedName name="_xlnm.Print_Area" localSheetId="84">'5.4'!$A$1:$D$91</definedName>
    <definedName name="_xlnm.Print_Area" localSheetId="85">'5.5'!$A$1:$D$91</definedName>
    <definedName name="_xlnm.Print_Area" localSheetId="86">'5.6'!$A$1:$D$90</definedName>
    <definedName name="_xlnm.Print_Area" localSheetId="87">'5.7'!$A$1:$D$90</definedName>
    <definedName name="_xlnm.Print_Area" localSheetId="88">'5.8'!$A$1:$D$88</definedName>
    <definedName name="_xlnm.Print_Area" localSheetId="89">'5.9'!$A$1:$D$90</definedName>
    <definedName name="_xlnm.Print_Area" localSheetId="94">'6.1'!$A$1:$D$90</definedName>
    <definedName name="_xlnm.Print_Area" localSheetId="103">'6.10'!$A$1:$D$89</definedName>
    <definedName name="_xlnm.Print_Area" localSheetId="105">'6.12'!$A$1:$D$90</definedName>
    <definedName name="_xlnm.Print_Area" localSheetId="106">'6.13'!$A$1:$D$90</definedName>
    <definedName name="_xlnm.Print_Area" localSheetId="95">'6.2'!$A$1:$D$91</definedName>
    <definedName name="_xlnm.Print_Area" localSheetId="96">'6.3'!$A$1:$D$91</definedName>
    <definedName name="_xlnm.Print_Area" localSheetId="97">'6.4'!$A$1:$D$90</definedName>
    <definedName name="_xlnm.Print_Area" localSheetId="98">'6.5'!$A$1:$D$89</definedName>
    <definedName name="_xlnm.Print_Area" localSheetId="99">'6.6'!$A$1:$D$88</definedName>
    <definedName name="_xlnm.Print_Area" localSheetId="100">'6.7'!$A$1:$D$89</definedName>
    <definedName name="_xlnm.Print_Area" localSheetId="101">'6.8'!$A$1:$D$90</definedName>
    <definedName name="_xlnm.Print_Area" localSheetId="102">'6.9'!$A$1:$D$90</definedName>
    <definedName name="_xlnm.Print_Area" localSheetId="107">'7.1'!$A$1:$D$90</definedName>
    <definedName name="_xlnm.Print_Area" localSheetId="116">'7.10'!$A$1:$D$90</definedName>
    <definedName name="_xlnm.Print_Area" localSheetId="117">'7.11'!$A$1:$D$90</definedName>
    <definedName name="_xlnm.Print_Area" localSheetId="118">'7.12'!$A$1:$D$90</definedName>
    <definedName name="_xlnm.Print_Area" localSheetId="119">'7.13'!$A$1:$D$90</definedName>
    <definedName name="_xlnm.Print_Area" localSheetId="108">'7.2'!$A$1:$D$90</definedName>
    <definedName name="_xlnm.Print_Area" localSheetId="109">'7.3'!$A$1:$D$90</definedName>
    <definedName name="_xlnm.Print_Area" localSheetId="110">'7.4'!$A$1:$D$91</definedName>
    <definedName name="_xlnm.Print_Area" localSheetId="111">'7.5'!$A$1:$D$91</definedName>
    <definedName name="_xlnm.Print_Area" localSheetId="112">'7.6'!$A$1:$D$90</definedName>
    <definedName name="_xlnm.Print_Area" localSheetId="113">'7.7'!$A$1:$D$90</definedName>
    <definedName name="_xlnm.Print_Area" localSheetId="114">'7.8'!$A$1:$D$90</definedName>
    <definedName name="_xlnm.Print_Area" localSheetId="115">'7.9'!$A$1:$D$90</definedName>
    <definedName name="_xlnm.Print_Area" localSheetId="120">'8.1'!$A$1:$D$90</definedName>
    <definedName name="_xlnm.Print_Area" localSheetId="129">'8.10 '!$A$1:$D$90</definedName>
    <definedName name="_xlnm.Print_Area" localSheetId="130">'8.11'!$A$1:$D$90</definedName>
    <definedName name="_xlnm.Print_Area" localSheetId="131">'8.12'!$A$1:$D$90</definedName>
    <definedName name="_xlnm.Print_Area" localSheetId="132">'8.13'!$A$1:$D$91</definedName>
    <definedName name="_xlnm.Print_Area" localSheetId="121">'8.2'!$A$1:$D$91</definedName>
    <definedName name="_xlnm.Print_Area" localSheetId="122">'8.3'!$A$1:$D$90</definedName>
    <definedName name="_xlnm.Print_Area" localSheetId="123">'8.4'!$A$1:$D$90</definedName>
    <definedName name="_xlnm.Print_Area" localSheetId="124">'8.5'!$A$1:$D$90</definedName>
    <definedName name="_xlnm.Print_Area" localSheetId="125">'8.6'!$A$1:$D$90</definedName>
    <definedName name="_xlnm.Print_Area" localSheetId="126">'8.7'!$A$1:$D$90</definedName>
    <definedName name="_xlnm.Print_Area" localSheetId="127">'8.8 '!$A$1:$D$90</definedName>
    <definedName name="_xlnm.Print_Area" localSheetId="128">'8.9'!$A$1:$D$90</definedName>
    <definedName name="_xlnm.Print_Area" localSheetId="133">'9.1'!$A$1:$D$90</definedName>
    <definedName name="_xlnm.Print_Area" localSheetId="142">'9.10'!$A$1:$D$90</definedName>
    <definedName name="_xlnm.Print_Area" localSheetId="143">'9.11'!$A$1:$D$90</definedName>
    <definedName name="_xlnm.Print_Area" localSheetId="144">'9.12'!$A$1:$D$90</definedName>
    <definedName name="_xlnm.Print_Area" localSheetId="145">'9.13'!$A$1:$D$91</definedName>
    <definedName name="_xlnm.Print_Area" localSheetId="134">'9.2'!$A$1:$D$90</definedName>
    <definedName name="_xlnm.Print_Area" localSheetId="135">'9.3 '!$A$1:$D$90</definedName>
    <definedName name="_xlnm.Print_Area" localSheetId="136">'9.4'!$A$1:$D$90</definedName>
    <definedName name="_xlnm.Print_Area" localSheetId="137">'9.5'!$A$1:$D$90</definedName>
    <definedName name="_xlnm.Print_Area" localSheetId="138">'9.6 '!$A$1:$D$90</definedName>
    <definedName name="_xlnm.Print_Area" localSheetId="139">'9.7'!$A$1:$D$90</definedName>
    <definedName name="_xlnm.Print_Area" localSheetId="140">'9.8'!$A$1:$D$90</definedName>
    <definedName name="_xlnm.Print_Area" localSheetId="141">'9.9'!$A$1:$D$90</definedName>
    <definedName name="_xlnm.Print_Area" localSheetId="0">Saturs!$A$1:$B$163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0" i="196" l="1"/>
  <c r="C85" i="298"/>
  <c r="D17" i="204" l="1"/>
  <c r="D17" i="158"/>
  <c r="D17" i="244"/>
  <c r="D85" i="237" l="1"/>
  <c r="C87" i="237"/>
  <c r="C86" i="237"/>
  <c r="D85" i="297"/>
  <c r="C85" i="297"/>
  <c r="C84" i="297"/>
  <c r="D84" i="296"/>
  <c r="C84" i="296"/>
  <c r="D84" i="295"/>
  <c r="C84" i="295"/>
  <c r="D25" i="294"/>
  <c r="C25" i="294"/>
  <c r="D26" i="293"/>
  <c r="D25" i="293"/>
  <c r="C25" i="293"/>
  <c r="D84" i="292"/>
  <c r="C84" i="292"/>
  <c r="D81" i="290"/>
  <c r="D99" i="289"/>
  <c r="D81" i="300"/>
  <c r="C85" i="300"/>
  <c r="C84" i="300"/>
  <c r="C79" i="299"/>
  <c r="D80" i="299"/>
  <c r="C81" i="298"/>
  <c r="D81" i="298"/>
  <c r="C15" i="196"/>
  <c r="D85" i="263"/>
  <c r="D80" i="290"/>
  <c r="D79" i="290"/>
  <c r="D78" i="290"/>
  <c r="D98" i="289"/>
  <c r="D97" i="289"/>
  <c r="D96" i="289"/>
  <c r="D17" i="300" l="1"/>
  <c r="C18" i="297"/>
  <c r="C18" i="296"/>
  <c r="D17" i="295"/>
  <c r="C81" i="300"/>
  <c r="D79" i="300"/>
  <c r="C79" i="300"/>
  <c r="D77" i="300"/>
  <c r="C76" i="300"/>
  <c r="D76" i="300" s="1"/>
  <c r="C74" i="300"/>
  <c r="D74" i="300" s="1"/>
  <c r="C72" i="300"/>
  <c r="D72" i="300" s="1"/>
  <c r="D70" i="300"/>
  <c r="C70" i="300"/>
  <c r="C68" i="300"/>
  <c r="D68" i="300" s="1"/>
  <c r="D66" i="300"/>
  <c r="C66" i="300"/>
  <c r="C64" i="300"/>
  <c r="D64" i="300" s="1"/>
  <c r="C62" i="300"/>
  <c r="D62" i="300" s="1"/>
  <c r="D60" i="300"/>
  <c r="D58" i="300"/>
  <c r="D56" i="300"/>
  <c r="C56" i="300"/>
  <c r="C54" i="300"/>
  <c r="D54" i="300" s="1"/>
  <c r="D52" i="300"/>
  <c r="D50" i="300"/>
  <c r="C48" i="300"/>
  <c r="D48" i="300" s="1"/>
  <c r="C46" i="300"/>
  <c r="D46" i="300" s="1"/>
  <c r="C44" i="300"/>
  <c r="D44" i="300" s="1"/>
  <c r="D42" i="300"/>
  <c r="C42" i="300"/>
  <c r="C40" i="300"/>
  <c r="D40" i="300" s="1"/>
  <c r="D38" i="300"/>
  <c r="D36" i="300"/>
  <c r="C36" i="300"/>
  <c r="D34" i="300"/>
  <c r="C34" i="300"/>
  <c r="D32" i="300"/>
  <c r="C32" i="300"/>
  <c r="D30" i="300"/>
  <c r="C30" i="300"/>
  <c r="C28" i="300"/>
  <c r="D28" i="300" s="1"/>
  <c r="D26" i="300"/>
  <c r="C26" i="300"/>
  <c r="D24" i="300"/>
  <c r="C24" i="300"/>
  <c r="D21" i="300"/>
  <c r="C21" i="300"/>
  <c r="C22" i="300" s="1"/>
  <c r="D22" i="300" s="1"/>
  <c r="C15" i="300"/>
  <c r="D14" i="300"/>
  <c r="C77" i="299"/>
  <c r="D77" i="299" s="1"/>
  <c r="C75" i="299"/>
  <c r="D75" i="299" s="1"/>
  <c r="C72" i="299"/>
  <c r="D72" i="299" s="1"/>
  <c r="C70" i="299"/>
  <c r="D70" i="299" s="1"/>
  <c r="C68" i="299"/>
  <c r="D68" i="299" s="1"/>
  <c r="D66" i="299"/>
  <c r="C66" i="299"/>
  <c r="C64" i="299"/>
  <c r="D64" i="299" s="1"/>
  <c r="C62" i="299"/>
  <c r="D62" i="299" s="1"/>
  <c r="C60" i="299"/>
  <c r="D60" i="299" s="1"/>
  <c r="C58" i="299"/>
  <c r="D58" i="299" s="1"/>
  <c r="C56" i="299"/>
  <c r="D56" i="299" s="1"/>
  <c r="D54" i="299"/>
  <c r="C54" i="299"/>
  <c r="C52" i="299"/>
  <c r="D52" i="299" s="1"/>
  <c r="C50" i="299"/>
  <c r="D50" i="299" s="1"/>
  <c r="C48" i="299"/>
  <c r="D48" i="299" s="1"/>
  <c r="C46" i="299"/>
  <c r="D46" i="299" s="1"/>
  <c r="C44" i="299"/>
  <c r="D44" i="299" s="1"/>
  <c r="D42" i="299"/>
  <c r="C42" i="299"/>
  <c r="C40" i="299"/>
  <c r="D40" i="299" s="1"/>
  <c r="D38" i="299"/>
  <c r="C38" i="299"/>
  <c r="D36" i="299"/>
  <c r="C36" i="299"/>
  <c r="D34" i="299"/>
  <c r="C32" i="299"/>
  <c r="D32" i="299" s="1"/>
  <c r="D30" i="299"/>
  <c r="C30" i="299"/>
  <c r="D28" i="299"/>
  <c r="C28" i="299"/>
  <c r="D26" i="299"/>
  <c r="C26" i="299"/>
  <c r="C24" i="299"/>
  <c r="D24" i="299" s="1"/>
  <c r="C22" i="299"/>
  <c r="D22" i="299" s="1"/>
  <c r="C20" i="299"/>
  <c r="D20" i="299" s="1"/>
  <c r="C17" i="299"/>
  <c r="D15" i="299"/>
  <c r="C15" i="299"/>
  <c r="D14" i="299"/>
  <c r="D17" i="299" s="1"/>
  <c r="D77" i="298"/>
  <c r="C77" i="298"/>
  <c r="D75" i="298"/>
  <c r="C75" i="298"/>
  <c r="C72" i="298"/>
  <c r="D72" i="298" s="1"/>
  <c r="C70" i="298"/>
  <c r="D70" i="298" s="1"/>
  <c r="D68" i="298"/>
  <c r="C68" i="298"/>
  <c r="D66" i="298"/>
  <c r="C66" i="298"/>
  <c r="D64" i="298"/>
  <c r="C64" i="298"/>
  <c r="D62" i="298"/>
  <c r="C62" i="298"/>
  <c r="C60" i="298"/>
  <c r="D60" i="298" s="1"/>
  <c r="C58" i="298"/>
  <c r="D58" i="298" s="1"/>
  <c r="C56" i="298"/>
  <c r="D56" i="298" s="1"/>
  <c r="D54" i="298"/>
  <c r="C54" i="298"/>
  <c r="D52" i="298"/>
  <c r="C52" i="298"/>
  <c r="D50" i="298"/>
  <c r="C50" i="298"/>
  <c r="D48" i="298"/>
  <c r="C48" i="298"/>
  <c r="D46" i="298"/>
  <c r="C46" i="298"/>
  <c r="D44" i="298"/>
  <c r="C44" i="298"/>
  <c r="D42" i="298"/>
  <c r="C42" i="298"/>
  <c r="C40" i="298"/>
  <c r="D40" i="298" s="1"/>
  <c r="D38" i="298"/>
  <c r="C38" i="298"/>
  <c r="D36" i="298"/>
  <c r="C36" i="298"/>
  <c r="D34" i="298"/>
  <c r="C32" i="298"/>
  <c r="D32" i="298" s="1"/>
  <c r="C30" i="298"/>
  <c r="D30" i="298" s="1"/>
  <c r="D28" i="298"/>
  <c r="C28" i="298"/>
  <c r="C26" i="298"/>
  <c r="D26" i="298" s="1"/>
  <c r="D24" i="298"/>
  <c r="C24" i="298"/>
  <c r="C22" i="298"/>
  <c r="D22" i="298" s="1"/>
  <c r="C20" i="298"/>
  <c r="D20" i="298" s="1"/>
  <c r="C17" i="298"/>
  <c r="D15" i="298"/>
  <c r="C15" i="298"/>
  <c r="D14" i="298"/>
  <c r="D17" i="298" s="1"/>
  <c r="D81" i="297"/>
  <c r="C81" i="297"/>
  <c r="C79" i="297"/>
  <c r="D79" i="297" s="1"/>
  <c r="D77" i="297"/>
  <c r="D76" i="297"/>
  <c r="C76" i="297"/>
  <c r="D74" i="297"/>
  <c r="C74" i="297"/>
  <c r="C72" i="297"/>
  <c r="D72" i="297" s="1"/>
  <c r="D70" i="297"/>
  <c r="C70" i="297"/>
  <c r="D68" i="297"/>
  <c r="C68" i="297"/>
  <c r="D66" i="297"/>
  <c r="C66" i="297"/>
  <c r="D64" i="297"/>
  <c r="C64" i="297"/>
  <c r="D62" i="297"/>
  <c r="C62" i="297"/>
  <c r="D60" i="297"/>
  <c r="D58" i="297"/>
  <c r="D56" i="297"/>
  <c r="C56" i="297"/>
  <c r="D54" i="297"/>
  <c r="C54" i="297"/>
  <c r="D52" i="297"/>
  <c r="D50" i="297"/>
  <c r="D48" i="297"/>
  <c r="C48" i="297"/>
  <c r="D46" i="297"/>
  <c r="C46" i="297"/>
  <c r="D44" i="297"/>
  <c r="C44" i="297"/>
  <c r="D42" i="297"/>
  <c r="C42" i="297"/>
  <c r="D40" i="297"/>
  <c r="C40" i="297"/>
  <c r="D38" i="297"/>
  <c r="C36" i="297"/>
  <c r="D36" i="297" s="1"/>
  <c r="C34" i="297"/>
  <c r="D34" i="297" s="1"/>
  <c r="C32" i="297"/>
  <c r="D32" i="297" s="1"/>
  <c r="C30" i="297"/>
  <c r="D30" i="297" s="1"/>
  <c r="C28" i="297"/>
  <c r="D28" i="297" s="1"/>
  <c r="C26" i="297"/>
  <c r="C82" i="297" s="1"/>
  <c r="C24" i="297"/>
  <c r="D24" i="297" s="1"/>
  <c r="C22" i="297"/>
  <c r="D22" i="297" s="1"/>
  <c r="C21" i="297"/>
  <c r="D21" i="297" s="1"/>
  <c r="D17" i="297"/>
  <c r="D15" i="297"/>
  <c r="C15" i="297"/>
  <c r="D14" i="297"/>
  <c r="D81" i="296"/>
  <c r="D79" i="296"/>
  <c r="D77" i="296"/>
  <c r="D76" i="296"/>
  <c r="D74" i="296"/>
  <c r="D72" i="296"/>
  <c r="D70" i="296"/>
  <c r="D68" i="296"/>
  <c r="D66" i="296"/>
  <c r="D64" i="296"/>
  <c r="D62" i="296"/>
  <c r="C62" i="296"/>
  <c r="D60" i="296"/>
  <c r="D58" i="296"/>
  <c r="D56" i="296"/>
  <c r="D54" i="296"/>
  <c r="D52" i="296"/>
  <c r="D50" i="296"/>
  <c r="D48" i="296"/>
  <c r="D46" i="296"/>
  <c r="D44" i="296"/>
  <c r="D42" i="296"/>
  <c r="D40" i="296"/>
  <c r="D38" i="296"/>
  <c r="D36" i="296"/>
  <c r="D34" i="296"/>
  <c r="D32" i="296"/>
  <c r="C32" i="296"/>
  <c r="D30" i="296"/>
  <c r="C28" i="296"/>
  <c r="D28" i="296" s="1"/>
  <c r="D26" i="296"/>
  <c r="D24" i="296"/>
  <c r="C22" i="296"/>
  <c r="D22" i="296" s="1"/>
  <c r="C21" i="296"/>
  <c r="C82" i="296" s="1"/>
  <c r="D17" i="296"/>
  <c r="D15" i="296"/>
  <c r="C15" i="296"/>
  <c r="D14" i="296"/>
  <c r="D81" i="295"/>
  <c r="D79" i="295"/>
  <c r="D77" i="295"/>
  <c r="D76" i="295"/>
  <c r="D74" i="295"/>
  <c r="D72" i="295"/>
  <c r="D70" i="295"/>
  <c r="D68" i="295"/>
  <c r="D66" i="295"/>
  <c r="D64" i="295"/>
  <c r="D62" i="295"/>
  <c r="C62" i="295"/>
  <c r="D60" i="295"/>
  <c r="D58" i="295"/>
  <c r="D56" i="295"/>
  <c r="D54" i="295"/>
  <c r="D52" i="295"/>
  <c r="D50" i="295"/>
  <c r="D48" i="295"/>
  <c r="D46" i="295"/>
  <c r="D44" i="295"/>
  <c r="D42" i="295"/>
  <c r="D40" i="295"/>
  <c r="D38" i="295"/>
  <c r="D36" i="295"/>
  <c r="D34" i="295"/>
  <c r="C32" i="295"/>
  <c r="D32" i="295" s="1"/>
  <c r="D30" i="295"/>
  <c r="C28" i="295"/>
  <c r="D28" i="295" s="1"/>
  <c r="D26" i="295"/>
  <c r="D24" i="295"/>
  <c r="C22" i="295"/>
  <c r="D22" i="295" s="1"/>
  <c r="D82" i="295" s="1"/>
  <c r="D21" i="295"/>
  <c r="C21" i="295"/>
  <c r="C82" i="295" s="1"/>
  <c r="D15" i="295"/>
  <c r="C15" i="295"/>
  <c r="D14" i="295"/>
  <c r="D22" i="294"/>
  <c r="C20" i="294"/>
  <c r="C23" i="294" s="1"/>
  <c r="C24" i="294" s="1"/>
  <c r="D19" i="294"/>
  <c r="C16" i="294"/>
  <c r="D15" i="294"/>
  <c r="D16" i="294" s="1"/>
  <c r="C15" i="294"/>
  <c r="D14" i="294"/>
  <c r="C23" i="293"/>
  <c r="C24" i="293" s="1"/>
  <c r="D22" i="293"/>
  <c r="C20" i="293"/>
  <c r="D20" i="293" s="1"/>
  <c r="D23" i="293" s="1"/>
  <c r="D19" i="293"/>
  <c r="C15" i="293"/>
  <c r="C16" i="293" s="1"/>
  <c r="D14" i="293"/>
  <c r="D81" i="292"/>
  <c r="C81" i="292"/>
  <c r="D79" i="292"/>
  <c r="C79" i="292"/>
  <c r="C76" i="292"/>
  <c r="D76" i="292" s="1"/>
  <c r="D74" i="292"/>
  <c r="C74" i="292"/>
  <c r="D72" i="292"/>
  <c r="C72" i="292"/>
  <c r="D70" i="292"/>
  <c r="C70" i="292"/>
  <c r="D68" i="292"/>
  <c r="C68" i="292"/>
  <c r="D66" i="292"/>
  <c r="C66" i="292"/>
  <c r="C64" i="292"/>
  <c r="D64" i="292" s="1"/>
  <c r="D62" i="292"/>
  <c r="C62" i="292"/>
  <c r="D60" i="292"/>
  <c r="C60" i="292"/>
  <c r="D58" i="292"/>
  <c r="C58" i="292"/>
  <c r="D56" i="292"/>
  <c r="C56" i="292"/>
  <c r="D54" i="292"/>
  <c r="C54" i="292"/>
  <c r="C52" i="292"/>
  <c r="D52" i="292" s="1"/>
  <c r="D50" i="292"/>
  <c r="C50" i="292"/>
  <c r="D48" i="292"/>
  <c r="C48" i="292"/>
  <c r="D46" i="292"/>
  <c r="C46" i="292"/>
  <c r="D44" i="292"/>
  <c r="C44" i="292"/>
  <c r="D42" i="292"/>
  <c r="C42" i="292"/>
  <c r="C40" i="292"/>
  <c r="D40" i="292" s="1"/>
  <c r="D38" i="292"/>
  <c r="C36" i="292"/>
  <c r="D36" i="292" s="1"/>
  <c r="C34" i="292"/>
  <c r="D34" i="292" s="1"/>
  <c r="C32" i="292"/>
  <c r="D32" i="292" s="1"/>
  <c r="C30" i="292"/>
  <c r="D30" i="292" s="1"/>
  <c r="D28" i="292"/>
  <c r="C28" i="292"/>
  <c r="C26" i="292"/>
  <c r="D26" i="292" s="1"/>
  <c r="C24" i="292"/>
  <c r="D24" i="292" s="1"/>
  <c r="C22" i="292"/>
  <c r="D22" i="292" s="1"/>
  <c r="D21" i="292"/>
  <c r="D17" i="292"/>
  <c r="D15" i="292"/>
  <c r="C15" i="292"/>
  <c r="D14" i="292"/>
  <c r="D18" i="292" s="1"/>
  <c r="C78" i="291"/>
  <c r="D78" i="291" s="1"/>
  <c r="C76" i="291"/>
  <c r="D76" i="291" s="1"/>
  <c r="C73" i="291"/>
  <c r="D73" i="291" s="1"/>
  <c r="C71" i="291"/>
  <c r="D71" i="291" s="1"/>
  <c r="C69" i="291"/>
  <c r="D69" i="291" s="1"/>
  <c r="C67" i="291"/>
  <c r="D67" i="291" s="1"/>
  <c r="C65" i="291"/>
  <c r="D65" i="291" s="1"/>
  <c r="C63" i="291"/>
  <c r="D63" i="291" s="1"/>
  <c r="C61" i="291"/>
  <c r="D61" i="291" s="1"/>
  <c r="C59" i="291"/>
  <c r="D59" i="291" s="1"/>
  <c r="C57" i="291"/>
  <c r="D57" i="291" s="1"/>
  <c r="C55" i="291"/>
  <c r="D55" i="291" s="1"/>
  <c r="C53" i="291"/>
  <c r="D53" i="291" s="1"/>
  <c r="C51" i="291"/>
  <c r="D51" i="291" s="1"/>
  <c r="C49" i="291"/>
  <c r="D49" i="291" s="1"/>
  <c r="D47" i="291"/>
  <c r="C47" i="291"/>
  <c r="C45" i="291"/>
  <c r="D45" i="291" s="1"/>
  <c r="C43" i="291"/>
  <c r="D43" i="291" s="1"/>
  <c r="C41" i="291"/>
  <c r="D41" i="291" s="1"/>
  <c r="C39" i="291"/>
  <c r="D39" i="291" s="1"/>
  <c r="C37" i="291"/>
  <c r="D37" i="291" s="1"/>
  <c r="D35" i="291"/>
  <c r="C33" i="291"/>
  <c r="D33" i="291" s="1"/>
  <c r="C31" i="291"/>
  <c r="D31" i="291" s="1"/>
  <c r="C29" i="291"/>
  <c r="D29" i="291" s="1"/>
  <c r="C27" i="291"/>
  <c r="C25" i="291"/>
  <c r="D25" i="291" s="1"/>
  <c r="C23" i="291"/>
  <c r="D23" i="291" s="1"/>
  <c r="C21" i="291"/>
  <c r="D21" i="291" s="1"/>
  <c r="D17" i="291"/>
  <c r="C15" i="291"/>
  <c r="C18" i="291" s="1"/>
  <c r="D14" i="291"/>
  <c r="C77" i="290"/>
  <c r="D77" i="290" s="1"/>
  <c r="C75" i="290"/>
  <c r="D75" i="290" s="1"/>
  <c r="C72" i="290"/>
  <c r="D72" i="290" s="1"/>
  <c r="C70" i="290"/>
  <c r="D70" i="290" s="1"/>
  <c r="C68" i="290"/>
  <c r="D68" i="290" s="1"/>
  <c r="C66" i="290"/>
  <c r="D66" i="290" s="1"/>
  <c r="C64" i="290"/>
  <c r="D64" i="290" s="1"/>
  <c r="C62" i="290"/>
  <c r="D62" i="290" s="1"/>
  <c r="C60" i="290"/>
  <c r="D60" i="290" s="1"/>
  <c r="C58" i="290"/>
  <c r="D58" i="290" s="1"/>
  <c r="C56" i="290"/>
  <c r="D56" i="290" s="1"/>
  <c r="C54" i="290"/>
  <c r="D54" i="290" s="1"/>
  <c r="D52" i="290"/>
  <c r="C52" i="290"/>
  <c r="C50" i="290"/>
  <c r="D50" i="290" s="1"/>
  <c r="C48" i="290"/>
  <c r="D48" i="290" s="1"/>
  <c r="C46" i="290"/>
  <c r="D46" i="290" s="1"/>
  <c r="C44" i="290"/>
  <c r="D44" i="290" s="1"/>
  <c r="C42" i="290"/>
  <c r="D42" i="290" s="1"/>
  <c r="C40" i="290"/>
  <c r="D40" i="290" s="1"/>
  <c r="C38" i="290"/>
  <c r="D38" i="290" s="1"/>
  <c r="C36" i="290"/>
  <c r="D36" i="290" s="1"/>
  <c r="D34" i="290"/>
  <c r="C32" i="290"/>
  <c r="D32" i="290" s="1"/>
  <c r="D30" i="290"/>
  <c r="C30" i="290"/>
  <c r="C28" i="290"/>
  <c r="D28" i="290" s="1"/>
  <c r="C26" i="290"/>
  <c r="C24" i="290"/>
  <c r="D24" i="290" s="1"/>
  <c r="D22" i="290"/>
  <c r="C22" i="290"/>
  <c r="C20" i="290"/>
  <c r="D20" i="290" s="1"/>
  <c r="D15" i="290"/>
  <c r="D17" i="290" s="1"/>
  <c r="C15" i="290"/>
  <c r="C17" i="290" s="1"/>
  <c r="D14" i="290"/>
  <c r="C95" i="289"/>
  <c r="D95" i="289" s="1"/>
  <c r="C93" i="289"/>
  <c r="D93" i="289" s="1"/>
  <c r="D90" i="289"/>
  <c r="C90" i="289"/>
  <c r="C88" i="289"/>
  <c r="D88" i="289" s="1"/>
  <c r="C86" i="289"/>
  <c r="D86" i="289" s="1"/>
  <c r="C84" i="289"/>
  <c r="D84" i="289" s="1"/>
  <c r="D82" i="289"/>
  <c r="C82" i="289"/>
  <c r="C80" i="289"/>
  <c r="D80" i="289" s="1"/>
  <c r="D78" i="289"/>
  <c r="C78" i="289"/>
  <c r="D76" i="289"/>
  <c r="D74" i="289"/>
  <c r="D72" i="289"/>
  <c r="C70" i="289"/>
  <c r="D70" i="289" s="1"/>
  <c r="C68" i="289"/>
  <c r="D68" i="289" s="1"/>
  <c r="D66" i="289"/>
  <c r="D64" i="289"/>
  <c r="C62" i="289"/>
  <c r="D62" i="289" s="1"/>
  <c r="C60" i="289"/>
  <c r="D60" i="289" s="1"/>
  <c r="D58" i="289"/>
  <c r="C58" i="289"/>
  <c r="D56" i="289"/>
  <c r="C56" i="289"/>
  <c r="C54" i="289"/>
  <c r="D54" i="289" s="1"/>
  <c r="D52" i="289"/>
  <c r="C50" i="289"/>
  <c r="D50" i="289" s="1"/>
  <c r="D48" i="289"/>
  <c r="C48" i="289"/>
  <c r="C46" i="289"/>
  <c r="D46" i="289" s="1"/>
  <c r="C44" i="289"/>
  <c r="D44" i="289" s="1"/>
  <c r="C42" i="289"/>
  <c r="D42" i="289" s="1"/>
  <c r="C40" i="289"/>
  <c r="D40" i="289" s="1"/>
  <c r="C38" i="289"/>
  <c r="D38" i="289" s="1"/>
  <c r="C35" i="289"/>
  <c r="C17" i="289"/>
  <c r="C15" i="289"/>
  <c r="D15" i="289" s="1"/>
  <c r="D14" i="289"/>
  <c r="C80" i="291" l="1"/>
  <c r="C81" i="291" s="1"/>
  <c r="D18" i="296"/>
  <c r="C18" i="300"/>
  <c r="C83" i="297"/>
  <c r="D18" i="297"/>
  <c r="C83" i="296"/>
  <c r="C85" i="296" s="1"/>
  <c r="C18" i="295"/>
  <c r="D18" i="295"/>
  <c r="D83" i="295" s="1"/>
  <c r="D85" i="295" s="1"/>
  <c r="C89" i="295" s="1"/>
  <c r="C18" i="292"/>
  <c r="C96" i="289"/>
  <c r="C97" i="289" s="1"/>
  <c r="D35" i="289"/>
  <c r="C36" i="289"/>
  <c r="D36" i="289" s="1"/>
  <c r="C32" i="289"/>
  <c r="C78" i="290"/>
  <c r="C79" i="290" s="1"/>
  <c r="C79" i="291"/>
  <c r="D15" i="291"/>
  <c r="D18" i="291" s="1"/>
  <c r="C26" i="293"/>
  <c r="C83" i="295"/>
  <c r="D78" i="299"/>
  <c r="D79" i="299" s="1"/>
  <c r="D82" i="300"/>
  <c r="D83" i="300" s="1"/>
  <c r="D84" i="300" s="1"/>
  <c r="D85" i="300" s="1"/>
  <c r="C80" i="290"/>
  <c r="C81" i="290" s="1"/>
  <c r="D82" i="292"/>
  <c r="D83" i="292" s="1"/>
  <c r="C26" i="294"/>
  <c r="D82" i="297"/>
  <c r="D16" i="293"/>
  <c r="D24" i="293"/>
  <c r="D78" i="298"/>
  <c r="D79" i="298" s="1"/>
  <c r="D26" i="297"/>
  <c r="D15" i="300"/>
  <c r="D18" i="300" s="1"/>
  <c r="D26" i="290"/>
  <c r="D27" i="291"/>
  <c r="D79" i="291" s="1"/>
  <c r="C78" i="299"/>
  <c r="D21" i="296"/>
  <c r="D82" i="296" s="1"/>
  <c r="D83" i="296" s="1"/>
  <c r="C78" i="298"/>
  <c r="C79" i="298" s="1"/>
  <c r="C82" i="300"/>
  <c r="D17" i="289"/>
  <c r="D32" i="289" s="1"/>
  <c r="D20" i="294"/>
  <c r="D23" i="294" s="1"/>
  <c r="D24" i="294" s="1"/>
  <c r="D15" i="293"/>
  <c r="C82" i="292"/>
  <c r="C83" i="292" s="1"/>
  <c r="C82" i="291" l="1"/>
  <c r="D83" i="297"/>
  <c r="C83" i="300"/>
  <c r="D80" i="291"/>
  <c r="C85" i="290"/>
  <c r="D26" i="294"/>
  <c r="C30" i="294" s="1"/>
  <c r="D81" i="299"/>
  <c r="C85" i="299" s="1"/>
  <c r="D85" i="296"/>
  <c r="C89" i="296" s="1"/>
  <c r="C80" i="298"/>
  <c r="C89" i="300"/>
  <c r="D84" i="297"/>
  <c r="C89" i="297" s="1"/>
  <c r="C85" i="295"/>
  <c r="C85" i="292"/>
  <c r="D80" i="298"/>
  <c r="C30" i="293"/>
  <c r="C80" i="299"/>
  <c r="C81" i="299" s="1"/>
  <c r="D85" i="292"/>
  <c r="C89" i="292" s="1"/>
  <c r="C98" i="289"/>
  <c r="C99" i="289" s="1"/>
  <c r="C86" i="291" l="1"/>
  <c r="D81" i="291"/>
  <c r="D82" i="291" s="1"/>
  <c r="C102" i="289"/>
  <c r="D85" i="285" l="1"/>
  <c r="D83" i="285"/>
  <c r="D81" i="285"/>
  <c r="D79" i="285"/>
  <c r="D77" i="285"/>
  <c r="D75" i="285"/>
  <c r="D73" i="285"/>
  <c r="D71" i="285"/>
  <c r="D69" i="285"/>
  <c r="D67" i="285"/>
  <c r="D65" i="285"/>
  <c r="D63" i="285"/>
  <c r="D61" i="285"/>
  <c r="D59" i="285"/>
  <c r="D57" i="285"/>
  <c r="D55" i="285"/>
  <c r="D53" i="285"/>
  <c r="D51" i="285"/>
  <c r="D49" i="285"/>
  <c r="D47" i="285"/>
  <c r="D45" i="285"/>
  <c r="D43" i="285"/>
  <c r="D41" i="285"/>
  <c r="D39" i="285"/>
  <c r="D37" i="285"/>
  <c r="D35" i="285"/>
  <c r="D33" i="285"/>
  <c r="D31" i="285"/>
  <c r="D29" i="285"/>
  <c r="C27" i="285"/>
  <c r="C86" i="285" s="1"/>
  <c r="D25" i="285"/>
  <c r="D23" i="285"/>
  <c r="D21" i="285"/>
  <c r="D17" i="285"/>
  <c r="C15" i="285"/>
  <c r="C18" i="285" s="1"/>
  <c r="D14" i="285"/>
  <c r="C87" i="285" l="1"/>
  <c r="D15" i="285"/>
  <c r="D18" i="285" s="1"/>
  <c r="D27" i="285"/>
  <c r="D86" i="285" s="1"/>
  <c r="D87" i="285" l="1"/>
  <c r="C90" i="285" s="1"/>
  <c r="D86" i="278" l="1"/>
  <c r="D84" i="278"/>
  <c r="D82" i="278"/>
  <c r="D80" i="278"/>
  <c r="D78" i="278"/>
  <c r="D76" i="278"/>
  <c r="D74" i="278"/>
  <c r="D72" i="278"/>
  <c r="D70" i="278"/>
  <c r="D68" i="278"/>
  <c r="D66" i="278"/>
  <c r="D64" i="278"/>
  <c r="D62" i="278"/>
  <c r="D60" i="278"/>
  <c r="D58" i="278"/>
  <c r="D56" i="278"/>
  <c r="D54" i="278"/>
  <c r="D52" i="278"/>
  <c r="D50" i="278"/>
  <c r="D48" i="278"/>
  <c r="D46" i="278"/>
  <c r="D44" i="278"/>
  <c r="D42" i="278"/>
  <c r="D40" i="278"/>
  <c r="D38" i="278"/>
  <c r="D36" i="278"/>
  <c r="D34" i="278"/>
  <c r="D32" i="278"/>
  <c r="D30" i="278"/>
  <c r="C28" i="278"/>
  <c r="C87" i="278" s="1"/>
  <c r="D26" i="278"/>
  <c r="D24" i="278"/>
  <c r="D22" i="278"/>
  <c r="C19" i="278"/>
  <c r="D18" i="278"/>
  <c r="C16" i="278"/>
  <c r="D16" i="278" s="1"/>
  <c r="D15" i="278"/>
  <c r="D85" i="282"/>
  <c r="D83" i="282"/>
  <c r="D81" i="282"/>
  <c r="D79" i="282"/>
  <c r="D77" i="282"/>
  <c r="D75" i="282"/>
  <c r="D73" i="282"/>
  <c r="D71" i="282"/>
  <c r="D69" i="282"/>
  <c r="D67" i="282"/>
  <c r="D65" i="282"/>
  <c r="D63" i="282"/>
  <c r="D61" i="282"/>
  <c r="D59" i="282"/>
  <c r="D57" i="282"/>
  <c r="D55" i="282"/>
  <c r="D53" i="282"/>
  <c r="D51" i="282"/>
  <c r="D49" i="282"/>
  <c r="D47" i="282"/>
  <c r="D45" i="282"/>
  <c r="D43" i="282"/>
  <c r="D41" i="282"/>
  <c r="D39" i="282"/>
  <c r="D37" i="282"/>
  <c r="D35" i="282"/>
  <c r="D33" i="282"/>
  <c r="D31" i="282"/>
  <c r="D29" i="282"/>
  <c r="C27" i="282"/>
  <c r="C86" i="282" s="1"/>
  <c r="D25" i="282"/>
  <c r="D23" i="282"/>
  <c r="D21" i="282"/>
  <c r="D17" i="282"/>
  <c r="C15" i="282"/>
  <c r="C18" i="282" s="1"/>
  <c r="D14" i="282"/>
  <c r="D85" i="279"/>
  <c r="D83" i="279"/>
  <c r="D81" i="279"/>
  <c r="D79" i="279"/>
  <c r="D77" i="279"/>
  <c r="D75" i="279"/>
  <c r="D73" i="279"/>
  <c r="D71" i="279"/>
  <c r="D69" i="279"/>
  <c r="D67" i="279"/>
  <c r="D65" i="279"/>
  <c r="D63" i="279"/>
  <c r="D61" i="279"/>
  <c r="D59" i="279"/>
  <c r="D57" i="279"/>
  <c r="D55" i="279"/>
  <c r="D53" i="279"/>
  <c r="D51" i="279"/>
  <c r="D49" i="279"/>
  <c r="D47" i="279"/>
  <c r="D45" i="279"/>
  <c r="D43" i="279"/>
  <c r="D41" i="279"/>
  <c r="D39" i="279"/>
  <c r="D37" i="279"/>
  <c r="D35" i="279"/>
  <c r="D33" i="279"/>
  <c r="D31" i="279"/>
  <c r="D29" i="279"/>
  <c r="C27" i="279"/>
  <c r="C86" i="279" s="1"/>
  <c r="D25" i="279"/>
  <c r="D23" i="279"/>
  <c r="D21" i="279"/>
  <c r="D17" i="279"/>
  <c r="C15" i="279"/>
  <c r="C18" i="279" s="1"/>
  <c r="D14" i="279"/>
  <c r="D85" i="281"/>
  <c r="D83" i="281"/>
  <c r="D81" i="281"/>
  <c r="D79" i="281"/>
  <c r="D77" i="281"/>
  <c r="D75" i="281"/>
  <c r="D73" i="281"/>
  <c r="D71" i="281"/>
  <c r="D69" i="281"/>
  <c r="D67" i="281"/>
  <c r="D65" i="281"/>
  <c r="D63" i="281"/>
  <c r="D61" i="281"/>
  <c r="D59" i="281"/>
  <c r="D57" i="281"/>
  <c r="D55" i="281"/>
  <c r="D53" i="281"/>
  <c r="D51" i="281"/>
  <c r="D49" i="281"/>
  <c r="D47" i="281"/>
  <c r="D45" i="281"/>
  <c r="D43" i="281"/>
  <c r="D41" i="281"/>
  <c r="D39" i="281"/>
  <c r="D37" i="281"/>
  <c r="D35" i="281"/>
  <c r="D33" i="281"/>
  <c r="D31" i="281"/>
  <c r="D29" i="281"/>
  <c r="C27" i="281"/>
  <c r="C86" i="281" s="1"/>
  <c r="D25" i="281"/>
  <c r="D23" i="281"/>
  <c r="D21" i="281"/>
  <c r="D17" i="281"/>
  <c r="C15" i="281"/>
  <c r="C18" i="281" s="1"/>
  <c r="D14" i="281"/>
  <c r="D85" i="280"/>
  <c r="D83" i="280"/>
  <c r="D81" i="280"/>
  <c r="D79" i="280"/>
  <c r="D77" i="280"/>
  <c r="D75" i="280"/>
  <c r="D73" i="280"/>
  <c r="D71" i="280"/>
  <c r="D69" i="280"/>
  <c r="D67" i="280"/>
  <c r="D65" i="280"/>
  <c r="D63" i="280"/>
  <c r="D61" i="280"/>
  <c r="D59" i="280"/>
  <c r="D57" i="280"/>
  <c r="D55" i="280"/>
  <c r="D53" i="280"/>
  <c r="D51" i="280"/>
  <c r="D49" i="280"/>
  <c r="D47" i="280"/>
  <c r="D45" i="280"/>
  <c r="D43" i="280"/>
  <c r="D41" i="280"/>
  <c r="D39" i="280"/>
  <c r="D37" i="280"/>
  <c r="D35" i="280"/>
  <c r="D33" i="280"/>
  <c r="D31" i="280"/>
  <c r="D29" i="280"/>
  <c r="C27" i="280"/>
  <c r="C86" i="280" s="1"/>
  <c r="D25" i="280"/>
  <c r="D23" i="280"/>
  <c r="D21" i="280"/>
  <c r="D17" i="280"/>
  <c r="C15" i="280"/>
  <c r="C18" i="280" s="1"/>
  <c r="D14" i="280"/>
  <c r="D19" i="278" l="1"/>
  <c r="C88" i="278"/>
  <c r="D28" i="278"/>
  <c r="D87" i="278" s="1"/>
  <c r="D88" i="278" s="1"/>
  <c r="C91" i="278" s="1"/>
  <c r="C87" i="282"/>
  <c r="D15" i="282"/>
  <c r="D18" i="282" s="1"/>
  <c r="D27" i="282"/>
  <c r="D86" i="282" s="1"/>
  <c r="C87" i="279"/>
  <c r="D15" i="279"/>
  <c r="D18" i="279" s="1"/>
  <c r="D27" i="279"/>
  <c r="D86" i="279" s="1"/>
  <c r="C87" i="281"/>
  <c r="D15" i="281"/>
  <c r="D18" i="281" s="1"/>
  <c r="D27" i="281"/>
  <c r="D86" i="281" s="1"/>
  <c r="D87" i="281" s="1"/>
  <c r="C90" i="281" s="1"/>
  <c r="C87" i="280"/>
  <c r="D15" i="280"/>
  <c r="D18" i="280" s="1"/>
  <c r="D27" i="280"/>
  <c r="D86" i="280" s="1"/>
  <c r="D87" i="280" s="1"/>
  <c r="C90" i="280" s="1"/>
  <c r="D17" i="275"/>
  <c r="C15" i="275"/>
  <c r="D15" i="275" s="1"/>
  <c r="D14" i="275"/>
  <c r="C15" i="277"/>
  <c r="D15" i="277" s="1"/>
  <c r="D14" i="277"/>
  <c r="D87" i="282" l="1"/>
  <c r="C90" i="282" s="1"/>
  <c r="D87" i="279"/>
  <c r="C90" i="279" s="1"/>
  <c r="D17" i="276"/>
  <c r="D85" i="275" l="1"/>
  <c r="D83" i="275"/>
  <c r="D81" i="275"/>
  <c r="D79" i="275"/>
  <c r="D77" i="275"/>
  <c r="D75" i="275"/>
  <c r="D73" i="275"/>
  <c r="D71" i="275"/>
  <c r="D69" i="275"/>
  <c r="D67" i="275"/>
  <c r="D65" i="275"/>
  <c r="D63" i="275"/>
  <c r="D61" i="275"/>
  <c r="D59" i="275"/>
  <c r="D57" i="275"/>
  <c r="D55" i="275"/>
  <c r="D53" i="275"/>
  <c r="D51" i="275"/>
  <c r="D49" i="275"/>
  <c r="D47" i="275"/>
  <c r="D45" i="275"/>
  <c r="D43" i="275"/>
  <c r="D41" i="275"/>
  <c r="D39" i="275"/>
  <c r="D37" i="275"/>
  <c r="D35" i="275"/>
  <c r="D33" i="275"/>
  <c r="D31" i="275"/>
  <c r="D29" i="275"/>
  <c r="C27" i="275"/>
  <c r="C86" i="275" s="1"/>
  <c r="D25" i="275"/>
  <c r="D23" i="275"/>
  <c r="D21" i="275"/>
  <c r="C18" i="275"/>
  <c r="D85" i="277"/>
  <c r="D83" i="277"/>
  <c r="D81" i="277"/>
  <c r="D79" i="277"/>
  <c r="D77" i="277"/>
  <c r="D75" i="277"/>
  <c r="D73" i="277"/>
  <c r="D71" i="277"/>
  <c r="D69" i="277"/>
  <c r="D67" i="277"/>
  <c r="D65" i="277"/>
  <c r="D63" i="277"/>
  <c r="D61" i="277"/>
  <c r="D59" i="277"/>
  <c r="D57" i="277"/>
  <c r="D55" i="277"/>
  <c r="D53" i="277"/>
  <c r="D51" i="277"/>
  <c r="D49" i="277"/>
  <c r="D47" i="277"/>
  <c r="D45" i="277"/>
  <c r="D43" i="277"/>
  <c r="D41" i="277"/>
  <c r="D39" i="277"/>
  <c r="D37" i="277"/>
  <c r="D35" i="277"/>
  <c r="D33" i="277"/>
  <c r="D31" i="277"/>
  <c r="D29" i="277"/>
  <c r="C27" i="277"/>
  <c r="C86" i="277" s="1"/>
  <c r="D25" i="277"/>
  <c r="D23" i="277"/>
  <c r="D21" i="277"/>
  <c r="D17" i="277"/>
  <c r="C18" i="277"/>
  <c r="C86" i="276"/>
  <c r="D85" i="276"/>
  <c r="D83" i="276"/>
  <c r="D81" i="276"/>
  <c r="D79" i="276"/>
  <c r="D77" i="276"/>
  <c r="D75" i="276"/>
  <c r="D73" i="276"/>
  <c r="D71" i="276"/>
  <c r="D69" i="276"/>
  <c r="D67" i="276"/>
  <c r="D65" i="276"/>
  <c r="D63" i="276"/>
  <c r="D61" i="276"/>
  <c r="D59" i="276"/>
  <c r="D57" i="276"/>
  <c r="D55" i="276"/>
  <c r="D53" i="276"/>
  <c r="D51" i="276"/>
  <c r="D49" i="276"/>
  <c r="D47" i="276"/>
  <c r="D45" i="276"/>
  <c r="D43" i="276"/>
  <c r="D41" i="276"/>
  <c r="D39" i="276"/>
  <c r="D37" i="276"/>
  <c r="D35" i="276"/>
  <c r="D33" i="276"/>
  <c r="D31" i="276"/>
  <c r="D29" i="276"/>
  <c r="C27" i="276"/>
  <c r="D27" i="276" s="1"/>
  <c r="D25" i="276"/>
  <c r="D23" i="276"/>
  <c r="D21" i="276"/>
  <c r="C15" i="276"/>
  <c r="D15" i="276" s="1"/>
  <c r="D14" i="276"/>
  <c r="D16" i="236"/>
  <c r="D18" i="236"/>
  <c r="D15" i="236"/>
  <c r="D17" i="235"/>
  <c r="D15" i="235"/>
  <c r="D14" i="235"/>
  <c r="D15" i="234"/>
  <c r="D14" i="234"/>
  <c r="D17" i="234"/>
  <c r="D85" i="233"/>
  <c r="D83" i="233"/>
  <c r="D81" i="233"/>
  <c r="D79" i="233"/>
  <c r="D77" i="233"/>
  <c r="D75" i="233"/>
  <c r="D73" i="233"/>
  <c r="D71" i="233"/>
  <c r="D69" i="233"/>
  <c r="D67" i="233"/>
  <c r="D65" i="233"/>
  <c r="D63" i="233"/>
  <c r="D61" i="233"/>
  <c r="D59" i="233"/>
  <c r="D57" i="233"/>
  <c r="D55" i="233"/>
  <c r="D53" i="233"/>
  <c r="D52" i="233"/>
  <c r="D51" i="233"/>
  <c r="D49" i="233"/>
  <c r="D47" i="233"/>
  <c r="D45" i="233"/>
  <c r="D43" i="233"/>
  <c r="D41" i="233"/>
  <c r="D39" i="233"/>
  <c r="D37" i="233"/>
  <c r="D35" i="233"/>
  <c r="D33" i="233"/>
  <c r="D31" i="233"/>
  <c r="D29" i="233"/>
  <c r="C27" i="233"/>
  <c r="C86" i="233" s="1"/>
  <c r="C87" i="233" s="1"/>
  <c r="D25" i="233"/>
  <c r="D23" i="233"/>
  <c r="D21" i="233"/>
  <c r="D17" i="232"/>
  <c r="D17" i="231"/>
  <c r="D17" i="228"/>
  <c r="D17" i="227"/>
  <c r="D17" i="226"/>
  <c r="D15" i="233"/>
  <c r="D17" i="233"/>
  <c r="D14" i="233"/>
  <c r="C15" i="233"/>
  <c r="C15" i="232"/>
  <c r="D15" i="232" s="1"/>
  <c r="D14" i="232"/>
  <c r="C15" i="231"/>
  <c r="D15" i="231" s="1"/>
  <c r="D14" i="231"/>
  <c r="C15" i="230"/>
  <c r="D15" i="230" s="1"/>
  <c r="D14" i="230"/>
  <c r="C15" i="229"/>
  <c r="D15" i="229" s="1"/>
  <c r="D14" i="229"/>
  <c r="C15" i="228"/>
  <c r="D15" i="228" s="1"/>
  <c r="D14" i="228"/>
  <c r="C15" i="227"/>
  <c r="D15" i="227" s="1"/>
  <c r="D14" i="227"/>
  <c r="C15" i="226"/>
  <c r="D15" i="226" s="1"/>
  <c r="D14" i="226"/>
  <c r="D15" i="224"/>
  <c r="D17" i="224"/>
  <c r="D14" i="224"/>
  <c r="C18" i="276" l="1"/>
  <c r="C87" i="276" s="1"/>
  <c r="D18" i="276"/>
  <c r="C87" i="275"/>
  <c r="D27" i="275"/>
  <c r="D86" i="275" s="1"/>
  <c r="D18" i="275"/>
  <c r="C87" i="277"/>
  <c r="D18" i="277"/>
  <c r="D27" i="277"/>
  <c r="D86" i="277" s="1"/>
  <c r="D86" i="276"/>
  <c r="D27" i="233"/>
  <c r="D86" i="233" s="1"/>
  <c r="D87" i="233" s="1"/>
  <c r="C90" i="233" s="1"/>
  <c r="D15" i="221"/>
  <c r="D17" i="221"/>
  <c r="D14" i="221"/>
  <c r="D16" i="223"/>
  <c r="D18" i="223"/>
  <c r="D15" i="223"/>
  <c r="D15" i="222"/>
  <c r="D17" i="222"/>
  <c r="D14" i="222"/>
  <c r="D15" i="220"/>
  <c r="D17" i="220"/>
  <c r="D14" i="220"/>
  <c r="D17" i="219"/>
  <c r="D15" i="219"/>
  <c r="D14" i="219"/>
  <c r="D15" i="218"/>
  <c r="D17" i="218"/>
  <c r="D14" i="218"/>
  <c r="D85" i="215"/>
  <c r="D83" i="215"/>
  <c r="D81" i="215"/>
  <c r="D79" i="215"/>
  <c r="D77" i="215"/>
  <c r="D75" i="215"/>
  <c r="D73" i="215"/>
  <c r="D71" i="215"/>
  <c r="D69" i="215"/>
  <c r="D67" i="215"/>
  <c r="D65" i="215"/>
  <c r="D63" i="215"/>
  <c r="D61" i="215"/>
  <c r="D59" i="215"/>
  <c r="D57" i="215"/>
  <c r="D55" i="215"/>
  <c r="D53" i="215"/>
  <c r="D51" i="215"/>
  <c r="D49" i="215"/>
  <c r="D47" i="215"/>
  <c r="D45" i="215"/>
  <c r="D43" i="215"/>
  <c r="D41" i="215"/>
  <c r="D39" i="215"/>
  <c r="D37" i="215"/>
  <c r="D35" i="215"/>
  <c r="D33" i="215"/>
  <c r="D31" i="215"/>
  <c r="D29" i="215"/>
  <c r="C27" i="215"/>
  <c r="C86" i="215" s="1"/>
  <c r="C87" i="215" s="1"/>
  <c r="D25" i="215"/>
  <c r="D23" i="215"/>
  <c r="D21" i="215"/>
  <c r="D15" i="215"/>
  <c r="D17" i="215"/>
  <c r="D14" i="215"/>
  <c r="D15" i="214"/>
  <c r="D17" i="214"/>
  <c r="D15" i="213"/>
  <c r="D17" i="213"/>
  <c r="D14" i="213"/>
  <c r="D14" i="217"/>
  <c r="D14" i="216"/>
  <c r="D14" i="214"/>
  <c r="D18" i="212"/>
  <c r="D15" i="211"/>
  <c r="D17" i="211"/>
  <c r="D14" i="211"/>
  <c r="D17" i="207"/>
  <c r="D15" i="207"/>
  <c r="D14" i="207"/>
  <c r="D86" i="236"/>
  <c r="D84" i="236"/>
  <c r="D82" i="236"/>
  <c r="D80" i="236"/>
  <c r="D78" i="236"/>
  <c r="D76" i="236"/>
  <c r="D74" i="236"/>
  <c r="D72" i="236"/>
  <c r="D70" i="236"/>
  <c r="D68" i="236"/>
  <c r="D66" i="236"/>
  <c r="D64" i="236"/>
  <c r="D62" i="236"/>
  <c r="D60" i="236"/>
  <c r="D58" i="236"/>
  <c r="D56" i="236"/>
  <c r="D54" i="236"/>
  <c r="D52" i="236"/>
  <c r="D50" i="236"/>
  <c r="D48" i="236"/>
  <c r="D46" i="236"/>
  <c r="D44" i="236"/>
  <c r="D42" i="236"/>
  <c r="D40" i="236"/>
  <c r="D38" i="236"/>
  <c r="D36" i="236"/>
  <c r="D34" i="236"/>
  <c r="D32" i="236"/>
  <c r="D30" i="236"/>
  <c r="C28" i="236"/>
  <c r="C87" i="236" s="1"/>
  <c r="D26" i="236"/>
  <c r="D24" i="236"/>
  <c r="D22" i="236"/>
  <c r="D85" i="235"/>
  <c r="D83" i="235"/>
  <c r="D81" i="235"/>
  <c r="D79" i="235"/>
  <c r="D77" i="235"/>
  <c r="D75" i="235"/>
  <c r="D73" i="235"/>
  <c r="D71" i="235"/>
  <c r="D69" i="235"/>
  <c r="D67" i="235"/>
  <c r="D65" i="235"/>
  <c r="D63" i="235"/>
  <c r="D61" i="235"/>
  <c r="D59" i="235"/>
  <c r="D57" i="235"/>
  <c r="D55" i="235"/>
  <c r="D53" i="235"/>
  <c r="D51" i="235"/>
  <c r="D49" i="235"/>
  <c r="D47" i="235"/>
  <c r="D45" i="235"/>
  <c r="D43" i="235"/>
  <c r="D41" i="235"/>
  <c r="D39" i="235"/>
  <c r="D37" i="235"/>
  <c r="D35" i="235"/>
  <c r="D33" i="235"/>
  <c r="D31" i="235"/>
  <c r="D29" i="235"/>
  <c r="C27" i="235"/>
  <c r="C86" i="235" s="1"/>
  <c r="D25" i="235"/>
  <c r="D23" i="235"/>
  <c r="D21" i="235"/>
  <c r="D85" i="234"/>
  <c r="D83" i="234"/>
  <c r="D81" i="234"/>
  <c r="D79" i="234"/>
  <c r="D77" i="234"/>
  <c r="D75" i="234"/>
  <c r="D73" i="234"/>
  <c r="D71" i="234"/>
  <c r="D69" i="234"/>
  <c r="D67" i="234"/>
  <c r="D65" i="234"/>
  <c r="D63" i="234"/>
  <c r="D61" i="234"/>
  <c r="D59" i="234"/>
  <c r="D57" i="234"/>
  <c r="D55" i="234"/>
  <c r="D53" i="234"/>
  <c r="D51" i="234"/>
  <c r="D49" i="234"/>
  <c r="D47" i="234"/>
  <c r="D45" i="234"/>
  <c r="D43" i="234"/>
  <c r="D41" i="234"/>
  <c r="D39" i="234"/>
  <c r="D37" i="234"/>
  <c r="D35" i="234"/>
  <c r="D33" i="234"/>
  <c r="D31" i="234"/>
  <c r="D29" i="234"/>
  <c r="C27" i="234"/>
  <c r="C86" i="234" s="1"/>
  <c r="D25" i="234"/>
  <c r="D23" i="234"/>
  <c r="D21" i="234"/>
  <c r="D85" i="232"/>
  <c r="D83" i="232"/>
  <c r="D81" i="232"/>
  <c r="D79" i="232"/>
  <c r="D77" i="232"/>
  <c r="D75" i="232"/>
  <c r="D73" i="232"/>
  <c r="D71" i="232"/>
  <c r="D69" i="232"/>
  <c r="D67" i="232"/>
  <c r="D65" i="232"/>
  <c r="D63" i="232"/>
  <c r="D61" i="232"/>
  <c r="D59" i="232"/>
  <c r="D57" i="232"/>
  <c r="D55" i="232"/>
  <c r="D53" i="232"/>
  <c r="D51" i="232"/>
  <c r="D49" i="232"/>
  <c r="D47" i="232"/>
  <c r="D45" i="232"/>
  <c r="D43" i="232"/>
  <c r="D41" i="232"/>
  <c r="D39" i="232"/>
  <c r="D37" i="232"/>
  <c r="D35" i="232"/>
  <c r="D33" i="232"/>
  <c r="D31" i="232"/>
  <c r="D29" i="232"/>
  <c r="C27" i="232"/>
  <c r="C86" i="232" s="1"/>
  <c r="D25" i="232"/>
  <c r="D23" i="232"/>
  <c r="D21" i="232"/>
  <c r="D85" i="231"/>
  <c r="D83" i="231"/>
  <c r="D81" i="231"/>
  <c r="D79" i="231"/>
  <c r="D77" i="231"/>
  <c r="D75" i="231"/>
  <c r="D73" i="231"/>
  <c r="D71" i="231"/>
  <c r="D69" i="231"/>
  <c r="D67" i="231"/>
  <c r="D65" i="231"/>
  <c r="D63" i="231"/>
  <c r="D61" i="231"/>
  <c r="D59" i="231"/>
  <c r="D57" i="231"/>
  <c r="D55" i="231"/>
  <c r="D53" i="231"/>
  <c r="D51" i="231"/>
  <c r="D49" i="231"/>
  <c r="D47" i="231"/>
  <c r="D45" i="231"/>
  <c r="D43" i="231"/>
  <c r="D41" i="231"/>
  <c r="D39" i="231"/>
  <c r="D37" i="231"/>
  <c r="D35" i="231"/>
  <c r="D33" i="231"/>
  <c r="D31" i="231"/>
  <c r="D29" i="231"/>
  <c r="C27" i="231"/>
  <c r="C86" i="231" s="1"/>
  <c r="D25" i="231"/>
  <c r="D23" i="231"/>
  <c r="D21" i="231"/>
  <c r="D85" i="230"/>
  <c r="D83" i="230"/>
  <c r="D81" i="230"/>
  <c r="D79" i="230"/>
  <c r="D77" i="230"/>
  <c r="D75" i="230"/>
  <c r="D73" i="230"/>
  <c r="D71" i="230"/>
  <c r="D69" i="230"/>
  <c r="D67" i="230"/>
  <c r="D65" i="230"/>
  <c r="D63" i="230"/>
  <c r="D61" i="230"/>
  <c r="D59" i="230"/>
  <c r="D57" i="230"/>
  <c r="D55" i="230"/>
  <c r="D53" i="230"/>
  <c r="D51" i="230"/>
  <c r="D49" i="230"/>
  <c r="D47" i="230"/>
  <c r="D45" i="230"/>
  <c r="D43" i="230"/>
  <c r="D41" i="230"/>
  <c r="D39" i="230"/>
  <c r="D37" i="230"/>
  <c r="D35" i="230"/>
  <c r="D33" i="230"/>
  <c r="D31" i="230"/>
  <c r="D29" i="230"/>
  <c r="C27" i="230"/>
  <c r="C86" i="230" s="1"/>
  <c r="D25" i="230"/>
  <c r="D23" i="230"/>
  <c r="D21" i="230"/>
  <c r="D85" i="229"/>
  <c r="D83" i="229"/>
  <c r="D81" i="229"/>
  <c r="D79" i="229"/>
  <c r="D77" i="229"/>
  <c r="D75" i="229"/>
  <c r="D73" i="229"/>
  <c r="D71" i="229"/>
  <c r="D69" i="229"/>
  <c r="D67" i="229"/>
  <c r="D65" i="229"/>
  <c r="D63" i="229"/>
  <c r="D61" i="229"/>
  <c r="D59" i="229"/>
  <c r="D57" i="229"/>
  <c r="D55" i="229"/>
  <c r="D53" i="229"/>
  <c r="D51" i="229"/>
  <c r="D49" i="229"/>
  <c r="D47" i="229"/>
  <c r="D45" i="229"/>
  <c r="D43" i="229"/>
  <c r="D41" i="229"/>
  <c r="D39" i="229"/>
  <c r="D37" i="229"/>
  <c r="D35" i="229"/>
  <c r="D33" i="229"/>
  <c r="D31" i="229"/>
  <c r="D29" i="229"/>
  <c r="C27" i="229"/>
  <c r="C86" i="229" s="1"/>
  <c r="D25" i="229"/>
  <c r="D23" i="229"/>
  <c r="D21" i="229"/>
  <c r="D85" i="228"/>
  <c r="D83" i="228"/>
  <c r="D81" i="228"/>
  <c r="D79" i="228"/>
  <c r="D77" i="228"/>
  <c r="D75" i="228"/>
  <c r="D73" i="228"/>
  <c r="D71" i="228"/>
  <c r="D69" i="228"/>
  <c r="D67" i="228"/>
  <c r="D65" i="228"/>
  <c r="D63" i="228"/>
  <c r="D61" i="228"/>
  <c r="D59" i="228"/>
  <c r="D57" i="228"/>
  <c r="D55" i="228"/>
  <c r="D53" i="228"/>
  <c r="D51" i="228"/>
  <c r="D49" i="228"/>
  <c r="D47" i="228"/>
  <c r="D45" i="228"/>
  <c r="D43" i="228"/>
  <c r="D41" i="228"/>
  <c r="D39" i="228"/>
  <c r="D37" i="228"/>
  <c r="D35" i="228"/>
  <c r="D33" i="228"/>
  <c r="D31" i="228"/>
  <c r="D29" i="228"/>
  <c r="C27" i="228"/>
  <c r="C86" i="228" s="1"/>
  <c r="D25" i="228"/>
  <c r="D23" i="228"/>
  <c r="D21" i="228"/>
  <c r="D85" i="227"/>
  <c r="D83" i="227"/>
  <c r="D81" i="227"/>
  <c r="D79" i="227"/>
  <c r="D77" i="227"/>
  <c r="D75" i="227"/>
  <c r="D73" i="227"/>
  <c r="D71" i="227"/>
  <c r="D69" i="227"/>
  <c r="D67" i="227"/>
  <c r="D65" i="227"/>
  <c r="D63" i="227"/>
  <c r="D61" i="227"/>
  <c r="D59" i="227"/>
  <c r="D57" i="227"/>
  <c r="D55" i="227"/>
  <c r="D53" i="227"/>
  <c r="D51" i="227"/>
  <c r="D49" i="227"/>
  <c r="D47" i="227"/>
  <c r="D45" i="227"/>
  <c r="D43" i="227"/>
  <c r="D41" i="227"/>
  <c r="D39" i="227"/>
  <c r="D37" i="227"/>
  <c r="D35" i="227"/>
  <c r="D33" i="227"/>
  <c r="D31" i="227"/>
  <c r="D29" i="227"/>
  <c r="C27" i="227"/>
  <c r="C86" i="227" s="1"/>
  <c r="D25" i="227"/>
  <c r="D23" i="227"/>
  <c r="D21" i="227"/>
  <c r="D85" i="226"/>
  <c r="D83" i="226"/>
  <c r="D81" i="226"/>
  <c r="D79" i="226"/>
  <c r="D77" i="226"/>
  <c r="D75" i="226"/>
  <c r="D73" i="226"/>
  <c r="D71" i="226"/>
  <c r="D69" i="226"/>
  <c r="D67" i="226"/>
  <c r="D65" i="226"/>
  <c r="D63" i="226"/>
  <c r="D61" i="226"/>
  <c r="D59" i="226"/>
  <c r="D57" i="226"/>
  <c r="D55" i="226"/>
  <c r="D53" i="226"/>
  <c r="D51" i="226"/>
  <c r="D49" i="226"/>
  <c r="D47" i="226"/>
  <c r="D45" i="226"/>
  <c r="D43" i="226"/>
  <c r="D41" i="226"/>
  <c r="D39" i="226"/>
  <c r="D37" i="226"/>
  <c r="D35" i="226"/>
  <c r="D33" i="226"/>
  <c r="D31" i="226"/>
  <c r="D29" i="226"/>
  <c r="C27" i="226"/>
  <c r="C86" i="226" s="1"/>
  <c r="D25" i="226"/>
  <c r="D23" i="226"/>
  <c r="D21" i="226"/>
  <c r="D85" i="225"/>
  <c r="D83" i="225"/>
  <c r="D81" i="225"/>
  <c r="D79" i="225"/>
  <c r="D77" i="225"/>
  <c r="D75" i="225"/>
  <c r="D73" i="225"/>
  <c r="D71" i="225"/>
  <c r="D69" i="225"/>
  <c r="D67" i="225"/>
  <c r="D65" i="225"/>
  <c r="D63" i="225"/>
  <c r="D61" i="225"/>
  <c r="D59" i="225"/>
  <c r="D57" i="225"/>
  <c r="D55" i="225"/>
  <c r="D53" i="225"/>
  <c r="D51" i="225"/>
  <c r="D49" i="225"/>
  <c r="D47" i="225"/>
  <c r="D45" i="225"/>
  <c r="D43" i="225"/>
  <c r="D41" i="225"/>
  <c r="D39" i="225"/>
  <c r="D37" i="225"/>
  <c r="D35" i="225"/>
  <c r="D33" i="225"/>
  <c r="D31" i="225"/>
  <c r="D29" i="225"/>
  <c r="C27" i="225"/>
  <c r="C86" i="225" s="1"/>
  <c r="D25" i="225"/>
  <c r="D23" i="225"/>
  <c r="D21" i="225"/>
  <c r="D85" i="224"/>
  <c r="D83" i="224"/>
  <c r="D81" i="224"/>
  <c r="D79" i="224"/>
  <c r="D77" i="224"/>
  <c r="D75" i="224"/>
  <c r="D73" i="224"/>
  <c r="D71" i="224"/>
  <c r="D69" i="224"/>
  <c r="D67" i="224"/>
  <c r="D65" i="224"/>
  <c r="D63" i="224"/>
  <c r="D61" i="224"/>
  <c r="D59" i="224"/>
  <c r="D57" i="224"/>
  <c r="D55" i="224"/>
  <c r="D53" i="224"/>
  <c r="D51" i="224"/>
  <c r="D49" i="224"/>
  <c r="D47" i="224"/>
  <c r="D45" i="224"/>
  <c r="D43" i="224"/>
  <c r="D41" i="224"/>
  <c r="D39" i="224"/>
  <c r="D37" i="224"/>
  <c r="D35" i="224"/>
  <c r="D33" i="224"/>
  <c r="D31" i="224"/>
  <c r="D29" i="224"/>
  <c r="C27" i="224"/>
  <c r="C86" i="224" s="1"/>
  <c r="D25" i="224"/>
  <c r="D23" i="224"/>
  <c r="D21" i="224"/>
  <c r="D86" i="223"/>
  <c r="D84" i="223"/>
  <c r="D82" i="223"/>
  <c r="D80" i="223"/>
  <c r="D78" i="223"/>
  <c r="D76" i="223"/>
  <c r="D74" i="223"/>
  <c r="D72" i="223"/>
  <c r="D70" i="223"/>
  <c r="D68" i="223"/>
  <c r="D66" i="223"/>
  <c r="D64" i="223"/>
  <c r="D62" i="223"/>
  <c r="D60" i="223"/>
  <c r="D58" i="223"/>
  <c r="D56" i="223"/>
  <c r="D54" i="223"/>
  <c r="D52" i="223"/>
  <c r="D50" i="223"/>
  <c r="D48" i="223"/>
  <c r="D46" i="223"/>
  <c r="D44" i="223"/>
  <c r="D42" i="223"/>
  <c r="D40" i="223"/>
  <c r="D38" i="223"/>
  <c r="D36" i="223"/>
  <c r="D34" i="223"/>
  <c r="D32" i="223"/>
  <c r="D30" i="223"/>
  <c r="C28" i="223"/>
  <c r="C87" i="223" s="1"/>
  <c r="D26" i="223"/>
  <c r="D24" i="223"/>
  <c r="D22" i="223"/>
  <c r="D85" i="222"/>
  <c r="D83" i="222"/>
  <c r="D81" i="222"/>
  <c r="D79" i="222"/>
  <c r="D77" i="222"/>
  <c r="D75" i="222"/>
  <c r="D73" i="222"/>
  <c r="D71" i="222"/>
  <c r="D69" i="222"/>
  <c r="D67" i="222"/>
  <c r="D65" i="222"/>
  <c r="D63" i="222"/>
  <c r="D61" i="222"/>
  <c r="D59" i="222"/>
  <c r="D57" i="222"/>
  <c r="D55" i="222"/>
  <c r="D53" i="222"/>
  <c r="D51" i="222"/>
  <c r="D49" i="222"/>
  <c r="D47" i="222"/>
  <c r="D45" i="222"/>
  <c r="D43" i="222"/>
  <c r="D41" i="222"/>
  <c r="D39" i="222"/>
  <c r="D37" i="222"/>
  <c r="D35" i="222"/>
  <c r="D33" i="222"/>
  <c r="D31" i="222"/>
  <c r="D29" i="222"/>
  <c r="C27" i="222"/>
  <c r="C86" i="222" s="1"/>
  <c r="D25" i="222"/>
  <c r="D23" i="222"/>
  <c r="D21" i="222"/>
  <c r="D85" i="221"/>
  <c r="D83" i="221"/>
  <c r="D81" i="221"/>
  <c r="D79" i="221"/>
  <c r="D77" i="221"/>
  <c r="D75" i="221"/>
  <c r="D73" i="221"/>
  <c r="D71" i="221"/>
  <c r="D69" i="221"/>
  <c r="D67" i="221"/>
  <c r="D65" i="221"/>
  <c r="D63" i="221"/>
  <c r="D61" i="221"/>
  <c r="D59" i="221"/>
  <c r="D57" i="221"/>
  <c r="D55" i="221"/>
  <c r="D53" i="221"/>
  <c r="D51" i="221"/>
  <c r="D49" i="221"/>
  <c r="D47" i="221"/>
  <c r="D45" i="221"/>
  <c r="D43" i="221"/>
  <c r="D41" i="221"/>
  <c r="D39" i="221"/>
  <c r="D37" i="221"/>
  <c r="D35" i="221"/>
  <c r="D33" i="221"/>
  <c r="D31" i="221"/>
  <c r="D29" i="221"/>
  <c r="C27" i="221"/>
  <c r="C86" i="221" s="1"/>
  <c r="D25" i="221"/>
  <c r="D23" i="221"/>
  <c r="D21" i="221"/>
  <c r="D85" i="219"/>
  <c r="D83" i="219"/>
  <c r="D81" i="219"/>
  <c r="D79" i="219"/>
  <c r="D77" i="219"/>
  <c r="D75" i="219"/>
  <c r="D73" i="219"/>
  <c r="D71" i="219"/>
  <c r="D69" i="219"/>
  <c r="D67" i="219"/>
  <c r="D65" i="219"/>
  <c r="D63" i="219"/>
  <c r="D61" i="219"/>
  <c r="D59" i="219"/>
  <c r="D57" i="219"/>
  <c r="D55" i="219"/>
  <c r="D53" i="219"/>
  <c r="D51" i="219"/>
  <c r="D49" i="219"/>
  <c r="D47" i="219"/>
  <c r="D45" i="219"/>
  <c r="D43" i="219"/>
  <c r="D41" i="219"/>
  <c r="D39" i="219"/>
  <c r="D37" i="219"/>
  <c r="D35" i="219"/>
  <c r="D33" i="219"/>
  <c r="D31" i="219"/>
  <c r="D29" i="219"/>
  <c r="C27" i="219"/>
  <c r="C86" i="219" s="1"/>
  <c r="D25" i="219"/>
  <c r="D23" i="219"/>
  <c r="D21" i="219"/>
  <c r="D85" i="218"/>
  <c r="D83" i="218"/>
  <c r="D81" i="218"/>
  <c r="D79" i="218"/>
  <c r="D77" i="218"/>
  <c r="D75" i="218"/>
  <c r="D73" i="218"/>
  <c r="D71" i="218"/>
  <c r="D69" i="218"/>
  <c r="D67" i="218"/>
  <c r="D65" i="218"/>
  <c r="D63" i="218"/>
  <c r="D61" i="218"/>
  <c r="D59" i="218"/>
  <c r="D57" i="218"/>
  <c r="D55" i="218"/>
  <c r="D53" i="218"/>
  <c r="D51" i="218"/>
  <c r="D49" i="218"/>
  <c r="D47" i="218"/>
  <c r="D45" i="218"/>
  <c r="D43" i="218"/>
  <c r="D41" i="218"/>
  <c r="D39" i="218"/>
  <c r="D37" i="218"/>
  <c r="D35" i="218"/>
  <c r="D33" i="218"/>
  <c r="D31" i="218"/>
  <c r="D29" i="218"/>
  <c r="C27" i="218"/>
  <c r="C86" i="218" s="1"/>
  <c r="D25" i="218"/>
  <c r="D23" i="218"/>
  <c r="D21" i="218"/>
  <c r="D85" i="213"/>
  <c r="D83" i="213"/>
  <c r="D81" i="213"/>
  <c r="D79" i="213"/>
  <c r="D77" i="213"/>
  <c r="D75" i="213"/>
  <c r="D73" i="213"/>
  <c r="D71" i="213"/>
  <c r="D69" i="213"/>
  <c r="D67" i="213"/>
  <c r="D65" i="213"/>
  <c r="D63" i="213"/>
  <c r="D61" i="213"/>
  <c r="D59" i="213"/>
  <c r="D57" i="213"/>
  <c r="D55" i="213"/>
  <c r="D53" i="213"/>
  <c r="D51" i="213"/>
  <c r="D49" i="213"/>
  <c r="D47" i="213"/>
  <c r="D45" i="213"/>
  <c r="D43" i="213"/>
  <c r="D41" i="213"/>
  <c r="D39" i="213"/>
  <c r="D37" i="213"/>
  <c r="D35" i="213"/>
  <c r="D33" i="213"/>
  <c r="D31" i="213"/>
  <c r="D29" i="213"/>
  <c r="C27" i="213"/>
  <c r="C86" i="213" s="1"/>
  <c r="D25" i="213"/>
  <c r="D23" i="213"/>
  <c r="D21" i="213"/>
  <c r="D85" i="211"/>
  <c r="D83" i="211"/>
  <c r="D81" i="211"/>
  <c r="D79" i="211"/>
  <c r="D77" i="211"/>
  <c r="D75" i="211"/>
  <c r="D73" i="211"/>
  <c r="D71" i="211"/>
  <c r="D69" i="211"/>
  <c r="D67" i="211"/>
  <c r="D65" i="211"/>
  <c r="D63" i="211"/>
  <c r="D61" i="211"/>
  <c r="D59" i="211"/>
  <c r="D57" i="211"/>
  <c r="D55" i="211"/>
  <c r="D53" i="211"/>
  <c r="D51" i="211"/>
  <c r="D49" i="211"/>
  <c r="D47" i="211"/>
  <c r="D45" i="211"/>
  <c r="D43" i="211"/>
  <c r="D41" i="211"/>
  <c r="D39" i="211"/>
  <c r="D37" i="211"/>
  <c r="D35" i="211"/>
  <c r="D33" i="211"/>
  <c r="D31" i="211"/>
  <c r="D29" i="211"/>
  <c r="C27" i="211"/>
  <c r="C86" i="211" s="1"/>
  <c r="D25" i="211"/>
  <c r="D23" i="211"/>
  <c r="D21" i="211"/>
  <c r="D85" i="196"/>
  <c r="D83" i="196"/>
  <c r="D81" i="196"/>
  <c r="D79" i="196"/>
  <c r="D77" i="196"/>
  <c r="D75" i="196"/>
  <c r="D73" i="196"/>
  <c r="D71" i="196"/>
  <c r="D69" i="196"/>
  <c r="D67" i="196"/>
  <c r="D65" i="196"/>
  <c r="D63" i="196"/>
  <c r="D61" i="196"/>
  <c r="D59" i="196"/>
  <c r="D57" i="196"/>
  <c r="D55" i="196"/>
  <c r="D53" i="196"/>
  <c r="D51" i="196"/>
  <c r="D49" i="196"/>
  <c r="D47" i="196"/>
  <c r="D45" i="196"/>
  <c r="D43" i="196"/>
  <c r="D41" i="196"/>
  <c r="D39" i="196"/>
  <c r="D37" i="196"/>
  <c r="D35" i="196"/>
  <c r="D33" i="196"/>
  <c r="D31" i="196"/>
  <c r="D29" i="196"/>
  <c r="C27" i="196"/>
  <c r="C86" i="196" s="1"/>
  <c r="D25" i="196"/>
  <c r="D23" i="196"/>
  <c r="D21" i="196"/>
  <c r="D17" i="196"/>
  <c r="D14" i="196"/>
  <c r="D15" i="208"/>
  <c r="D14" i="208"/>
  <c r="D17" i="208"/>
  <c r="D85" i="220"/>
  <c r="D83" i="220"/>
  <c r="D81" i="220"/>
  <c r="D79" i="220"/>
  <c r="D77" i="220"/>
  <c r="D75" i="220"/>
  <c r="D73" i="220"/>
  <c r="D71" i="220"/>
  <c r="D69" i="220"/>
  <c r="D67" i="220"/>
  <c r="D65" i="220"/>
  <c r="D63" i="220"/>
  <c r="D61" i="220"/>
  <c r="D59" i="220"/>
  <c r="D57" i="220"/>
  <c r="D55" i="220"/>
  <c r="D53" i="220"/>
  <c r="D51" i="220"/>
  <c r="D49" i="220"/>
  <c r="D47" i="220"/>
  <c r="D45" i="220"/>
  <c r="D43" i="220"/>
  <c r="D41" i="220"/>
  <c r="D39" i="220"/>
  <c r="D37" i="220"/>
  <c r="D35" i="220"/>
  <c r="D33" i="220"/>
  <c r="D31" i="220"/>
  <c r="D29" i="220"/>
  <c r="C27" i="220"/>
  <c r="C86" i="220" s="1"/>
  <c r="D25" i="220"/>
  <c r="D23" i="220"/>
  <c r="D21" i="220"/>
  <c r="D85" i="206"/>
  <c r="D83" i="206"/>
  <c r="D81" i="206"/>
  <c r="D79" i="206"/>
  <c r="D77" i="206"/>
  <c r="D75" i="206"/>
  <c r="D73" i="206"/>
  <c r="D71" i="206"/>
  <c r="D69" i="206"/>
  <c r="D67" i="206"/>
  <c r="D65" i="206"/>
  <c r="D63" i="206"/>
  <c r="D61" i="206"/>
  <c r="D59" i="206"/>
  <c r="D57" i="206"/>
  <c r="D55" i="206"/>
  <c r="D53" i="206"/>
  <c r="D51" i="206"/>
  <c r="D49" i="206"/>
  <c r="D47" i="206"/>
  <c r="D45" i="206"/>
  <c r="D43" i="206"/>
  <c r="D41" i="206"/>
  <c r="D39" i="206"/>
  <c r="D37" i="206"/>
  <c r="D35" i="206"/>
  <c r="D33" i="206"/>
  <c r="D31" i="206"/>
  <c r="D29" i="206"/>
  <c r="C27" i="206"/>
  <c r="C86" i="206" s="1"/>
  <c r="C87" i="206" s="1"/>
  <c r="D25" i="206"/>
  <c r="D23" i="206"/>
  <c r="D21" i="206"/>
  <c r="D15" i="205"/>
  <c r="D17" i="205"/>
  <c r="D14" i="205"/>
  <c r="D15" i="204"/>
  <c r="D14" i="204"/>
  <c r="D18" i="189"/>
  <c r="D15" i="189"/>
  <c r="D85" i="217"/>
  <c r="D83" i="217"/>
  <c r="D81" i="217"/>
  <c r="D79" i="217"/>
  <c r="D77" i="217"/>
  <c r="D75" i="217"/>
  <c r="D73" i="217"/>
  <c r="D71" i="217"/>
  <c r="D69" i="217"/>
  <c r="D67" i="217"/>
  <c r="D65" i="217"/>
  <c r="D63" i="217"/>
  <c r="D61" i="217"/>
  <c r="D59" i="217"/>
  <c r="D57" i="217"/>
  <c r="D55" i="217"/>
  <c r="D53" i="217"/>
  <c r="D51" i="217"/>
  <c r="D49" i="217"/>
  <c r="D47" i="217"/>
  <c r="D45" i="217"/>
  <c r="D43" i="217"/>
  <c r="D41" i="217"/>
  <c r="D39" i="217"/>
  <c r="D37" i="217"/>
  <c r="D35" i="217"/>
  <c r="D33" i="217"/>
  <c r="D31" i="217"/>
  <c r="D29" i="217"/>
  <c r="C27" i="217"/>
  <c r="C86" i="217" s="1"/>
  <c r="D25" i="217"/>
  <c r="D23" i="217"/>
  <c r="D21" i="217"/>
  <c r="D85" i="216"/>
  <c r="D83" i="216"/>
  <c r="D81" i="216"/>
  <c r="D79" i="216"/>
  <c r="D77" i="216"/>
  <c r="D75" i="216"/>
  <c r="D73" i="216"/>
  <c r="D71" i="216"/>
  <c r="D69" i="216"/>
  <c r="D67" i="216"/>
  <c r="D65" i="216"/>
  <c r="D63" i="216"/>
  <c r="D61" i="216"/>
  <c r="D59" i="216"/>
  <c r="D57" i="216"/>
  <c r="D55" i="216"/>
  <c r="D53" i="216"/>
  <c r="D51" i="216"/>
  <c r="D49" i="216"/>
  <c r="D47" i="216"/>
  <c r="D45" i="216"/>
  <c r="D43" i="216"/>
  <c r="D41" i="216"/>
  <c r="D39" i="216"/>
  <c r="D37" i="216"/>
  <c r="D35" i="216"/>
  <c r="D33" i="216"/>
  <c r="D31" i="216"/>
  <c r="D29" i="216"/>
  <c r="C27" i="216"/>
  <c r="C86" i="216" s="1"/>
  <c r="D25" i="216"/>
  <c r="D23" i="216"/>
  <c r="D21" i="216"/>
  <c r="D85" i="214"/>
  <c r="D83" i="214"/>
  <c r="D81" i="214"/>
  <c r="D79" i="214"/>
  <c r="D77" i="214"/>
  <c r="D75" i="214"/>
  <c r="D73" i="214"/>
  <c r="D71" i="214"/>
  <c r="D69" i="214"/>
  <c r="D67" i="214"/>
  <c r="D65" i="214"/>
  <c r="D63" i="214"/>
  <c r="D61" i="214"/>
  <c r="D59" i="214"/>
  <c r="D57" i="214"/>
  <c r="D55" i="214"/>
  <c r="D53" i="214"/>
  <c r="D51" i="214"/>
  <c r="D49" i="214"/>
  <c r="D47" i="214"/>
  <c r="D45" i="214"/>
  <c r="D43" i="214"/>
  <c r="D41" i="214"/>
  <c r="D39" i="214"/>
  <c r="D37" i="214"/>
  <c r="D35" i="214"/>
  <c r="D33" i="214"/>
  <c r="D31" i="214"/>
  <c r="D29" i="214"/>
  <c r="C27" i="214"/>
  <c r="C86" i="214" s="1"/>
  <c r="D25" i="214"/>
  <c r="D23" i="214"/>
  <c r="D21" i="214"/>
  <c r="D86" i="212"/>
  <c r="D84" i="212"/>
  <c r="D82" i="212"/>
  <c r="D80" i="212"/>
  <c r="D78" i="212"/>
  <c r="D76" i="212"/>
  <c r="D74" i="212"/>
  <c r="D72" i="212"/>
  <c r="D70" i="212"/>
  <c r="D68" i="212"/>
  <c r="D66" i="212"/>
  <c r="D64" i="212"/>
  <c r="D62" i="212"/>
  <c r="D60" i="212"/>
  <c r="D58" i="212"/>
  <c r="D56" i="212"/>
  <c r="D54" i="212"/>
  <c r="D52" i="212"/>
  <c r="D50" i="212"/>
  <c r="D48" i="212"/>
  <c r="D46" i="212"/>
  <c r="D44" i="212"/>
  <c r="D42" i="212"/>
  <c r="D40" i="212"/>
  <c r="D38" i="212"/>
  <c r="D36" i="212"/>
  <c r="D34" i="212"/>
  <c r="D32" i="212"/>
  <c r="D30" i="212"/>
  <c r="C28" i="212"/>
  <c r="C87" i="212" s="1"/>
  <c r="D26" i="212"/>
  <c r="D24" i="212"/>
  <c r="D22" i="212"/>
  <c r="D85" i="191"/>
  <c r="D83" i="191"/>
  <c r="D81" i="191"/>
  <c r="D79" i="191"/>
  <c r="D77" i="191"/>
  <c r="D75" i="191"/>
  <c r="D73" i="191"/>
  <c r="D71" i="191"/>
  <c r="D69" i="191"/>
  <c r="D67" i="191"/>
  <c r="D65" i="191"/>
  <c r="D63" i="191"/>
  <c r="D61" i="191"/>
  <c r="D59" i="191"/>
  <c r="D57" i="191"/>
  <c r="D55" i="191"/>
  <c r="D53" i="191"/>
  <c r="D51" i="191"/>
  <c r="D49" i="191"/>
  <c r="D47" i="191"/>
  <c r="D45" i="191"/>
  <c r="D43" i="191"/>
  <c r="D41" i="191"/>
  <c r="D39" i="191"/>
  <c r="D37" i="191"/>
  <c r="D35" i="191"/>
  <c r="D33" i="191"/>
  <c r="D31" i="191"/>
  <c r="D29" i="191"/>
  <c r="C27" i="191"/>
  <c r="C86" i="191" s="1"/>
  <c r="D25" i="191"/>
  <c r="D23" i="191"/>
  <c r="D21" i="191"/>
  <c r="D85" i="190"/>
  <c r="D83" i="190"/>
  <c r="D81" i="190"/>
  <c r="D79" i="190"/>
  <c r="D77" i="190"/>
  <c r="D75" i="190"/>
  <c r="D73" i="190"/>
  <c r="D71" i="190"/>
  <c r="D69" i="190"/>
  <c r="D67" i="190"/>
  <c r="D65" i="190"/>
  <c r="D63" i="190"/>
  <c r="D61" i="190"/>
  <c r="D59" i="190"/>
  <c r="D57" i="190"/>
  <c r="D55" i="190"/>
  <c r="D53" i="190"/>
  <c r="D51" i="190"/>
  <c r="D49" i="190"/>
  <c r="D47" i="190"/>
  <c r="D45" i="190"/>
  <c r="D43" i="190"/>
  <c r="D41" i="190"/>
  <c r="D39" i="190"/>
  <c r="D37" i="190"/>
  <c r="D35" i="190"/>
  <c r="D33" i="190"/>
  <c r="D31" i="190"/>
  <c r="D29" i="190"/>
  <c r="C27" i="190"/>
  <c r="C86" i="190" s="1"/>
  <c r="D25" i="190"/>
  <c r="D23" i="190"/>
  <c r="D21" i="190"/>
  <c r="D86" i="188"/>
  <c r="D84" i="188"/>
  <c r="D82" i="188"/>
  <c r="D80" i="188"/>
  <c r="D78" i="188"/>
  <c r="D76" i="188"/>
  <c r="D74" i="188"/>
  <c r="D72" i="188"/>
  <c r="D70" i="188"/>
  <c r="D68" i="188"/>
  <c r="D66" i="188"/>
  <c r="D64" i="188"/>
  <c r="D62" i="188"/>
  <c r="D60" i="188"/>
  <c r="D58" i="188"/>
  <c r="D56" i="188"/>
  <c r="D54" i="188"/>
  <c r="D52" i="188"/>
  <c r="D50" i="188"/>
  <c r="D48" i="188"/>
  <c r="D46" i="188"/>
  <c r="D44" i="188"/>
  <c r="D42" i="188"/>
  <c r="D40" i="188"/>
  <c r="D38" i="188"/>
  <c r="D36" i="188"/>
  <c r="D34" i="188"/>
  <c r="D32" i="188"/>
  <c r="D30" i="188"/>
  <c r="C28" i="188"/>
  <c r="C87" i="188" s="1"/>
  <c r="C88" i="188" s="1"/>
  <c r="D26" i="188"/>
  <c r="D24" i="188"/>
  <c r="D22" i="188"/>
  <c r="D16" i="188"/>
  <c r="D18" i="188"/>
  <c r="D15" i="188"/>
  <c r="D15" i="187"/>
  <c r="D17" i="187"/>
  <c r="D14" i="187"/>
  <c r="D85" i="186"/>
  <c r="D83" i="186"/>
  <c r="D81" i="186"/>
  <c r="D79" i="186"/>
  <c r="D77" i="186"/>
  <c r="D75" i="186"/>
  <c r="D73" i="186"/>
  <c r="D71" i="186"/>
  <c r="D69" i="186"/>
  <c r="D67" i="186"/>
  <c r="D65" i="186"/>
  <c r="D63" i="186"/>
  <c r="D61" i="186"/>
  <c r="D59" i="186"/>
  <c r="D57" i="186"/>
  <c r="D55" i="186"/>
  <c r="D53" i="186"/>
  <c r="D51" i="186"/>
  <c r="D49" i="186"/>
  <c r="D47" i="186"/>
  <c r="D45" i="186"/>
  <c r="D43" i="186"/>
  <c r="D41" i="186"/>
  <c r="D39" i="186"/>
  <c r="D37" i="186"/>
  <c r="D35" i="186"/>
  <c r="D33" i="186"/>
  <c r="D31" i="186"/>
  <c r="D29" i="186"/>
  <c r="C27" i="186"/>
  <c r="C86" i="186" s="1"/>
  <c r="C87" i="186" s="1"/>
  <c r="D25" i="186"/>
  <c r="D23" i="186"/>
  <c r="D21" i="186"/>
  <c r="D17" i="184"/>
  <c r="D14" i="184"/>
  <c r="D87" i="275" l="1"/>
  <c r="C90" i="275" s="1"/>
  <c r="D87" i="277"/>
  <c r="C90" i="277" s="1"/>
  <c r="D87" i="276"/>
  <c r="C90" i="276" s="1"/>
  <c r="D27" i="215"/>
  <c r="D86" i="215" s="1"/>
  <c r="D87" i="215" s="1"/>
  <c r="C90" i="215" s="1"/>
  <c r="D28" i="236"/>
  <c r="D87" i="236" s="1"/>
  <c r="D86" i="235"/>
  <c r="D27" i="235"/>
  <c r="D27" i="234"/>
  <c r="D86" i="234" s="1"/>
  <c r="D27" i="232"/>
  <c r="D86" i="232" s="1"/>
  <c r="D27" i="231"/>
  <c r="D86" i="231" s="1"/>
  <c r="D27" i="230"/>
  <c r="D86" i="230" s="1"/>
  <c r="D27" i="229"/>
  <c r="D86" i="229" s="1"/>
  <c r="D27" i="228"/>
  <c r="D86" i="228" s="1"/>
  <c r="D27" i="227"/>
  <c r="D86" i="227" s="1"/>
  <c r="D27" i="226"/>
  <c r="D86" i="226" s="1"/>
  <c r="D27" i="225"/>
  <c r="D86" i="225" s="1"/>
  <c r="D27" i="224"/>
  <c r="D86" i="224" s="1"/>
  <c r="D28" i="223"/>
  <c r="D87" i="223" s="1"/>
  <c r="D27" i="222"/>
  <c r="D86" i="222" s="1"/>
  <c r="D27" i="221"/>
  <c r="D86" i="221" s="1"/>
  <c r="D27" i="219"/>
  <c r="D86" i="219" s="1"/>
  <c r="D27" i="218"/>
  <c r="D86" i="218" s="1"/>
  <c r="D27" i="213"/>
  <c r="D86" i="213" s="1"/>
  <c r="D27" i="211"/>
  <c r="D86" i="211" s="1"/>
  <c r="D27" i="196"/>
  <c r="D86" i="196" s="1"/>
  <c r="D27" i="220"/>
  <c r="D86" i="220" s="1"/>
  <c r="D27" i="206"/>
  <c r="D86" i="206" s="1"/>
  <c r="D87" i="206" s="1"/>
  <c r="C90" i="206" s="1"/>
  <c r="D27" i="217"/>
  <c r="D86" i="217" s="1"/>
  <c r="D27" i="216"/>
  <c r="D86" i="216" s="1"/>
  <c r="D27" i="214"/>
  <c r="D86" i="214" s="1"/>
  <c r="D28" i="212"/>
  <c r="D87" i="212" s="1"/>
  <c r="D27" i="191"/>
  <c r="D86" i="191" s="1"/>
  <c r="D27" i="190"/>
  <c r="D86" i="190" s="1"/>
  <c r="D28" i="188"/>
  <c r="D87" i="188" s="1"/>
  <c r="D88" i="188" s="1"/>
  <c r="C91" i="188" s="1"/>
  <c r="D27" i="186"/>
  <c r="D86" i="186" s="1"/>
  <c r="D87" i="186" s="1"/>
  <c r="C90" i="186" s="1"/>
  <c r="C87" i="170"/>
  <c r="D87" i="170"/>
  <c r="C18" i="170"/>
  <c r="D18" i="170"/>
  <c r="D17" i="170"/>
  <c r="D14" i="170"/>
  <c r="D85" i="168"/>
  <c r="D83" i="168"/>
  <c r="D81" i="168"/>
  <c r="D79" i="168"/>
  <c r="D77" i="168"/>
  <c r="D75" i="168"/>
  <c r="D73" i="168"/>
  <c r="D71" i="168"/>
  <c r="D69" i="168"/>
  <c r="D67" i="168"/>
  <c r="D65" i="168"/>
  <c r="D63" i="168"/>
  <c r="D61" i="168"/>
  <c r="D59" i="168"/>
  <c r="D57" i="168"/>
  <c r="D55" i="168"/>
  <c r="D53" i="168"/>
  <c r="D51" i="168"/>
  <c r="D49" i="168"/>
  <c r="D47" i="168"/>
  <c r="D45" i="168"/>
  <c r="D43" i="168"/>
  <c r="D41" i="168"/>
  <c r="D39" i="168"/>
  <c r="D37" i="168"/>
  <c r="D35" i="168"/>
  <c r="D33" i="168"/>
  <c r="D31" i="168"/>
  <c r="D29" i="168"/>
  <c r="C27" i="168"/>
  <c r="C86" i="168" s="1"/>
  <c r="C87" i="168" s="1"/>
  <c r="D25" i="168"/>
  <c r="D23" i="168"/>
  <c r="D21" i="168"/>
  <c r="D14" i="90"/>
  <c r="D16" i="90"/>
  <c r="D13" i="90"/>
  <c r="D84" i="90"/>
  <c r="D82" i="90"/>
  <c r="D80" i="90"/>
  <c r="D78" i="90"/>
  <c r="D76" i="90"/>
  <c r="D74" i="90"/>
  <c r="D72" i="90"/>
  <c r="D70" i="90"/>
  <c r="D68" i="90"/>
  <c r="D66" i="90"/>
  <c r="D64" i="90"/>
  <c r="D62" i="90"/>
  <c r="D60" i="90"/>
  <c r="D58" i="90"/>
  <c r="D56" i="90"/>
  <c r="D54" i="90"/>
  <c r="D52" i="90"/>
  <c r="D50" i="90"/>
  <c r="D48" i="90"/>
  <c r="D46" i="90"/>
  <c r="D44" i="90"/>
  <c r="D42" i="90"/>
  <c r="D40" i="90"/>
  <c r="D38" i="90"/>
  <c r="D36" i="90"/>
  <c r="D34" i="90"/>
  <c r="D32" i="90"/>
  <c r="D30" i="90"/>
  <c r="D28" i="90"/>
  <c r="C26" i="90"/>
  <c r="C85" i="90" s="1"/>
  <c r="D24" i="90"/>
  <c r="D22" i="90"/>
  <c r="D20" i="90"/>
  <c r="D17" i="165"/>
  <c r="D15" i="165"/>
  <c r="D14" i="165"/>
  <c r="D15" i="166"/>
  <c r="D17" i="166"/>
  <c r="D14" i="166"/>
  <c r="D15" i="86"/>
  <c r="D17" i="86"/>
  <c r="D14" i="86"/>
  <c r="D15" i="88"/>
  <c r="D17" i="88"/>
  <c r="D14" i="88"/>
  <c r="D84" i="163"/>
  <c r="D82" i="163"/>
  <c r="D80" i="163"/>
  <c r="D78" i="163"/>
  <c r="D76" i="163"/>
  <c r="D74" i="163"/>
  <c r="D72" i="163"/>
  <c r="D70" i="163"/>
  <c r="D68" i="163"/>
  <c r="D66" i="163"/>
  <c r="D64" i="163"/>
  <c r="D62" i="163"/>
  <c r="D60" i="163"/>
  <c r="D58" i="163"/>
  <c r="D56" i="163"/>
  <c r="D54" i="163"/>
  <c r="D52" i="163"/>
  <c r="D50" i="163"/>
  <c r="D48" i="163"/>
  <c r="D46" i="163"/>
  <c r="D44" i="163"/>
  <c r="D42" i="163"/>
  <c r="D40" i="163"/>
  <c r="D38" i="163"/>
  <c r="D36" i="163"/>
  <c r="D34" i="163"/>
  <c r="D32" i="163"/>
  <c r="D30" i="163"/>
  <c r="D28" i="163"/>
  <c r="C26" i="163"/>
  <c r="C85" i="163" s="1"/>
  <c r="D24" i="163"/>
  <c r="D22" i="163"/>
  <c r="D20" i="163"/>
  <c r="D83" i="167"/>
  <c r="D81" i="167"/>
  <c r="D79" i="167"/>
  <c r="D77" i="167"/>
  <c r="D75" i="167"/>
  <c r="D73" i="167"/>
  <c r="D71" i="167"/>
  <c r="D69" i="167"/>
  <c r="D67" i="167"/>
  <c r="D65" i="167"/>
  <c r="D63" i="167"/>
  <c r="D61" i="167"/>
  <c r="D59" i="167"/>
  <c r="D57" i="167"/>
  <c r="D55" i="167"/>
  <c r="D53" i="167"/>
  <c r="D51" i="167"/>
  <c r="D49" i="167"/>
  <c r="D47" i="167"/>
  <c r="D45" i="167"/>
  <c r="D43" i="167"/>
  <c r="D41" i="167"/>
  <c r="D39" i="167"/>
  <c r="D37" i="167"/>
  <c r="D35" i="167"/>
  <c r="D33" i="167"/>
  <c r="D31" i="167"/>
  <c r="D29" i="167"/>
  <c r="D27" i="167"/>
  <c r="C25" i="167"/>
  <c r="C84" i="167" s="1"/>
  <c r="D23" i="167"/>
  <c r="D21" i="167"/>
  <c r="D19" i="167"/>
  <c r="D85" i="88"/>
  <c r="D83" i="88"/>
  <c r="D81" i="88"/>
  <c r="D79" i="88"/>
  <c r="D77" i="88"/>
  <c r="D75" i="88"/>
  <c r="D73" i="88"/>
  <c r="D71" i="88"/>
  <c r="D69" i="88"/>
  <c r="D67" i="88"/>
  <c r="D65" i="88"/>
  <c r="D63" i="88"/>
  <c r="D61" i="88"/>
  <c r="D59" i="88"/>
  <c r="D57" i="88"/>
  <c r="D55" i="88"/>
  <c r="D53" i="88"/>
  <c r="D51" i="88"/>
  <c r="D49" i="88"/>
  <c r="D47" i="88"/>
  <c r="D45" i="88"/>
  <c r="D43" i="88"/>
  <c r="D41" i="88"/>
  <c r="D39" i="88"/>
  <c r="D37" i="88"/>
  <c r="D35" i="88"/>
  <c r="D33" i="88"/>
  <c r="D31" i="88"/>
  <c r="D29" i="88"/>
  <c r="C27" i="88"/>
  <c r="C86" i="88" s="1"/>
  <c r="D25" i="88"/>
  <c r="D23" i="88"/>
  <c r="D21" i="88"/>
  <c r="D86" i="84"/>
  <c r="D84" i="84"/>
  <c r="D82" i="84"/>
  <c r="D80" i="84"/>
  <c r="D78" i="84"/>
  <c r="D76" i="84"/>
  <c r="D74" i="84"/>
  <c r="D72" i="84"/>
  <c r="D70" i="84"/>
  <c r="D68" i="84"/>
  <c r="D66" i="84"/>
  <c r="D64" i="84"/>
  <c r="D62" i="84"/>
  <c r="D60" i="84"/>
  <c r="D58" i="84"/>
  <c r="D56" i="84"/>
  <c r="D54" i="84"/>
  <c r="D52" i="84"/>
  <c r="D50" i="84"/>
  <c r="D48" i="84"/>
  <c r="D46" i="84"/>
  <c r="D44" i="84"/>
  <c r="D42" i="84"/>
  <c r="D40" i="84"/>
  <c r="D38" i="84"/>
  <c r="D36" i="84"/>
  <c r="D34" i="84"/>
  <c r="D32" i="84"/>
  <c r="D30" i="84"/>
  <c r="C28" i="84"/>
  <c r="C87" i="84" s="1"/>
  <c r="C88" i="84" s="1"/>
  <c r="D26" i="84"/>
  <c r="D24" i="84"/>
  <c r="D22" i="84"/>
  <c r="D27" i="168" l="1"/>
  <c r="D86" i="168" s="1"/>
  <c r="D87" i="168" s="1"/>
  <c r="C90" i="168" s="1"/>
  <c r="D26" i="90"/>
  <c r="D85" i="90" s="1"/>
  <c r="D26" i="163"/>
  <c r="D85" i="163" s="1"/>
  <c r="D25" i="167"/>
  <c r="D84" i="167" s="1"/>
  <c r="D27" i="88"/>
  <c r="D86" i="88" s="1"/>
  <c r="D28" i="84"/>
  <c r="D87" i="84" s="1"/>
  <c r="D88" i="84" s="1"/>
  <c r="C91" i="84" s="1"/>
  <c r="D15" i="180"/>
  <c r="D14" i="180"/>
  <c r="D15" i="175"/>
  <c r="D15" i="173"/>
  <c r="D14" i="173"/>
  <c r="C15" i="180"/>
  <c r="C15" i="179"/>
  <c r="D15" i="179" s="1"/>
  <c r="D14" i="179"/>
  <c r="C13" i="203"/>
  <c r="D13" i="203" s="1"/>
  <c r="D12" i="203"/>
  <c r="C15" i="177"/>
  <c r="D15" i="177" s="1"/>
  <c r="D14" i="177"/>
  <c r="C15" i="176"/>
  <c r="D15" i="176" s="1"/>
  <c r="D14" i="176"/>
  <c r="C16" i="175"/>
  <c r="D16" i="175" s="1"/>
  <c r="C16" i="174"/>
  <c r="D16" i="174" s="1"/>
  <c r="D15" i="174"/>
  <c r="C15" i="173"/>
  <c r="D17" i="82" l="1"/>
  <c r="D14" i="82"/>
  <c r="D18" i="183"/>
  <c r="D15" i="183"/>
  <c r="D85" i="207"/>
  <c r="D83" i="207"/>
  <c r="D81" i="207"/>
  <c r="D79" i="207"/>
  <c r="D77" i="207"/>
  <c r="D75" i="207"/>
  <c r="D73" i="207"/>
  <c r="D71" i="207"/>
  <c r="D69" i="207"/>
  <c r="D67" i="207"/>
  <c r="D65" i="207"/>
  <c r="D63" i="207"/>
  <c r="D61" i="207"/>
  <c r="D59" i="207"/>
  <c r="D57" i="207"/>
  <c r="D55" i="207"/>
  <c r="D53" i="207"/>
  <c r="D51" i="207"/>
  <c r="D49" i="207"/>
  <c r="D47" i="207"/>
  <c r="D45" i="207"/>
  <c r="D43" i="207"/>
  <c r="D41" i="207"/>
  <c r="D39" i="207"/>
  <c r="D37" i="207"/>
  <c r="D35" i="207"/>
  <c r="D33" i="207"/>
  <c r="D31" i="207"/>
  <c r="D29" i="207"/>
  <c r="C27" i="207"/>
  <c r="C86" i="207" s="1"/>
  <c r="D25" i="207"/>
  <c r="D23" i="207"/>
  <c r="D21" i="207"/>
  <c r="D85" i="208"/>
  <c r="D83" i="208"/>
  <c r="D81" i="208"/>
  <c r="D79" i="208"/>
  <c r="D77" i="208"/>
  <c r="D75" i="208"/>
  <c r="D73" i="208"/>
  <c r="D71" i="208"/>
  <c r="D69" i="208"/>
  <c r="D67" i="208"/>
  <c r="D65" i="208"/>
  <c r="D63" i="208"/>
  <c r="D61" i="208"/>
  <c r="D59" i="208"/>
  <c r="D57" i="208"/>
  <c r="D55" i="208"/>
  <c r="D53" i="208"/>
  <c r="D51" i="208"/>
  <c r="D49" i="208"/>
  <c r="D47" i="208"/>
  <c r="D45" i="208"/>
  <c r="D43" i="208"/>
  <c r="D41" i="208"/>
  <c r="D39" i="208"/>
  <c r="D37" i="208"/>
  <c r="D35" i="208"/>
  <c r="D33" i="208"/>
  <c r="D31" i="208"/>
  <c r="D29" i="208"/>
  <c r="C27" i="208"/>
  <c r="C86" i="208" s="1"/>
  <c r="D25" i="208"/>
  <c r="D23" i="208"/>
  <c r="D21" i="208"/>
  <c r="D85" i="205"/>
  <c r="D83" i="205"/>
  <c r="D81" i="205"/>
  <c r="D79" i="205"/>
  <c r="D77" i="205"/>
  <c r="D75" i="205"/>
  <c r="D73" i="205"/>
  <c r="D71" i="205"/>
  <c r="D69" i="205"/>
  <c r="D67" i="205"/>
  <c r="D65" i="205"/>
  <c r="D63" i="205"/>
  <c r="D61" i="205"/>
  <c r="D59" i="205"/>
  <c r="D57" i="205"/>
  <c r="D55" i="205"/>
  <c r="D53" i="205"/>
  <c r="D51" i="205"/>
  <c r="D49" i="205"/>
  <c r="D47" i="205"/>
  <c r="D45" i="205"/>
  <c r="D43" i="205"/>
  <c r="D41" i="205"/>
  <c r="D39" i="205"/>
  <c r="D37" i="205"/>
  <c r="D35" i="205"/>
  <c r="D33" i="205"/>
  <c r="D31" i="205"/>
  <c r="D29" i="205"/>
  <c r="C27" i="205"/>
  <c r="C86" i="205" s="1"/>
  <c r="D25" i="205"/>
  <c r="D23" i="205"/>
  <c r="D21" i="205"/>
  <c r="D85" i="204"/>
  <c r="D83" i="204"/>
  <c r="D81" i="204"/>
  <c r="D79" i="204"/>
  <c r="D77" i="204"/>
  <c r="D75" i="204"/>
  <c r="D73" i="204"/>
  <c r="D71" i="204"/>
  <c r="D69" i="204"/>
  <c r="D67" i="204"/>
  <c r="D65" i="204"/>
  <c r="D63" i="204"/>
  <c r="D61" i="204"/>
  <c r="D59" i="204"/>
  <c r="D57" i="204"/>
  <c r="D55" i="204"/>
  <c r="D53" i="204"/>
  <c r="D51" i="204"/>
  <c r="D49" i="204"/>
  <c r="D47" i="204"/>
  <c r="D45" i="204"/>
  <c r="D43" i="204"/>
  <c r="D41" i="204"/>
  <c r="D39" i="204"/>
  <c r="D37" i="204"/>
  <c r="D35" i="204"/>
  <c r="D33" i="204"/>
  <c r="D31" i="204"/>
  <c r="D29" i="204"/>
  <c r="C27" i="204"/>
  <c r="C86" i="204" s="1"/>
  <c r="D25" i="204"/>
  <c r="D23" i="204"/>
  <c r="D21" i="204"/>
  <c r="D86" i="189"/>
  <c r="D84" i="189"/>
  <c r="D82" i="189"/>
  <c r="D80" i="189"/>
  <c r="D78" i="189"/>
  <c r="D76" i="189"/>
  <c r="D74" i="189"/>
  <c r="D72" i="189"/>
  <c r="D70" i="189"/>
  <c r="D68" i="189"/>
  <c r="D66" i="189"/>
  <c r="D64" i="189"/>
  <c r="D62" i="189"/>
  <c r="D60" i="189"/>
  <c r="D58" i="189"/>
  <c r="D56" i="189"/>
  <c r="D54" i="189"/>
  <c r="D52" i="189"/>
  <c r="D50" i="189"/>
  <c r="D48" i="189"/>
  <c r="D46" i="189"/>
  <c r="D44" i="189"/>
  <c r="D42" i="189"/>
  <c r="D40" i="189"/>
  <c r="D38" i="189"/>
  <c r="D36" i="189"/>
  <c r="D34" i="189"/>
  <c r="D32" i="189"/>
  <c r="D30" i="189"/>
  <c r="C28" i="189"/>
  <c r="C87" i="189" s="1"/>
  <c r="D26" i="189"/>
  <c r="D24" i="189"/>
  <c r="D22" i="189"/>
  <c r="D85" i="187"/>
  <c r="D83" i="187"/>
  <c r="D81" i="187"/>
  <c r="D79" i="187"/>
  <c r="D77" i="187"/>
  <c r="D75" i="187"/>
  <c r="D73" i="187"/>
  <c r="D71" i="187"/>
  <c r="D69" i="187"/>
  <c r="D67" i="187"/>
  <c r="D65" i="187"/>
  <c r="D63" i="187"/>
  <c r="D61" i="187"/>
  <c r="D59" i="187"/>
  <c r="D57" i="187"/>
  <c r="D55" i="187"/>
  <c r="D53" i="187"/>
  <c r="D51" i="187"/>
  <c r="D49" i="187"/>
  <c r="D47" i="187"/>
  <c r="D45" i="187"/>
  <c r="D43" i="187"/>
  <c r="D41" i="187"/>
  <c r="D39" i="187"/>
  <c r="D37" i="187"/>
  <c r="D35" i="187"/>
  <c r="D33" i="187"/>
  <c r="D31" i="187"/>
  <c r="D29" i="187"/>
  <c r="C27" i="187"/>
  <c r="C86" i="187" s="1"/>
  <c r="D25" i="187"/>
  <c r="D23" i="187"/>
  <c r="D21" i="187"/>
  <c r="D85" i="184"/>
  <c r="D83" i="184"/>
  <c r="D81" i="184"/>
  <c r="D79" i="184"/>
  <c r="D77" i="184"/>
  <c r="D75" i="184"/>
  <c r="D73" i="184"/>
  <c r="D71" i="184"/>
  <c r="D69" i="184"/>
  <c r="D67" i="184"/>
  <c r="D65" i="184"/>
  <c r="D63" i="184"/>
  <c r="D61" i="184"/>
  <c r="D59" i="184"/>
  <c r="D57" i="184"/>
  <c r="D55" i="184"/>
  <c r="D53" i="184"/>
  <c r="D51" i="184"/>
  <c r="D49" i="184"/>
  <c r="D47" i="184"/>
  <c r="D45" i="184"/>
  <c r="D43" i="184"/>
  <c r="D41" i="184"/>
  <c r="D39" i="184"/>
  <c r="D37" i="184"/>
  <c r="D35" i="184"/>
  <c r="D33" i="184"/>
  <c r="D31" i="184"/>
  <c r="D29" i="184"/>
  <c r="C27" i="184"/>
  <c r="C86" i="184" s="1"/>
  <c r="D25" i="184"/>
  <c r="D23" i="184"/>
  <c r="D21" i="184"/>
  <c r="D85" i="170"/>
  <c r="D83" i="170"/>
  <c r="D81" i="170"/>
  <c r="D79" i="170"/>
  <c r="D77" i="170"/>
  <c r="D75" i="170"/>
  <c r="D73" i="170"/>
  <c r="D71" i="170"/>
  <c r="D69" i="170"/>
  <c r="D67" i="170"/>
  <c r="D65" i="170"/>
  <c r="D63" i="170"/>
  <c r="D61" i="170"/>
  <c r="D59" i="170"/>
  <c r="D57" i="170"/>
  <c r="D55" i="170"/>
  <c r="D53" i="170"/>
  <c r="D51" i="170"/>
  <c r="D49" i="170"/>
  <c r="D47" i="170"/>
  <c r="D45" i="170"/>
  <c r="D43" i="170"/>
  <c r="D41" i="170"/>
  <c r="D39" i="170"/>
  <c r="D37" i="170"/>
  <c r="D35" i="170"/>
  <c r="D33" i="170"/>
  <c r="D31" i="170"/>
  <c r="D29" i="170"/>
  <c r="C27" i="170"/>
  <c r="C86" i="170" s="1"/>
  <c r="D25" i="170"/>
  <c r="D23" i="170"/>
  <c r="D21" i="170"/>
  <c r="D85" i="169"/>
  <c r="D83" i="169"/>
  <c r="D81" i="169"/>
  <c r="D79" i="169"/>
  <c r="D77" i="169"/>
  <c r="D75" i="169"/>
  <c r="D73" i="169"/>
  <c r="D71" i="169"/>
  <c r="D69" i="169"/>
  <c r="D67" i="169"/>
  <c r="D65" i="169"/>
  <c r="D63" i="169"/>
  <c r="D61" i="169"/>
  <c r="D59" i="169"/>
  <c r="D57" i="169"/>
  <c r="D55" i="169"/>
  <c r="D53" i="169"/>
  <c r="D51" i="169"/>
  <c r="D49" i="169"/>
  <c r="D47" i="169"/>
  <c r="D45" i="169"/>
  <c r="D43" i="169"/>
  <c r="D41" i="169"/>
  <c r="D39" i="169"/>
  <c r="D37" i="169"/>
  <c r="D35" i="169"/>
  <c r="D33" i="169"/>
  <c r="D31" i="169"/>
  <c r="D29" i="169"/>
  <c r="C27" i="169"/>
  <c r="C86" i="169" s="1"/>
  <c r="D25" i="169"/>
  <c r="D23" i="169"/>
  <c r="D21" i="169"/>
  <c r="D85" i="165"/>
  <c r="D83" i="165"/>
  <c r="D81" i="165"/>
  <c r="D79" i="165"/>
  <c r="D77" i="165"/>
  <c r="D75" i="165"/>
  <c r="D73" i="165"/>
  <c r="D71" i="165"/>
  <c r="D69" i="165"/>
  <c r="D67" i="165"/>
  <c r="D65" i="165"/>
  <c r="D63" i="165"/>
  <c r="D61" i="165"/>
  <c r="D59" i="165"/>
  <c r="D57" i="165"/>
  <c r="D55" i="165"/>
  <c r="D53" i="165"/>
  <c r="D51" i="165"/>
  <c r="D49" i="165"/>
  <c r="D47" i="165"/>
  <c r="D45" i="165"/>
  <c r="D43" i="165"/>
  <c r="D41" i="165"/>
  <c r="D39" i="165"/>
  <c r="D37" i="165"/>
  <c r="D35" i="165"/>
  <c r="D33" i="165"/>
  <c r="D31" i="165"/>
  <c r="D29" i="165"/>
  <c r="C27" i="165"/>
  <c r="C86" i="165" s="1"/>
  <c r="D25" i="165"/>
  <c r="D23" i="165"/>
  <c r="D21" i="165"/>
  <c r="D85" i="166"/>
  <c r="D83" i="166"/>
  <c r="D81" i="166"/>
  <c r="D79" i="166"/>
  <c r="D77" i="166"/>
  <c r="D75" i="166"/>
  <c r="D73" i="166"/>
  <c r="D71" i="166"/>
  <c r="D69" i="166"/>
  <c r="D67" i="166"/>
  <c r="D65" i="166"/>
  <c r="D63" i="166"/>
  <c r="D61" i="166"/>
  <c r="D59" i="166"/>
  <c r="D57" i="166"/>
  <c r="D55" i="166"/>
  <c r="D53" i="166"/>
  <c r="D51" i="166"/>
  <c r="D49" i="166"/>
  <c r="D47" i="166"/>
  <c r="D45" i="166"/>
  <c r="D43" i="166"/>
  <c r="D41" i="166"/>
  <c r="D39" i="166"/>
  <c r="D37" i="166"/>
  <c r="D35" i="166"/>
  <c r="D33" i="166"/>
  <c r="D31" i="166"/>
  <c r="D29" i="166"/>
  <c r="C27" i="166"/>
  <c r="C86" i="166" s="1"/>
  <c r="D25" i="166"/>
  <c r="D23" i="166"/>
  <c r="D21" i="166"/>
  <c r="D84" i="164"/>
  <c r="D82" i="164"/>
  <c r="D80" i="164"/>
  <c r="D78" i="164"/>
  <c r="D76" i="164"/>
  <c r="D74" i="164"/>
  <c r="D72" i="164"/>
  <c r="D70" i="164"/>
  <c r="D68" i="164"/>
  <c r="D66" i="164"/>
  <c r="D64" i="164"/>
  <c r="D62" i="164"/>
  <c r="D60" i="164"/>
  <c r="D58" i="164"/>
  <c r="D56" i="164"/>
  <c r="D54" i="164"/>
  <c r="D52" i="164"/>
  <c r="D50" i="164"/>
  <c r="D48" i="164"/>
  <c r="D46" i="164"/>
  <c r="D44" i="164"/>
  <c r="D42" i="164"/>
  <c r="D40" i="164"/>
  <c r="D38" i="164"/>
  <c r="D36" i="164"/>
  <c r="D34" i="164"/>
  <c r="D32" i="164"/>
  <c r="D30" i="164"/>
  <c r="D28" i="164"/>
  <c r="C26" i="164"/>
  <c r="C85" i="164" s="1"/>
  <c r="D24" i="164"/>
  <c r="D22" i="164"/>
  <c r="D20" i="164"/>
  <c r="D85" i="86"/>
  <c r="D83" i="86"/>
  <c r="D81" i="86"/>
  <c r="D79" i="86"/>
  <c r="D77" i="86"/>
  <c r="D75" i="86"/>
  <c r="D73" i="86"/>
  <c r="D71" i="86"/>
  <c r="D69" i="86"/>
  <c r="D67" i="86"/>
  <c r="D65" i="86"/>
  <c r="D63" i="86"/>
  <c r="D61" i="86"/>
  <c r="D59" i="86"/>
  <c r="D57" i="86"/>
  <c r="D55" i="86"/>
  <c r="D53" i="86"/>
  <c r="D51" i="86"/>
  <c r="D49" i="86"/>
  <c r="D47" i="86"/>
  <c r="D45" i="86"/>
  <c r="D43" i="86"/>
  <c r="D41" i="86"/>
  <c r="D39" i="86"/>
  <c r="D37" i="86"/>
  <c r="D35" i="86"/>
  <c r="D33" i="86"/>
  <c r="D31" i="86"/>
  <c r="D29" i="86"/>
  <c r="C27" i="86"/>
  <c r="C86" i="86" s="1"/>
  <c r="D25" i="86"/>
  <c r="D23" i="86"/>
  <c r="D21" i="86"/>
  <c r="D85" i="82"/>
  <c r="D83" i="82"/>
  <c r="D81" i="82"/>
  <c r="D79" i="82"/>
  <c r="D77" i="82"/>
  <c r="D75" i="82"/>
  <c r="D73" i="82"/>
  <c r="D71" i="82"/>
  <c r="D69" i="82"/>
  <c r="D67" i="82"/>
  <c r="D65" i="82"/>
  <c r="D63" i="82"/>
  <c r="D61" i="82"/>
  <c r="D59" i="82"/>
  <c r="D57" i="82"/>
  <c r="D55" i="82"/>
  <c r="D53" i="82"/>
  <c r="D51" i="82"/>
  <c r="D49" i="82"/>
  <c r="D47" i="82"/>
  <c r="D45" i="82"/>
  <c r="D43" i="82"/>
  <c r="D41" i="82"/>
  <c r="D39" i="82"/>
  <c r="D37" i="82"/>
  <c r="D35" i="82"/>
  <c r="D33" i="82"/>
  <c r="D31" i="82"/>
  <c r="D29" i="82"/>
  <c r="C27" i="82"/>
  <c r="C86" i="82" s="1"/>
  <c r="D25" i="82"/>
  <c r="D23" i="82"/>
  <c r="D21" i="82"/>
  <c r="D86" i="183"/>
  <c r="D84" i="183"/>
  <c r="D82" i="183"/>
  <c r="D80" i="183"/>
  <c r="D78" i="183"/>
  <c r="D76" i="183"/>
  <c r="D74" i="183"/>
  <c r="D72" i="183"/>
  <c r="D70" i="183"/>
  <c r="D68" i="183"/>
  <c r="D66" i="183"/>
  <c r="D64" i="183"/>
  <c r="D62" i="183"/>
  <c r="D60" i="183"/>
  <c r="D58" i="183"/>
  <c r="D56" i="183"/>
  <c r="D54" i="183"/>
  <c r="D52" i="183"/>
  <c r="D50" i="183"/>
  <c r="D48" i="183"/>
  <c r="D46" i="183"/>
  <c r="D44" i="183"/>
  <c r="D42" i="183"/>
  <c r="D40" i="183"/>
  <c r="D38" i="183"/>
  <c r="D36" i="183"/>
  <c r="D34" i="183"/>
  <c r="D32" i="183"/>
  <c r="D30" i="183"/>
  <c r="C28" i="183"/>
  <c r="C87" i="183" s="1"/>
  <c r="D26" i="183"/>
  <c r="D24" i="183"/>
  <c r="D22" i="183"/>
  <c r="D85" i="182"/>
  <c r="D83" i="182"/>
  <c r="D81" i="182"/>
  <c r="D79" i="182"/>
  <c r="D77" i="182"/>
  <c r="D75" i="182"/>
  <c r="D73" i="182"/>
  <c r="D71" i="182"/>
  <c r="D69" i="182"/>
  <c r="D67" i="182"/>
  <c r="D65" i="182"/>
  <c r="D63" i="182"/>
  <c r="D61" i="182"/>
  <c r="D59" i="182"/>
  <c r="D57" i="182"/>
  <c r="D55" i="182"/>
  <c r="D53" i="182"/>
  <c r="D51" i="182"/>
  <c r="D49" i="182"/>
  <c r="D47" i="182"/>
  <c r="D45" i="182"/>
  <c r="D43" i="182"/>
  <c r="D41" i="182"/>
  <c r="D39" i="182"/>
  <c r="D37" i="182"/>
  <c r="D35" i="182"/>
  <c r="D33" i="182"/>
  <c r="D31" i="182"/>
  <c r="D29" i="182"/>
  <c r="C27" i="182"/>
  <c r="C86" i="182" s="1"/>
  <c r="D25" i="182"/>
  <c r="D23" i="182"/>
  <c r="D21" i="182"/>
  <c r="D79" i="181"/>
  <c r="D23" i="181"/>
  <c r="D25" i="181"/>
  <c r="D27" i="181"/>
  <c r="D29" i="181"/>
  <c r="D31" i="181"/>
  <c r="D33" i="181"/>
  <c r="D35" i="181"/>
  <c r="D37" i="181"/>
  <c r="D39" i="181"/>
  <c r="D41" i="181"/>
  <c r="D43" i="181"/>
  <c r="D45" i="181"/>
  <c r="D47" i="181"/>
  <c r="D49" i="181"/>
  <c r="D51" i="181"/>
  <c r="D53" i="181"/>
  <c r="D55" i="181"/>
  <c r="D57" i="181"/>
  <c r="D59" i="181"/>
  <c r="D61" i="181"/>
  <c r="D63" i="181"/>
  <c r="D65" i="181"/>
  <c r="D67" i="181"/>
  <c r="D69" i="181"/>
  <c r="D71" i="181"/>
  <c r="D73" i="181"/>
  <c r="D75" i="181"/>
  <c r="D77" i="181"/>
  <c r="D81" i="181"/>
  <c r="D83" i="181"/>
  <c r="D85" i="181"/>
  <c r="D21" i="181"/>
  <c r="C27" i="181"/>
  <c r="C86" i="181" s="1"/>
  <c r="D85" i="180"/>
  <c r="D83" i="180"/>
  <c r="D81" i="180"/>
  <c r="D79" i="180"/>
  <c r="D77" i="180"/>
  <c r="D75" i="180"/>
  <c r="D73" i="180"/>
  <c r="D71" i="180"/>
  <c r="D69" i="180"/>
  <c r="D67" i="180"/>
  <c r="D65" i="180"/>
  <c r="D63" i="180"/>
  <c r="D61" i="180"/>
  <c r="D59" i="180"/>
  <c r="D57" i="180"/>
  <c r="D55" i="180"/>
  <c r="D53" i="180"/>
  <c r="D51" i="180"/>
  <c r="D49" i="180"/>
  <c r="D47" i="180"/>
  <c r="D45" i="180"/>
  <c r="D43" i="180"/>
  <c r="D41" i="180"/>
  <c r="D39" i="180"/>
  <c r="D37" i="180"/>
  <c r="D35" i="180"/>
  <c r="D33" i="180"/>
  <c r="D31" i="180"/>
  <c r="D29" i="180"/>
  <c r="C27" i="180"/>
  <c r="C86" i="180" s="1"/>
  <c r="D25" i="180"/>
  <c r="D23" i="180"/>
  <c r="D21" i="180"/>
  <c r="D17" i="180"/>
  <c r="D18" i="175"/>
  <c r="D86" i="174"/>
  <c r="D84" i="174"/>
  <c r="D82" i="174"/>
  <c r="D80" i="174"/>
  <c r="D78" i="174"/>
  <c r="D76" i="174"/>
  <c r="D74" i="174"/>
  <c r="D72" i="174"/>
  <c r="D70" i="174"/>
  <c r="D68" i="174"/>
  <c r="D66" i="174"/>
  <c r="D64" i="174"/>
  <c r="D62" i="174"/>
  <c r="D60" i="174"/>
  <c r="D58" i="174"/>
  <c r="D56" i="174"/>
  <c r="D54" i="174"/>
  <c r="D53" i="174"/>
  <c r="D52" i="174"/>
  <c r="D50" i="174"/>
  <c r="D48" i="174"/>
  <c r="D46" i="174"/>
  <c r="D44" i="174"/>
  <c r="D42" i="174"/>
  <c r="D40" i="174"/>
  <c r="D38" i="174"/>
  <c r="D36" i="174"/>
  <c r="D34" i="174"/>
  <c r="D32" i="174"/>
  <c r="D30" i="174"/>
  <c r="D28" i="174"/>
  <c r="C28" i="174"/>
  <c r="C87" i="174" s="1"/>
  <c r="D26" i="174"/>
  <c r="D24" i="174"/>
  <c r="D22" i="174"/>
  <c r="D87" i="174" s="1"/>
  <c r="D18" i="174"/>
  <c r="D17" i="173"/>
  <c r="D17" i="171"/>
  <c r="D14" i="171"/>
  <c r="D86" i="175"/>
  <c r="D84" i="175"/>
  <c r="D82" i="175"/>
  <c r="D80" i="175"/>
  <c r="D78" i="175"/>
  <c r="D76" i="175"/>
  <c r="D74" i="175"/>
  <c r="D72" i="175"/>
  <c r="D70" i="175"/>
  <c r="D68" i="175"/>
  <c r="D66" i="175"/>
  <c r="D64" i="175"/>
  <c r="D62" i="175"/>
  <c r="D60" i="175"/>
  <c r="D58" i="175"/>
  <c r="D56" i="175"/>
  <c r="D54" i="175"/>
  <c r="D52" i="175"/>
  <c r="D50" i="175"/>
  <c r="D48" i="175"/>
  <c r="D46" i="175"/>
  <c r="D44" i="175"/>
  <c r="D42" i="175"/>
  <c r="D40" i="175"/>
  <c r="D38" i="175"/>
  <c r="D36" i="175"/>
  <c r="D34" i="175"/>
  <c r="D32" i="175"/>
  <c r="D30" i="175"/>
  <c r="C28" i="175"/>
  <c r="C87" i="175" s="1"/>
  <c r="D26" i="175"/>
  <c r="D24" i="175"/>
  <c r="D22" i="175"/>
  <c r="D85" i="173"/>
  <c r="D83" i="173"/>
  <c r="D81" i="173"/>
  <c r="D79" i="173"/>
  <c r="D77" i="173"/>
  <c r="D75" i="173"/>
  <c r="D73" i="173"/>
  <c r="D71" i="173"/>
  <c r="D69" i="173"/>
  <c r="D67" i="173"/>
  <c r="D65" i="173"/>
  <c r="D63" i="173"/>
  <c r="D61" i="173"/>
  <c r="D59" i="173"/>
  <c r="D57" i="173"/>
  <c r="D55" i="173"/>
  <c r="D53" i="173"/>
  <c r="D51" i="173"/>
  <c r="D49" i="173"/>
  <c r="D47" i="173"/>
  <c r="D45" i="173"/>
  <c r="D43" i="173"/>
  <c r="D41" i="173"/>
  <c r="D39" i="173"/>
  <c r="D37" i="173"/>
  <c r="D35" i="173"/>
  <c r="D33" i="173"/>
  <c r="D31" i="173"/>
  <c r="D29" i="173"/>
  <c r="C27" i="173"/>
  <c r="C86" i="173" s="1"/>
  <c r="D25" i="173"/>
  <c r="D23" i="173"/>
  <c r="D21" i="173"/>
  <c r="D85" i="171"/>
  <c r="D83" i="171"/>
  <c r="D81" i="171"/>
  <c r="D79" i="171"/>
  <c r="D77" i="171"/>
  <c r="D75" i="171"/>
  <c r="D73" i="171"/>
  <c r="D71" i="171"/>
  <c r="D69" i="171"/>
  <c r="D67" i="171"/>
  <c r="D65" i="171"/>
  <c r="D63" i="171"/>
  <c r="D61" i="171"/>
  <c r="D59" i="171"/>
  <c r="D57" i="171"/>
  <c r="D55" i="171"/>
  <c r="D53" i="171"/>
  <c r="D51" i="171"/>
  <c r="D49" i="171"/>
  <c r="D47" i="171"/>
  <c r="D45" i="171"/>
  <c r="D43" i="171"/>
  <c r="D41" i="171"/>
  <c r="D39" i="171"/>
  <c r="D37" i="171"/>
  <c r="D35" i="171"/>
  <c r="D33" i="171"/>
  <c r="D31" i="171"/>
  <c r="D29" i="171"/>
  <c r="C27" i="171"/>
  <c r="C86" i="171" s="1"/>
  <c r="D25" i="171"/>
  <c r="D23" i="171"/>
  <c r="D21" i="171"/>
  <c r="D15" i="80"/>
  <c r="D17" i="80"/>
  <c r="D14" i="80"/>
  <c r="D85" i="80"/>
  <c r="D83" i="80"/>
  <c r="D81" i="80"/>
  <c r="D79" i="80"/>
  <c r="D77" i="80"/>
  <c r="D75" i="80"/>
  <c r="D73" i="80"/>
  <c r="D71" i="80"/>
  <c r="D69" i="80"/>
  <c r="D67" i="80"/>
  <c r="D65" i="80"/>
  <c r="D63" i="80"/>
  <c r="D61" i="80"/>
  <c r="D59" i="80"/>
  <c r="D57" i="80"/>
  <c r="D55" i="80"/>
  <c r="D53" i="80"/>
  <c r="D51" i="80"/>
  <c r="D49" i="80"/>
  <c r="D47" i="80"/>
  <c r="D45" i="80"/>
  <c r="D43" i="80"/>
  <c r="D41" i="80"/>
  <c r="D39" i="80"/>
  <c r="D37" i="80"/>
  <c r="D35" i="80"/>
  <c r="D33" i="80"/>
  <c r="D31" i="80"/>
  <c r="D29" i="80"/>
  <c r="C27" i="80"/>
  <c r="C86" i="80" s="1"/>
  <c r="D25" i="80"/>
  <c r="D23" i="80"/>
  <c r="D21" i="80"/>
  <c r="D86" i="76"/>
  <c r="D84" i="76"/>
  <c r="D82" i="76"/>
  <c r="D80" i="76"/>
  <c r="D78" i="76"/>
  <c r="D76" i="76"/>
  <c r="D74" i="76"/>
  <c r="D72" i="76"/>
  <c r="D70" i="76"/>
  <c r="D68" i="76"/>
  <c r="D66" i="76"/>
  <c r="D64" i="76"/>
  <c r="D62" i="76"/>
  <c r="D60" i="76"/>
  <c r="D58" i="76"/>
  <c r="D56" i="76"/>
  <c r="D54" i="76"/>
  <c r="D52" i="76"/>
  <c r="D50" i="76"/>
  <c r="D48" i="76"/>
  <c r="D46" i="76"/>
  <c r="D44" i="76"/>
  <c r="D42" i="76"/>
  <c r="D40" i="76"/>
  <c r="D38" i="76"/>
  <c r="D36" i="76"/>
  <c r="D34" i="76"/>
  <c r="D32" i="76"/>
  <c r="D30" i="76"/>
  <c r="C28" i="76"/>
  <c r="C87" i="76" s="1"/>
  <c r="D26" i="76"/>
  <c r="D24" i="76"/>
  <c r="D22" i="76"/>
  <c r="D23" i="70"/>
  <c r="D25" i="70"/>
  <c r="D27" i="70"/>
  <c r="D29" i="70"/>
  <c r="D31" i="70"/>
  <c r="D33" i="70"/>
  <c r="D35" i="70"/>
  <c r="D37" i="70"/>
  <c r="D39" i="70"/>
  <c r="D41" i="70"/>
  <c r="D43" i="70"/>
  <c r="D45" i="70"/>
  <c r="D47" i="70"/>
  <c r="D49" i="70"/>
  <c r="D51" i="70"/>
  <c r="D53" i="70"/>
  <c r="D55" i="70"/>
  <c r="D57" i="70"/>
  <c r="D59" i="70"/>
  <c r="D61" i="70"/>
  <c r="D63" i="70"/>
  <c r="D65" i="70"/>
  <c r="D67" i="70"/>
  <c r="D69" i="70"/>
  <c r="D71" i="70"/>
  <c r="D73" i="70"/>
  <c r="D75" i="70"/>
  <c r="D77" i="70"/>
  <c r="D79" i="70"/>
  <c r="D81" i="70"/>
  <c r="D83" i="70"/>
  <c r="D85" i="70"/>
  <c r="D21" i="70"/>
  <c r="C27" i="70"/>
  <c r="C86" i="70" s="1"/>
  <c r="D85" i="60"/>
  <c r="D83" i="60"/>
  <c r="D81" i="60"/>
  <c r="D79" i="60"/>
  <c r="D77" i="60"/>
  <c r="D75" i="60"/>
  <c r="D73" i="60"/>
  <c r="D71" i="60"/>
  <c r="D69" i="60"/>
  <c r="D67" i="60"/>
  <c r="D65" i="60"/>
  <c r="D63" i="60"/>
  <c r="D61" i="60"/>
  <c r="D59" i="60"/>
  <c r="D57" i="60"/>
  <c r="D55" i="60"/>
  <c r="D53" i="60"/>
  <c r="D51" i="60"/>
  <c r="D49" i="60"/>
  <c r="D47" i="60"/>
  <c r="D45" i="60"/>
  <c r="D43" i="60"/>
  <c r="D41" i="60"/>
  <c r="D39" i="60"/>
  <c r="D37" i="60"/>
  <c r="D35" i="60"/>
  <c r="D33" i="60"/>
  <c r="D31" i="60"/>
  <c r="D29" i="60"/>
  <c r="C27" i="60"/>
  <c r="C86" i="60" s="1"/>
  <c r="C87" i="60" s="1"/>
  <c r="D25" i="60"/>
  <c r="D23" i="60"/>
  <c r="D21" i="60"/>
  <c r="D85" i="56"/>
  <c r="D83" i="56"/>
  <c r="D81" i="56"/>
  <c r="D79" i="56"/>
  <c r="D77" i="56"/>
  <c r="D75" i="56"/>
  <c r="D73" i="56"/>
  <c r="D71" i="56"/>
  <c r="D69" i="56"/>
  <c r="D67" i="56"/>
  <c r="D65" i="56"/>
  <c r="D63" i="56"/>
  <c r="D61" i="56"/>
  <c r="D59" i="56"/>
  <c r="D57" i="56"/>
  <c r="D55" i="56"/>
  <c r="D53" i="56"/>
  <c r="D51" i="56"/>
  <c r="D49" i="56"/>
  <c r="D47" i="56"/>
  <c r="D45" i="56"/>
  <c r="D43" i="56"/>
  <c r="D41" i="56"/>
  <c r="D39" i="56"/>
  <c r="D37" i="56"/>
  <c r="D35" i="56"/>
  <c r="D33" i="56"/>
  <c r="D31" i="56"/>
  <c r="D29" i="56"/>
  <c r="C27" i="56"/>
  <c r="C86" i="56" s="1"/>
  <c r="C87" i="56" s="1"/>
  <c r="D25" i="56"/>
  <c r="D23" i="56"/>
  <c r="D21" i="56"/>
  <c r="D17" i="56"/>
  <c r="D14" i="56"/>
  <c r="D15" i="52"/>
  <c r="D17" i="52"/>
  <c r="D14" i="52"/>
  <c r="D85" i="52"/>
  <c r="D83" i="52"/>
  <c r="D81" i="52"/>
  <c r="D79" i="52"/>
  <c r="D77" i="52"/>
  <c r="D75" i="52"/>
  <c r="D73" i="52"/>
  <c r="D71" i="52"/>
  <c r="D69" i="52"/>
  <c r="D67" i="52"/>
  <c r="D65" i="52"/>
  <c r="D63" i="52"/>
  <c r="D61" i="52"/>
  <c r="D59" i="52"/>
  <c r="D57" i="52"/>
  <c r="D55" i="52"/>
  <c r="D53" i="52"/>
  <c r="D51" i="52"/>
  <c r="D49" i="52"/>
  <c r="D47" i="52"/>
  <c r="D45" i="52"/>
  <c r="D43" i="52"/>
  <c r="D41" i="52"/>
  <c r="D39" i="52"/>
  <c r="D37" i="52"/>
  <c r="D35" i="52"/>
  <c r="D33" i="52"/>
  <c r="D31" i="52"/>
  <c r="D29" i="52"/>
  <c r="C27" i="52"/>
  <c r="C86" i="52" s="1"/>
  <c r="D25" i="52"/>
  <c r="D23" i="52"/>
  <c r="D21" i="52"/>
  <c r="D85" i="26"/>
  <c r="D83" i="26"/>
  <c r="D81" i="26"/>
  <c r="D79" i="26"/>
  <c r="D77" i="26"/>
  <c r="D75" i="26"/>
  <c r="D73" i="26"/>
  <c r="D71" i="26"/>
  <c r="D69" i="26"/>
  <c r="D67" i="26"/>
  <c r="D65" i="26"/>
  <c r="D63" i="26"/>
  <c r="D61" i="26"/>
  <c r="D59" i="26"/>
  <c r="D57" i="26"/>
  <c r="D55" i="26"/>
  <c r="D53" i="26"/>
  <c r="D51" i="26"/>
  <c r="D49" i="26"/>
  <c r="D47" i="26"/>
  <c r="D45" i="26"/>
  <c r="D43" i="26"/>
  <c r="D41" i="26"/>
  <c r="D39" i="26"/>
  <c r="D37" i="26"/>
  <c r="D35" i="26"/>
  <c r="D33" i="26"/>
  <c r="D31" i="26"/>
  <c r="D29" i="26"/>
  <c r="C27" i="26"/>
  <c r="C86" i="26" s="1"/>
  <c r="C87" i="26" s="1"/>
  <c r="D25" i="26"/>
  <c r="D23" i="26"/>
  <c r="D21" i="26"/>
  <c r="D27" i="207" l="1"/>
  <c r="D86" i="207" s="1"/>
  <c r="D27" i="208"/>
  <c r="D86" i="208" s="1"/>
  <c r="D27" i="205"/>
  <c r="D86" i="205" s="1"/>
  <c r="D27" i="204"/>
  <c r="D86" i="204" s="1"/>
  <c r="D28" i="189"/>
  <c r="D87" i="189" s="1"/>
  <c r="D27" i="187"/>
  <c r="D86" i="187" s="1"/>
  <c r="D27" i="184"/>
  <c r="D86" i="184" s="1"/>
  <c r="D27" i="170"/>
  <c r="D86" i="170" s="1"/>
  <c r="C90" i="170" s="1"/>
  <c r="D27" i="169"/>
  <c r="D86" i="169" s="1"/>
  <c r="D27" i="165"/>
  <c r="D86" i="165" s="1"/>
  <c r="D27" i="166"/>
  <c r="D86" i="166" s="1"/>
  <c r="D26" i="164"/>
  <c r="D85" i="164" s="1"/>
  <c r="D27" i="86"/>
  <c r="D86" i="86" s="1"/>
  <c r="D27" i="82"/>
  <c r="D86" i="82" s="1"/>
  <c r="D28" i="183"/>
  <c r="D87" i="183" s="1"/>
  <c r="D27" i="182"/>
  <c r="D86" i="182" s="1"/>
  <c r="D86" i="181"/>
  <c r="D27" i="180"/>
  <c r="D86" i="180" s="1"/>
  <c r="D28" i="175"/>
  <c r="D87" i="175" s="1"/>
  <c r="D27" i="173"/>
  <c r="D86" i="173" s="1"/>
  <c r="D27" i="171"/>
  <c r="D86" i="171" s="1"/>
  <c r="D27" i="80"/>
  <c r="D86" i="80" s="1"/>
  <c r="D28" i="76"/>
  <c r="D87" i="76" s="1"/>
  <c r="D86" i="70"/>
  <c r="D27" i="60"/>
  <c r="D86" i="60" s="1"/>
  <c r="D87" i="60" s="1"/>
  <c r="C90" i="60" s="1"/>
  <c r="D27" i="56"/>
  <c r="D86" i="56" s="1"/>
  <c r="D87" i="56" s="1"/>
  <c r="C90" i="56" s="1"/>
  <c r="D27" i="52"/>
  <c r="D86" i="52" s="1"/>
  <c r="D27" i="26"/>
  <c r="D86" i="26" s="1"/>
  <c r="D87" i="26" s="1"/>
  <c r="C90" i="26" s="1"/>
  <c r="D15" i="162" l="1"/>
  <c r="D17" i="162"/>
  <c r="D14" i="162"/>
  <c r="D15" i="159"/>
  <c r="D17" i="159"/>
  <c r="D14" i="159"/>
  <c r="D17" i="160"/>
  <c r="D14" i="160"/>
  <c r="D86" i="161"/>
  <c r="D87" i="161" s="1"/>
  <c r="C90" i="161" s="1"/>
  <c r="D23" i="161"/>
  <c r="D25" i="161"/>
  <c r="D27" i="161"/>
  <c r="D29" i="161"/>
  <c r="D31" i="161"/>
  <c r="D33" i="161"/>
  <c r="D35" i="161"/>
  <c r="D37" i="161"/>
  <c r="D39" i="161"/>
  <c r="D41" i="161"/>
  <c r="D43" i="161"/>
  <c r="D45" i="161"/>
  <c r="D47" i="161"/>
  <c r="D49" i="161"/>
  <c r="D51" i="161"/>
  <c r="D53" i="161"/>
  <c r="D55" i="161"/>
  <c r="D57" i="161"/>
  <c r="D59" i="161"/>
  <c r="D61" i="161"/>
  <c r="D63" i="161"/>
  <c r="D65" i="161"/>
  <c r="D67" i="161"/>
  <c r="D69" i="161"/>
  <c r="D71" i="161"/>
  <c r="D73" i="161"/>
  <c r="D75" i="161"/>
  <c r="D77" i="161"/>
  <c r="D79" i="161"/>
  <c r="D81" i="161"/>
  <c r="D83" i="161"/>
  <c r="D85" i="161"/>
  <c r="D21" i="161"/>
  <c r="C27" i="161"/>
  <c r="C86" i="161" s="1"/>
  <c r="C87" i="161" s="1"/>
  <c r="D85" i="162"/>
  <c r="D83" i="162"/>
  <c r="D81" i="162"/>
  <c r="D79" i="162"/>
  <c r="D77" i="162"/>
  <c r="D75" i="162"/>
  <c r="D73" i="162"/>
  <c r="D71" i="162"/>
  <c r="D69" i="162"/>
  <c r="D67" i="162"/>
  <c r="D65" i="162"/>
  <c r="D63" i="162"/>
  <c r="D61" i="162"/>
  <c r="D59" i="162"/>
  <c r="D57" i="162"/>
  <c r="D55" i="162"/>
  <c r="D53" i="162"/>
  <c r="D52" i="162"/>
  <c r="D51" i="162"/>
  <c r="D49" i="162"/>
  <c r="D47" i="162"/>
  <c r="D45" i="162"/>
  <c r="D43" i="162"/>
  <c r="D41" i="162"/>
  <c r="D39" i="162"/>
  <c r="D37" i="162"/>
  <c r="D35" i="162"/>
  <c r="D33" i="162"/>
  <c r="D31" i="162"/>
  <c r="D29" i="162"/>
  <c r="D27" i="162"/>
  <c r="C27" i="162"/>
  <c r="C86" i="162" s="1"/>
  <c r="D25" i="162"/>
  <c r="D23" i="162"/>
  <c r="D21" i="162"/>
  <c r="D86" i="162" s="1"/>
  <c r="D85" i="159"/>
  <c r="D83" i="159"/>
  <c r="D81" i="159"/>
  <c r="D79" i="159"/>
  <c r="D77" i="159"/>
  <c r="D75" i="159"/>
  <c r="D73" i="159"/>
  <c r="D71" i="159"/>
  <c r="D69" i="159"/>
  <c r="D67" i="159"/>
  <c r="D65" i="159"/>
  <c r="D63" i="159"/>
  <c r="D61" i="159"/>
  <c r="D59" i="159"/>
  <c r="D57" i="159"/>
  <c r="D55" i="159"/>
  <c r="D53" i="159"/>
  <c r="D52" i="159"/>
  <c r="D51" i="159"/>
  <c r="D49" i="159"/>
  <c r="D47" i="159"/>
  <c r="D45" i="159"/>
  <c r="D43" i="159"/>
  <c r="D41" i="159"/>
  <c r="D39" i="159"/>
  <c r="D37" i="159"/>
  <c r="D35" i="159"/>
  <c r="D33" i="159"/>
  <c r="D31" i="159"/>
  <c r="D29" i="159"/>
  <c r="C27" i="159"/>
  <c r="C86" i="159" s="1"/>
  <c r="D25" i="159"/>
  <c r="D23" i="159"/>
  <c r="D21" i="159"/>
  <c r="D85" i="160"/>
  <c r="D83" i="160"/>
  <c r="D81" i="160"/>
  <c r="D79" i="160"/>
  <c r="D77" i="160"/>
  <c r="D75" i="160"/>
  <c r="D73" i="160"/>
  <c r="D71" i="160"/>
  <c r="D69" i="160"/>
  <c r="D67" i="160"/>
  <c r="D65" i="160"/>
  <c r="D63" i="160"/>
  <c r="D61" i="160"/>
  <c r="D59" i="160"/>
  <c r="D57" i="160"/>
  <c r="D55" i="160"/>
  <c r="D53" i="160"/>
  <c r="D52" i="160"/>
  <c r="D51" i="160"/>
  <c r="D49" i="160"/>
  <c r="D47" i="160"/>
  <c r="D45" i="160"/>
  <c r="D43" i="160"/>
  <c r="D41" i="160"/>
  <c r="D39" i="160"/>
  <c r="D37" i="160"/>
  <c r="D35" i="160"/>
  <c r="D33" i="160"/>
  <c r="D31" i="160"/>
  <c r="D29" i="160"/>
  <c r="D27" i="160"/>
  <c r="C27" i="160"/>
  <c r="C86" i="160" s="1"/>
  <c r="D25" i="160"/>
  <c r="D23" i="160"/>
  <c r="D21" i="160"/>
  <c r="D86" i="160" s="1"/>
  <c r="D85" i="156"/>
  <c r="D83" i="156"/>
  <c r="D81" i="156"/>
  <c r="D79" i="156"/>
  <c r="D77" i="156"/>
  <c r="D75" i="156"/>
  <c r="D73" i="156"/>
  <c r="D71" i="156"/>
  <c r="D69" i="156"/>
  <c r="D67" i="156"/>
  <c r="D65" i="156"/>
  <c r="D63" i="156"/>
  <c r="D61" i="156"/>
  <c r="D59" i="156"/>
  <c r="D57" i="156"/>
  <c r="D55" i="156"/>
  <c r="D53" i="156"/>
  <c r="D52" i="156"/>
  <c r="D51" i="156"/>
  <c r="D49" i="156"/>
  <c r="D47" i="156"/>
  <c r="D45" i="156"/>
  <c r="D43" i="156"/>
  <c r="D41" i="156"/>
  <c r="D39" i="156"/>
  <c r="D37" i="156"/>
  <c r="D35" i="156"/>
  <c r="D33" i="156"/>
  <c r="D31" i="156"/>
  <c r="D29" i="156"/>
  <c r="D27" i="156"/>
  <c r="C27" i="156"/>
  <c r="C86" i="156" s="1"/>
  <c r="D25" i="156"/>
  <c r="D23" i="156"/>
  <c r="D21" i="156"/>
  <c r="D86" i="156" s="1"/>
  <c r="D18" i="156"/>
  <c r="D15" i="156"/>
  <c r="D17" i="156"/>
  <c r="D14" i="156"/>
  <c r="D16" i="155"/>
  <c r="D18" i="155"/>
  <c r="D15" i="155"/>
  <c r="D85" i="152"/>
  <c r="D83" i="152"/>
  <c r="D81" i="152"/>
  <c r="D79" i="152"/>
  <c r="D77" i="152"/>
  <c r="D75" i="152"/>
  <c r="D73" i="152"/>
  <c r="D71" i="152"/>
  <c r="D69" i="152"/>
  <c r="D67" i="152"/>
  <c r="D65" i="152"/>
  <c r="D63" i="152"/>
  <c r="D61" i="152"/>
  <c r="D59" i="152"/>
  <c r="D57" i="152"/>
  <c r="D55" i="152"/>
  <c r="D53" i="152"/>
  <c r="D51" i="152"/>
  <c r="D49" i="152"/>
  <c r="D47" i="152"/>
  <c r="D45" i="152"/>
  <c r="D43" i="152"/>
  <c r="D41" i="152"/>
  <c r="D39" i="152"/>
  <c r="D37" i="152"/>
  <c r="D35" i="152"/>
  <c r="D33" i="152"/>
  <c r="D31" i="152"/>
  <c r="D29" i="152"/>
  <c r="C27" i="152"/>
  <c r="C86" i="152" s="1"/>
  <c r="C87" i="152" s="1"/>
  <c r="D25" i="152"/>
  <c r="D23" i="152"/>
  <c r="D21" i="152"/>
  <c r="D86" i="155"/>
  <c r="D84" i="155"/>
  <c r="D82" i="155"/>
  <c r="D80" i="155"/>
  <c r="D78" i="155"/>
  <c r="D76" i="155"/>
  <c r="D74" i="155"/>
  <c r="D72" i="155"/>
  <c r="D70" i="155"/>
  <c r="D68" i="155"/>
  <c r="D66" i="155"/>
  <c r="D64" i="155"/>
  <c r="D62" i="155"/>
  <c r="D60" i="155"/>
  <c r="D58" i="155"/>
  <c r="D56" i="155"/>
  <c r="D54" i="155"/>
  <c r="D52" i="155"/>
  <c r="D50" i="155"/>
  <c r="D48" i="155"/>
  <c r="D46" i="155"/>
  <c r="D44" i="155"/>
  <c r="D42" i="155"/>
  <c r="D40" i="155"/>
  <c r="D38" i="155"/>
  <c r="D36" i="155"/>
  <c r="D34" i="155"/>
  <c r="D32" i="155"/>
  <c r="D30" i="155"/>
  <c r="D28" i="155"/>
  <c r="C28" i="155"/>
  <c r="C87" i="155" s="1"/>
  <c r="D26" i="155"/>
  <c r="D24" i="155"/>
  <c r="D22" i="155"/>
  <c r="D87" i="155" s="1"/>
  <c r="D87" i="156" l="1"/>
  <c r="C90" i="156" s="1"/>
  <c r="D86" i="159"/>
  <c r="D27" i="159"/>
  <c r="D27" i="152"/>
  <c r="D86" i="152" s="1"/>
  <c r="D87" i="152" s="1"/>
  <c r="C90" i="152" s="1"/>
  <c r="D17" i="274"/>
  <c r="D85" i="274" l="1"/>
  <c r="D83" i="274"/>
  <c r="D81" i="274"/>
  <c r="D79" i="274"/>
  <c r="D77" i="274"/>
  <c r="D75" i="274"/>
  <c r="D73" i="274"/>
  <c r="D71" i="274"/>
  <c r="D69" i="274"/>
  <c r="D67" i="274"/>
  <c r="D65" i="274"/>
  <c r="D63" i="274"/>
  <c r="D61" i="274"/>
  <c r="D59" i="274"/>
  <c r="D57" i="274"/>
  <c r="D55" i="274"/>
  <c r="D53" i="274"/>
  <c r="D51" i="274"/>
  <c r="D49" i="274"/>
  <c r="D47" i="274"/>
  <c r="D45" i="274"/>
  <c r="D43" i="274"/>
  <c r="D41" i="274"/>
  <c r="D39" i="274"/>
  <c r="D37" i="274"/>
  <c r="D35" i="274"/>
  <c r="D33" i="274"/>
  <c r="D31" i="274"/>
  <c r="D29" i="274"/>
  <c r="C27" i="274"/>
  <c r="C86" i="274" s="1"/>
  <c r="D25" i="274"/>
  <c r="D23" i="274"/>
  <c r="D21" i="274"/>
  <c r="C15" i="274"/>
  <c r="C18" i="274" s="1"/>
  <c r="D14" i="274"/>
  <c r="D85" i="273"/>
  <c r="D83" i="273"/>
  <c r="D81" i="273"/>
  <c r="D79" i="273"/>
  <c r="D77" i="273"/>
  <c r="D75" i="273"/>
  <c r="D73" i="273"/>
  <c r="D71" i="273"/>
  <c r="D69" i="273"/>
  <c r="D67" i="273"/>
  <c r="D65" i="273"/>
  <c r="D63" i="273"/>
  <c r="D61" i="273"/>
  <c r="D59" i="273"/>
  <c r="D57" i="273"/>
  <c r="D55" i="273"/>
  <c r="D53" i="273"/>
  <c r="D51" i="273"/>
  <c r="D49" i="273"/>
  <c r="D47" i="273"/>
  <c r="D45" i="273"/>
  <c r="D43" i="273"/>
  <c r="D41" i="273"/>
  <c r="D39" i="273"/>
  <c r="D37" i="273"/>
  <c r="D35" i="273"/>
  <c r="D33" i="273"/>
  <c r="D31" i="273"/>
  <c r="D29" i="273"/>
  <c r="C27" i="273"/>
  <c r="C86" i="273" s="1"/>
  <c r="D25" i="273"/>
  <c r="D23" i="273"/>
  <c r="D21" i="273"/>
  <c r="D17" i="273"/>
  <c r="C15" i="273"/>
  <c r="C18" i="273" s="1"/>
  <c r="D14" i="273"/>
  <c r="D15" i="257"/>
  <c r="D17" i="257"/>
  <c r="C15" i="260"/>
  <c r="C15" i="257"/>
  <c r="C15" i="256"/>
  <c r="C15" i="255"/>
  <c r="C15" i="254"/>
  <c r="C87" i="274" l="1"/>
  <c r="D15" i="274"/>
  <c r="D18" i="274" s="1"/>
  <c r="D27" i="274"/>
  <c r="D86" i="274" s="1"/>
  <c r="C87" i="273"/>
  <c r="D27" i="273"/>
  <c r="D86" i="273" s="1"/>
  <c r="D15" i="273"/>
  <c r="D18" i="273" s="1"/>
  <c r="D87" i="252"/>
  <c r="C87" i="252"/>
  <c r="C18" i="252"/>
  <c r="D18" i="252"/>
  <c r="C15" i="251"/>
  <c r="D87" i="274" l="1"/>
  <c r="C90" i="274" s="1"/>
  <c r="D87" i="273"/>
  <c r="C90" i="273" s="1"/>
  <c r="C15" i="264"/>
  <c r="D15" i="238"/>
  <c r="D23" i="153" l="1"/>
  <c r="D25" i="153"/>
  <c r="D27" i="153"/>
  <c r="D29" i="153"/>
  <c r="D31" i="153"/>
  <c r="D33" i="153"/>
  <c r="D35" i="153"/>
  <c r="D37" i="153"/>
  <c r="D39" i="153"/>
  <c r="D41" i="153"/>
  <c r="D43" i="153"/>
  <c r="D45" i="153"/>
  <c r="D47" i="153"/>
  <c r="D49" i="153"/>
  <c r="D51" i="153"/>
  <c r="D53" i="153"/>
  <c r="D55" i="153"/>
  <c r="D57" i="153"/>
  <c r="D59" i="153"/>
  <c r="D61" i="153"/>
  <c r="D63" i="153"/>
  <c r="D65" i="153"/>
  <c r="D67" i="153"/>
  <c r="D69" i="153"/>
  <c r="D71" i="153"/>
  <c r="D73" i="153"/>
  <c r="D75" i="153"/>
  <c r="D77" i="153"/>
  <c r="D79" i="153"/>
  <c r="D81" i="153"/>
  <c r="D83" i="153"/>
  <c r="D85" i="153"/>
  <c r="D21" i="153"/>
  <c r="C86" i="153"/>
  <c r="C27" i="153"/>
  <c r="D86" i="153"/>
  <c r="D85" i="179" l="1"/>
  <c r="D83" i="179"/>
  <c r="D81" i="179"/>
  <c r="D79" i="179"/>
  <c r="D77" i="179"/>
  <c r="D75" i="179"/>
  <c r="D73" i="179"/>
  <c r="D71" i="179"/>
  <c r="D69" i="179"/>
  <c r="D67" i="179"/>
  <c r="D65" i="179"/>
  <c r="D63" i="179"/>
  <c r="D61" i="179"/>
  <c r="D59" i="179"/>
  <c r="D57" i="179"/>
  <c r="D55" i="179"/>
  <c r="D53" i="179"/>
  <c r="D52" i="179"/>
  <c r="D51" i="179"/>
  <c r="D49" i="179"/>
  <c r="D47" i="179"/>
  <c r="D45" i="179"/>
  <c r="D43" i="179"/>
  <c r="D41" i="179"/>
  <c r="D39" i="179"/>
  <c r="D37" i="179"/>
  <c r="D35" i="179"/>
  <c r="D33" i="179"/>
  <c r="D31" i="179"/>
  <c r="D29" i="179"/>
  <c r="D27" i="179"/>
  <c r="C27" i="179"/>
  <c r="C86" i="179" s="1"/>
  <c r="D25" i="179"/>
  <c r="D23" i="179"/>
  <c r="D21" i="179"/>
  <c r="D86" i="179" s="1"/>
  <c r="D83" i="203"/>
  <c r="D81" i="203"/>
  <c r="D79" i="203"/>
  <c r="D77" i="203"/>
  <c r="D75" i="203"/>
  <c r="D73" i="203"/>
  <c r="D71" i="203"/>
  <c r="D69" i="203"/>
  <c r="D67" i="203"/>
  <c r="D65" i="203"/>
  <c r="D63" i="203"/>
  <c r="D61" i="203"/>
  <c r="D59" i="203"/>
  <c r="D57" i="203"/>
  <c r="D55" i="203"/>
  <c r="D53" i="203"/>
  <c r="D51" i="203"/>
  <c r="D50" i="203"/>
  <c r="D49" i="203"/>
  <c r="D47" i="203"/>
  <c r="D45" i="203"/>
  <c r="D43" i="203"/>
  <c r="D41" i="203"/>
  <c r="D39" i="203"/>
  <c r="D37" i="203"/>
  <c r="D35" i="203"/>
  <c r="D33" i="203"/>
  <c r="D31" i="203"/>
  <c r="D29" i="203"/>
  <c r="D27" i="203"/>
  <c r="D25" i="203"/>
  <c r="C25" i="203"/>
  <c r="C84" i="203" s="1"/>
  <c r="D23" i="203"/>
  <c r="D21" i="203"/>
  <c r="D19" i="203"/>
  <c r="D84" i="203" s="1"/>
  <c r="D85" i="177"/>
  <c r="D83" i="177"/>
  <c r="D81" i="177"/>
  <c r="D79" i="177"/>
  <c r="D77" i="177"/>
  <c r="D75" i="177"/>
  <c r="D73" i="177"/>
  <c r="D71" i="177"/>
  <c r="D69" i="177"/>
  <c r="D67" i="177"/>
  <c r="D65" i="177"/>
  <c r="D63" i="177"/>
  <c r="D61" i="177"/>
  <c r="D59" i="177"/>
  <c r="D57" i="177"/>
  <c r="D55" i="177"/>
  <c r="D53" i="177"/>
  <c r="D52" i="177"/>
  <c r="D51" i="177"/>
  <c r="D49" i="177"/>
  <c r="D47" i="177"/>
  <c r="D45" i="177"/>
  <c r="D43" i="177"/>
  <c r="D41" i="177"/>
  <c r="D39" i="177"/>
  <c r="D37" i="177"/>
  <c r="D35" i="177"/>
  <c r="D33" i="177"/>
  <c r="D31" i="177"/>
  <c r="D29" i="177"/>
  <c r="D27" i="177"/>
  <c r="C27" i="177"/>
  <c r="C86" i="177" s="1"/>
  <c r="D25" i="177"/>
  <c r="D23" i="177"/>
  <c r="D21" i="177"/>
  <c r="D86" i="177" s="1"/>
  <c r="D85" i="176"/>
  <c r="D83" i="176"/>
  <c r="D81" i="176"/>
  <c r="D79" i="176"/>
  <c r="D77" i="176"/>
  <c r="D75" i="176"/>
  <c r="D73" i="176"/>
  <c r="D71" i="176"/>
  <c r="D69" i="176"/>
  <c r="D67" i="176"/>
  <c r="D65" i="176"/>
  <c r="D63" i="176"/>
  <c r="D61" i="176"/>
  <c r="D59" i="176"/>
  <c r="D57" i="176"/>
  <c r="D55" i="176"/>
  <c r="D53" i="176"/>
  <c r="D52" i="176"/>
  <c r="D51" i="176"/>
  <c r="D49" i="176"/>
  <c r="D47" i="176"/>
  <c r="D45" i="176"/>
  <c r="D43" i="176"/>
  <c r="D41" i="176"/>
  <c r="D39" i="176"/>
  <c r="D37" i="176"/>
  <c r="D35" i="176"/>
  <c r="D33" i="176"/>
  <c r="D31" i="176"/>
  <c r="D29" i="176"/>
  <c r="D27" i="176"/>
  <c r="C27" i="176"/>
  <c r="C86" i="176" s="1"/>
  <c r="D25" i="176"/>
  <c r="D23" i="176"/>
  <c r="D21" i="176"/>
  <c r="D86" i="176" s="1"/>
  <c r="D86" i="172"/>
  <c r="D84" i="172"/>
  <c r="D82" i="172"/>
  <c r="D80" i="172"/>
  <c r="D78" i="172"/>
  <c r="D76" i="172"/>
  <c r="D74" i="172"/>
  <c r="D72" i="172"/>
  <c r="D70" i="172"/>
  <c r="D68" i="172"/>
  <c r="D66" i="172"/>
  <c r="D64" i="172"/>
  <c r="D62" i="172"/>
  <c r="D60" i="172"/>
  <c r="D58" i="172"/>
  <c r="D56" i="172"/>
  <c r="D54" i="172"/>
  <c r="D53" i="172"/>
  <c r="D52" i="172"/>
  <c r="D50" i="172"/>
  <c r="D48" i="172"/>
  <c r="D46" i="172"/>
  <c r="D44" i="172"/>
  <c r="D42" i="172"/>
  <c r="D40" i="172"/>
  <c r="D38" i="172"/>
  <c r="D36" i="172"/>
  <c r="D34" i="172"/>
  <c r="D32" i="172"/>
  <c r="D30" i="172"/>
  <c r="C28" i="172"/>
  <c r="C87" i="172" s="1"/>
  <c r="D26" i="172"/>
  <c r="D24" i="172"/>
  <c r="D22" i="172"/>
  <c r="D85" i="158"/>
  <c r="D83" i="158"/>
  <c r="D81" i="158"/>
  <c r="D79" i="158"/>
  <c r="D77" i="158"/>
  <c r="D75" i="158"/>
  <c r="D73" i="158"/>
  <c r="D71" i="158"/>
  <c r="D69" i="158"/>
  <c r="D67" i="158"/>
  <c r="D65" i="158"/>
  <c r="D63" i="158"/>
  <c r="D61" i="158"/>
  <c r="D59" i="158"/>
  <c r="D57" i="158"/>
  <c r="D55" i="158"/>
  <c r="D53" i="158"/>
  <c r="D52" i="158"/>
  <c r="D51" i="158"/>
  <c r="D49" i="158"/>
  <c r="D47" i="158"/>
  <c r="D45" i="158"/>
  <c r="D43" i="158"/>
  <c r="D41" i="158"/>
  <c r="D39" i="158"/>
  <c r="D37" i="158"/>
  <c r="D35" i="158"/>
  <c r="D33" i="158"/>
  <c r="D31" i="158"/>
  <c r="D29" i="158"/>
  <c r="D27" i="158"/>
  <c r="C27" i="158"/>
  <c r="C86" i="158" s="1"/>
  <c r="D25" i="158"/>
  <c r="D23" i="158"/>
  <c r="D21" i="158"/>
  <c r="D86" i="158" s="1"/>
  <c r="D85" i="150"/>
  <c r="D83" i="150"/>
  <c r="D81" i="150"/>
  <c r="D79" i="150"/>
  <c r="D77" i="150"/>
  <c r="D75" i="150"/>
  <c r="D73" i="150"/>
  <c r="D71" i="150"/>
  <c r="D69" i="150"/>
  <c r="D67" i="150"/>
  <c r="D65" i="150"/>
  <c r="D63" i="150"/>
  <c r="D61" i="150"/>
  <c r="D59" i="150"/>
  <c r="D57" i="150"/>
  <c r="D55" i="150"/>
  <c r="D53" i="150"/>
  <c r="D52" i="150"/>
  <c r="D51" i="150"/>
  <c r="D49" i="150"/>
  <c r="D47" i="150"/>
  <c r="D45" i="150"/>
  <c r="D43" i="150"/>
  <c r="D41" i="150"/>
  <c r="D39" i="150"/>
  <c r="D37" i="150"/>
  <c r="D35" i="150"/>
  <c r="D33" i="150"/>
  <c r="D31" i="150"/>
  <c r="D29" i="150"/>
  <c r="D27" i="150"/>
  <c r="C27" i="150"/>
  <c r="C86" i="150" s="1"/>
  <c r="D25" i="150"/>
  <c r="D23" i="150"/>
  <c r="D21" i="150"/>
  <c r="D86" i="150" s="1"/>
  <c r="D17" i="22"/>
  <c r="D14" i="22"/>
  <c r="D85" i="22"/>
  <c r="D83" i="22"/>
  <c r="D81" i="22"/>
  <c r="D79" i="22"/>
  <c r="D77" i="22"/>
  <c r="D75" i="22"/>
  <c r="D73" i="22"/>
  <c r="D71" i="22"/>
  <c r="D69" i="22"/>
  <c r="D67" i="22"/>
  <c r="D65" i="22"/>
  <c r="D63" i="22"/>
  <c r="D61" i="22"/>
  <c r="D59" i="22"/>
  <c r="D57" i="22"/>
  <c r="D55" i="22"/>
  <c r="D53" i="22"/>
  <c r="D51" i="22"/>
  <c r="D49" i="22"/>
  <c r="D47" i="22"/>
  <c r="D45" i="22"/>
  <c r="D43" i="22"/>
  <c r="D41" i="22"/>
  <c r="D39" i="22"/>
  <c r="D37" i="22"/>
  <c r="D35" i="22"/>
  <c r="D33" i="22"/>
  <c r="D31" i="22"/>
  <c r="D29" i="22"/>
  <c r="C27" i="22"/>
  <c r="C86" i="22" s="1"/>
  <c r="D25" i="22"/>
  <c r="D23" i="22"/>
  <c r="D21" i="22"/>
  <c r="D17" i="12"/>
  <c r="D14" i="12"/>
  <c r="D85" i="12"/>
  <c r="D83" i="12"/>
  <c r="D81" i="12"/>
  <c r="D79" i="12"/>
  <c r="D77" i="12"/>
  <c r="D75" i="12"/>
  <c r="D73" i="12"/>
  <c r="D71" i="12"/>
  <c r="D69" i="12"/>
  <c r="D67" i="12"/>
  <c r="D65" i="12"/>
  <c r="D63" i="12"/>
  <c r="D61" i="12"/>
  <c r="D59" i="12"/>
  <c r="D57" i="12"/>
  <c r="D55" i="12"/>
  <c r="D53" i="12"/>
  <c r="D51" i="12"/>
  <c r="D49" i="12"/>
  <c r="D47" i="12"/>
  <c r="D45" i="12"/>
  <c r="D43" i="12"/>
  <c r="D41" i="12"/>
  <c r="D39" i="12"/>
  <c r="D37" i="12"/>
  <c r="D35" i="12"/>
  <c r="D33" i="12"/>
  <c r="D31" i="12"/>
  <c r="D29" i="12"/>
  <c r="C27" i="12"/>
  <c r="C86" i="12" s="1"/>
  <c r="D25" i="12"/>
  <c r="D23" i="12"/>
  <c r="D21" i="12"/>
  <c r="D18" i="38"/>
  <c r="D15" i="38"/>
  <c r="D86" i="38"/>
  <c r="D84" i="38"/>
  <c r="D82" i="38"/>
  <c r="D80" i="38"/>
  <c r="D78" i="38"/>
  <c r="D76" i="38"/>
  <c r="D74" i="38"/>
  <c r="D72" i="38"/>
  <c r="D70" i="38"/>
  <c r="D68" i="38"/>
  <c r="D66" i="38"/>
  <c r="D64" i="38"/>
  <c r="D62" i="38"/>
  <c r="D60" i="38"/>
  <c r="D58" i="38"/>
  <c r="D56" i="38"/>
  <c r="D54" i="38"/>
  <c r="D52" i="38"/>
  <c r="D50" i="38"/>
  <c r="D48" i="38"/>
  <c r="D46" i="38"/>
  <c r="D44" i="38"/>
  <c r="D42" i="38"/>
  <c r="D40" i="38"/>
  <c r="D38" i="38"/>
  <c r="D36" i="38"/>
  <c r="D34" i="38"/>
  <c r="D32" i="38"/>
  <c r="D30" i="38"/>
  <c r="C28" i="38"/>
  <c r="C87" i="38" s="1"/>
  <c r="D26" i="38"/>
  <c r="D24" i="38"/>
  <c r="D22" i="38"/>
  <c r="D17" i="268"/>
  <c r="D23" i="268"/>
  <c r="D25" i="268"/>
  <c r="D27" i="268"/>
  <c r="D29" i="268"/>
  <c r="D31" i="268"/>
  <c r="D33" i="268"/>
  <c r="D35" i="268"/>
  <c r="D37" i="268"/>
  <c r="D39" i="268"/>
  <c r="D41" i="268"/>
  <c r="D43" i="268"/>
  <c r="D45" i="268"/>
  <c r="D47" i="268"/>
  <c r="D49" i="268"/>
  <c r="D51" i="268"/>
  <c r="D53" i="268"/>
  <c r="D55" i="268"/>
  <c r="D57" i="268"/>
  <c r="D59" i="268"/>
  <c r="D61" i="268"/>
  <c r="D63" i="268"/>
  <c r="D65" i="268"/>
  <c r="D67" i="268"/>
  <c r="D69" i="268"/>
  <c r="D71" i="268"/>
  <c r="D73" i="268"/>
  <c r="D75" i="268"/>
  <c r="D77" i="268"/>
  <c r="D79" i="268"/>
  <c r="D81" i="268"/>
  <c r="D83" i="268"/>
  <c r="D85" i="268"/>
  <c r="D21" i="268"/>
  <c r="C27" i="268"/>
  <c r="C86" i="268" s="1"/>
  <c r="D17" i="267"/>
  <c r="D14" i="267"/>
  <c r="D17" i="266"/>
  <c r="D14" i="266"/>
  <c r="D17" i="265"/>
  <c r="D14" i="265"/>
  <c r="D85" i="267"/>
  <c r="D83" i="267"/>
  <c r="D81" i="267"/>
  <c r="D79" i="267"/>
  <c r="D77" i="267"/>
  <c r="D75" i="267"/>
  <c r="D73" i="267"/>
  <c r="D71" i="267"/>
  <c r="D69" i="267"/>
  <c r="D67" i="267"/>
  <c r="D65" i="267"/>
  <c r="D63" i="267"/>
  <c r="D61" i="267"/>
  <c r="D59" i="267"/>
  <c r="D57" i="267"/>
  <c r="D55" i="267"/>
  <c r="D53" i="267"/>
  <c r="D51" i="267"/>
  <c r="D49" i="267"/>
  <c r="D47" i="267"/>
  <c r="D45" i="267"/>
  <c r="D43" i="267"/>
  <c r="D41" i="267"/>
  <c r="D39" i="267"/>
  <c r="D37" i="267"/>
  <c r="D35" i="267"/>
  <c r="D33" i="267"/>
  <c r="D31" i="267"/>
  <c r="D29" i="267"/>
  <c r="C27" i="267"/>
  <c r="C86" i="267" s="1"/>
  <c r="D25" i="267"/>
  <c r="D23" i="267"/>
  <c r="D21" i="267"/>
  <c r="D85" i="266"/>
  <c r="D83" i="266"/>
  <c r="D81" i="266"/>
  <c r="D79" i="266"/>
  <c r="D77" i="266"/>
  <c r="D75" i="266"/>
  <c r="D73" i="266"/>
  <c r="D71" i="266"/>
  <c r="D69" i="266"/>
  <c r="D67" i="266"/>
  <c r="D65" i="266"/>
  <c r="D63" i="266"/>
  <c r="D61" i="266"/>
  <c r="D59" i="266"/>
  <c r="D57" i="266"/>
  <c r="D55" i="266"/>
  <c r="D53" i="266"/>
  <c r="D51" i="266"/>
  <c r="D49" i="266"/>
  <c r="D47" i="266"/>
  <c r="D45" i="266"/>
  <c r="D43" i="266"/>
  <c r="D41" i="266"/>
  <c r="D39" i="266"/>
  <c r="D37" i="266"/>
  <c r="D35" i="266"/>
  <c r="D33" i="266"/>
  <c r="D31" i="266"/>
  <c r="D29" i="266"/>
  <c r="C27" i="266"/>
  <c r="C86" i="266" s="1"/>
  <c r="D25" i="266"/>
  <c r="D23" i="266"/>
  <c r="D21" i="266"/>
  <c r="D85" i="265"/>
  <c r="D83" i="265"/>
  <c r="D81" i="265"/>
  <c r="D79" i="265"/>
  <c r="D77" i="265"/>
  <c r="D75" i="265"/>
  <c r="D73" i="265"/>
  <c r="D71" i="265"/>
  <c r="D69" i="265"/>
  <c r="D67" i="265"/>
  <c r="D65" i="265"/>
  <c r="D63" i="265"/>
  <c r="D61" i="265"/>
  <c r="D59" i="265"/>
  <c r="D57" i="265"/>
  <c r="D55" i="265"/>
  <c r="D53" i="265"/>
  <c r="D51" i="265"/>
  <c r="D49" i="265"/>
  <c r="D47" i="265"/>
  <c r="D45" i="265"/>
  <c r="D43" i="265"/>
  <c r="D41" i="265"/>
  <c r="D39" i="265"/>
  <c r="D37" i="265"/>
  <c r="D35" i="265"/>
  <c r="D33" i="265"/>
  <c r="D31" i="265"/>
  <c r="D29" i="265"/>
  <c r="C27" i="265"/>
  <c r="C86" i="265" s="1"/>
  <c r="D25" i="265"/>
  <c r="D23" i="265"/>
  <c r="D21" i="265"/>
  <c r="D85" i="48"/>
  <c r="D83" i="48"/>
  <c r="D81" i="48"/>
  <c r="D79" i="48"/>
  <c r="D77" i="48"/>
  <c r="D75" i="48"/>
  <c r="D73" i="48"/>
  <c r="D71" i="48"/>
  <c r="D69" i="48"/>
  <c r="D67" i="48"/>
  <c r="D65" i="48"/>
  <c r="D63" i="48"/>
  <c r="D61" i="48"/>
  <c r="D59" i="48"/>
  <c r="D57" i="48"/>
  <c r="D55" i="48"/>
  <c r="D53" i="48"/>
  <c r="D51" i="48"/>
  <c r="D49" i="48"/>
  <c r="D47" i="48"/>
  <c r="D45" i="48"/>
  <c r="D43" i="48"/>
  <c r="D41" i="48"/>
  <c r="D39" i="48"/>
  <c r="D37" i="48"/>
  <c r="D35" i="48"/>
  <c r="D33" i="48"/>
  <c r="D31" i="48"/>
  <c r="D29" i="48"/>
  <c r="C27" i="48"/>
  <c r="C86" i="48" s="1"/>
  <c r="D25" i="48"/>
  <c r="D23" i="48"/>
  <c r="D21" i="48"/>
  <c r="D85" i="44"/>
  <c r="D83" i="44"/>
  <c r="D81" i="44"/>
  <c r="D79" i="44"/>
  <c r="D77" i="44"/>
  <c r="D75" i="44"/>
  <c r="D73" i="44"/>
  <c r="D71" i="44"/>
  <c r="D69" i="44"/>
  <c r="D67" i="44"/>
  <c r="D65" i="44"/>
  <c r="D63" i="44"/>
  <c r="D61" i="44"/>
  <c r="D59" i="44"/>
  <c r="D57" i="44"/>
  <c r="D55" i="44"/>
  <c r="D53" i="44"/>
  <c r="D51" i="44"/>
  <c r="D49" i="44"/>
  <c r="D47" i="44"/>
  <c r="D45" i="44"/>
  <c r="D43" i="44"/>
  <c r="D41" i="44"/>
  <c r="D39" i="44"/>
  <c r="D37" i="44"/>
  <c r="D35" i="44"/>
  <c r="D33" i="44"/>
  <c r="D31" i="44"/>
  <c r="D29" i="44"/>
  <c r="C27" i="44"/>
  <c r="C86" i="44" s="1"/>
  <c r="D25" i="44"/>
  <c r="D23" i="44"/>
  <c r="D21" i="44"/>
  <c r="D85" i="13"/>
  <c r="D83" i="13"/>
  <c r="D81" i="13"/>
  <c r="D79" i="13"/>
  <c r="D77" i="13"/>
  <c r="D75" i="13"/>
  <c r="D73" i="13"/>
  <c r="D71" i="13"/>
  <c r="D69" i="13"/>
  <c r="D67" i="13"/>
  <c r="D65" i="13"/>
  <c r="D63" i="13"/>
  <c r="D61" i="13"/>
  <c r="D59" i="13"/>
  <c r="D57" i="13"/>
  <c r="D55" i="13"/>
  <c r="D53" i="13"/>
  <c r="D51" i="13"/>
  <c r="D49" i="13"/>
  <c r="D47" i="13"/>
  <c r="D45" i="13"/>
  <c r="D43" i="13"/>
  <c r="D41" i="13"/>
  <c r="D39" i="13"/>
  <c r="D37" i="13"/>
  <c r="D35" i="13"/>
  <c r="D33" i="13"/>
  <c r="D31" i="13"/>
  <c r="D29" i="13"/>
  <c r="C27" i="13"/>
  <c r="C86" i="13" s="1"/>
  <c r="D25" i="13"/>
  <c r="D23" i="13"/>
  <c r="D21" i="13"/>
  <c r="D23" i="264"/>
  <c r="D25" i="264"/>
  <c r="D27" i="264"/>
  <c r="D29" i="264"/>
  <c r="D31" i="264"/>
  <c r="D33" i="264"/>
  <c r="D35" i="264"/>
  <c r="D37" i="264"/>
  <c r="D39" i="264"/>
  <c r="D41" i="264"/>
  <c r="D43" i="264"/>
  <c r="D45" i="264"/>
  <c r="D47" i="264"/>
  <c r="D49" i="264"/>
  <c r="D51" i="264"/>
  <c r="D53" i="264"/>
  <c r="D55" i="264"/>
  <c r="D57" i="264"/>
  <c r="D59" i="264"/>
  <c r="D61" i="264"/>
  <c r="D63" i="264"/>
  <c r="D65" i="264"/>
  <c r="D67" i="264"/>
  <c r="D69" i="264"/>
  <c r="D71" i="264"/>
  <c r="D73" i="264"/>
  <c r="D75" i="264"/>
  <c r="D77" i="264"/>
  <c r="D79" i="264"/>
  <c r="D81" i="264"/>
  <c r="D83" i="264"/>
  <c r="D85" i="264"/>
  <c r="D21" i="264"/>
  <c r="C27" i="264"/>
  <c r="C86" i="264" s="1"/>
  <c r="D17" i="263"/>
  <c r="D14" i="263"/>
  <c r="D83" i="263"/>
  <c r="D81" i="263"/>
  <c r="D79" i="263"/>
  <c r="D77" i="263"/>
  <c r="D75" i="263"/>
  <c r="D73" i="263"/>
  <c r="D71" i="263"/>
  <c r="D69" i="263"/>
  <c r="D67" i="263"/>
  <c r="D65" i="263"/>
  <c r="D63" i="263"/>
  <c r="D61" i="263"/>
  <c r="D59" i="263"/>
  <c r="D57" i="263"/>
  <c r="D55" i="263"/>
  <c r="D53" i="263"/>
  <c r="D51" i="263"/>
  <c r="D49" i="263"/>
  <c r="D47" i="263"/>
  <c r="D45" i="263"/>
  <c r="D43" i="263"/>
  <c r="D41" i="263"/>
  <c r="D39" i="263"/>
  <c r="D37" i="263"/>
  <c r="D35" i="263"/>
  <c r="D33" i="263"/>
  <c r="D31" i="263"/>
  <c r="D29" i="263"/>
  <c r="D27" i="263"/>
  <c r="C27" i="263"/>
  <c r="C86" i="263" s="1"/>
  <c r="D25" i="263"/>
  <c r="D23" i="263"/>
  <c r="D21" i="263"/>
  <c r="D86" i="263" s="1"/>
  <c r="D85" i="157"/>
  <c r="D83" i="157"/>
  <c r="D81" i="157"/>
  <c r="D79" i="157"/>
  <c r="D78" i="157"/>
  <c r="D77" i="157"/>
  <c r="D75" i="157"/>
  <c r="D73" i="157"/>
  <c r="D71" i="157"/>
  <c r="D69" i="157"/>
  <c r="D67" i="157"/>
  <c r="D65" i="157"/>
  <c r="D63" i="157"/>
  <c r="D61" i="157"/>
  <c r="D59" i="157"/>
  <c r="D57" i="157"/>
  <c r="D55" i="157"/>
  <c r="D53" i="157"/>
  <c r="D51" i="157"/>
  <c r="D49" i="157"/>
  <c r="D47" i="157"/>
  <c r="D45" i="157"/>
  <c r="D43" i="157"/>
  <c r="D41" i="157"/>
  <c r="D39" i="157"/>
  <c r="D37" i="157"/>
  <c r="D35" i="157"/>
  <c r="D33" i="157"/>
  <c r="D31" i="157"/>
  <c r="D29" i="157"/>
  <c r="D27" i="157"/>
  <c r="C27" i="157"/>
  <c r="C86" i="157" s="1"/>
  <c r="D25" i="157"/>
  <c r="D23" i="157"/>
  <c r="D21" i="157"/>
  <c r="D86" i="157" s="1"/>
  <c r="D85" i="154"/>
  <c r="D83" i="154"/>
  <c r="D81" i="154"/>
  <c r="D79" i="154"/>
  <c r="D78" i="154"/>
  <c r="D77" i="154"/>
  <c r="D75" i="154"/>
  <c r="D73" i="154"/>
  <c r="D71" i="154"/>
  <c r="D69" i="154"/>
  <c r="D67" i="154"/>
  <c r="D65" i="154"/>
  <c r="D63" i="154"/>
  <c r="D61" i="154"/>
  <c r="D59" i="154"/>
  <c r="D57" i="154"/>
  <c r="D55" i="154"/>
  <c r="D53" i="154"/>
  <c r="D51" i="154"/>
  <c r="D49" i="154"/>
  <c r="D47" i="154"/>
  <c r="D45" i="154"/>
  <c r="D43" i="154"/>
  <c r="D41" i="154"/>
  <c r="D39" i="154"/>
  <c r="D37" i="154"/>
  <c r="D35" i="154"/>
  <c r="D33" i="154"/>
  <c r="D31" i="154"/>
  <c r="D29" i="154"/>
  <c r="C27" i="154"/>
  <c r="C86" i="154" s="1"/>
  <c r="D25" i="154"/>
  <c r="D23" i="154"/>
  <c r="D21" i="154"/>
  <c r="D85" i="262"/>
  <c r="D83" i="262"/>
  <c r="D81" i="262"/>
  <c r="D79" i="262"/>
  <c r="D78" i="262"/>
  <c r="D77" i="262"/>
  <c r="D75" i="262"/>
  <c r="D73" i="262"/>
  <c r="D71" i="262"/>
  <c r="D69" i="262"/>
  <c r="D67" i="262"/>
  <c r="D65" i="262"/>
  <c r="D63" i="262"/>
  <c r="D61" i="262"/>
  <c r="D59" i="262"/>
  <c r="D57" i="262"/>
  <c r="D55" i="262"/>
  <c r="D53" i="262"/>
  <c r="D51" i="262"/>
  <c r="D49" i="262"/>
  <c r="D47" i="262"/>
  <c r="D45" i="262"/>
  <c r="D43" i="262"/>
  <c r="D41" i="262"/>
  <c r="D39" i="262"/>
  <c r="D37" i="262"/>
  <c r="D35" i="262"/>
  <c r="D33" i="262"/>
  <c r="D31" i="262"/>
  <c r="D29" i="262"/>
  <c r="D27" i="262"/>
  <c r="C27" i="262"/>
  <c r="C86" i="262" s="1"/>
  <c r="D25" i="262"/>
  <c r="D23" i="262"/>
  <c r="D21" i="262"/>
  <c r="D86" i="262" s="1"/>
  <c r="D85" i="151"/>
  <c r="D83" i="151"/>
  <c r="D81" i="151"/>
  <c r="D79" i="151"/>
  <c r="D77" i="151"/>
  <c r="D75" i="151"/>
  <c r="D73" i="151"/>
  <c r="D71" i="151"/>
  <c r="D69" i="151"/>
  <c r="D67" i="151"/>
  <c r="D65" i="151"/>
  <c r="D63" i="151"/>
  <c r="D61" i="151"/>
  <c r="D59" i="151"/>
  <c r="D57" i="151"/>
  <c r="D55" i="151"/>
  <c r="D53" i="151"/>
  <c r="D51" i="151"/>
  <c r="D49" i="151"/>
  <c r="D47" i="151"/>
  <c r="D45" i="151"/>
  <c r="D43" i="151"/>
  <c r="D41" i="151"/>
  <c r="D39" i="151"/>
  <c r="D37" i="151"/>
  <c r="D35" i="151"/>
  <c r="D33" i="151"/>
  <c r="D31" i="151"/>
  <c r="D29" i="151"/>
  <c r="C27" i="151"/>
  <c r="C86" i="151" s="1"/>
  <c r="D25" i="151"/>
  <c r="D23" i="151"/>
  <c r="D21" i="151"/>
  <c r="D23" i="261"/>
  <c r="D25" i="261"/>
  <c r="D27" i="261"/>
  <c r="D29" i="261"/>
  <c r="D31" i="261"/>
  <c r="D33" i="261"/>
  <c r="D35" i="261"/>
  <c r="D37" i="261"/>
  <c r="D39" i="261"/>
  <c r="D41" i="261"/>
  <c r="D43" i="261"/>
  <c r="D45" i="261"/>
  <c r="D47" i="261"/>
  <c r="D49" i="261"/>
  <c r="D51" i="261"/>
  <c r="D53" i="261"/>
  <c r="D55" i="261"/>
  <c r="D57" i="261"/>
  <c r="D59" i="261"/>
  <c r="D61" i="261"/>
  <c r="D63" i="261"/>
  <c r="D65" i="261"/>
  <c r="D67" i="261"/>
  <c r="D69" i="261"/>
  <c r="D71" i="261"/>
  <c r="D73" i="261"/>
  <c r="D75" i="261"/>
  <c r="D77" i="261"/>
  <c r="D79" i="261"/>
  <c r="D81" i="261"/>
  <c r="D83" i="261"/>
  <c r="D85" i="261"/>
  <c r="D21" i="261"/>
  <c r="C27" i="261"/>
  <c r="D28" i="172" l="1"/>
  <c r="D87" i="172"/>
  <c r="D27" i="22"/>
  <c r="D86" i="22" s="1"/>
  <c r="D27" i="12"/>
  <c r="D86" i="12" s="1"/>
  <c r="D28" i="38"/>
  <c r="D87" i="38" s="1"/>
  <c r="D86" i="268"/>
  <c r="D27" i="267"/>
  <c r="D86" i="267" s="1"/>
  <c r="D27" i="266"/>
  <c r="D86" i="266" s="1"/>
  <c r="D27" i="265"/>
  <c r="D86" i="265" s="1"/>
  <c r="D27" i="48"/>
  <c r="D86" i="48" s="1"/>
  <c r="D27" i="44"/>
  <c r="D86" i="44" s="1"/>
  <c r="D27" i="13"/>
  <c r="D86" i="13" s="1"/>
  <c r="D86" i="264"/>
  <c r="D27" i="154"/>
  <c r="D86" i="154" s="1"/>
  <c r="D27" i="151"/>
  <c r="D86" i="151" s="1"/>
  <c r="D86" i="261"/>
  <c r="C86" i="261"/>
  <c r="D85" i="260"/>
  <c r="D83" i="260"/>
  <c r="D81" i="260"/>
  <c r="D79" i="260"/>
  <c r="D77" i="260"/>
  <c r="D75" i="260"/>
  <c r="D73" i="260"/>
  <c r="D71" i="260"/>
  <c r="D69" i="260"/>
  <c r="D67" i="260"/>
  <c r="D65" i="260"/>
  <c r="D63" i="260"/>
  <c r="D61" i="260"/>
  <c r="D59" i="260"/>
  <c r="D57" i="260"/>
  <c r="D55" i="260"/>
  <c r="D53" i="260"/>
  <c r="D51" i="260"/>
  <c r="D49" i="260"/>
  <c r="D47" i="260"/>
  <c r="D45" i="260"/>
  <c r="D43" i="260"/>
  <c r="D41" i="260"/>
  <c r="D39" i="260"/>
  <c r="D37" i="260"/>
  <c r="D35" i="260"/>
  <c r="D33" i="260"/>
  <c r="D31" i="260"/>
  <c r="D29" i="260"/>
  <c r="D27" i="260"/>
  <c r="C27" i="260"/>
  <c r="C86" i="260" s="1"/>
  <c r="D25" i="260"/>
  <c r="D23" i="260"/>
  <c r="D21" i="260"/>
  <c r="D86" i="260" s="1"/>
  <c r="D14" i="257"/>
  <c r="D85" i="259"/>
  <c r="D83" i="259"/>
  <c r="D81" i="259"/>
  <c r="D79" i="259"/>
  <c r="D77" i="259"/>
  <c r="D75" i="259"/>
  <c r="D73" i="259"/>
  <c r="D71" i="259"/>
  <c r="D69" i="259"/>
  <c r="D67" i="259"/>
  <c r="D65" i="259"/>
  <c r="D63" i="259"/>
  <c r="D61" i="259"/>
  <c r="D59" i="259"/>
  <c r="D57" i="259"/>
  <c r="D55" i="259"/>
  <c r="D53" i="259"/>
  <c r="D51" i="259"/>
  <c r="D49" i="259"/>
  <c r="D47" i="259"/>
  <c r="D45" i="259"/>
  <c r="D43" i="259"/>
  <c r="D41" i="259"/>
  <c r="D39" i="259"/>
  <c r="D37" i="259"/>
  <c r="D35" i="259"/>
  <c r="D33" i="259"/>
  <c r="D31" i="259"/>
  <c r="D29" i="259"/>
  <c r="D27" i="259"/>
  <c r="C27" i="259"/>
  <c r="C86" i="259" s="1"/>
  <c r="D25" i="259"/>
  <c r="D23" i="259"/>
  <c r="D21" i="259"/>
  <c r="D86" i="259" s="1"/>
  <c r="D85" i="257"/>
  <c r="D83" i="257"/>
  <c r="D81" i="257"/>
  <c r="D79" i="257"/>
  <c r="D77" i="257"/>
  <c r="D75" i="257"/>
  <c r="D73" i="257"/>
  <c r="D71" i="257"/>
  <c r="D69" i="257"/>
  <c r="D67" i="257"/>
  <c r="D65" i="257"/>
  <c r="D63" i="257"/>
  <c r="D61" i="257"/>
  <c r="D59" i="257"/>
  <c r="D57" i="257"/>
  <c r="D55" i="257"/>
  <c r="D53" i="257"/>
  <c r="D51" i="257"/>
  <c r="D49" i="257"/>
  <c r="D47" i="257"/>
  <c r="D45" i="257"/>
  <c r="D43" i="257"/>
  <c r="D41" i="257"/>
  <c r="D39" i="257"/>
  <c r="D37" i="257"/>
  <c r="D35" i="257"/>
  <c r="D33" i="257"/>
  <c r="D31" i="257"/>
  <c r="D29" i="257"/>
  <c r="D27" i="257"/>
  <c r="C27" i="257"/>
  <c r="C86" i="257" s="1"/>
  <c r="D25" i="257"/>
  <c r="D23" i="257"/>
  <c r="D21" i="257"/>
  <c r="D86" i="257" s="1"/>
  <c r="D23" i="256"/>
  <c r="D25" i="256"/>
  <c r="D27" i="256"/>
  <c r="D29" i="256"/>
  <c r="D31" i="256"/>
  <c r="D33" i="256"/>
  <c r="D35" i="256"/>
  <c r="D37" i="256"/>
  <c r="D39" i="256"/>
  <c r="D41" i="256"/>
  <c r="D43" i="256"/>
  <c r="D45" i="256"/>
  <c r="D47" i="256"/>
  <c r="D49" i="256"/>
  <c r="D51" i="256"/>
  <c r="D53" i="256"/>
  <c r="D55" i="256"/>
  <c r="D57" i="256"/>
  <c r="D59" i="256"/>
  <c r="D61" i="256"/>
  <c r="D63" i="256"/>
  <c r="D65" i="256"/>
  <c r="D67" i="256"/>
  <c r="D69" i="256"/>
  <c r="D71" i="256"/>
  <c r="D73" i="256"/>
  <c r="D75" i="256"/>
  <c r="D77" i="256"/>
  <c r="D79" i="256"/>
  <c r="D81" i="256"/>
  <c r="D83" i="256"/>
  <c r="D85" i="256"/>
  <c r="D21" i="256"/>
  <c r="C27" i="256"/>
  <c r="C86" i="256" s="1"/>
  <c r="D85" i="255"/>
  <c r="D83" i="255"/>
  <c r="D81" i="255"/>
  <c r="D79" i="255"/>
  <c r="D77" i="255"/>
  <c r="D75" i="255"/>
  <c r="D73" i="255"/>
  <c r="D71" i="255"/>
  <c r="D69" i="255"/>
  <c r="D67" i="255"/>
  <c r="D65" i="255"/>
  <c r="D63" i="255"/>
  <c r="D61" i="255"/>
  <c r="D59" i="255"/>
  <c r="D57" i="255"/>
  <c r="D55" i="255"/>
  <c r="D53" i="255"/>
  <c r="D51" i="255"/>
  <c r="D49" i="255"/>
  <c r="D47" i="255"/>
  <c r="D45" i="255"/>
  <c r="D43" i="255"/>
  <c r="D41" i="255"/>
  <c r="D39" i="255"/>
  <c r="D37" i="255"/>
  <c r="D35" i="255"/>
  <c r="D33" i="255"/>
  <c r="D31" i="255"/>
  <c r="D29" i="255"/>
  <c r="C27" i="255"/>
  <c r="C86" i="255" s="1"/>
  <c r="D25" i="255"/>
  <c r="D23" i="255"/>
  <c r="D21" i="255"/>
  <c r="D85" i="254"/>
  <c r="D83" i="254"/>
  <c r="D81" i="254"/>
  <c r="D79" i="254"/>
  <c r="D77" i="254"/>
  <c r="D75" i="254"/>
  <c r="D73" i="254"/>
  <c r="D71" i="254"/>
  <c r="D69" i="254"/>
  <c r="D67" i="254"/>
  <c r="D65" i="254"/>
  <c r="D63" i="254"/>
  <c r="D61" i="254"/>
  <c r="D59" i="254"/>
  <c r="D57" i="254"/>
  <c r="D55" i="254"/>
  <c r="D53" i="254"/>
  <c r="D51" i="254"/>
  <c r="D49" i="254"/>
  <c r="D47" i="254"/>
  <c r="D45" i="254"/>
  <c r="D43" i="254"/>
  <c r="D41" i="254"/>
  <c r="D39" i="254"/>
  <c r="D37" i="254"/>
  <c r="D35" i="254"/>
  <c r="D33" i="254"/>
  <c r="D31" i="254"/>
  <c r="D29" i="254"/>
  <c r="C27" i="254"/>
  <c r="C86" i="254" s="1"/>
  <c r="D25" i="254"/>
  <c r="D23" i="254"/>
  <c r="D21" i="254"/>
  <c r="D55" i="253"/>
  <c r="D71" i="253"/>
  <c r="D23" i="253"/>
  <c r="D25" i="253"/>
  <c r="D27" i="253"/>
  <c r="D29" i="253"/>
  <c r="D31" i="253"/>
  <c r="D33" i="253"/>
  <c r="D35" i="253"/>
  <c r="D37" i="253"/>
  <c r="D39" i="253"/>
  <c r="D41" i="253"/>
  <c r="D43" i="253"/>
  <c r="D45" i="253"/>
  <c r="D47" i="253"/>
  <c r="D49" i="253"/>
  <c r="D51" i="253"/>
  <c r="D53" i="253"/>
  <c r="D57" i="253"/>
  <c r="D59" i="253"/>
  <c r="D61" i="253"/>
  <c r="D63" i="253"/>
  <c r="D65" i="253"/>
  <c r="D67" i="253"/>
  <c r="D69" i="253"/>
  <c r="D73" i="253"/>
  <c r="D75" i="253"/>
  <c r="D77" i="253"/>
  <c r="D79" i="253"/>
  <c r="D81" i="253"/>
  <c r="D83" i="253"/>
  <c r="D85" i="253"/>
  <c r="D21" i="253"/>
  <c r="C27" i="253"/>
  <c r="D23" i="251"/>
  <c r="D25" i="251"/>
  <c r="D27" i="251"/>
  <c r="D29" i="251"/>
  <c r="D31" i="251"/>
  <c r="D33" i="251"/>
  <c r="D35" i="251"/>
  <c r="D37" i="251"/>
  <c r="D39" i="251"/>
  <c r="D41" i="251"/>
  <c r="D43" i="251"/>
  <c r="D45" i="251"/>
  <c r="D47" i="251"/>
  <c r="D49" i="251"/>
  <c r="D51" i="251"/>
  <c r="D53" i="251"/>
  <c r="D55" i="251"/>
  <c r="D57" i="251"/>
  <c r="D59" i="251"/>
  <c r="D61" i="251"/>
  <c r="D63" i="251"/>
  <c r="D65" i="251"/>
  <c r="D67" i="251"/>
  <c r="D69" i="251"/>
  <c r="D71" i="251"/>
  <c r="D73" i="251"/>
  <c r="D75" i="251"/>
  <c r="D77" i="251"/>
  <c r="D79" i="251"/>
  <c r="D81" i="251"/>
  <c r="D83" i="251"/>
  <c r="D85" i="251"/>
  <c r="D21" i="251"/>
  <c r="C27" i="251"/>
  <c r="C86" i="251" s="1"/>
  <c r="D85" i="252"/>
  <c r="D83" i="252"/>
  <c r="D81" i="252"/>
  <c r="D79" i="252"/>
  <c r="D78" i="252"/>
  <c r="D77" i="252"/>
  <c r="D75" i="252"/>
  <c r="D73" i="252"/>
  <c r="D71" i="252"/>
  <c r="D69" i="252"/>
  <c r="D67" i="252"/>
  <c r="D65" i="252"/>
  <c r="D63" i="252"/>
  <c r="D61" i="252"/>
  <c r="D59" i="252"/>
  <c r="D57" i="252"/>
  <c r="D55" i="252"/>
  <c r="D53" i="252"/>
  <c r="D51" i="252"/>
  <c r="D49" i="252"/>
  <c r="D47" i="252"/>
  <c r="D45" i="252"/>
  <c r="D43" i="252"/>
  <c r="D41" i="252"/>
  <c r="D39" i="252"/>
  <c r="D37" i="252"/>
  <c r="D35" i="252"/>
  <c r="D33" i="252"/>
  <c r="D31" i="252"/>
  <c r="D29" i="252"/>
  <c r="D27" i="252"/>
  <c r="C27" i="252"/>
  <c r="C86" i="252" s="1"/>
  <c r="D25" i="252"/>
  <c r="D23" i="252"/>
  <c r="D21" i="252"/>
  <c r="D86" i="252" s="1"/>
  <c r="D85" i="250"/>
  <c r="D83" i="250"/>
  <c r="D81" i="250"/>
  <c r="D79" i="250"/>
  <c r="D77" i="250"/>
  <c r="D75" i="250"/>
  <c r="D73" i="250"/>
  <c r="D71" i="250"/>
  <c r="D69" i="250"/>
  <c r="D67" i="250"/>
  <c r="D65" i="250"/>
  <c r="D63" i="250"/>
  <c r="D61" i="250"/>
  <c r="D59" i="250"/>
  <c r="D57" i="250"/>
  <c r="D55" i="250"/>
  <c r="D53" i="250"/>
  <c r="D51" i="250"/>
  <c r="D49" i="250"/>
  <c r="D47" i="250"/>
  <c r="D45" i="250"/>
  <c r="D43" i="250"/>
  <c r="D41" i="250"/>
  <c r="D39" i="250"/>
  <c r="D37" i="250"/>
  <c r="D35" i="250"/>
  <c r="D33" i="250"/>
  <c r="D31" i="250"/>
  <c r="D29" i="250"/>
  <c r="D27" i="250"/>
  <c r="C27" i="250"/>
  <c r="C86" i="250" s="1"/>
  <c r="D25" i="250"/>
  <c r="D23" i="250"/>
  <c r="D21" i="250"/>
  <c r="D86" i="250" s="1"/>
  <c r="D17" i="249"/>
  <c r="D14" i="249"/>
  <c r="D85" i="249"/>
  <c r="D83" i="249"/>
  <c r="D81" i="249"/>
  <c r="D79" i="249"/>
  <c r="D77" i="249"/>
  <c r="D75" i="249"/>
  <c r="D73" i="249"/>
  <c r="D71" i="249"/>
  <c r="D69" i="249"/>
  <c r="D67" i="249"/>
  <c r="D65" i="249"/>
  <c r="D63" i="249"/>
  <c r="D61" i="249"/>
  <c r="D59" i="249"/>
  <c r="D57" i="249"/>
  <c r="D55" i="249"/>
  <c r="D53" i="249"/>
  <c r="D51" i="249"/>
  <c r="D49" i="249"/>
  <c r="D47" i="249"/>
  <c r="D45" i="249"/>
  <c r="D43" i="249"/>
  <c r="D41" i="249"/>
  <c r="D39" i="249"/>
  <c r="D37" i="249"/>
  <c r="D35" i="249"/>
  <c r="D33" i="249"/>
  <c r="D31" i="249"/>
  <c r="D29" i="249"/>
  <c r="C27" i="249"/>
  <c r="C86" i="249" s="1"/>
  <c r="D25" i="249"/>
  <c r="D23" i="249"/>
  <c r="D21" i="249"/>
  <c r="D18" i="248"/>
  <c r="D15" i="248"/>
  <c r="D24" i="248"/>
  <c r="D26" i="248"/>
  <c r="D30" i="248"/>
  <c r="D32" i="248"/>
  <c r="D34" i="248"/>
  <c r="D36" i="248"/>
  <c r="D38" i="248"/>
  <c r="D40" i="248"/>
  <c r="D42" i="248"/>
  <c r="D44" i="248"/>
  <c r="D46" i="248"/>
  <c r="D48" i="248"/>
  <c r="D50" i="248"/>
  <c r="D52" i="248"/>
  <c r="D54" i="248"/>
  <c r="D56" i="248"/>
  <c r="D58" i="248"/>
  <c r="D60" i="248"/>
  <c r="D62" i="248"/>
  <c r="D64" i="248"/>
  <c r="D66" i="248"/>
  <c r="D68" i="248"/>
  <c r="D70" i="248"/>
  <c r="D72" i="248"/>
  <c r="D74" i="248"/>
  <c r="D76" i="248"/>
  <c r="D78" i="248"/>
  <c r="D80" i="248"/>
  <c r="D82" i="248"/>
  <c r="D84" i="248"/>
  <c r="D86" i="248"/>
  <c r="D22" i="248"/>
  <c r="C28" i="248"/>
  <c r="D28" i="248" s="1"/>
  <c r="D16" i="247"/>
  <c r="D17" i="247"/>
  <c r="D14" i="247"/>
  <c r="D86" i="247"/>
  <c r="D23" i="247"/>
  <c r="D25" i="247"/>
  <c r="D27" i="247"/>
  <c r="D29" i="247"/>
  <c r="D31" i="247"/>
  <c r="D33" i="247"/>
  <c r="D35" i="247"/>
  <c r="D37" i="247"/>
  <c r="D39" i="247"/>
  <c r="D41" i="247"/>
  <c r="D43" i="247"/>
  <c r="D45" i="247"/>
  <c r="D47" i="247"/>
  <c r="D49" i="247"/>
  <c r="D51" i="247"/>
  <c r="D53" i="247"/>
  <c r="D55" i="247"/>
  <c r="D57" i="247"/>
  <c r="D59" i="247"/>
  <c r="D61" i="247"/>
  <c r="D63" i="247"/>
  <c r="D65" i="247"/>
  <c r="D67" i="247"/>
  <c r="D69" i="247"/>
  <c r="D71" i="247"/>
  <c r="D73" i="247"/>
  <c r="D75" i="247"/>
  <c r="D77" i="247"/>
  <c r="D79" i="247"/>
  <c r="D81" i="247"/>
  <c r="D83" i="247"/>
  <c r="D85" i="247"/>
  <c r="D21" i="247"/>
  <c r="C27" i="247"/>
  <c r="D86" i="256" l="1"/>
  <c r="D27" i="255"/>
  <c r="D86" i="255" s="1"/>
  <c r="D27" i="254"/>
  <c r="D86" i="254" s="1"/>
  <c r="D86" i="253"/>
  <c r="C86" i="253"/>
  <c r="D86" i="251"/>
  <c r="D27" i="249"/>
  <c r="D86" i="249" s="1"/>
  <c r="C87" i="248"/>
  <c r="D87" i="248"/>
  <c r="C86" i="247"/>
  <c r="D23" i="246"/>
  <c r="D25" i="246"/>
  <c r="D86" i="246" s="1"/>
  <c r="D27" i="246"/>
  <c r="D29" i="246"/>
  <c r="D31" i="246"/>
  <c r="D33" i="246"/>
  <c r="D35" i="246"/>
  <c r="D37" i="246"/>
  <c r="D39" i="246"/>
  <c r="D41" i="246"/>
  <c r="D43" i="246"/>
  <c r="D45" i="246"/>
  <c r="D47" i="246"/>
  <c r="D49" i="246"/>
  <c r="D51" i="246"/>
  <c r="D53" i="246"/>
  <c r="D55" i="246"/>
  <c r="D57" i="246"/>
  <c r="D59" i="246"/>
  <c r="D61" i="246"/>
  <c r="D63" i="246"/>
  <c r="D65" i="246"/>
  <c r="D67" i="246"/>
  <c r="D69" i="246"/>
  <c r="D71" i="246"/>
  <c r="D73" i="246"/>
  <c r="D75" i="246"/>
  <c r="D77" i="246"/>
  <c r="D79" i="246"/>
  <c r="D81" i="246"/>
  <c r="D83" i="246"/>
  <c r="D85" i="246"/>
  <c r="D21" i="246"/>
  <c r="C27" i="246"/>
  <c r="C86" i="246" s="1"/>
  <c r="D23" i="245"/>
  <c r="D25" i="245"/>
  <c r="D27" i="245"/>
  <c r="D29" i="245"/>
  <c r="D31" i="245"/>
  <c r="D33" i="245"/>
  <c r="D35" i="245"/>
  <c r="D37" i="245"/>
  <c r="D39" i="245"/>
  <c r="D41" i="245"/>
  <c r="D43" i="245"/>
  <c r="D45" i="245"/>
  <c r="D47" i="245"/>
  <c r="D48" i="245"/>
  <c r="D49" i="245"/>
  <c r="D51" i="245"/>
  <c r="D53" i="245"/>
  <c r="D55" i="245"/>
  <c r="D57" i="245"/>
  <c r="D59" i="245"/>
  <c r="D61" i="245"/>
  <c r="D63" i="245"/>
  <c r="D65" i="245"/>
  <c r="D67" i="245"/>
  <c r="D69" i="245"/>
  <c r="D71" i="245"/>
  <c r="D73" i="245"/>
  <c r="D75" i="245"/>
  <c r="D77" i="245"/>
  <c r="D79" i="245"/>
  <c r="D81" i="245"/>
  <c r="D83" i="245"/>
  <c r="D85" i="245"/>
  <c r="D21" i="245"/>
  <c r="C86" i="245"/>
  <c r="C27" i="245"/>
  <c r="D81" i="244"/>
  <c r="D23" i="244"/>
  <c r="D25" i="244"/>
  <c r="D29" i="244"/>
  <c r="D31" i="244"/>
  <c r="D33" i="244"/>
  <c r="D35" i="244"/>
  <c r="D37" i="244"/>
  <c r="D39" i="244"/>
  <c r="D41" i="244"/>
  <c r="D43" i="244"/>
  <c r="D45" i="244"/>
  <c r="D47" i="244"/>
  <c r="D49" i="244"/>
  <c r="D51" i="244"/>
  <c r="D53" i="244"/>
  <c r="D55" i="244"/>
  <c r="D57" i="244"/>
  <c r="D59" i="244"/>
  <c r="D61" i="244"/>
  <c r="D63" i="244"/>
  <c r="D65" i="244"/>
  <c r="D67" i="244"/>
  <c r="D69" i="244"/>
  <c r="D71" i="244"/>
  <c r="D73" i="244"/>
  <c r="D75" i="244"/>
  <c r="D77" i="244"/>
  <c r="D79" i="244"/>
  <c r="D83" i="244"/>
  <c r="D85" i="244"/>
  <c r="D21" i="244"/>
  <c r="C86" i="244"/>
  <c r="C27" i="244"/>
  <c r="D27" i="244" s="1"/>
  <c r="D86" i="245" l="1"/>
  <c r="D86" i="244"/>
  <c r="D86" i="241"/>
  <c r="D23" i="241"/>
  <c r="D25" i="241"/>
  <c r="D27" i="241"/>
  <c r="D29" i="241"/>
  <c r="D31" i="241"/>
  <c r="D33" i="241"/>
  <c r="D35" i="241"/>
  <c r="D37" i="241"/>
  <c r="D39" i="241"/>
  <c r="D41" i="241"/>
  <c r="D43" i="241"/>
  <c r="D45" i="241"/>
  <c r="D47" i="241"/>
  <c r="D49" i="241"/>
  <c r="D51" i="241"/>
  <c r="D53" i="241"/>
  <c r="D55" i="241"/>
  <c r="D57" i="241"/>
  <c r="D59" i="241"/>
  <c r="D61" i="241"/>
  <c r="D63" i="241"/>
  <c r="D65" i="241"/>
  <c r="D67" i="241"/>
  <c r="D69" i="241"/>
  <c r="D71" i="241"/>
  <c r="D73" i="241"/>
  <c r="D75" i="241"/>
  <c r="D77" i="241"/>
  <c r="D79" i="241"/>
  <c r="D81" i="241"/>
  <c r="D83" i="241"/>
  <c r="D85" i="241"/>
  <c r="D21" i="241"/>
  <c r="C27" i="241"/>
  <c r="C86" i="241" s="1"/>
  <c r="D71" i="240"/>
  <c r="D23" i="240"/>
  <c r="D25" i="240"/>
  <c r="D27" i="240"/>
  <c r="D29" i="240"/>
  <c r="D31" i="240"/>
  <c r="D33" i="240"/>
  <c r="D35" i="240"/>
  <c r="D37" i="240"/>
  <c r="D39" i="240"/>
  <c r="D41" i="240"/>
  <c r="D43" i="240"/>
  <c r="D45" i="240"/>
  <c r="D47" i="240"/>
  <c r="D49" i="240"/>
  <c r="D51" i="240"/>
  <c r="D53" i="240"/>
  <c r="D55" i="240"/>
  <c r="D57" i="240"/>
  <c r="D59" i="240"/>
  <c r="D61" i="240"/>
  <c r="D63" i="240"/>
  <c r="D65" i="240"/>
  <c r="D67" i="240"/>
  <c r="D69" i="240"/>
  <c r="D73" i="240"/>
  <c r="D75" i="240"/>
  <c r="D77" i="240"/>
  <c r="D79" i="240"/>
  <c r="D81" i="240"/>
  <c r="D83" i="240"/>
  <c r="D85" i="240"/>
  <c r="D21" i="240"/>
  <c r="C27" i="240"/>
  <c r="D86" i="240" l="1"/>
  <c r="C86" i="240"/>
  <c r="D87" i="243"/>
  <c r="D85" i="243"/>
  <c r="D83" i="243"/>
  <c r="D81" i="243"/>
  <c r="D80" i="243"/>
  <c r="D79" i="243"/>
  <c r="D77" i="243"/>
  <c r="D75" i="243"/>
  <c r="D73" i="243"/>
  <c r="D71" i="243"/>
  <c r="D69" i="243"/>
  <c r="D67" i="243"/>
  <c r="D65" i="243"/>
  <c r="D63" i="243"/>
  <c r="D61" i="243"/>
  <c r="D59" i="243"/>
  <c r="D57" i="243"/>
  <c r="D55" i="243"/>
  <c r="D53" i="243"/>
  <c r="D51" i="243"/>
  <c r="D49" i="243"/>
  <c r="D47" i="243"/>
  <c r="D45" i="243"/>
  <c r="D43" i="243"/>
  <c r="D41" i="243"/>
  <c r="D39" i="243"/>
  <c r="D37" i="243"/>
  <c r="D35" i="243"/>
  <c r="D33" i="243"/>
  <c r="D31" i="243"/>
  <c r="D29" i="243"/>
  <c r="C27" i="243"/>
  <c r="C88" i="243" s="1"/>
  <c r="D25" i="243"/>
  <c r="D23" i="243"/>
  <c r="D21" i="243"/>
  <c r="D85" i="242"/>
  <c r="D83" i="242"/>
  <c r="D81" i="242"/>
  <c r="D79" i="242"/>
  <c r="D77" i="242"/>
  <c r="D75" i="242"/>
  <c r="D73" i="242"/>
  <c r="D71" i="242"/>
  <c r="D69" i="242"/>
  <c r="D67" i="242"/>
  <c r="D65" i="242"/>
  <c r="D63" i="242"/>
  <c r="D61" i="242"/>
  <c r="D59" i="242"/>
  <c r="D57" i="242"/>
  <c r="D55" i="242"/>
  <c r="D53" i="242"/>
  <c r="D51" i="242"/>
  <c r="D49" i="242"/>
  <c r="D47" i="242"/>
  <c r="D45" i="242"/>
  <c r="D43" i="242"/>
  <c r="D41" i="242"/>
  <c r="D39" i="242"/>
  <c r="D37" i="242"/>
  <c r="D35" i="242"/>
  <c r="D33" i="242"/>
  <c r="D31" i="242"/>
  <c r="D29" i="242"/>
  <c r="C27" i="242"/>
  <c r="C86" i="242" s="1"/>
  <c r="D25" i="242"/>
  <c r="D23" i="242"/>
  <c r="D21" i="242"/>
  <c r="D85" i="239"/>
  <c r="D83" i="239"/>
  <c r="D81" i="239"/>
  <c r="D79" i="239"/>
  <c r="D77" i="239"/>
  <c r="D75" i="239"/>
  <c r="D73" i="239"/>
  <c r="D71" i="239"/>
  <c r="D69" i="239"/>
  <c r="D67" i="239"/>
  <c r="D65" i="239"/>
  <c r="D63" i="239"/>
  <c r="D61" i="239"/>
  <c r="D59" i="239"/>
  <c r="D57" i="239"/>
  <c r="D55" i="239"/>
  <c r="D53" i="239"/>
  <c r="D51" i="239"/>
  <c r="D49" i="239"/>
  <c r="D47" i="239"/>
  <c r="D45" i="239"/>
  <c r="D43" i="239"/>
  <c r="D41" i="239"/>
  <c r="D39" i="239"/>
  <c r="D37" i="239"/>
  <c r="D35" i="239"/>
  <c r="D33" i="239"/>
  <c r="D31" i="239"/>
  <c r="D29" i="239"/>
  <c r="C27" i="239"/>
  <c r="D27" i="239" s="1"/>
  <c r="D25" i="239"/>
  <c r="D23" i="239"/>
  <c r="D21" i="239"/>
  <c r="D26" i="238"/>
  <c r="D24" i="238"/>
  <c r="D30" i="238"/>
  <c r="D32" i="238"/>
  <c r="D34" i="238"/>
  <c r="D36" i="238"/>
  <c r="D38" i="238"/>
  <c r="D40" i="238"/>
  <c r="D42" i="238"/>
  <c r="D44" i="238"/>
  <c r="D46" i="238"/>
  <c r="D48" i="238"/>
  <c r="D50" i="238"/>
  <c r="D52" i="238"/>
  <c r="D54" i="238"/>
  <c r="D56" i="238"/>
  <c r="D58" i="238"/>
  <c r="D60" i="238"/>
  <c r="D62" i="238"/>
  <c r="D64" i="238"/>
  <c r="D66" i="238"/>
  <c r="D68" i="238"/>
  <c r="D70" i="238"/>
  <c r="D72" i="238"/>
  <c r="D74" i="238"/>
  <c r="D76" i="238"/>
  <c r="D78" i="238"/>
  <c r="D80" i="238"/>
  <c r="D81" i="238"/>
  <c r="D82" i="238"/>
  <c r="D84" i="238"/>
  <c r="D86" i="238"/>
  <c r="D88" i="238"/>
  <c r="D22" i="238"/>
  <c r="C28" i="238"/>
  <c r="D28" i="238" s="1"/>
  <c r="D32" i="237"/>
  <c r="D78" i="237"/>
  <c r="D66" i="237"/>
  <c r="D42" i="237"/>
  <c r="D34" i="237"/>
  <c r="D20" i="237"/>
  <c r="D13" i="237"/>
  <c r="D86" i="239" l="1"/>
  <c r="D27" i="243"/>
  <c r="D88" i="243" s="1"/>
  <c r="D27" i="242"/>
  <c r="D86" i="242" s="1"/>
  <c r="C86" i="239"/>
  <c r="D89" i="238"/>
  <c r="C89" i="238"/>
  <c r="D14" i="182" l="1"/>
  <c r="C26" i="237" l="1"/>
  <c r="D17" i="230" l="1"/>
  <c r="D17" i="229"/>
  <c r="D17" i="225"/>
  <c r="D17" i="217"/>
  <c r="D17" i="216"/>
  <c r="D17" i="206"/>
  <c r="D17" i="191"/>
  <c r="D17" i="190"/>
  <c r="D17" i="186"/>
  <c r="D17" i="169"/>
  <c r="D17" i="168"/>
  <c r="D16" i="163"/>
  <c r="D15" i="167"/>
  <c r="D16" i="164"/>
  <c r="D18" i="84"/>
  <c r="D17" i="182"/>
  <c r="D17" i="181"/>
  <c r="D17" i="179" l="1"/>
  <c r="D15" i="203" l="1"/>
  <c r="D17" i="177"/>
  <c r="D17" i="176"/>
  <c r="D18" i="172"/>
  <c r="D18" i="76"/>
  <c r="D17" i="70"/>
  <c r="D17" i="60"/>
  <c r="D17" i="48"/>
  <c r="D17" i="44"/>
  <c r="D17" i="26"/>
  <c r="D17" i="13" l="1"/>
  <c r="D14" i="13"/>
  <c r="C15" i="268" l="1"/>
  <c r="D15" i="268" s="1"/>
  <c r="C15" i="267"/>
  <c r="D15" i="267" s="1"/>
  <c r="C15" i="266"/>
  <c r="D15" i="266" s="1"/>
  <c r="C15" i="265"/>
  <c r="D15" i="265" s="1"/>
  <c r="D17" i="264"/>
  <c r="D15" i="264"/>
  <c r="C15" i="263"/>
  <c r="D15" i="263" s="1"/>
  <c r="D17" i="262"/>
  <c r="D17" i="261"/>
  <c r="C15" i="261"/>
  <c r="D17" i="260"/>
  <c r="D15" i="260"/>
  <c r="D17" i="259"/>
  <c r="C15" i="259"/>
  <c r="D15" i="259" s="1"/>
  <c r="D17" i="256"/>
  <c r="D14" i="256"/>
  <c r="D17" i="255"/>
  <c r="D14" i="255"/>
  <c r="D17" i="254"/>
  <c r="D17" i="253"/>
  <c r="C15" i="253"/>
  <c r="D15" i="253" s="1"/>
  <c r="D17" i="252"/>
  <c r="C90" i="252" s="1"/>
  <c r="D14" i="252"/>
  <c r="C15" i="252"/>
  <c r="D17" i="251"/>
  <c r="D15" i="251"/>
  <c r="D17" i="250"/>
  <c r="D14" i="250"/>
  <c r="C15" i="249"/>
  <c r="D15" i="249" s="1"/>
  <c r="D17" i="246"/>
  <c r="D14" i="246"/>
  <c r="D14" i="259" l="1"/>
  <c r="D14" i="268"/>
  <c r="D18" i="268" s="1"/>
  <c r="C18" i="268"/>
  <c r="C87" i="268" s="1"/>
  <c r="D18" i="267"/>
  <c r="D87" i="267" s="1"/>
  <c r="C90" i="267" s="1"/>
  <c r="C18" i="267"/>
  <c r="C87" i="267" s="1"/>
  <c r="D18" i="266"/>
  <c r="D87" i="266" s="1"/>
  <c r="C90" i="266" s="1"/>
  <c r="C18" i="266"/>
  <c r="C87" i="266" s="1"/>
  <c r="D18" i="265"/>
  <c r="D87" i="265" s="1"/>
  <c r="C90" i="265" s="1"/>
  <c r="C18" i="265"/>
  <c r="C87" i="265" s="1"/>
  <c r="C18" i="264"/>
  <c r="C87" i="264" s="1"/>
  <c r="D14" i="264"/>
  <c r="D18" i="264" s="1"/>
  <c r="D87" i="264" s="1"/>
  <c r="C90" i="264" s="1"/>
  <c r="D18" i="263"/>
  <c r="D87" i="263" s="1"/>
  <c r="C90" i="263" s="1"/>
  <c r="C18" i="263"/>
  <c r="C87" i="263" s="1"/>
  <c r="C15" i="262"/>
  <c r="D15" i="262" s="1"/>
  <c r="D14" i="262"/>
  <c r="C18" i="261"/>
  <c r="C87" i="261" s="1"/>
  <c r="D15" i="261"/>
  <c r="D14" i="261"/>
  <c r="D14" i="260"/>
  <c r="D18" i="260" s="1"/>
  <c r="D87" i="260" s="1"/>
  <c r="C90" i="260" s="1"/>
  <c r="C18" i="260"/>
  <c r="C87" i="260" s="1"/>
  <c r="D18" i="259"/>
  <c r="D87" i="259" s="1"/>
  <c r="C90" i="259" s="1"/>
  <c r="C18" i="259"/>
  <c r="C87" i="259" s="1"/>
  <c r="D15" i="256"/>
  <c r="D18" i="256" s="1"/>
  <c r="D87" i="256" s="1"/>
  <c r="C90" i="256" s="1"/>
  <c r="D18" i="257"/>
  <c r="D87" i="257" s="1"/>
  <c r="C90" i="257" s="1"/>
  <c r="C18" i="257"/>
  <c r="C87" i="257" s="1"/>
  <c r="D15" i="255"/>
  <c r="D18" i="255" s="1"/>
  <c r="D87" i="255" s="1"/>
  <c r="C90" i="255" s="1"/>
  <c r="C18" i="255"/>
  <c r="C87" i="255" s="1"/>
  <c r="D14" i="254"/>
  <c r="D15" i="254"/>
  <c r="C18" i="254"/>
  <c r="C87" i="254" s="1"/>
  <c r="D14" i="253"/>
  <c r="D18" i="253" s="1"/>
  <c r="D87" i="253" s="1"/>
  <c r="C90" i="253" s="1"/>
  <c r="C18" i="253"/>
  <c r="C87" i="253" s="1"/>
  <c r="D15" i="252"/>
  <c r="D14" i="251"/>
  <c r="D18" i="251" s="1"/>
  <c r="D87" i="251" s="1"/>
  <c r="C90" i="251" s="1"/>
  <c r="C18" i="251"/>
  <c r="C87" i="251" s="1"/>
  <c r="C15" i="250"/>
  <c r="D15" i="250" s="1"/>
  <c r="D18" i="250" s="1"/>
  <c r="D87" i="250" s="1"/>
  <c r="C90" i="250" s="1"/>
  <c r="C18" i="249"/>
  <c r="C87" i="249" s="1"/>
  <c r="D18" i="249"/>
  <c r="D87" i="249" s="1"/>
  <c r="C90" i="249" s="1"/>
  <c r="C16" i="248"/>
  <c r="D16" i="248" s="1"/>
  <c r="C15" i="247"/>
  <c r="C15" i="246"/>
  <c r="D15" i="246" s="1"/>
  <c r="D18" i="246" s="1"/>
  <c r="D87" i="246" s="1"/>
  <c r="C90" i="246" s="1"/>
  <c r="D17" i="245"/>
  <c r="D14" i="245"/>
  <c r="C15" i="244"/>
  <c r="D17" i="243"/>
  <c r="C15" i="243"/>
  <c r="D17" i="242"/>
  <c r="D14" i="242"/>
  <c r="C15" i="242"/>
  <c r="C18" i="242" s="1"/>
  <c r="C87" i="242" s="1"/>
  <c r="D17" i="241"/>
  <c r="D17" i="240"/>
  <c r="C15" i="240"/>
  <c r="D15" i="240" s="1"/>
  <c r="D17" i="239"/>
  <c r="C15" i="239"/>
  <c r="D18" i="238"/>
  <c r="D81" i="237"/>
  <c r="D76" i="237"/>
  <c r="D74" i="237"/>
  <c r="D72" i="237"/>
  <c r="D70" i="237"/>
  <c r="D68" i="237"/>
  <c r="D64" i="237"/>
  <c r="D62" i="237"/>
  <c r="D60" i="237"/>
  <c r="D58" i="237"/>
  <c r="D56" i="237"/>
  <c r="D54" i="237"/>
  <c r="D52" i="237"/>
  <c r="D48" i="237"/>
  <c r="D50" i="237"/>
  <c r="D46" i="237"/>
  <c r="D44" i="237"/>
  <c r="D40" i="237"/>
  <c r="D38" i="237"/>
  <c r="D36" i="237"/>
  <c r="D30" i="237"/>
  <c r="D28" i="237"/>
  <c r="D26" i="237"/>
  <c r="D22" i="237"/>
  <c r="D83" i="237"/>
  <c r="D16" i="237"/>
  <c r="C18" i="262" l="1"/>
  <c r="C87" i="262" s="1"/>
  <c r="D18" i="262"/>
  <c r="D87" i="262" s="1"/>
  <c r="C90" i="262" s="1"/>
  <c r="D87" i="268"/>
  <c r="C90" i="268" s="1"/>
  <c r="D15" i="247"/>
  <c r="D18" i="247" s="1"/>
  <c r="D87" i="247" s="1"/>
  <c r="C91" i="247" s="1"/>
  <c r="D14" i="244"/>
  <c r="D18" i="261"/>
  <c r="D87" i="261" s="1"/>
  <c r="C90" i="261" s="1"/>
  <c r="C18" i="256"/>
  <c r="C87" i="256" s="1"/>
  <c r="D18" i="254"/>
  <c r="D87" i="254" s="1"/>
  <c r="C90" i="254" s="1"/>
  <c r="D19" i="248"/>
  <c r="D88" i="248" s="1"/>
  <c r="C91" i="248" s="1"/>
  <c r="C18" i="246"/>
  <c r="C87" i="246" s="1"/>
  <c r="C15" i="245"/>
  <c r="D15" i="245" s="1"/>
  <c r="D18" i="245" s="1"/>
  <c r="D87" i="245" s="1"/>
  <c r="C90" i="245" s="1"/>
  <c r="C15" i="241"/>
  <c r="D15" i="241" s="1"/>
  <c r="C16" i="238"/>
  <c r="D16" i="238" s="1"/>
  <c r="C14" i="237"/>
  <c r="D14" i="237" s="1"/>
  <c r="C18" i="250"/>
  <c r="C87" i="250" s="1"/>
  <c r="C19" i="248"/>
  <c r="C88" i="248" s="1"/>
  <c r="C18" i="247"/>
  <c r="C87" i="247" s="1"/>
  <c r="C18" i="244"/>
  <c r="C87" i="244" s="1"/>
  <c r="D15" i="244"/>
  <c r="D18" i="244" s="1"/>
  <c r="D87" i="244" s="1"/>
  <c r="C90" i="244" s="1"/>
  <c r="D15" i="243"/>
  <c r="C18" i="243"/>
  <c r="C89" i="243" s="1"/>
  <c r="D14" i="243"/>
  <c r="D15" i="242"/>
  <c r="D18" i="242" s="1"/>
  <c r="D87" i="242" s="1"/>
  <c r="C90" i="242" s="1"/>
  <c r="D14" i="241"/>
  <c r="D14" i="240"/>
  <c r="D18" i="240" s="1"/>
  <c r="D87" i="240" s="1"/>
  <c r="C90" i="240" s="1"/>
  <c r="C18" i="240"/>
  <c r="D14" i="239"/>
  <c r="C18" i="239"/>
  <c r="C87" i="239" s="1"/>
  <c r="D15" i="239"/>
  <c r="D24" i="237"/>
  <c r="D86" i="237" s="1"/>
  <c r="C16" i="236"/>
  <c r="D14" i="225"/>
  <c r="C16" i="223"/>
  <c r="C15" i="222"/>
  <c r="C18" i="222" s="1"/>
  <c r="C87" i="222" s="1"/>
  <c r="C15" i="219"/>
  <c r="C15" i="215"/>
  <c r="C15" i="213"/>
  <c r="C15" i="211"/>
  <c r="C18" i="211" s="1"/>
  <c r="C87" i="211" s="1"/>
  <c r="C15" i="235"/>
  <c r="C18" i="235" s="1"/>
  <c r="C87" i="235" s="1"/>
  <c r="C15" i="234"/>
  <c r="C18" i="245" l="1"/>
  <c r="C87" i="245" s="1"/>
  <c r="C18" i="241"/>
  <c r="C87" i="241" s="1"/>
  <c r="C87" i="240"/>
  <c r="D18" i="239"/>
  <c r="D87" i="239" s="1"/>
  <c r="C90" i="239" s="1"/>
  <c r="C17" i="237"/>
  <c r="D18" i="230"/>
  <c r="D87" i="230" s="1"/>
  <c r="C90" i="230" s="1"/>
  <c r="C15" i="224"/>
  <c r="C18" i="224" s="1"/>
  <c r="C87" i="224" s="1"/>
  <c r="C15" i="221"/>
  <c r="D18" i="221" s="1"/>
  <c r="D87" i="221" s="1"/>
  <c r="C90" i="221" s="1"/>
  <c r="C15" i="216"/>
  <c r="D15" i="216" s="1"/>
  <c r="C16" i="212"/>
  <c r="D16" i="212" s="1"/>
  <c r="D15" i="212"/>
  <c r="D19" i="212" s="1"/>
  <c r="D88" i="212" s="1"/>
  <c r="C91" i="212" s="1"/>
  <c r="D18" i="241"/>
  <c r="D87" i="241" s="1"/>
  <c r="C90" i="241" s="1"/>
  <c r="C19" i="238"/>
  <c r="C90" i="238" s="1"/>
  <c r="D19" i="238"/>
  <c r="D90" i="238" s="1"/>
  <c r="C93" i="238" s="1"/>
  <c r="D17" i="237"/>
  <c r="C15" i="225"/>
  <c r="D15" i="225" s="1"/>
  <c r="D18" i="225" s="1"/>
  <c r="D87" i="225" s="1"/>
  <c r="C90" i="225" s="1"/>
  <c r="D18" i="243"/>
  <c r="D89" i="243" s="1"/>
  <c r="C92" i="243" s="1"/>
  <c r="D18" i="226"/>
  <c r="D87" i="226" s="1"/>
  <c r="C90" i="226" s="1"/>
  <c r="D18" i="211"/>
  <c r="D87" i="211" s="1"/>
  <c r="C90" i="211" s="1"/>
  <c r="D18" i="222"/>
  <c r="D87" i="222" s="1"/>
  <c r="C90" i="222" s="1"/>
  <c r="C19" i="236"/>
  <c r="C88" i="236" s="1"/>
  <c r="C18" i="234"/>
  <c r="C87" i="234" s="1"/>
  <c r="D18" i="234"/>
  <c r="D87" i="234" s="1"/>
  <c r="C90" i="234" s="1"/>
  <c r="C18" i="233"/>
  <c r="D18" i="232"/>
  <c r="D87" i="232" s="1"/>
  <c r="C90" i="232" s="1"/>
  <c r="C18" i="232"/>
  <c r="C87" i="232" s="1"/>
  <c r="C18" i="231"/>
  <c r="C87" i="231" s="1"/>
  <c r="C18" i="229"/>
  <c r="C87" i="229" s="1"/>
  <c r="D18" i="228"/>
  <c r="D87" i="228" s="1"/>
  <c r="C90" i="228" s="1"/>
  <c r="C18" i="228"/>
  <c r="C87" i="228" s="1"/>
  <c r="C18" i="225"/>
  <c r="C87" i="225" s="1"/>
  <c r="C19" i="223"/>
  <c r="C88" i="223" s="1"/>
  <c r="C15" i="220"/>
  <c r="D18" i="219"/>
  <c r="D87" i="219" s="1"/>
  <c r="C90" i="219" s="1"/>
  <c r="C18" i="219"/>
  <c r="C87" i="219" s="1"/>
  <c r="C15" i="218"/>
  <c r="D18" i="218" s="1"/>
  <c r="D87" i="218" s="1"/>
  <c r="C90" i="218" s="1"/>
  <c r="C15" i="217"/>
  <c r="D15" i="217" s="1"/>
  <c r="D18" i="215"/>
  <c r="C18" i="215"/>
  <c r="C15" i="214"/>
  <c r="D18" i="213"/>
  <c r="D87" i="213" s="1"/>
  <c r="C90" i="213" s="1"/>
  <c r="C18" i="213"/>
  <c r="C87" i="213" s="1"/>
  <c r="D18" i="235"/>
  <c r="D87" i="235" s="1"/>
  <c r="C90" i="235" s="1"/>
  <c r="C15" i="207"/>
  <c r="D15" i="196"/>
  <c r="C15" i="205"/>
  <c r="C15" i="204"/>
  <c r="C16" i="189"/>
  <c r="D16" i="189" s="1"/>
  <c r="C15" i="187"/>
  <c r="D14" i="186"/>
  <c r="C16" i="183"/>
  <c r="D16" i="183" s="1"/>
  <c r="D14" i="181"/>
  <c r="D15" i="172"/>
  <c r="D19" i="236" l="1"/>
  <c r="D88" i="236" s="1"/>
  <c r="C91" i="236" s="1"/>
  <c r="D18" i="224"/>
  <c r="D87" i="224" s="1"/>
  <c r="C90" i="224" s="1"/>
  <c r="C18" i="216"/>
  <c r="C87" i="216" s="1"/>
  <c r="C19" i="212"/>
  <c r="C88" i="212" s="1"/>
  <c r="C18" i="230"/>
  <c r="C87" i="230" s="1"/>
  <c r="C18" i="227"/>
  <c r="C87" i="227" s="1"/>
  <c r="C18" i="221"/>
  <c r="C87" i="221" s="1"/>
  <c r="C15" i="206"/>
  <c r="D15" i="206" s="1"/>
  <c r="D14" i="206"/>
  <c r="C15" i="191"/>
  <c r="D15" i="191" s="1"/>
  <c r="D14" i="191"/>
  <c r="C15" i="190"/>
  <c r="D15" i="190" s="1"/>
  <c r="D14" i="190"/>
  <c r="C16" i="188"/>
  <c r="D87" i="237"/>
  <c r="C90" i="237" s="1"/>
  <c r="D18" i="233"/>
  <c r="D18" i="231"/>
  <c r="D87" i="231" s="1"/>
  <c r="C90" i="231" s="1"/>
  <c r="D18" i="229"/>
  <c r="D87" i="229" s="1"/>
  <c r="C90" i="229" s="1"/>
  <c r="C18" i="226"/>
  <c r="C87" i="226" s="1"/>
  <c r="D19" i="223"/>
  <c r="D88" i="223" s="1"/>
  <c r="C91" i="223" s="1"/>
  <c r="D18" i="227"/>
  <c r="D87" i="227" s="1"/>
  <c r="C90" i="227" s="1"/>
  <c r="D18" i="216"/>
  <c r="D87" i="216" s="1"/>
  <c r="C90" i="216" s="1"/>
  <c r="D18" i="220"/>
  <c r="D87" i="220" s="1"/>
  <c r="C90" i="220" s="1"/>
  <c r="C18" i="220"/>
  <c r="C87" i="220" s="1"/>
  <c r="C18" i="218"/>
  <c r="C87" i="218" s="1"/>
  <c r="D18" i="217"/>
  <c r="D87" i="217" s="1"/>
  <c r="C90" i="217" s="1"/>
  <c r="C18" i="217"/>
  <c r="C87" i="217" s="1"/>
  <c r="D18" i="214"/>
  <c r="D87" i="214" s="1"/>
  <c r="C90" i="214" s="1"/>
  <c r="C18" i="214"/>
  <c r="C87" i="214" s="1"/>
  <c r="C15" i="170" l="1"/>
  <c r="D15" i="170" s="1"/>
  <c r="D14" i="169"/>
  <c r="D14" i="168"/>
  <c r="D12" i="167"/>
  <c r="D13" i="164"/>
  <c r="D15" i="84"/>
  <c r="D15" i="76"/>
  <c r="C15" i="80"/>
  <c r="D14" i="70"/>
  <c r="D14" i="60"/>
  <c r="D14" i="48"/>
  <c r="D14" i="44"/>
  <c r="D17" i="151"/>
  <c r="C14" i="90" l="1"/>
  <c r="C15" i="165"/>
  <c r="C14" i="163"/>
  <c r="D14" i="163" s="1"/>
  <c r="D13" i="163"/>
  <c r="C15" i="166"/>
  <c r="D14" i="26"/>
  <c r="C18" i="166" l="1"/>
  <c r="C87" i="166" s="1"/>
  <c r="C16" i="172" l="1"/>
  <c r="D16" i="172" s="1"/>
  <c r="C17" i="163"/>
  <c r="C86" i="163" s="1"/>
  <c r="C19" i="172" l="1"/>
  <c r="C88" i="172" s="1"/>
  <c r="D17" i="163"/>
  <c r="D86" i="163" s="1"/>
  <c r="C89" i="163" s="1"/>
  <c r="D19" i="172"/>
  <c r="D88" i="172" s="1"/>
  <c r="C91" i="172" s="1"/>
  <c r="C15" i="208" l="1"/>
  <c r="C18" i="207"/>
  <c r="C87" i="207" s="1"/>
  <c r="D18" i="206"/>
  <c r="C18" i="206"/>
  <c r="C18" i="205"/>
  <c r="C87" i="205" s="1"/>
  <c r="C18" i="208" l="1"/>
  <c r="C87" i="208" s="1"/>
  <c r="D18" i="205"/>
  <c r="D87" i="205" s="1"/>
  <c r="C90" i="205" s="1"/>
  <c r="D18" i="208"/>
  <c r="D87" i="208" s="1"/>
  <c r="C90" i="208" s="1"/>
  <c r="D18" i="207"/>
  <c r="D87" i="207" s="1"/>
  <c r="C90" i="207" s="1"/>
  <c r="C18" i="204"/>
  <c r="C87" i="204" s="1"/>
  <c r="D18" i="204"/>
  <c r="D87" i="204" s="1"/>
  <c r="C90" i="204" s="1"/>
  <c r="C16" i="203"/>
  <c r="C85" i="203" s="1"/>
  <c r="D16" i="203"/>
  <c r="D85" i="203" s="1"/>
  <c r="C88" i="203" s="1"/>
  <c r="C18" i="196" l="1"/>
  <c r="C87" i="196" s="1"/>
  <c r="C18" i="191"/>
  <c r="C87" i="191" s="1"/>
  <c r="C18" i="190"/>
  <c r="C87" i="190" s="1"/>
  <c r="C19" i="189"/>
  <c r="C88" i="189" s="1"/>
  <c r="C19" i="188"/>
  <c r="D19" i="188"/>
  <c r="C18" i="187"/>
  <c r="C87" i="187" s="1"/>
  <c r="C15" i="186"/>
  <c r="D15" i="186" s="1"/>
  <c r="C15" i="184"/>
  <c r="D15" i="184" s="1"/>
  <c r="C18" i="186" l="1"/>
  <c r="C18" i="184"/>
  <c r="C87" i="184" s="1"/>
  <c r="D18" i="184"/>
  <c r="D87" i="184" s="1"/>
  <c r="C90" i="184" s="1"/>
  <c r="D18" i="187"/>
  <c r="D87" i="187" s="1"/>
  <c r="C90" i="187" s="1"/>
  <c r="D18" i="196"/>
  <c r="D87" i="196" s="1"/>
  <c r="D18" i="191"/>
  <c r="D87" i="191" s="1"/>
  <c r="C90" i="191" s="1"/>
  <c r="D18" i="190"/>
  <c r="D87" i="190" s="1"/>
  <c r="C90" i="190" s="1"/>
  <c r="D19" i="189"/>
  <c r="D88" i="189" s="1"/>
  <c r="C91" i="189" s="1"/>
  <c r="D18" i="186"/>
  <c r="C18" i="177" l="1"/>
  <c r="C87" i="177" s="1"/>
  <c r="D19" i="183" l="1"/>
  <c r="D88" i="183" s="1"/>
  <c r="C91" i="183" s="1"/>
  <c r="C15" i="182"/>
  <c r="D15" i="182" s="1"/>
  <c r="C15" i="181"/>
  <c r="D15" i="181" s="1"/>
  <c r="D18" i="177"/>
  <c r="D87" i="177" s="1"/>
  <c r="C90" i="177" s="1"/>
  <c r="D18" i="176"/>
  <c r="D87" i="176" s="1"/>
  <c r="C90" i="176" s="1"/>
  <c r="C18" i="176"/>
  <c r="C87" i="176" s="1"/>
  <c r="D19" i="175"/>
  <c r="D88" i="175" s="1"/>
  <c r="C91" i="175" s="1"/>
  <c r="C19" i="174"/>
  <c r="C88" i="174" s="1"/>
  <c r="C18" i="180"/>
  <c r="C87" i="180" s="1"/>
  <c r="C15" i="171"/>
  <c r="C18" i="171" l="1"/>
  <c r="C87" i="171" s="1"/>
  <c r="D15" i="171"/>
  <c r="D18" i="171" s="1"/>
  <c r="D87" i="171" s="1"/>
  <c r="C90" i="171" s="1"/>
  <c r="D18" i="182"/>
  <c r="D87" i="182" s="1"/>
  <c r="C90" i="182" s="1"/>
  <c r="D18" i="181"/>
  <c r="D87" i="181" s="1"/>
  <c r="C90" i="181" s="1"/>
  <c r="C18" i="173"/>
  <c r="C87" i="173" s="1"/>
  <c r="C19" i="183"/>
  <c r="C88" i="183" s="1"/>
  <c r="C18" i="182"/>
  <c r="C87" i="182" s="1"/>
  <c r="C18" i="181"/>
  <c r="C87" i="181" s="1"/>
  <c r="D18" i="179"/>
  <c r="D87" i="179" s="1"/>
  <c r="C90" i="179" s="1"/>
  <c r="C18" i="179"/>
  <c r="C87" i="179" s="1"/>
  <c r="C19" i="175"/>
  <c r="C88" i="175" s="1"/>
  <c r="D19" i="174"/>
  <c r="D88" i="174" s="1"/>
  <c r="C91" i="174" s="1"/>
  <c r="D18" i="173"/>
  <c r="D87" i="173" s="1"/>
  <c r="C90" i="173" s="1"/>
  <c r="D18" i="180"/>
  <c r="D87" i="180" s="1"/>
  <c r="C90" i="180" s="1"/>
  <c r="C17" i="90" l="1"/>
  <c r="C86" i="90" s="1"/>
  <c r="C15" i="169"/>
  <c r="D15" i="169" s="1"/>
  <c r="C15" i="168"/>
  <c r="D15" i="168" s="1"/>
  <c r="C18" i="165"/>
  <c r="C87" i="165" s="1"/>
  <c r="D18" i="166"/>
  <c r="D87" i="166" s="1"/>
  <c r="C90" i="166" s="1"/>
  <c r="C18" i="169" l="1"/>
  <c r="C87" i="169" s="1"/>
  <c r="C18" i="168"/>
  <c r="D18" i="168"/>
  <c r="D17" i="90"/>
  <c r="D86" i="90" s="1"/>
  <c r="C89" i="90" s="1"/>
  <c r="D18" i="169"/>
  <c r="D87" i="169" s="1"/>
  <c r="C90" i="169" s="1"/>
  <c r="D18" i="165"/>
  <c r="D87" i="165" s="1"/>
  <c r="C90" i="165" s="1"/>
  <c r="C13" i="167"/>
  <c r="D13" i="167" s="1"/>
  <c r="C16" i="84"/>
  <c r="D16" i="84" s="1"/>
  <c r="C15" i="86"/>
  <c r="C14" i="164"/>
  <c r="D14" i="164" s="1"/>
  <c r="C15" i="88"/>
  <c r="C16" i="38"/>
  <c r="D16" i="38" s="1"/>
  <c r="D18" i="86" l="1"/>
  <c r="D87" i="86" s="1"/>
  <c r="C90" i="86" s="1"/>
  <c r="C16" i="167"/>
  <c r="C85" i="167" s="1"/>
  <c r="C17" i="164"/>
  <c r="C86" i="164" s="1"/>
  <c r="C18" i="88"/>
  <c r="C87" i="88" s="1"/>
  <c r="C18" i="86"/>
  <c r="C87" i="86" s="1"/>
  <c r="C19" i="38"/>
  <c r="C88" i="38" s="1"/>
  <c r="D16" i="167"/>
  <c r="D85" i="167" s="1"/>
  <c r="C88" i="167" s="1"/>
  <c r="D17" i="164"/>
  <c r="D86" i="164" s="1"/>
  <c r="C89" i="164" s="1"/>
  <c r="D19" i="38"/>
  <c r="D88" i="38" s="1"/>
  <c r="C91" i="38" s="1"/>
  <c r="D18" i="88"/>
  <c r="D87" i="88" s="1"/>
  <c r="C90" i="88" s="1"/>
  <c r="C19" i="84"/>
  <c r="D19" i="84" l="1"/>
  <c r="C15" i="82"/>
  <c r="D15" i="82" s="1"/>
  <c r="C15" i="13"/>
  <c r="D15" i="13" s="1"/>
  <c r="C15" i="26"/>
  <c r="D15" i="26" s="1"/>
  <c r="C18" i="82" l="1"/>
  <c r="C87" i="82" s="1"/>
  <c r="D18" i="82"/>
  <c r="D87" i="82" s="1"/>
  <c r="C90" i="82" s="1"/>
  <c r="D18" i="26"/>
  <c r="C15" i="12"/>
  <c r="D15" i="12" s="1"/>
  <c r="D18" i="12" l="1"/>
  <c r="D87" i="12" s="1"/>
  <c r="C90" i="12" s="1"/>
  <c r="D18" i="13"/>
  <c r="D87" i="13" s="1"/>
  <c r="C90" i="13" s="1"/>
  <c r="C18" i="13" l="1"/>
  <c r="C87" i="13" s="1"/>
  <c r="C15" i="162"/>
  <c r="D14" i="161"/>
  <c r="D17" i="161"/>
  <c r="D14" i="157"/>
  <c r="D17" i="157"/>
  <c r="D14" i="154"/>
  <c r="D17" i="154"/>
  <c r="D14" i="152"/>
  <c r="D17" i="152"/>
  <c r="C15" i="153"/>
  <c r="D17" i="153"/>
  <c r="D14" i="151"/>
  <c r="D15" i="153" l="1"/>
  <c r="C18" i="153"/>
  <c r="C87" i="153" s="1"/>
  <c r="C16" i="155"/>
  <c r="D14" i="153"/>
  <c r="D18" i="153" s="1"/>
  <c r="D87" i="153" s="1"/>
  <c r="C90" i="153" s="1"/>
  <c r="C15" i="154"/>
  <c r="D15" i="154" s="1"/>
  <c r="D18" i="154" s="1"/>
  <c r="D87" i="154" s="1"/>
  <c r="C90" i="154" s="1"/>
  <c r="C15" i="157"/>
  <c r="D15" i="157" s="1"/>
  <c r="D18" i="157" s="1"/>
  <c r="D87" i="157" s="1"/>
  <c r="C90" i="157" s="1"/>
  <c r="C15" i="161"/>
  <c r="D15" i="161" s="1"/>
  <c r="D18" i="161" s="1"/>
  <c r="C15" i="160"/>
  <c r="C15" i="159"/>
  <c r="D18" i="159" s="1"/>
  <c r="D87" i="159" s="1"/>
  <c r="C90" i="159" s="1"/>
  <c r="C18" i="162"/>
  <c r="C87" i="162" s="1"/>
  <c r="D18" i="162"/>
  <c r="D87" i="162" s="1"/>
  <c r="C90" i="162" s="1"/>
  <c r="C15" i="156"/>
  <c r="D14" i="158"/>
  <c r="C15" i="158"/>
  <c r="D15" i="158" s="1"/>
  <c r="C15" i="152"/>
  <c r="C15" i="151"/>
  <c r="D15" i="151" s="1"/>
  <c r="D17" i="150"/>
  <c r="D14" i="150"/>
  <c r="D15" i="160" l="1"/>
  <c r="D18" i="160" s="1"/>
  <c r="D87" i="160" s="1"/>
  <c r="C90" i="160" s="1"/>
  <c r="D19" i="155"/>
  <c r="D88" i="155" s="1"/>
  <c r="C91" i="155" s="1"/>
  <c r="C18" i="159"/>
  <c r="C87" i="159" s="1"/>
  <c r="C18" i="160"/>
  <c r="C87" i="160" s="1"/>
  <c r="C18" i="161"/>
  <c r="C18" i="157"/>
  <c r="C87" i="157" s="1"/>
  <c r="C18" i="154"/>
  <c r="C87" i="154" s="1"/>
  <c r="D15" i="152"/>
  <c r="D18" i="152" s="1"/>
  <c r="C19" i="155"/>
  <c r="C88" i="155" s="1"/>
  <c r="D18" i="151"/>
  <c r="D87" i="151" s="1"/>
  <c r="C90" i="151" s="1"/>
  <c r="D18" i="158"/>
  <c r="D87" i="158" s="1"/>
  <c r="C90" i="158" s="1"/>
  <c r="C18" i="156"/>
  <c r="C87" i="156" s="1"/>
  <c r="C18" i="158"/>
  <c r="C87" i="158" s="1"/>
  <c r="C18" i="152"/>
  <c r="C18" i="151"/>
  <c r="C87" i="151" s="1"/>
  <c r="C15" i="150"/>
  <c r="D15" i="150" s="1"/>
  <c r="D18" i="150" l="1"/>
  <c r="D87" i="150" s="1"/>
  <c r="C90" i="150" s="1"/>
  <c r="C18" i="150"/>
  <c r="C87" i="150" s="1"/>
  <c r="C16" i="76" l="1"/>
  <c r="D16" i="76" s="1"/>
  <c r="C15" i="70"/>
  <c r="D15" i="70" s="1"/>
  <c r="C15" i="60"/>
  <c r="D15" i="60" s="1"/>
  <c r="C18" i="70" l="1"/>
  <c r="C87" i="70" s="1"/>
  <c r="C15" i="56"/>
  <c r="D15" i="56" s="1"/>
  <c r="C15" i="52"/>
  <c r="C15" i="48"/>
  <c r="D15" i="48" s="1"/>
  <c r="C15" i="44"/>
  <c r="D15" i="44" s="1"/>
  <c r="C15" i="22" l="1"/>
  <c r="D15" i="22" s="1"/>
  <c r="D18" i="22" l="1"/>
  <c r="D87" i="22" s="1"/>
  <c r="C90" i="22" s="1"/>
  <c r="D18" i="70"/>
  <c r="D87" i="70" s="1"/>
  <c r="C90" i="70" s="1"/>
  <c r="D18" i="80"/>
  <c r="D87" i="80" s="1"/>
  <c r="C90" i="80" s="1"/>
  <c r="C18" i="80"/>
  <c r="C87" i="80" s="1"/>
  <c r="D19" i="76" l="1"/>
  <c r="D88" i="76" s="1"/>
  <c r="C91" i="76" s="1"/>
  <c r="C19" i="76"/>
  <c r="C88" i="76" s="1"/>
  <c r="D18" i="48" l="1"/>
  <c r="D87" i="48" s="1"/>
  <c r="C90" i="48" s="1"/>
  <c r="D18" i="44"/>
  <c r="D87" i="44" s="1"/>
  <c r="C90" i="44" s="1"/>
  <c r="D18" i="52"/>
  <c r="D87" i="52" s="1"/>
  <c r="C90" i="52" s="1"/>
  <c r="C18" i="52" l="1"/>
  <c r="C87" i="52" s="1"/>
  <c r="C18" i="44"/>
  <c r="C87" i="44" s="1"/>
  <c r="D18" i="60"/>
  <c r="C18" i="60"/>
  <c r="C18" i="56"/>
  <c r="D18" i="56"/>
  <c r="C18" i="48"/>
  <c r="C87" i="48" s="1"/>
  <c r="C18" i="26" l="1"/>
  <c r="C18" i="22"/>
  <c r="C87" i="22" s="1"/>
  <c r="C18" i="12" l="1"/>
  <c r="C87" i="12" s="1"/>
</calcChain>
</file>

<file path=xl/sharedStrings.xml><?xml version="1.0" encoding="utf-8"?>
<sst xmlns="http://schemas.openxmlformats.org/spreadsheetml/2006/main" count="12800" uniqueCount="1681">
  <si>
    <t>Satura rādītājs</t>
  </si>
  <si>
    <t>1.</t>
  </si>
  <si>
    <t>Mācību organizēšana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</si>
  <si>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</si>
  <si>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</si>
  <si>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</si>
  <si>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</si>
  <si>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</si>
  <si>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</si>
  <si>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</si>
  <si>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</si>
  <si>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</si>
  <si>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</si>
  <si>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</si>
  <si>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</si>
  <si>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2.</t>
  </si>
  <si>
    <t>2.1.</t>
  </si>
  <si>
    <t>Asins grupas noteikšana ABO sistēmā izmantojot plaknes metodi (tiešā reakcija)</t>
  </si>
  <si>
    <t>2.2.</t>
  </si>
  <si>
    <t>Vēnas punkcija ar 1 vakutaineri</t>
  </si>
  <si>
    <t>2.3.</t>
  </si>
  <si>
    <t>Vēnas punkcija ar 2 vai vairāk vakutaineriem</t>
  </si>
  <si>
    <t>2.4.</t>
  </si>
  <si>
    <t>2.5.</t>
  </si>
  <si>
    <t>2.6.</t>
  </si>
  <si>
    <t>A apakšgrupas (A1 un A2) precizēšana ABO sistēmā ar lektīniem, stobriņu metodi</t>
  </si>
  <si>
    <t>2.7.</t>
  </si>
  <si>
    <t>ABO asins grupas (dubultreakcija) un Rh (D) noteikšana ar gelkaršu metodi (karte ABO/D+reverse grouping)</t>
  </si>
  <si>
    <t>2.8.</t>
  </si>
  <si>
    <t>2.9.</t>
  </si>
  <si>
    <t>ABO asins grupas (tiešā reakcija) un RH(D) noteikšana ar gelkaršu metodi (karte DiaClon ABO/D)</t>
  </si>
  <si>
    <t>2.10.</t>
  </si>
  <si>
    <t>ABO asins grupas (tiešā reakcija) un RH(D) un DAT noteikšana ar gelkaršu metodi (karte DiaClon ABO/D+DAT)</t>
  </si>
  <si>
    <t>2.11.</t>
  </si>
  <si>
    <t>Rh(D) noteikšana ar plaknes metodi</t>
  </si>
  <si>
    <t>2.12.</t>
  </si>
  <si>
    <t>2.13.</t>
  </si>
  <si>
    <t>Rh fenotipa CcEe un Kell antigēna noteikšana ar gelkaršu metodi</t>
  </si>
  <si>
    <t>2.14.</t>
  </si>
  <si>
    <t>2.15.</t>
  </si>
  <si>
    <t>Eritrocitāra antigēna noteikšana ar gelkaršu metodi.</t>
  </si>
  <si>
    <t>2.16.</t>
  </si>
  <si>
    <t>Eritrocitāru antigēnu P1,Lea,Leb,Lua, Lub vai K,Kpa,Kpb,ka,kb kompleksa noteikšana ar gelkaršu metodi (ag profils I vai II)</t>
  </si>
  <si>
    <t>2.17.</t>
  </si>
  <si>
    <t>Eritrocitāru antigēnu M,N,S,s,Fya,Fyb kompleksa noteikšana ar gelkaršu metodi (ag profils III)</t>
  </si>
  <si>
    <t>2.18.</t>
  </si>
  <si>
    <t>D antigēna apstiprināšana ar gelkaršu metodi, netiešo antiglobulīna testu, ar karti Coombs anti IgG un parciālā D antigēna noteikšanas komplektu</t>
  </si>
  <si>
    <t>2.19.</t>
  </si>
  <si>
    <t>Antieritrocitāro antivielu skrīnings ar gelkaršu metodi, netiešo antiglobulīna testu (1/2 karte Liss Coombs)</t>
  </si>
  <si>
    <t>2.20.</t>
  </si>
  <si>
    <t>2.21.</t>
  </si>
  <si>
    <t>2.22.</t>
  </si>
  <si>
    <t>Antieritrocitāro antivielu identifikācija ar gelkaršu metodi, netiešais antiglobulīna tests (2 kartes Liss/Coombs)</t>
  </si>
  <si>
    <t>2.23.</t>
  </si>
  <si>
    <t>2.24.</t>
  </si>
  <si>
    <t>2.25.</t>
  </si>
  <si>
    <t>2.26.</t>
  </si>
  <si>
    <t>Antieritrocitāro antivielu identifikācija ar gelkaršu metodi, netiešais antiglobulīna tests izmantojot papildus paneli ID Dia Panel Plus (1 karte Liss /Coombs)</t>
  </si>
  <si>
    <t>2.27.</t>
  </si>
  <si>
    <t>2.28.</t>
  </si>
  <si>
    <t>Antieritrocitāro antivielu identifikācija ar gelkaršu metodi, netiešo antiglobulīna testu izmantojot papildus paneli "Column panel 16" (3 kartes Liss/Coombs)</t>
  </si>
  <si>
    <t>2.29.</t>
  </si>
  <si>
    <t>2.30.</t>
  </si>
  <si>
    <t>Recipienta un donora asins saderības tests ar gelkaršu metodi (netiešais antiglobulīna tests)- vienas eritrocītu masas saderināšanai</t>
  </si>
  <si>
    <t>2.31.</t>
  </si>
  <si>
    <t>2.32.</t>
  </si>
  <si>
    <t>Antieritrocitāro antivielu titrēšana ar gelkaršu metodi (1 antigēnu, 2 kartes Liss/Coombs)</t>
  </si>
  <si>
    <t>Antieritrocitāro antivielu titrēšana ar gelkaršu metodi (1 antigēnu, 1 karti Liss/Coombs)</t>
  </si>
  <si>
    <t>Hemolīzes tests 0 grupas standarteritrocītiem (Donāta -Landšteinera tests)</t>
  </si>
  <si>
    <t>Tiešais antiglobulīna tests (DAT) ar gelkaršu metodi</t>
  </si>
  <si>
    <t>Eluāta iegūšana no DAT pozitīviem eritrocītiem ar Dia Cidel</t>
  </si>
  <si>
    <t>Seruma autoadsorbcija ar PEG (divkārša)</t>
  </si>
  <si>
    <t>Seruma alloadsorbcija ar PEG (divkārša)</t>
  </si>
  <si>
    <t>Seruma alloadsorbcija ar enzīmiem apstrādātiem eritrocītiem (bez skrīninga un identifikācijas)</t>
  </si>
  <si>
    <t>Izmeklējamo eritrocītu atmazgāšana imūnhenatoloģiskiem testiem (trīskārša)</t>
  </si>
  <si>
    <t>„Valsts asinsdonoru centra maksas</t>
  </si>
  <si>
    <t xml:space="preserve">pakalpojumu cenrādis" sākotnējās (ex-ante) </t>
  </si>
  <si>
    <t xml:space="preserve">ietekmes novērtējuma ziņojumam (anotācijai) </t>
  </si>
  <si>
    <t>Maksas pakalpojuma izcenojuma aprēķins</t>
  </si>
  <si>
    <t>Plānotais pakalpojuma sniegšanas vienību skaits: 200</t>
  </si>
  <si>
    <t>Izdevumu klasifikācijas kods</t>
  </si>
  <si>
    <t>Rādītājs (materiāla/izejvielas nosaukums, atlīdzība un citi izmaksu veidi)</t>
  </si>
  <si>
    <t>Izmaksu apjoms 1 izmeklējumam (euro)</t>
  </si>
  <si>
    <t>Izmaksu apjoms noteiktā laikposmā viena maksas pakalpojuma veida nodrošināšanai  (euro)</t>
  </si>
  <si>
    <t xml:space="preserve">Tiešās izmaksas </t>
  </si>
  <si>
    <t>Atalgojums</t>
  </si>
  <si>
    <t>Zāles, ķimikālijas, laboratorijas preces</t>
  </si>
  <si>
    <t>Tiešās izmaksas kopā</t>
  </si>
  <si>
    <t>Netiešās izmaksas izmeklējumam</t>
  </si>
  <si>
    <t>Izdevumi par siltumenerģiju</t>
  </si>
  <si>
    <t>Izdevumi par ūdensapgādi un kanalizāciju</t>
  </si>
  <si>
    <t>Izdevumi par elektroenerģiju</t>
  </si>
  <si>
    <t>Nekustamā īpašuma uzturēšana</t>
  </si>
  <si>
    <t>Biroja preces</t>
  </si>
  <si>
    <t>Netiešās izmaksas kopā</t>
  </si>
  <si>
    <t>Pakalpojumu izmaksas kopā</t>
  </si>
  <si>
    <t>Maksas pakalpojuma vienību skaits noteiktā laikposmā (gab.)</t>
  </si>
  <si>
    <t xml:space="preserve">Zāles, ķimikālijas, laboratorijas preces. </t>
  </si>
  <si>
    <t>Plānotais pakalpojuma sniegšanas vienību skaits: 60</t>
  </si>
  <si>
    <t>Izmaksu apjoms 1 izmeklējumam ( euro)</t>
  </si>
  <si>
    <t>Iekārtas, inventāra un aparatūras remonts, tehhniskā apkalpošana</t>
  </si>
  <si>
    <t>Licences, koncesijas un patenti, preču zīmes un līdzīgas tiesības</t>
  </si>
  <si>
    <t>Plānotais pakalpojuma sniegšanas vienību skaits: 100</t>
  </si>
  <si>
    <t>Plānotais pakalpojuma sniegšanas vienību skaits: 20</t>
  </si>
  <si>
    <t>Plānotais pakalpojuma sniegšanas vienību skaits: 700</t>
  </si>
  <si>
    <t>Plānotais pakalpojuma sniegšanas vienību skaits: 30</t>
  </si>
  <si>
    <t>Plānotais pakalpojuma sniegšanas vienību skaits: 10</t>
  </si>
  <si>
    <t xml:space="preserve">Zāles , ķimikālijas, laboratorijas preces. </t>
  </si>
  <si>
    <t>Plānotais pakalpojuma sniegšanas vienību skaits:  10</t>
  </si>
  <si>
    <t>Plānotais pakalpojuma sniegšanas vienību skaits: 5</t>
  </si>
  <si>
    <r>
      <t>Iestāde:</t>
    </r>
    <r>
      <rPr>
        <sz val="9"/>
        <rFont val="Times New Roman"/>
        <family val="1"/>
        <charset val="186"/>
      </rPr>
      <t xml:space="preserve"> Valsts asinsdonoru centrs</t>
    </r>
    <r>
      <rPr>
        <b/>
        <sz val="9"/>
        <rFont val="Times New Roman"/>
        <family val="1"/>
        <charset val="186"/>
      </rPr>
      <t xml:space="preserve"> </t>
    </r>
  </si>
  <si>
    <r>
      <rPr>
        <b/>
        <sz val="9"/>
        <rFont val="Times New Roman"/>
        <family val="1"/>
        <charset val="186"/>
      </rPr>
      <t>Laikaposms:</t>
    </r>
    <r>
      <rPr>
        <sz val="9"/>
        <rFont val="Times New Roman"/>
        <family val="1"/>
        <charset val="186"/>
      </rPr>
      <t xml:space="preserve"> 1 gads</t>
    </r>
  </si>
  <si>
    <r>
      <t xml:space="preserve">Maksas pakalpojuma izcenojums (euro) </t>
    </r>
    <r>
      <rPr>
        <i/>
        <sz val="9"/>
        <rFont val="Times New Roman"/>
        <family val="1"/>
        <charset val="186"/>
      </rPr>
      <t>(pakalpojuma izmaksas kopā, dalītas ar maksas pakalpojuma vienību skaitu noteiktā laikposmā)</t>
    </r>
  </si>
  <si>
    <t>Asins grupas noteikšana ABO sistēmā izmantojot plaknes metodi (dubultreakcija)</t>
  </si>
  <si>
    <t>Izdevumi par atkritumu savākšanu, izvešanu no apdzīvotām vietām un teritorijām ārpus apdzīvotām vietām un atkritumu utilizācija</t>
  </si>
  <si>
    <t>Datortehnika, sakaru un cita biroja tehnika</t>
  </si>
  <si>
    <t xml:space="preserve">Zāles, ķimikālijas, laboratorijas preces </t>
  </si>
  <si>
    <t>Izdevumi iestādes sabiedrisko aktivitāšu īstenošanai</t>
  </si>
  <si>
    <t>Informācijas tehnoloģiju pakalpojumi</t>
  </si>
  <si>
    <t>Iestāžu uzturēšanas materiāli un preces</t>
  </si>
  <si>
    <t>Inventārs</t>
  </si>
  <si>
    <t>Plānotais pakalpojuma sniegšanas vienību skaits: 50</t>
  </si>
  <si>
    <t>Plānotais pakalpojuma sniegšanas vienību skaits: 400</t>
  </si>
  <si>
    <t>Plānotais pakalpojuma sniegšanas vienību skaits:  80</t>
  </si>
  <si>
    <t>Izdevumu klasifikāci jas kods</t>
  </si>
  <si>
    <t>Izdevumi sakaru pakalpojumi</t>
  </si>
  <si>
    <t>Atkritumu izvešana</t>
  </si>
  <si>
    <t>Izdevumi par transporta pakalpojumiem</t>
  </si>
  <si>
    <t>Pakalpojuma veikšanai neizmanto transporta pakalpojumus</t>
  </si>
  <si>
    <t>Informācijas tehnoloģoju pakalpojumi</t>
  </si>
  <si>
    <t>Ēku, telpu īre un noma</t>
  </si>
  <si>
    <t>Pakalpojuma veikšanai neizmanto tehnoloģiskās iekārtas</t>
  </si>
  <si>
    <t>Datortehnikas nolietojums</t>
  </si>
  <si>
    <t>Pakalpojumu izmaksas kopā (bez PVN)</t>
  </si>
  <si>
    <t>PVN 21%</t>
  </si>
  <si>
    <t>Pakalpojumu izmaksas kopā (ar PVN) vienam dalībniekam</t>
  </si>
  <si>
    <t>Izmaksu apjoms 1 dalībniekam (euro)</t>
  </si>
  <si>
    <t>Izmeklējuma veikšanai neizmanto tehnoloģiskās iekārtas</t>
  </si>
  <si>
    <t xml:space="preserve"> </t>
  </si>
  <si>
    <t xml:space="preserve">Reaģentu, materiālu izmaksas praktiskajām nodarbībām </t>
  </si>
  <si>
    <t>Plānotais pakalpojuma sniegšanas vienību skaits: 3</t>
  </si>
  <si>
    <t>Izmaksu apjoms 1 kursam  (euro)</t>
  </si>
  <si>
    <t>Pārējie komandējumu un darba braucienu izdevumi (Izdevumi par braucienu uz kursu vietu un atpakaļ)</t>
  </si>
  <si>
    <t>Degviela</t>
  </si>
  <si>
    <t>(juridiskām personām)</t>
  </si>
  <si>
    <t>Plānotais pakalpojuma sniegšanas vienību skaits: 2</t>
  </si>
  <si>
    <t>(juridiskai personai)</t>
  </si>
  <si>
    <r>
      <t xml:space="preserve">Maksas pakalpojuma veids: </t>
    </r>
    <r>
      <rPr>
        <sz val="9"/>
        <rFont val="Times New Roman"/>
        <family val="1"/>
        <charset val="186"/>
      </rPr>
      <t>2.14. Asins grupas noteikšana ABO sistēmā izmantojot plaknes metodi (tiešā reakcija)</t>
    </r>
  </si>
  <si>
    <r>
      <t xml:space="preserve">Maksas pakalpojuma veids: </t>
    </r>
    <r>
      <rPr>
        <sz val="9"/>
        <rFont val="Times New Roman"/>
        <family val="1"/>
        <charset val="186"/>
      </rPr>
      <t>2.16. Vēnas punkcija ar 2 vai vairāk vakutaineriem</t>
    </r>
  </si>
  <si>
    <r>
      <t xml:space="preserve">Maksas pakalpojuma veids: </t>
    </r>
    <r>
      <rPr>
        <sz val="9"/>
        <rFont val="Times New Roman"/>
        <family val="1"/>
        <charset val="186"/>
      </rPr>
      <t>2.17. A apakšgrupas (A1 un A2) precizēšana ABO sistēmā ar lektīniem, stobriņu metode</t>
    </r>
  </si>
  <si>
    <r>
      <t xml:space="preserve">Maksas pakalpojuma veids: </t>
    </r>
    <r>
      <rPr>
        <sz val="9"/>
        <rFont val="Times New Roman"/>
        <family val="1"/>
        <charset val="186"/>
      </rPr>
      <t>2.19. ABO asins grupas (tiešā reakcija) Rh (D) noteikšana ar gelkaršu metodi (karte DiaClon ABO/D+DAT)</t>
    </r>
  </si>
  <si>
    <r>
      <t xml:space="preserve">Maksas pakalpojuma veids: </t>
    </r>
    <r>
      <rPr>
        <sz val="9"/>
        <rFont val="Times New Roman"/>
        <family val="1"/>
        <charset val="186"/>
      </rPr>
      <t>2.20. Eritrocitāra antigēna noteikšana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</si>
  <si>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2.21. Eritrocitāru antigēnu P1, Lea, Leb, Lua, Lub, vai K, Kpa, Kpb, ka, kb kompleksa noteikšana ar gelkaršu metodi (ag profils I vai II)</t>
    </r>
  </si>
  <si>
    <r>
      <t xml:space="preserve">Maksas pakalpojuma veids: </t>
    </r>
    <r>
      <rPr>
        <sz val="9"/>
        <rFont val="Times New Roman"/>
        <family val="1"/>
        <charset val="186"/>
      </rPr>
      <t>2.22. Eritrocitāru antigēnu M, N, S, s, Fya, Fyb kompleksa noteikšana ar gelkaršu metodi (ag profils III)</t>
    </r>
  </si>
  <si>
    <r>
      <t xml:space="preserve">Maksas pakalpojuma veids: </t>
    </r>
    <r>
      <rPr>
        <sz val="9"/>
        <rFont val="Times New Roman"/>
        <family val="1"/>
        <charset val="186"/>
      </rPr>
      <t>2.23. D antigēna apstiprināšana ar gelkaršu metodi, netiešo antiglobulīna testu, ar karti Coombs anti IgG un parciālā D antigēna noteikšanas komplektu.</t>
    </r>
  </si>
  <si>
    <r>
      <t xml:space="preserve">Maksas pakalpojuma veids: </t>
    </r>
    <r>
      <rPr>
        <sz val="9"/>
        <rFont val="Times New Roman"/>
        <family val="1"/>
        <charset val="186"/>
      </rPr>
      <t>2.24. Antieritrocitāro antivielu skrīnings identifikācija (37° vai 4°, vai 20°) ar gelkaršu metodi, enzīmu testu (1/2/ karte Na Cl enzyme)</t>
    </r>
  </si>
  <si>
    <r>
      <t xml:space="preserve">Maksas pakalpojuma veids: </t>
    </r>
    <r>
      <rPr>
        <sz val="9"/>
        <rFont val="Times New Roman"/>
        <family val="1"/>
        <charset val="186"/>
      </rPr>
      <t>2.25. Antieritrocitāro antivielu titrēšana ar gelkaršu metodi (1 antigēnu, 2 kartes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</si>
  <si>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2.26. Antieritrocitāro antivielu titrēšana ar gelkaršu metodi (1 antigēnu, 1 karti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</si>
  <si>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2.27. Hemolīzes tests 0 grupas standarteritrocītiem (Donāta - Landšteinera tests)</t>
    </r>
  </si>
  <si>
    <r>
      <t xml:space="preserve">Maksas pakalpojuma veids: </t>
    </r>
    <r>
      <rPr>
        <sz val="9"/>
        <rFont val="Times New Roman"/>
        <family val="1"/>
        <charset val="186"/>
      </rPr>
      <t>2.28. Tiešā antiglobulīna testa diferencēšana (IgG; IgA; IgM; C3c; C3d; ctl)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</si>
  <si>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2.29. Seruma autoadsorbcija ar PEG (divkārša)</t>
    </r>
  </si>
  <si>
    <r>
      <t xml:space="preserve">Maksas pakalpojuma veids: </t>
    </r>
    <r>
      <rPr>
        <sz val="9"/>
        <rFont val="Times New Roman"/>
        <family val="1"/>
        <charset val="186"/>
      </rPr>
      <t>2.30. Seruma alloadsorbcija ar PEG (divkārša)</t>
    </r>
  </si>
  <si>
    <r>
      <t xml:space="preserve">Maksas pakalpojuma veids: </t>
    </r>
    <r>
      <rPr>
        <sz val="9"/>
        <rFont val="Times New Roman"/>
        <family val="1"/>
        <charset val="186"/>
      </rPr>
      <t>2.32. Izmeklējamo eritrocītu atmazgāšana imūnhenatoloģiskiem testiem (trīskārša)</t>
    </r>
  </si>
  <si>
    <r>
      <t xml:space="preserve">Maksas pakalpojuma veids: </t>
    </r>
    <r>
      <rPr>
        <sz val="9"/>
        <rFont val="Times New Roman"/>
        <family val="1"/>
        <charset val="186"/>
      </rPr>
      <t>2.31. Seruma alloadsorbcija ar enzīmiem apstrādātiem eritrocītiem (bez skrīninga un identifikācijas)</t>
    </r>
  </si>
  <si>
    <t>Plānotais pakalpojuma sniegšanas vienību skaits: 7</t>
  </si>
  <si>
    <t>Plānotais pakalpojuma sniegšanas vienību skaits: 1</t>
  </si>
  <si>
    <t>Plānotais pakalpojuma sniegšanas vienību skaits: 269</t>
  </si>
  <si>
    <t>Plānotais pakalpojuma sniegšanas vienību skaits: 895</t>
  </si>
  <si>
    <t>Plānotais pakalpojuma sniegšanas vienību skaits: 626</t>
  </si>
  <si>
    <t>Plānotais pakalpojuma sniegšanas vienību skaits: 224</t>
  </si>
  <si>
    <t>Plānotais pakalpojuma sniegšanas vienību skaits: 16</t>
  </si>
  <si>
    <t>Plānotais pakalpojuma sniegšanas vienību skaits: 1970</t>
  </si>
  <si>
    <t>3.</t>
  </si>
  <si>
    <t>Laboratorijas pakalpojumi- neatliekami- materiāls saņemts pēc plkst. 12:00, izmeklējums veikts tajā pašā dienā līdz plkst.17:00 (piemaksa par steidzamību)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</si>
  <si>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</si>
  <si>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</si>
  <si>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</si>
  <si>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</si>
  <si>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</si>
  <si>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</si>
  <si>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</si>
  <si>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</si>
  <si>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</si>
  <si>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</si>
  <si>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</si>
  <si>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</si>
  <si>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</si>
  <si>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</si>
  <si>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</si>
  <si>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</si>
  <si>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</si>
  <si>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</si>
  <si>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</si>
  <si>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</si>
  <si>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</si>
  <si>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</si>
  <si>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</si>
  <si>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</si>
  <si>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</si>
  <si>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</si>
  <si>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4.14.</t>
  </si>
  <si>
    <t>5.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</si>
  <si>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</si>
  <si>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</si>
  <si>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</si>
  <si>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</si>
  <si>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</si>
  <si>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</si>
  <si>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</si>
  <si>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</si>
  <si>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</si>
  <si>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</si>
  <si>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</si>
  <si>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</si>
  <si>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5.13.</t>
  </si>
  <si>
    <t>6.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</si>
  <si>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</si>
  <si>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</si>
  <si>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</si>
  <si>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</si>
  <si>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</si>
  <si>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</si>
  <si>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</si>
  <si>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</si>
  <si>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</si>
  <si>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</si>
  <si>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</si>
  <si>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</si>
  <si>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>6.13.</t>
  </si>
  <si>
    <t>7.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</si>
  <si>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</si>
  <si>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</si>
  <si>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</si>
  <si>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</si>
  <si>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</si>
  <si>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</si>
  <si>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</si>
  <si>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</si>
  <si>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</si>
  <si>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</si>
  <si>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</si>
  <si>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</si>
  <si>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</si>
  <si>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Plānotais pakalpojuma sniegšanas vienību skaits:  20</t>
  </si>
  <si>
    <t>Netiešās izmaksas</t>
  </si>
  <si>
    <t xml:space="preserve">Netiešās izmaksas </t>
  </si>
  <si>
    <r>
      <t xml:space="preserve">Maksas pakalpojuma veids: </t>
    </r>
    <r>
      <rPr>
        <sz val="9"/>
        <rFont val="Times New Roman"/>
        <family val="1"/>
        <charset val="186"/>
      </rPr>
      <t xml:space="preserve">3.11. Tiešais antiglobulīna tests (DAT) ar gelkaršu metodi, neatliekami. Materiāls saņemts pēc plkst.12:00, izmeklējums veikts tajā pašā dienā līdz plkst.17:00 (piemaksa par steidzamību) </t>
    </r>
  </si>
  <si>
    <r>
      <t>Maksas pakalpojuma veids:</t>
    </r>
    <r>
      <rPr>
        <sz val="9"/>
        <rFont val="Times New Roman"/>
        <family val="1"/>
        <charset val="186"/>
      </rPr>
      <t xml:space="preserve"> 3.12.Tiešā antiglobulīna diferencēšana IgG; C3d; ctl ar gelkaršu metodi,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</si>
  <si>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3.10. Recipienta un donora asins saderības tests ar gelkaršu metodi (netiešais antiglobulīna tests) vienas eritrocīta masas saderināšanai,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</si>
  <si>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3.9. Antieritrocitāro antivielu identifikācija ar gelkaršu metodi, netiešo antiglobulīna testu izmantojot papildus "Column panel 16" (3 kartes Liss/Coombs),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</si>
  <si>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3.8. Antieritrocitāro antivielu identifikācija ar gelkaršu metodi, netiešais antiglobulīna tests izmantojot papildus paneli ID Dia Panel Plus (1 karte Liss/Coombs),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</si>
  <si>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3.7. Antieritrocitāro antivielu identifikācija (37° vai 4°, vai 20°) ar gelkaršu metodi, enzīmu testu (2 kartes Na Cl enzyme),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</si>
  <si>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3.6. Antieritrocitāro antivielu identifikācija ar gelkaršu metodi, netiešais antiglobulīna tests (2 kartes Liss/Coombs), neatliekami. Materiāls saņemts pēc plkst.12:00, izmeklējums veikts tajā pašā dienā līdz plkst.17:00 (piemaksa par steidzamību) </t>
    </r>
  </si>
  <si>
    <r>
      <t xml:space="preserve">Maksas pakalpojuma veids:  </t>
    </r>
    <r>
      <rPr>
        <sz val="9"/>
        <rFont val="Times New Roman"/>
        <family val="1"/>
        <charset val="186"/>
      </rPr>
      <t xml:space="preserve">3.5. Antieritrocitāro antivielu skrīnings ar gelkaršu metodi, netiešo antiglobulīna testu (1/2 karte Liss Coombs),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</si>
  <si>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3.4. Rh fenotipa CcEe un Kell antigēna noteikšana ar gelkaršu metodi, neatliekami.  Materiāls saņemts pēc plkst.12:00, izmeklējums veikts tajā pašā dienā līdz plkst. 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</si>
  <si>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3.3. Rh (D) noteikšana ar plaknes metodi, neatliekami. Materiāls saņemts pēc plkst.12:00, izmeklējums veikts tajā pašā dienā līdz plkst.17:00 (piemaksa par steidzamību) </t>
    </r>
  </si>
  <si>
    <r>
      <t xml:space="preserve">Maksas pakalpojuma veids:  </t>
    </r>
    <r>
      <rPr>
        <sz val="9"/>
        <rFont val="Times New Roman"/>
        <family val="1"/>
        <charset val="186"/>
      </rPr>
      <t xml:space="preserve">3.2. ABO asins grupas (dubultreakcija) Rh (D) noteikšana ar gelkaršu metodi (karte ABO/D+reverse grouping),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</si>
  <si>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3.1.  Asins grupas noteikšana ABO sistēmā izmantojot plaknes metodi (dubultreakcija),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</si>
  <si>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>2.15. Vēnas punkcija ar 1 vakutaineri</t>
    </r>
  </si>
  <si>
    <r>
      <t xml:space="preserve">Maksas pakalpojuma veids: </t>
    </r>
    <r>
      <rPr>
        <sz val="9"/>
        <rFont val="Times New Roman"/>
        <family val="1"/>
        <charset val="186"/>
      </rPr>
      <t>2.12. Tiešā antiglobulīna diferencēšana IgG; C3d; ctl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</si>
  <si>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2.10. Recipienta un donora asins saderības tests ar gelkaršu metodi (netiešais antiglobulīna tests) vienas eritrocīta masas saderināšanai</t>
    </r>
  </si>
  <si>
    <r>
      <rPr>
        <b/>
        <sz val="9"/>
        <rFont val="Times New Roman"/>
        <family val="1"/>
        <charset val="186"/>
      </rPr>
      <t>Maksas pakalpojuma veids:</t>
    </r>
    <r>
      <rPr>
        <sz val="9"/>
        <rFont val="Times New Roman"/>
        <family val="1"/>
        <charset val="186"/>
      </rPr>
      <t xml:space="preserve"> 2.8. Antieritrocitāro antivielu identifikācija ar gelkaršu metodi, netiešais antiglobulīna tests izmantojot papildus paneli ID Dia Panel Plus (1 karte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</si>
  <si>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2.7. Antieritrocitāro antivielu identifikācija (37° vai 4°, vai 20°) ar gelkaršu metodi, enzīmu testu (2 kartes Na Cl enzyme)</t>
    </r>
  </si>
  <si>
    <r>
      <t xml:space="preserve">Maksas pakalpojuma veids: </t>
    </r>
    <r>
      <rPr>
        <sz val="9"/>
        <rFont val="Times New Roman"/>
        <family val="1"/>
        <charset val="186"/>
      </rPr>
      <t>2.6. Antieritrocitāro antivielu identifikācija ar gelkaršu metodi, netiešais antiglobulīna tests (2 kartes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</si>
  <si>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2.5. Antieritrocitāro antivielu skrīnings ar gelkaršu metodi, netiešo antiglobulīna testu (1/2 karte Liss Coombs)</t>
    </r>
  </si>
  <si>
    <r>
      <t xml:space="preserve">Maksas pakalpojuma veids: </t>
    </r>
    <r>
      <rPr>
        <sz val="9"/>
        <rFont val="Times New Roman"/>
        <family val="1"/>
        <charset val="186"/>
      </rPr>
      <t>2.4. Rh fenotipa CcEe un Kell antigēna noteikšana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</si>
  <si>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2.3. Rh (D) noteikšana ar plaknes metodi</t>
    </r>
  </si>
  <si>
    <r>
      <t xml:space="preserve">Maksas pakalpojuma veids: </t>
    </r>
    <r>
      <rPr>
        <sz val="9"/>
        <rFont val="Times New Roman"/>
        <family val="1"/>
        <charset val="186"/>
      </rPr>
      <t>2.2. ABO asins grupas (dubultreakcija) Rh (D) noteikšana ar gelkaršu metodi (karte ABO/D+reverse grouping)</t>
    </r>
  </si>
  <si>
    <r>
      <t xml:space="preserve">Maksas pakalpojuma veids: </t>
    </r>
    <r>
      <rPr>
        <sz val="9"/>
        <rFont val="Times New Roman"/>
        <family val="1"/>
        <charset val="186"/>
      </rPr>
      <t>2.1. Asins grupas noteikšana ABO sistēmā izmantojot plaknes metodi (dubultreakcija)</t>
    </r>
  </si>
  <si>
    <r>
      <t xml:space="preserve">Maksas pakalpojuma veids: </t>
    </r>
    <r>
      <rPr>
        <sz val="9"/>
        <rFont val="Times New Roman"/>
        <family val="1"/>
        <charset val="186"/>
      </rPr>
      <t>1.9. Izbraukuma kursi ārpus Rīgas "Transfuzioloģija un imūnhematoloģija"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</si>
  <si>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1.8. Izbraukuma kursi Rīgā "Transfuzioloģija un imūnhematoloģija"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</si>
  <si>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2.9. Antieritrocitāro antivielu identifikācija ar gelkaršu metodi, netiešo antiglobulīna testu izmantojot papildus "Column panel 16" (3 kartes Liss/Coombs).</t>
    </r>
  </si>
  <si>
    <t>Maksas pakalpojuma veids: 2.11. Tiešais antiglobulīna tests (DAT) ar gelkaršu metodi</t>
  </si>
  <si>
    <t>Maksas pakalpojuma veids: 2.13. Eluāta iegūšana no DAT pozitīviem eritrocītiem ar Dia Cidel</t>
  </si>
  <si>
    <r>
      <t xml:space="preserve">Maksas pakalpojuma veids: </t>
    </r>
    <r>
      <rPr>
        <sz val="9"/>
        <rFont val="Times New Roman"/>
        <family val="1"/>
        <charset val="186"/>
      </rPr>
      <t>2.18. ABO asins grupas (tiešā reakcija) Rh (D) noteikšana ar gelkaršu metodi (karte DiaClon ABO/D)</t>
    </r>
  </si>
  <si>
    <t>Plānotais pakalpojuma sniegšanas vienību skaits  50</t>
  </si>
  <si>
    <t>Darba devēja valsts sociālās apdrošināšanas obligātās iemaksas, sociāla rakstura pabalsti un kompensācijas 16,00 euro * 23,59%.</t>
  </si>
  <si>
    <r>
      <t xml:space="preserve">Maksas pakalpojuma veids: </t>
    </r>
    <r>
      <rPr>
        <sz val="9"/>
        <rFont val="Times New Roman"/>
        <family val="1"/>
        <charset val="186"/>
      </rPr>
      <t>6.1. Asins grupas noteikšana ABO sistēmā izmantojot plaknes metodi (dubultreakcija); izmeklējums veikts  brīvdienā no plkst. 08:00 līdz 08:00 ( 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</si>
  <si>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6.2. ABO asins grupas (dubultreakcija) Rh (D) noteikšana ar gelkaršu metodi (karte ABO/D+reverse grouping); izmeklējums veikts  brīvdienā no plkst. 08:00 līdz 08:00 ( piemaksa par virsstundu darbu brīvdienās), atlīdzība par "izsaukuma gatavību"  brīvdienās par laika periodu no plkst. 08:00 līdz plkst. 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</si>
  <si>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6.3. Rh (D) noteikšana ar plaknes metodi; izmeklējums veikts  brīvdienā no plkst. 08:00 līdz 08:00 ( 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</si>
  <si>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6.4. Rh fenotipa CcEe un Kell antigēna noteikšana ar gelkaršu metodi;  izmeklējums veikts  brīvdienā no plkst. 08:00 līdz 08:00 ( 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</si>
  <si>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6.5. Antieritrocitāro antivielu skrīnings ar gelkaršu metodi, netiešo antiglobulīna testu (1/2 karte Liss Coombs); 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</si>
  <si>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6.6. Antieritrocitāro antivielu identifikācija ar gelkaršu metodi, netiešais antiglobulīna tests (2 kartes Liss/Coombs);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</si>
  <si>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6.7. Antieritrocitāro antivielu identifikācija (37° vai 4°, vai 20°) ar gelkaršu metodi, enzīmu testu (2 kartes Na Cl enzyme);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</si>
  <si>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6.8. Antieritrocitāro antivielu identifikācija ar gelkaršu metodi, netiešais antiglobulīna tests izmantojot papildus paneli ID Dia Panel Plus (1 karte Liss/Coombs);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</si>
  <si>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6.9. Antieritrocitāro antivielu identifikācija ar gelkaršu metodi, netiešo antiglobulīna testu izmantojot papildus "Column panel 16" (3 kartes Liss/Coombs); 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</si>
  <si>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 </t>
    </r>
    <r>
      <rPr>
        <sz val="9"/>
        <rFont val="Times New Roman"/>
        <family val="1"/>
        <charset val="186"/>
      </rPr>
      <t xml:space="preserve">6.10. Recipienta un donora asins saderības tests ar gelkaršu metodi (netiešais antiglobulīna tests) vienas eritrocīta masas saderināšanai; izmeklējums veikts  brīvdienā no plkst. 08:00 līdz 08:00 (piemaksa par virsstundu darbu brīvdienās), atlīdzība par "izsaukuma gatavību"  brīvdienās par laika periodu no plkst. 08:00 līdz plkst. 08:00- 24 stundas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</si>
  <si>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6.11.  Tiešais antiglobulīna tests (DAT) ar gelkaršu metodi; izmeklējums veikts  brīvdienā no plkst. 08:00 līdz 08:00 (piemaksa par virsstundu darbu brīvdienās), atlīdzība par "izsaukuma gatavību"  brīvdienās par laika periodu no plkst. 08:00 līdz plkst. 08:00- 24 stundas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</si>
  <si>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6.12. Tiešā antiglobulīna diferencēšana IgG; C3d; ctl ar gelkaršu metodi; izmeklējums veikts  brīvdienā no plkst. 08:00 līdz 08:00 (piemaksa par virsstundu darbu brīvdienās), atlīdzība par "izsaukuma gatavību"  brīvdienās par laika periodu no plkst. 08:00 līdz plkst. 08:00- 24 stundas </t>
    </r>
  </si>
  <si>
    <r>
      <t xml:space="preserve">Maksas pakalpojuma veids: </t>
    </r>
    <r>
      <rPr>
        <sz val="9"/>
        <rFont val="Times New Roman"/>
        <family val="1"/>
        <charset val="186"/>
      </rPr>
      <t>6.13. Eluāta iegūšana no DAT pozitīviem eritrocītiem ar Dia Cidel; izmeklējums veikts  brīvdienā no plkst. 08:00 līdz 08:00 (piemaksa par virsstundu darbu brīvdienās), atlīdzība par "izsaukuma gatavību"  brīvdienās par laika periodu no plkst. 08:00 līdz plkst. 08:00- 24 stundas 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</si>
  <si>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5.2. ABO asins grupas (dubultreakcija) Rh (D) noteikšana ar gelkaršu metodi (karte ABO/D+reverse grouping); izmeklējums veikts naktī no plkst. 22:00-6:00- 8 stundas (dežūra darba dienā, piemaksa par nakts darbu), atlīdzība par "izsaukuma gatavību" darba dienās- no plkst.17:00 līdz plkst.08:00- 15 stundas </t>
    </r>
  </si>
  <si>
    <r>
      <t>Maksas pakalpojuma veids:</t>
    </r>
    <r>
      <rPr>
        <sz val="9"/>
        <rFont val="Times New Roman"/>
        <family val="1"/>
        <charset val="186"/>
      </rPr>
      <t xml:space="preserve"> 5.1.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Asins grupas noteikšana ABO sistēmā izmantojot plaknes metodi (dubultreakcija); izmeklējums veikts naktī no plkst. 22:00-6:00- 8 stundas (dežūra darba dienā, piemaksa par nakts darbu), atlīdzība par "izsaukuma gatavību" darba dienās- no plkst.17:00 līdz plkst.08:00- 15 stundas </t>
    </r>
  </si>
  <si>
    <r>
      <t>Maksas pakalpojuma veids:</t>
    </r>
    <r>
      <rPr>
        <sz val="9"/>
        <rFont val="Times New Roman"/>
        <family val="1"/>
        <charset val="186"/>
      </rPr>
      <t xml:space="preserve"> 5.3. Rh (D) noteikšana ar plaknes metodi;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</si>
  <si>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5.4. Rh fenotipa CcEe un Kell antigēna noteikšana ar gelkaršu metodi; izmeklējums veikts naktī no plkst. 22:00-6:00- 8 stundas (dežūra darba dienā, piemaksa par nakts darbu), atlīdzība par "izsaukuma gatavību" darba dienās- no plkst.17:00 līdz plkst.08:00- 15 stundas </t>
    </r>
  </si>
  <si>
    <r>
      <t>Maksas pakalpojuma veids:</t>
    </r>
    <r>
      <rPr>
        <sz val="9"/>
        <rFont val="Times New Roman"/>
        <family val="1"/>
        <charset val="186"/>
      </rPr>
      <t xml:space="preserve"> 5.5. Antieritrocitāro antivielu skrīnings ar gelkaršu metodi, netiešo antiglobulīna testu (1/2 karte Liss 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</si>
  <si>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5.6. Antieritrocitāro antivielu identifikācija ar gelkaršu metodi, netiešais antiglobulīna tests (2 kartes Liss/Coombs);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</si>
  <si>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5.7. Antieritrocitāro antivielu identifikācija (37° vai 4°, vai 20°) ar gelkaršu metodi, enzīmu testu (2 kartes Na Cl enzyme);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</si>
  <si>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5.8. Antieritrocitāro antivielu identifikācija ar gelkaršu metodi, netiešais antiglobulīna tests izmantojot papildus paneli ID Dia Panel Plus (1 karte Liss/Coombs);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</si>
  <si>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5.9. Antieritrocitāro antivielu identifikācija ar gelkaršu metodi, netiešo antiglobulīna testu izmantojot papildus "Column panel 16" (3 kartes Liss/Coombs);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</si>
  <si>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5.10. Recipienta un donora asins saderības tests ar gelkaršu metodi (netiešais antiglobulīna tests) vienas eritrocīta masas saderināšanai;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</si>
  <si>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5.11. Tiešais antiglobulīna tests (DAT) ar gelkaršu metodi;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</si>
  <si>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5.12.Tiešā antiglobulīna diferencēšana IgG; C3d; ctl ar gelkaršu metodi;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</si>
  <si>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5.13. Eluāta iegūšana no DAT pozitīviem eritrocītiem ar Dia Cidel;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</si>
  <si>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7.1. Asins grupas noteikšana ABO sistēmā izmantojot plaknes metodi (dubultreakcija);  izmeklējums veikts brīvdienās- naktī no plkst. 22:00 līdz 06:00- 8 stundas (virsstundas, piemaksa par nakts darbu), "izsaukuma gatavība" brīvdienās- no plkst. 08:00 līdz plkst. 08:00- 24 stundas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</si>
  <si>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7.2. ABO asins grupas (dubultreakcija) Rh (D) noteikšana ar gelkaršu metodi (karte ABO/D+reverse grouping);  izmeklējums veikts brīvdienās- naktī no plkst. 22:00 līdz 06:00- 8 stundas (virsstundas, piemaksa par nakts darbu), "izsaukuma gatavība" brīvdienās- no plkst. 08:00 līdz plkst. 08:00- 24 stundas                 </t>
    </r>
  </si>
  <si>
    <r>
      <t>Maksas pakalpojuma veids:</t>
    </r>
    <r>
      <rPr>
        <sz val="9"/>
        <rFont val="Times New Roman"/>
        <family val="1"/>
        <charset val="186"/>
      </rPr>
      <t xml:space="preserve"> 7.3. Rh (D) noteikšana ar plaknes metodi;  izmeklējums veikts brīvdienās- naktī no plkst. 22:00 līdz 06:00- 8 stundas (virsstundas, piemaksa par nakts darbu), "izsaukuma gatavība" brīvdienās- no plkst. 08:00 līdz plkst. 08:00- 24 stundas    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</si>
  <si>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7.4. Rh fenotipa CcEe un Kell antigēna noteikšana ar gelkaršu metodi; izmeklējums veikts brīvdienās- naktī no plkst. 22:00 līdz 06:00- 8 stundas (virsstundas, piemaksa par nakts darbu), "izsaukuma gatavība" brīvdienās- no plkst. 08:00 līdz plkst. 08:00- 24 stundas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</si>
  <si>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7.5. Antieritrocitāro antivielu skrīnings ar gelkaršu metodi, netiešo antiglobulīna testu (1/2 karte Liss Coombs);  izmeklējums veikts brīvdienās- naktī no plkst. 22:00 līdz 06:00- 8 stundas (virsstundas, piemaksa par nakts darbu), "izsaukuma gatavība" brīvdienās- no plkst. 08:00 līdz plkst. 08:00- 24 stundas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</si>
  <si>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7.6. Antieritrocitāro antivielu identifikācija ar gelkaršu metodi, netiešais antiglobulīna tests (2 kartes Liss/Coombs);  izmeklējums veikts brīvdienās- naktī no plkst. 22:00 līdz 06:00- 8 stundas (virsstundas, piemaksa par nakts darbu), "izsaukuma gatavība" brīvdienās- no plkst. 08:00 līdz plkst. 08:00- 24 stundas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</si>
  <si>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7.7. Antieritrocitāro antivielu identifikācija (37° vai 4°, vai 20°) ar gelkaršu metodi, enzīmu testu (2 kartes Na Cl enzyme);  izmeklējums veikts brīvdienās- naktī no plkst. 22:00 līdz 06:00- 8 stundas (virsstundas, piemaksa par nakts darbu), "izsaukuma gatavība" brīvdienās- no plkst. 08:00 līdz plkst. 08:00- 24 stundas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</si>
  <si>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7.8. Antieritrocitāro antivielu identifikācija ar gelkaršu metodi, netiešais antiglobulīna tests izmantojot papildus paneli ID Dia Panel Plus (1 karte Liss/Coombs); izmeklējums veikts brīvdienās- naktī no plkst. 22:00 līdz 06:00- 8 stundas (virsstundas, piemaksa par nakts darbu), "izsaukuma gatavība" brīvdienās- no plkst. 08:00 līdz plkst. 08:00- 24 stundas    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</si>
  <si>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7.9. Antieritrocitāro antivielu identifikācija ar gelkaršu metodi, netiešo antiglobulīna testu izmantojot papildus "Column panel 16" (3 kartes Liss/Coombs);  izmeklējums veikts brīvdienās- naktī no plkst. 22:00 līdz 06:00- 8 stundas (virsstundas, piemaksa par nakts darbu), "izsaukuma gatavība" brīvdienās- no plkst. 08:00 līdz plkst. 08:00- 24 stundas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</si>
  <si>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7.11. Tiešais antiglobulīna tests (DAT) ar gelkaršu metodi;  izmeklējums veikts brīvdienās- naktī no plkst. 22:00 līdz 06:00- 8 stundas (virsstundas, piemaksa par nakts darbu), "izsaukuma gatavība" brīvdienās- no plkst. 08:00 līdz plkst. 08:00- 24 stundas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</si>
  <si>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7.12.Tiešā antiglobulīna diferencēšana IgG; C3d; ctl ar gelkaršu metodi; izmeklējums veikts brīvdienās- naktī no plkst. 22:00 līdz 06:00- 8 stundas (virsstundas, piemaksa par nakts darbu), "izsaukuma gatavība" brīvdienās- no plkst. 08:00 līdz plkst. 08:00- 24 stundas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</si>
  <si>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7.13. Eluāta iegūšana no DAT pozitīviem eritrocītiem ar Dia Cidel;  izmeklējums veikts brīvdienās- naktī no plkst. 22:00 līdz 06:00- 8 stundas (virsstundas, piemaksa par nakts darbu), "izsaukuma gatavība" brīvdienās- no plkst. 08:00 līdz plkst. 08:00- 24 stundas    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</si>
  <si>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>8.1. Asins grupas noteikšana ABO sistēmā izmantojot plaknes metodi (dubultreakcija);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</si>
  <si>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8.2. ABO asins grupas (dubultreakcija) Rh (D) noteikšana ar gelkaršu metodi (karte ABO/D+reverse grouping); izmeklējums veikts svētku dienā no plkst. 8:00 līdz 22:00 (dežūra svētku dienā, piemaksa par virsstundu darbu svētku dienā), "izsaukuma gatavība" no plkst. 08:00 līdz plkst.08:00- 24 stundas         </t>
    </r>
  </si>
  <si>
    <r>
      <t>Maksas pakalpojuma veids:</t>
    </r>
    <r>
      <rPr>
        <sz val="9"/>
        <rFont val="Times New Roman"/>
        <family val="1"/>
        <charset val="186"/>
      </rPr>
      <t xml:space="preserve"> 8.3. Rh (D) noteikšana ar plaknes metodi;  izmeklējums veikts svētku dienā no plkst. 8:00 līdz 22:00 (dežūra svētku dienā, piemaksa par virsstundu darbu svētku dienā), "izsaukuma gatavība" no plkst. 08:00 līdz plkst.08:00- 24 stundas</t>
    </r>
  </si>
  <si>
    <r>
      <rPr>
        <b/>
        <sz val="9"/>
        <rFont val="Times New Roman"/>
        <family val="1"/>
        <charset val="186"/>
      </rPr>
      <t xml:space="preserve">Maksas pakalpojuma veids: </t>
    </r>
    <r>
      <rPr>
        <sz val="9"/>
        <rFont val="Times New Roman"/>
        <family val="1"/>
        <charset val="186"/>
      </rPr>
      <t>8.4. Rh fenotipa CcEe un Kell antigēna noteikšana ar gelkaršu metodi; izmeklējums veikts svētku dienā no plkst. 8:00 līdz 22:00 (dežūra svētku dienā, piemaksa par virsstundu darbu svētku dienā), "izsaukuma gatavība" no plkst. 08:00 līdz plkst.08:00- 24 stundas</t>
    </r>
  </si>
  <si>
    <r>
      <t>Maksas pakalpojuma veids</t>
    </r>
    <r>
      <rPr>
        <sz val="9"/>
        <rFont val="Times New Roman"/>
        <family val="1"/>
        <charset val="186"/>
      </rPr>
      <t>: 8.5. Antieritrocitāro antivielu skrīnings ar gelkaršu metodi, netiešo antiglobulīna testu (1/2 karte Liss Coombs);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</si>
  <si>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8.6. Antieritrocitāro antivielu identifikācija ar gelkaršu metodi, netiešais antiglobulīna tests (2 kartes Liss/Coombs);  izmeklējums veikts svētku dienā no plkst. 8:00 līdz 22:00 (dežūra svētku dienā, piemaksa par virsstundu darbu svētku dienā), "izsaukuma gatavība" no plkst. 08:00 līdz plkst.08:00- 24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</si>
  <si>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8.7. Antieritrocitāro antivielu identifikācija (37° vai 4°, vai 20°) ar gelkaršu metodi, enzīmu testu (2 kartes Na Cl enzyme);  izmeklējums veikts svētku dienā no plkst. 8:00 līdz 22:00 (dežūra svētku dienā, piemaksa par virsstundu darbu svētku dienā), "izsaukuma gatavība" no plkst. 08:00 līdz plkst.08:00- 24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</si>
  <si>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8.8. Antieritrocitāro antivielu identifikācija ar gelkaršu metodi, netiešais antiglobulīna tests izmantojot papildus paneli ID Dia Panel Plus (1 karte Liss/Coombs);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</si>
  <si>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8.9. Antieritrocitāro antivielu identifikācija ar gelkaršu metodi, netiešo antiglobulīna testu izmantojot papildus "Column panel 16" (3 kartes Liss/Coombs);  izmeklējums veikts svētku dienā no plkst. 8:00 līdz 22:00 (dežūra svētku dienā, piemaksa par virsstundu darbu svētku dienā), "izsaukuma gatavība" no plkst. 08:00 līdz plkst.08:00- 24 stundas</t>
    </r>
  </si>
  <si>
    <t>Maksas pakalpojuma veids: 8.10. Recipienta un donora asins saderības tests ar gelkaršu metodi (netiešais antiglobulīna tests) vienas eritrocīta masas saderināšanai;  izmeklējums veikts svētku dienā no plkst. 8:00 līdz 22:00 (dežūra svētku dienā, piemaksa par virsstundu darbu svētku dienā), "izsaukuma gatavība" no plkst. 08:00 līdz plkst.08:00- 24 stundas</t>
  </si>
  <si>
    <r>
      <t>Maksas pakalpojuma veids</t>
    </r>
    <r>
      <rPr>
        <sz val="9"/>
        <rFont val="Times New Roman"/>
        <family val="1"/>
        <charset val="186"/>
      </rPr>
      <t>: 8.11. Tiešais antiglobulīna tests (DAT) ar gelkaršu metodi;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</si>
  <si>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8.12.Tiešā antiglobulīna diferencēšana IgG; C3d; ctl ar gelkaršu metodi;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</si>
  <si>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8.13. Eluāta iegūšana no DAT pozitīviem eritrocītiem ar Dia Cidel;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</si>
  <si>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9.1. Asins grupas noteikšana ABO sistēmā izmantojot plaknes metodi (dubultreakcija);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</si>
  <si>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9.2. ABO asins grupas (dubultreakcija) Rh (D) noteikšana ar gelkaršu metodi (karte ABO/D+reverse grouping);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</si>
  <si>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9.3. Rh (D) noteikšana ar plaknes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</si>
  <si>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9.4. Rh fenotipa CcEe un Kell antigēna noteikšana ar gelkaršu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</si>
  <si>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9.5. Antieritrocitāro antivielu skrīnings ar gelkaršu metodi, netiešo antiglobulīna testu (1/2 karte Liss 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</si>
  <si>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9.6. Antieritrocitāro antivielu identifikācija ar gelkaršu metodi, netiešais antiglobulīna tests (2 kartes Liss/Coombs);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</si>
  <si>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9.7. Antieritrocitāro antivielu identifikācija (37° vai 4°, vai 20°) ar gelkaršu metodi, enzīmu testu (2 kartes Na Cl enzyme);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</si>
  <si>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9.8. Antieritrocitāro antivielu identifikācija ar gelkaršu metodi, netiešais antiglobulīna tests izmantojot papildus paneli ID Dia Panel Plus (1 karte Liss/Coombs);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</si>
  <si>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9.9. Antieritrocitāro antivielu identifikācija ar gelkaršu metodi, netiešo antiglobulīna testu izmantojot papildus "Column panel 16" (3 kartes Liss/Coombs);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</si>
  <si>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9.10. Recipienta un donora asins saderības tests ar gelkaršu metodi (netiešais antiglobulīna tests) vienas eritrocīta masas saderināšanai;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</si>
  <si>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9.11. Tiešais antiglobulīna tests (DAT) ar gelkaršu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</si>
  <si>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9.12.Tiešā antiglobulīna diferencēšana IgG; C3d; ctl ar gelkaršu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</si>
  <si>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9.13. Eluāta iegūšana no DAT pozitīviem eritrocītiem ar Dia Cidel;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</si>
  <si>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4.1. Asins grupas noteikšana ABO sistēmā izmantojot plaknes metodi (dubultreakcija); 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</si>
  <si>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4.2. ABO asins grupas (dubultreakcija) Rh (D) noteikšana ar gelkaršu metodi (karte ABO/D+reverse grouping); izmeklējums veikts tajā pašā darba dienā no plkst. 17:00 līdz 22:00 (dežūra darba dienā, virsstundas), "izsaukuma gatavība" darba dienās no plkst.17:00 līdz plkst.08:00- 15 stundas</t>
    </r>
  </si>
  <si>
    <r>
      <t>Maksas pakalpojuma veids:</t>
    </r>
    <r>
      <rPr>
        <sz val="9"/>
        <rFont val="Times New Roman"/>
        <family val="1"/>
        <charset val="186"/>
      </rPr>
      <t xml:space="preserve"> 4.3. Rh (D) noteikšana ar plaknes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</si>
  <si>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4.4. Rh fenotipa CcEe un Kell antigēna noteikšana ar gelkaršu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</si>
  <si>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4.5. Antieritrocitāro antivielu skrīnings ar gelkaršu metodi, netiešo antiglobulīna testu (1/2 karte Liss Coombs); izmeklējums veikts tajā pašā darba dienā no plkst. 17:00 līdz 22:00 (dežūra darba dienā, virsstundas), "izsaukuma gatavība" darba dienās no plkst.17:00 līdz plkst.08:00- 15 stundas</t>
    </r>
  </si>
  <si>
    <r>
      <t>Maksas pakalpojuma veids:</t>
    </r>
    <r>
      <rPr>
        <sz val="9"/>
        <rFont val="Times New Roman"/>
        <family val="1"/>
        <charset val="186"/>
      </rPr>
      <t xml:space="preserve"> 4.6. Antieritrocitāro antivielu identifikācija ar gelkaršu metodi, netiešais antiglobulīna tests (2 kartes Liss/Coombs);izmeklējums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</si>
  <si>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4.7. Antieritrocitāro antivielu identifikācija (37° vai 4°, vai 20°) ar gelkaršu metodi, enzīmu testu (2 kartes Na Cl enzyme);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</si>
  <si>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4.8. Antieritrocitāro antivielu identifikācija ar gelkaršu metodi, netiešais antiglobulīna tests izmantojot papildus paneli ID Dia Panel Plus (1 karte Liss/Coombs);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</si>
  <si>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4.9. Antieritrocitāro antivielu identifikācija ar gelkaršu metodi, netiešo antiglobulīna testu izmantojot papildus "Column panel 16" (3 kartes Liss/Coombs);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</si>
  <si>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4.10. Recipienta un donora asins saderības tests ar gelkaršu metodi (netiešais antiglobulīna tests) vienas eritrocīta masas saderināšanai;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</si>
  <si>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4.11.  Tiešais antiglobulīna tests (DAT) ar gelkaršu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</si>
  <si>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4.12. Tiešā antiglobulīna diferencēšana IgG; C3d; ctl ar gelkaršu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</si>
  <si>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4.13. Eluāta iegūšana no DAT pozitīviem eritrocītiem ar Dia Cidel; izmeklējums veikts tajā pašā darba dienā no plkst. 17:00 līdz 22:00 (dežūra darba dienā, virsstundas), "izsaukuma gatavība" darba dienās no plkst.17:00 līdz plkst.08:00- 15 stundas</t>
    </r>
  </si>
  <si>
    <t>Izdevumi par sakaru pakalpojumiem</t>
  </si>
  <si>
    <t>Izdevumi par saņemtajiem mācību pakalpojumiem</t>
  </si>
  <si>
    <t>Pārējie neklasificētie pakalpojumi</t>
  </si>
  <si>
    <t>Transportlīdzekļu uzturēšana un remonts</t>
  </si>
  <si>
    <t>Apdrošināšanas izdevumi</t>
  </si>
  <si>
    <t>Pārējie remontdarbu un iestāžu uzturēšanas pakalpojumi</t>
  </si>
  <si>
    <t>Zemes noma</t>
  </si>
  <si>
    <t>Iekārtu, aparatūras un inventāra īre un noma</t>
  </si>
  <si>
    <t>Izdevumi par precēm iestādes sabiedrisko aktivitāšu  īstenošanai</t>
  </si>
  <si>
    <t xml:space="preserve">Degviela </t>
  </si>
  <si>
    <t>Mīkstais inventārs</t>
  </si>
  <si>
    <t>Budžeta iestāžu nekustamā īpašuma nodokļa maksājumi</t>
  </si>
  <si>
    <t>Pārējie budžeta iestāžu pārskaitītie nodokļi un nodevas</t>
  </si>
  <si>
    <t>Zeme un būves</t>
  </si>
  <si>
    <t>Transportlīdzekļi</t>
  </si>
  <si>
    <t>Pārējie iepriekš neklasificētie pamatlīdzekļi un ieguldījuma īpašumi</t>
  </si>
  <si>
    <t>Mācību, darba un dienesta komandējumi, darba braucieni</t>
  </si>
  <si>
    <t>Plānotais pakalpojuma sniegšanas vienību skaits: 80</t>
  </si>
  <si>
    <t>Plānotais pakalpojuma sniegšanas vienību skaits:  5</t>
  </si>
  <si>
    <t>Plānotais pakalpojuma sniegšanas vienību skaits : 10</t>
  </si>
  <si>
    <t>Plānotais pakalpojuma sniegšanas vienību skaits: 8</t>
  </si>
  <si>
    <r>
      <t xml:space="preserve">Maksas pakalpojuma veids: </t>
    </r>
    <r>
      <rPr>
        <sz val="9"/>
        <rFont val="Times New Roman"/>
        <family val="1"/>
        <charset val="186"/>
      </rPr>
      <t xml:space="preserve">7.10. Recipienta un donora asins saderības tests ar gelkaršu metodi (netiešais antiglobulīna tests) vienas eritrocīta masas saderināšanai;  izmeklējums veikts brīvdienās- naktī no plkst. 22:00 līdz 06:00- 8 stundas (virsstundas, piemaksa par nakts darbu), "izsaukuma gatavība" brīvdienās- no plkst. 08:00 līdz plkst. 08:00- 24 stundas     </t>
    </r>
  </si>
  <si>
    <t xml:space="preserve">Plānotais pakalpojuma sniegšanas vienību skaits: 30   </t>
  </si>
  <si>
    <t>Plānotais pakalpojuma sniegšanas vienību skaits : 5</t>
  </si>
  <si>
    <r>
      <t xml:space="preserve">Maksas pakalpojuma veids: </t>
    </r>
    <r>
      <rPr>
        <sz val="10"/>
        <rFont val="Times New Roman"/>
        <family val="1"/>
        <charset val="186"/>
      </rPr>
      <t xml:space="preserve">3.13. Eluāta iegūšana no DAT pozitīviem eritrocītiem ar Dia Cidel, neatliekami. Materiāls saņemts pēc plkst.12:00, izmeklējums veikts tajā pašā dienā līdz plkst.17:00 (piemaksa par steidzamību) </t>
    </r>
  </si>
  <si>
    <t>Tiešā antiglobulīna testa diferencēšana (IgG, C3d, ctl) ar gelkaršu metodi</t>
  </si>
  <si>
    <t>Tiešā antiglobulīna testa diferencēšana (IgG, IgA, IgM, C3c, C3d, ctl) ar gelkaršu metodi</t>
  </si>
  <si>
    <t>Laboratorijas pakalpojumi- sniegti darba laikā</t>
  </si>
  <si>
    <t>Asins grupas noteikšana ABO sistēmā izmantojot plaknes metodi (dubultreakcija)-neatliekami</t>
  </si>
  <si>
    <t>ABO asins grupas (dubultreakcija) un Rh (D) noteikšana ar gelkaršu metodi (karte ABO/D+reverse grouping)-neatliekami</t>
  </si>
  <si>
    <t>Rh(D) noteikšana ar plaknes metodi-neatliekami</t>
  </si>
  <si>
    <t>Rh fenotipa CcEe un Kell antigēna noteikšana ar gelkaršu metodi-neatliekami</t>
  </si>
  <si>
    <t>Antieritrocitāro antivielu skrīnings ar gelkaršu metodi, netiešo antiglobulīna testu (1/2 karte Liss Coombs)-neatliekami</t>
  </si>
  <si>
    <t>Antieritrocitāro antivielu identifikācija ar gelkaršu metodi, netiešais antiglobulīna tests (2 kartes Liss/Coombs)-neatliekami</t>
  </si>
  <si>
    <t>Antieritrocitāro antivielu identifikācija ar gelkaršu metodi, netiešais antiglobulīna tests izmantojot papildus paneli ID Dia Panel Plus (1 karte Liss /Coombs)-neatliekami</t>
  </si>
  <si>
    <t>Antieritrocitāro antivielu identifikācija ar gelkaršu metodi, netiešo antiglobulīna testu izmantojot papildus paneli "Column panel 16" (3 kartes Liss/Coombs)-neatliekami</t>
  </si>
  <si>
    <t>Recipienta un donora asins saderības tests ar gelkaršu metodi (netiešais antiglobulīna tests)- vienas eritrocītu masas saderināšanai-neatliekami</t>
  </si>
  <si>
    <t>Tiešais antiglobulīna tests (DAT) ar gelkaršu metodi-neatliekami</t>
  </si>
  <si>
    <t>Tiešā antiglobulīna testa diferencēšana (IgG, C3d, ctl) ar gelkaršu metodi- neatliekami</t>
  </si>
  <si>
    <t>Eluāta iegūšana no DAT pozitīviem eritrocītiem ar Dia Cidel-neatliekami</t>
  </si>
  <si>
    <t xml:space="preserve">Laboratorijas pakalpojumi-   izmeklējums veikts tajā pašā darba dienā no plkst. 17:00 līdz 22:00 (dežūra darba dienā, virsstundas), "izsaukuma gatavība" darba dienās no plkst.17:00 līdz plkst. 08:00- 15 stundas                    </t>
  </si>
  <si>
    <t>Asins grupas noteikšana ABO sistēmā izmantojot plaknes metodi (dubultreakcija)-virsstundas</t>
  </si>
  <si>
    <t>ABO asins grupas (dubultreakcija) un Rh (D) noteikšana ar gelkaršu metodi (karte ABO/D+reverse grouping)-virsstundas</t>
  </si>
  <si>
    <t>Rh(D) noteikšana ar plaknes metodi-virsstundas</t>
  </si>
  <si>
    <t>Rh fenotipa CcEe un Kell antigēna noteikšana ar gelkaršu metodi-virsstundas</t>
  </si>
  <si>
    <t>Antieritrocitāro antivielu skrīnings ar gelkaršu metodi, netiešo antiglobulīna testu (1/2 karte Liss Coombs)-virsstundas</t>
  </si>
  <si>
    <t>Antieritrocitāro antivielu identifikācija ar gelkaršu metodi, netiešais antiglobulīna tests (2 kartes Liss/Coombs)-virsstundas</t>
  </si>
  <si>
    <t>Antieritrocitāro antivielu identifikācija ar gelkaršu metodi, netiešais antiglobulīna tests izmantojot papildus paneli ID Dia Panel Plus (1 karte Liss /Coombs)-virsstundas</t>
  </si>
  <si>
    <t>Antieritrocitāro antivielu identifikācija ar gelkaršu metodi, netiešo antiglobulīna testu izmantojot papildus paneli "Column panel 16" (3 kartes Liss/Coombs)-virsstundas</t>
  </si>
  <si>
    <t>Recipienta un donora asins saderības tests ar gelkaršu metodi (netiešais antiglobulīna tests)- vienas eritrocītu masas saderināšanai-virsstundas</t>
  </si>
  <si>
    <t>Tiešais antiglobulīna tests (DAT) ar gelkaršu metodi-virsstundas</t>
  </si>
  <si>
    <t>Tiešā antiglobulīna testa diferencēšana (IgG, C3d, ctl) ar gelkaršu metodi-virsstundas</t>
  </si>
  <si>
    <t>Eluāta iegūšana no DAT pozitīviem eritrocītiem ar Dia Cidel-virsstundas</t>
  </si>
  <si>
    <t xml:space="preserve">Laboratorijas pakalpojumi- izmeklējums veikts naktī no plkst. 22:00-6:00- 8 stundas (dežūra darba dienā, piemaksa par nakts darbu), atlīdzība par "izsaukuma gatavību" darba dienās- no plkst.17:00 līdz plkst.08:00- 15 stundas                   </t>
  </si>
  <si>
    <t>Recipienta un donora asins saderības tests ar gelkaršu metodi (netiešais antiglobulīna tests)- vienas eritrocītu masas saderināšana</t>
  </si>
  <si>
    <t xml:space="preserve">Laboratorijas pakalpojumi- izmeklējums veikts  brīvdienā no plkst. 08:00 līdz 08:00 ( piemaksa par virsstundu darbu brīvdienās), atlīdzība par "izsaukuma gatavību"  brīvdienās par laika periodu no plkst. 08:00 līdz plkst. 08:00- 24 stundas       </t>
  </si>
  <si>
    <t xml:space="preserve">Laboratorijas pakalpojumi- izmeklējums veikts brīvdienās- naktī no plkst. 22:00 līdz 06:00- 8 stundas (virsstundas, piemaksa par nakts darbu), "izsaukuma gatavība" brīvdienās- no plkst. 08:00 līdz plkst. 08:00- 24 stundas           </t>
  </si>
  <si>
    <t>8.</t>
  </si>
  <si>
    <t xml:space="preserve">Laboratorijas pakalpojumi- izmeklējums veikts svētku dienā no plkst. 8:00 līdz 22:00 (dežūra svētku dienā, piemaksa par virsstundu darbu svētku dienā), "izsaukuma gatavība" no plkst. 08:00 līdz plkst.08:00- 24 stundas                                         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</si>
  <si>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</si>
  <si>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</si>
  <si>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</si>
  <si>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</si>
  <si>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</si>
  <si>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</si>
  <si>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</si>
  <si>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</si>
  <si>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</si>
  <si>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</si>
  <si>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8.11.</t>
  </si>
  <si>
    <t>8.12.</t>
  </si>
  <si>
    <t>8.13.</t>
  </si>
  <si>
    <t>9.</t>
  </si>
  <si>
    <t xml:space="preserve">Laboratorijas pakalpojumi-  izmeklējums veikts  svētku dienā no plkst. 22:00 līdz 06:00- 8 stundas (dežūra svētku dienā, piemaksa par nakts darbu,  piemaksa par virsstundu darbu svētku dienā), "izsaukuma gatavība" no plkst.08:00 līdz plkst. 08:00- 24 stundas                                                    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</si>
  <si>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</si>
  <si>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</si>
  <si>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</si>
  <si>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</si>
  <si>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</si>
  <si>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</si>
  <si>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</si>
  <si>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</si>
  <si>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</si>
  <si>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</si>
  <si>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</si>
  <si>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</si>
  <si>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</si>
  <si>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 xml:space="preserve">Vieslektoram brutto alga 100 euro. Aprēķina IIN (iedzīvotāju ienākuma nodoklis) = 100*23%(IIN)= 23 euro - 2,10 euro= 20,90 euro. 100 euro -10,50 euro (darba ņēmēja soc.nodoklis 10,5%.   10,5 euro *20% atvieglojums=2,10 euro ). 100 euro -10,50 euro -20,90 euro (IIN) = 68,60 euro. 68,60 euro * 1ak.stundas vieslektora lekcija= 68,60 euro/ 30 kursu dalībnieki = 2,02 euro </t>
  </si>
  <si>
    <t>Darba devēja valsts sociālās apdrošināšanas obligātās iemaksas, sociāla rakstura pabalsti un kompensācijas 100 euro*23,59% darba devēja sociālais nodoklis= 23,59 euro/30 dalībnieki=  0,79 euro.</t>
  </si>
  <si>
    <t>Izmaksu apjoms 1 vebināram, 1 kurss (euro)</t>
  </si>
  <si>
    <t>Neizmanto pakalpojuma sniegšanai</t>
  </si>
  <si>
    <t>Inventārs (t.sk.vebkamera)</t>
  </si>
  <si>
    <t>Darba devēja valsts sociālās apdrošināšanas obligātās iemaksas, sociāla rakstura pabalsti un kompensācijas 1,20 euro * 23,59%.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</si>
  <si>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269 * 0,021=5,65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</si>
  <si>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269 * 0,052=13,99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</si>
  <si>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269 * 0,004=1,10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</si>
  <si>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269 * 0,094=25,29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</si>
  <si>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269 * 0,015=4,04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</si>
  <si>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269 * 0,026=6,99 euro.</t>
  </si>
  <si>
    <t>Izdevumi par profesionālās darbības pakalpojumiem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</si>
  <si>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269 * 0,007=1,88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</si>
  <si>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269 * 0,010=2,69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</si>
  <si>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269 * 0,007=1,88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</si>
  <si>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269 * 0,049=13,18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</si>
  <si>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269 * 0,061=16,41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</si>
  <si>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269 * 0,09=24,21 euro.</t>
  </si>
  <si>
    <t>Ēku, būvju un telpu būvdarbi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</si>
  <si>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269 * 0,050=13,45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</si>
  <si>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269* 0,069=18,56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</si>
  <si>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269* 0,003=0,81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</si>
  <si>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269* 0,002=0,54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</si>
  <si>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269 * 0,021=5,65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</si>
  <si>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269 * 0,237=63,75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</si>
  <si>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269 * 0,026=6,99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</si>
  <si>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269 * 0,009=2,42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</si>
  <si>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269* 0,011=2,96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</si>
  <si>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269* 0,023=6,19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</si>
  <si>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269* 0,022=5,92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</si>
  <si>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269 * 0,034=9,15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</si>
  <si>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 269 * 0,002=0,54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</si>
  <si>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 269 * 0,003=0,81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</si>
  <si>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 269 * 0,001=0,27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</si>
  <si>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269 * 0,004=1,080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</si>
  <si>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269 * 0,071=19,10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</si>
  <si>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 269 * 0,021=5,65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</si>
  <si>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269 * 0,038=10,22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</si>
  <si>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895 * 0,021=18,80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</si>
  <si>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895 * 0,021=18,80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</si>
  <si>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895 * 0,052=46,54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</si>
  <si>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895 * 0,004=3,67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</si>
  <si>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895 * 0,094=84,13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</si>
  <si>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izmeklējumi:895 * 0,015=13,43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</si>
  <si>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895 * 0,026=23,27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</si>
  <si>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895 * 0,007=6,27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</si>
  <si>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895 * 0,010=8,95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</si>
  <si>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izmeklējumi:895 * 0,007=6,27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</si>
  <si>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895 * 0,049=43,86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</si>
  <si>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895 * 0,061=54,60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</si>
  <si>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895 * 0,09=80,55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</si>
  <si>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895 * 0,050=44,75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</si>
  <si>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895* 0,069=61,76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</si>
  <si>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895* 0,003=2,69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</si>
  <si>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895* 0,002=1,79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</si>
  <si>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895 * 0,237=212,12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</si>
  <si>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895 * 0,026=23,27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</si>
  <si>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895 * 0,009=8,06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</si>
  <si>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895* 0,011=9,85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</si>
  <si>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895* 0,023=20,59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</si>
  <si>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895* 0,022=19,69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</si>
  <si>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895 * 0,034=30,43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</si>
  <si>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895 * 0,002=1,79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</si>
  <si>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895* 0,003=2,69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</si>
  <si>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 895 * 0,001=0,90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</si>
  <si>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895 * 0,004=3,58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</si>
  <si>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895 * 0,071=63,55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</si>
  <si>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 895 * 0,021=18,80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</si>
  <si>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895 * 0,038=34,01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</si>
  <si>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626 * 0,021=13,15euro.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</si>
  <si>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626 * 0,021=13,15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</si>
  <si>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626 * 0,052=32,55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</si>
  <si>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626 * 0,004=2,57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</si>
  <si>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626 * 0,094=58,84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</si>
  <si>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626* 0,015=9,39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</si>
  <si>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626 * 0,026=16,28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</si>
  <si>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626 * 0,007=4,38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</si>
  <si>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626 * 0,010=6,26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</si>
  <si>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626 * 0,007=4,38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</si>
  <si>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626 * 0,049=30,67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</si>
  <si>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626 * 0,061=38,19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</si>
  <si>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626 * 0,09=56,34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</si>
  <si>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626 * 0,050=31,30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</si>
  <si>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626* 0,069=43,19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</si>
  <si>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626* 0,003=1,88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</si>
  <si>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626* 0,002=1,25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</si>
  <si>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626 * 0,237=148,36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</si>
  <si>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626 * 0,026=16,28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</si>
  <si>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626 * 0,009=5,63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</si>
  <si>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626* 0,011=6,89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</si>
  <si>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izmeklējumi:626* 0,023=14,40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</si>
  <si>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626* 0,022=13,77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</si>
  <si>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626 * 0,034=21,28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</si>
  <si>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 626 * 0,002=1,25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</si>
  <si>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 626 * 0,003=1,88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</si>
  <si>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626 * 0,001=0,63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</si>
  <si>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626 * 0,004=2,50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</si>
  <si>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626 * 0,071=44,45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</si>
  <si>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626 * 0,021=13,15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</si>
  <si>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626 * 0,038=23,79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</si>
  <si>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224 * 0,038=8,51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</si>
  <si>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224 * 0,021=4,70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</si>
  <si>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224 * 0,071=15,90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</si>
  <si>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224 * 0,004=0,90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</si>
  <si>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224 * 0,001=0,22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</si>
  <si>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224 * 0,021=4,70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</si>
  <si>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224 * 0,021=4,70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</si>
  <si>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224 * 0,052=11,65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</si>
  <si>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224 * 0,004=0,92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</si>
  <si>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224 * 0,094=21,06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</si>
  <si>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izmeklējumi:224* 0,015=3,36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</si>
  <si>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224 * 0,026=5,82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</si>
  <si>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224 * 0,007=1,57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</si>
  <si>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224 * 0,010=2,24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</si>
  <si>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224 * 0,007=1,57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</si>
  <si>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224 * 0,049=10,98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</si>
  <si>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224 * 0,061=13,66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</si>
  <si>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224 * 0,09=20,16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</si>
  <si>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224 * 0,050=11,20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</si>
  <si>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224* 0,069=15,46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</si>
  <si>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224* 0,003=0,67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</si>
  <si>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izmeklējumi:224* 0,002=0,45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</si>
  <si>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224 * 0,237=53,09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</si>
  <si>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izmeklējumi:224 * 0,026=5,82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</si>
  <si>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224 * 0,009=2,02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</si>
  <si>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224* 0,011=2,46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</si>
  <si>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224* 0,023=5,15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</si>
  <si>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izmeklējumi:224* 0,022=4,93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</si>
  <si>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224 * 0,034=7,62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</si>
  <si>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 224 * 0,002=0,45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</si>
  <si>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 224 * 0,003=0,67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</si>
  <si>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7 * 0,038=0,27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</si>
  <si>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7 * 0,021=0,15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</si>
  <si>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7 * 0,071=0,50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</si>
  <si>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7 * 0,004=0,03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</si>
  <si>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 7* 0,001=0,01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</si>
  <si>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7* 0,003=0,02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</si>
  <si>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7 * 0,002=0,01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</si>
  <si>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7 * 0,034=0,024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</si>
  <si>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7* 0,022=0,15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</si>
  <si>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izmeklējumi:7* 0,023=0,16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</si>
  <si>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7* 0,011=0,08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</si>
  <si>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7 * 0,009=0,06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</si>
  <si>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7 * 0,026=0,18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</si>
  <si>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7* 0,237=1,66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</si>
  <si>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7* 0,002=0,01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</si>
  <si>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7* 0,003=0,02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</si>
  <si>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7* 0,069=0,48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</si>
  <si>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7* 0,049=0,34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</si>
  <si>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7 * 0,061=0,43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</si>
  <si>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7 * 0,09=0,63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</si>
  <si>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7 * 0,050=0,35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</si>
  <si>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7 * 0,021=0,15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</si>
  <si>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7 * 0,052=0,36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</si>
  <si>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7 * 0,004=0,03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</si>
  <si>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izmeklējumi:7 * 0,094=0,66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</si>
  <si>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izmeklējumi:7 * 0,015=0,11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</si>
  <si>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7 * 0,026=0,18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</si>
  <si>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7 * 0,007=0,05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</si>
  <si>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7 * 0,010=0,07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</si>
  <si>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7 * 0,007=0,05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</si>
  <si>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7 * 0,021=0,15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</si>
  <si>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16 * 0,038=0,61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</si>
  <si>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izmeklējumi:16 * 0,021=0,34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</si>
  <si>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izmeklējumi:16 * 0,071=1,14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</si>
  <si>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16 * 0,002=0,03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</si>
  <si>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izmeklējumi:16* 0,003=0,05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</si>
  <si>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16* 0,001=0,02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</si>
  <si>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16 * 0,004=0,06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</si>
  <si>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16 * 0,021=0,34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</si>
  <si>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16 * 0,021=0,34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</si>
  <si>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izmeklējumi:16 * 0,052=0,83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</si>
  <si>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16 * 0,004=0,07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</si>
  <si>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izmeklējumi:16 * 0,094=1,50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</si>
  <si>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16* 0,015=0,24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</si>
  <si>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16 * 0,026=0,4 2euro.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</si>
  <si>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izmeklējumi:16 * 0,007=0,11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</si>
  <si>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izmeklējumi:16 * 0,010=0,16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</si>
  <si>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16 * 0,007=0,11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</si>
  <si>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izmeklējumi:16* 0,049=0,78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</si>
  <si>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16 * 0,061=0,98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</si>
  <si>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16 * 0,09=1,44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</si>
  <si>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16* 0,050=0,80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</si>
  <si>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16* 0,069=1,10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</si>
  <si>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16* 0,003=0,05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</si>
  <si>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16* 0,002=0,03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</si>
  <si>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16* 0,237=3,79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</si>
  <si>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16 * 0,026=0,42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</si>
  <si>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16 * 0,009=0,14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</si>
  <si>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16* 0,011=0,18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</si>
  <si>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izmeklējumi:16* 0,023=0,37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</si>
  <si>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16* 0,022=0,35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</si>
  <si>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16 * 0,034=0,54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</si>
  <si>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1970 * 0,038=74,86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</si>
  <si>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izmeklējumi:1970 * 0,021=41,37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</si>
  <si>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izmeklējumi:1970 * 0,071=139,87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</si>
  <si>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1970* 0,004=7,88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</si>
  <si>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1970* 0,021=41,37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</si>
  <si>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1970* 0,021=41,37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</si>
  <si>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izmeklējumi:1970 * 0,052=102,44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</si>
  <si>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1970* 0,004=8,08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</si>
  <si>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izmeklējumi:1970* 0,094=185,18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</si>
  <si>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1970* 0,015=29,55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</si>
  <si>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1970* 0,026=51,22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</si>
  <si>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izmeklējumi:1970* 0,007=13,79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</si>
  <si>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izmeklējumi:1970 * 0,010=19,70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</si>
  <si>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izmeklējumi:1970* 0,049=96,53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</si>
  <si>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1970 * 0,061=120,17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</si>
  <si>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1970 * 0,09=177,30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</si>
  <si>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1970* 0,050=98,50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</si>
  <si>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1970* 0,069=135,93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</si>
  <si>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1970* 0,003=5,91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</si>
  <si>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1970* 0,002=3,94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</si>
  <si>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1970* 0,237=466,89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</si>
  <si>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1970* 0,001=583,12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</si>
  <si>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1970 * 0,026=51,22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</si>
  <si>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1970 * 0,009=17,73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</si>
  <si>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1970* 0,011=21,67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</si>
  <si>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izmeklējumi:1970* 0,023=45,31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</si>
  <si>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1970* 0,022=43,34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</si>
  <si>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1970 * 0,034=66,98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</si>
  <si>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1970 * 0,002=3,94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</si>
  <si>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izmeklējumi:1970* 0,003=5,91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</si>
  <si>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1970* 0,001=1,97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</si>
  <si>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izmeklējumi:50* 0,021=1,05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</si>
  <si>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izmeklējumi:50* 0,021=1,05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</si>
  <si>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50 * 0,052=2,60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</si>
  <si>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50*0,004=0,21euro.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</si>
  <si>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50* 0,022=1,10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</si>
  <si>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50 * 0,034=1,70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</si>
  <si>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50 * 0,002=0,10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</si>
  <si>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50* 0,003=0,15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</si>
  <si>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50* 0,001=0,05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</si>
  <si>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50* 0,004=0,20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</si>
  <si>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50 * 0,071=3,55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</si>
  <si>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izmeklējumi:50 * 0,021=1,05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</si>
  <si>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50 * 0,038=1,90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</si>
  <si>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izmeklējumi:50* 0,023=1,15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</si>
  <si>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50* 0,011=0,55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</si>
  <si>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50 * 0,009=0,45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</si>
  <si>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50 * 0,026=1,30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</si>
  <si>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50* 0,237=11,85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</si>
  <si>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50* 0,002=0,10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</si>
  <si>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50* 0,003=0,15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</si>
  <si>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50* 0,069=3,45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</si>
  <si>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50* 0,050=2,50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</si>
  <si>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50 * 0,09=4,50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</si>
  <si>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izmeklējumi:50 * 0,061=3,05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</si>
  <si>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izmeklējumi:50* 0,049=2,45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</si>
  <si>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50 * 0,007=0,35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</si>
  <si>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1970 * 0,007=13,79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</si>
  <si>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izmeklējumi:50* 0,094=4,70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</si>
  <si>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50* 0,015=0,75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</si>
  <si>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50* 0,026=1,30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</si>
  <si>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izmeklējumi:50* 0,007=0,35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</si>
  <si>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izmeklējumi:50 * 0,010=0,50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</si>
  <si>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izmeklējumi:100* 0,021=2,10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</si>
  <si>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izmeklējumi:100* 0,021=2,10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</si>
  <si>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100 * 0,052=5,20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</si>
  <si>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100*0,004=0,41euro.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</si>
  <si>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100* 0,094=9,40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</si>
  <si>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100* 0,015=1,50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</si>
  <si>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100* 0,026=2,60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</si>
  <si>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100* 0,007=0,70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</si>
  <si>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100 * 0,010=1,00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</si>
  <si>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100 * 0,007=0,70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</si>
  <si>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100* 0,049=4,90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</si>
  <si>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izmeklējumi:100 * 0,061=6,10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</si>
  <si>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100 * 0,09=9,00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</si>
  <si>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100* 0,050=5,00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</si>
  <si>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100* 0,069=6,90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</si>
  <si>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100* 0,003=0,30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</si>
  <si>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100* 0,002=0,20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</si>
  <si>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100* 0,237=23,70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</si>
  <si>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100 * 0,026=2,60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</si>
  <si>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100 * 0,009=0,90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</si>
  <si>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izmeklējumi:100* 0,011=1,10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</si>
  <si>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100* 0,023=2,30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</si>
  <si>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100* 0,022=2,20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</si>
  <si>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100 * 0,034=3,40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</si>
  <si>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100 * 0,002=0,20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</si>
  <si>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izmeklējumi:100* 0,003=0,30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</si>
  <si>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100* 0,001=0,10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</si>
  <si>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100* 0,004=0,40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</si>
  <si>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100 * 0,071=7,10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</si>
  <si>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100 * 0,021=2,10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</si>
  <si>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100 * 0,038=3,80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</si>
  <si>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izmeklējumi:200* 0,021=4,20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</si>
  <si>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izmeklējumi:200* 0,021=4,20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</si>
  <si>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izmeklējumi:200 * 0,052=10,40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</si>
  <si>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izmeklējumi:200*0,004=0,82 euro.</t>
  </si>
  <si>
    <t>Gada faktiskās izmaksas 930,99 euro attiecas uz Hematoloģiskās izmeklēšanas2,99 euro : 9855 izmeklējumi= 0,0,94 euro. Gadā plānotie izmeklējumi: 200* 0,094=18,80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</si>
  <si>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200* 0,015=3,00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</si>
  <si>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200* 0,026=5,20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</si>
  <si>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200* 0,007=1,40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</si>
  <si>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200 * 0,010=2,00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</si>
  <si>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200 * 0,007=1,40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</si>
  <si>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200* 0,049=9,80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</si>
  <si>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izmeklējumi:200 * 0,061=12,20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</si>
  <si>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200 * 0,09=18,00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</si>
  <si>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200* 0,050=10,00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</si>
  <si>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200* 0,069=13,80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</si>
  <si>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200* 0,003=0,60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</si>
  <si>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200* 0,002=0,40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</si>
  <si>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200* 0,237=47,40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</si>
  <si>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200 * 0,026=5,20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</si>
  <si>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200 * 0,009=1,80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</si>
  <si>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izmeklējumi:200* 0,011=2,20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</si>
  <si>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200* 0,023=4,60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</si>
  <si>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200 * 0,034=6,80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</si>
  <si>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200 * 0,002=0,40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</si>
  <si>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izmeklējumi:200* 0,003=0,60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</si>
  <si>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200* 0,001=0,20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</si>
  <si>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200* 0,004=0,80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</si>
  <si>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200 * 0,071=14,20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</si>
  <si>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200 * 0,021=4,20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</si>
  <si>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200 * 0,038=7,60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</si>
  <si>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200* 0,022=4,40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</si>
  <si>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20 * 0,038=0,76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</si>
  <si>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20 * 0,021=0,42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</si>
  <si>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20 * 0,071=1,42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</si>
  <si>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20* 0,004=0,08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</si>
  <si>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20* 0,001=0,02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</si>
  <si>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20* 0,003=0,06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</si>
  <si>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20 * 0,002=0,04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</si>
  <si>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20 * 0,034=0,68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</si>
  <si>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20* 0,022=0,44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</si>
  <si>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20* 0,023=0,46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</si>
  <si>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20 * 0,009=0,18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</si>
  <si>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izmeklējumi:20* 0,011=0,22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</si>
  <si>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20* 0,237=4,74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</si>
  <si>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20* 0,001=5,92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</si>
  <si>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20* 0,001=0,02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</si>
  <si>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20 * 0,026=0,52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</si>
  <si>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20* 0,021=0,42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</si>
  <si>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izmeklējumi:20* 0,021=0,42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</si>
  <si>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20 * 0,052=1,04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</si>
  <si>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20*0,004=0,08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</si>
  <si>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20* 0,094=1,88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</si>
  <si>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20* 0,015=0,30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</si>
  <si>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20* 0,026=0,52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</si>
  <si>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20* 0,007=0,14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</si>
  <si>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20 * 0,010=0,20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</si>
  <si>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20 * 0,007=0,14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</si>
  <si>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20* 0,049=0,98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</si>
  <si>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izmeklējumi:20 * 0,061=1,22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</si>
  <si>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20 * 0,09=1,80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</si>
  <si>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20* 0,050=1,00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</si>
  <si>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20* 0,069=1,38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</si>
  <si>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20* 0,003=0,06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</si>
  <si>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700 * 0,038=26,60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</si>
  <si>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700 * 0,021=14,70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</si>
  <si>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700 * 0,071=49,70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</si>
  <si>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700* 0,004=2,80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</si>
  <si>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izmeklējumi:700 * 0,026=18,20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</si>
  <si>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izmeklējumi:700 * 0,009=6,30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</si>
  <si>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700* 0,011=7,70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</si>
  <si>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700* 0,023=16,10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</si>
  <si>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700* 0,022=15,40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</si>
  <si>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700 * 0,034=23,80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</si>
  <si>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700 * 0,002=1,40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</si>
  <si>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700* 0,003=2,10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</si>
  <si>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700* 0,001=0,70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</si>
  <si>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700* 0,021=14,70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</si>
  <si>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700* 0,021=14,70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</si>
  <si>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700 * 0,052=36,40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</si>
  <si>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700*0,004=2,87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</si>
  <si>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700* 0,094=65,80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</si>
  <si>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700* 0,015=10,50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</si>
  <si>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700* 0,026=18,20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</si>
  <si>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700* 0,007=4,90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</si>
  <si>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700 * 0,010=7,00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</si>
  <si>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izmeklējumi:700 * 0,007=4,90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</si>
  <si>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izmeklējumi:700* 0,049=34,30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</si>
  <si>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izmeklējumi:700 * 0,061=42,70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</si>
  <si>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700 * 0,09=63,00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</si>
  <si>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700* 0,050=35,00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</si>
  <si>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700* 0,069=48,30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</si>
  <si>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700* 0,003=2,10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</si>
  <si>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700* 0,002=1,40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</si>
  <si>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700* 0,237=165,90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</si>
  <si>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200 * 0,052=10,40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</si>
  <si>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200*0,004=18,80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</si>
  <si>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200* 0,094=18,80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</si>
  <si>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200 * 0,038=7,60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</si>
  <si>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80* 0,021=1,68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</si>
  <si>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80* 0,021=1,68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</si>
  <si>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80 * 0,052=4,16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</si>
  <si>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80*0,004=0,33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</si>
  <si>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80* 0,094=7,52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</si>
  <si>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80* 0,015=1,20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</si>
  <si>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80* 0,026=2,08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</si>
  <si>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80* 0,007=0,56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</si>
  <si>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80 * 0,010=0,80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</si>
  <si>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80 * 0,007=0,56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</si>
  <si>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80* 0,049=3,92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</si>
  <si>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80 * 0,061=4,88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</si>
  <si>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80 * 0,09=7,20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</si>
  <si>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80* 0,050=4,00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</si>
  <si>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80* 0,069=5,52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</si>
  <si>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80* 0,003=0,24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</si>
  <si>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80* 0,002=0,16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</si>
  <si>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20* 0,002=0,04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</si>
  <si>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80* 0,237=18,96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</si>
  <si>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80 * 0,026=2,08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</si>
  <si>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80 * 0,009=0,72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</si>
  <si>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80* 0,011=0,88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</si>
  <si>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80* 0,023=1,84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</si>
  <si>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80* 0,022=1,76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</si>
  <si>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80 * 0,034=2,72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</si>
  <si>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80 * 0,002=0,16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</si>
  <si>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80* 0,003=0,24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</si>
  <si>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80* 0,001=0,08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</si>
  <si>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80* 0,004=0,32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</si>
  <si>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80 * 0,071=5,68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</si>
  <si>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80 * 0,021=1,68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</si>
  <si>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80 * 0,038=3,04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</si>
  <si>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30* 0,021=0,63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</si>
  <si>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30* 0,021=0,63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</si>
  <si>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30 * 0,052=1,56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</si>
  <si>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30*0,004=0,12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</si>
  <si>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30* 0,094=2,82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</si>
  <si>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30* 0,015=0,45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</si>
  <si>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30* 0,026=0,78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</si>
  <si>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30* 0,007=0,21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</si>
  <si>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30 * 0,010=0,30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</si>
  <si>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30 * 0,007=0,21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</si>
  <si>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30* 0,049=1,47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</si>
  <si>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30 * 0,061=1,83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</si>
  <si>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30 * 0,09=2,70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</si>
  <si>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30* 0,050=1,50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</si>
  <si>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30* 0,069=2,70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</si>
  <si>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30* 0,003=0,09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</si>
  <si>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30* 0,002=0,06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</si>
  <si>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30* 0,237=7,11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</si>
  <si>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30* 0,001=0,03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</si>
  <si>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30 * 0,026=0,78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</si>
  <si>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30 * 0,009=0,27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</si>
  <si>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30* 0,011=0,33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</si>
  <si>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30* 0,023=0,69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</si>
  <si>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30* 0,022=0,66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</si>
  <si>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30 * 0,034=1,02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</si>
  <si>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30 * 0,002=0,06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</si>
  <si>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30* 0,003=0,09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</si>
  <si>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30* 0,001=0,03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</si>
  <si>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30* 0,004=0,12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</si>
  <si>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30 * 0,071=2,13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</si>
  <si>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30 * 0,021=0,63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</si>
  <si>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30 * 0,038=1,14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</si>
  <si>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60* 0,021=1,26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</si>
  <si>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60* 0,021=1,26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</si>
  <si>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60 * 0,052=3,12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</si>
  <si>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60*0,004=0,25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</si>
  <si>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60* 0,094=5,64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</si>
  <si>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60* 0,015=0,90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</si>
  <si>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60* 0,026=1,56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</si>
  <si>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60* 0,007=0,42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</si>
  <si>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60 * 0,010=0,60 euro.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</si>
  <si>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 Gadā plānots 895 * 4,00 euro= 3580,0 euro. </t>
  </si>
  <si>
    <t>Darba devēja valsts sociālās apdrošināšanas obligātās iemaksas, sociāla rakstura pabalsti un kompensācijas 4,00 euro * 23,59%.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</si>
  <si>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269 * 4,00 euro= 1076,0 euro.  </t>
  </si>
  <si>
    <t>Darba devēja valsts sociālās apdrošināšanas obligātās iemaksas, sociāla rakstura pabalsti un kompensācijas 4,00 euro * 23,59%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</si>
  <si>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626 * 4,00 euro= 2504,00 euro.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</si>
  <si>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minūtes).Gadā plānots 224 * 4,00 euro= 896,00 euro.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</si>
  <si>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895 * 4,00 euro= 3580,00 euro. 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</si>
  <si>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7 * 4,00 euro= 28,00 euro.      </t>
  </si>
  <si>
    <t>Darba devēja valsts sociālās apdrošināšanas obligātās iemaksas, sociāla rakstura pabalsti un kompensācijas 4,00 euro * 23,59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</si>
  <si>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7 * 0,034=0,24 euro.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</si>
  <si>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 Gadā plānots 16 * 4,00 euro=64,00 euro.    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</si>
  <si>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  Gadā plānots 1970 *4,00 euro= 7880,0 euro.         </t>
  </si>
  <si>
    <t xml:space="preserve">Viena izmeklējuma veikšanu nodrošina ārsts (mēnešalga- 1940 euro, piemaksa par darba stāžu- 58,2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minūtes).   Gadā plānots: 50 * 2,00 euro= 57,80 euro.    </t>
  </si>
  <si>
    <t>Darba devēja valsts sociālās apdrošināšanas obligātās iemaksas, sociāla rakstura pabalsti un kompensācijas 2,00 euro * 23,59%.</t>
  </si>
  <si>
    <t xml:space="preserve">Viena izmeklējuma veikšanu nodrošina ārsts (mēnešalga- 1940 euro, piemaksa par darba stāžu- 58,2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minūtes).   Gadā plānots: 200 * 2,00 euro= 57,80 euro.    </t>
  </si>
  <si>
    <t>Viena izmeklējuma veikšanu nodrošina ārsts (mēnešalga- 1940 euro, piemaksa par darba stāžu- 58,2 euro, kopā- 1998,20 euro). Darba laika patēriņš 1 izmeklējuma veikšanai 15 minūtes. 1 minūtes darba izmaksas- 1998,20 euro : 165,58 stundas (vidējais darba stundu skaits mēnesī 2025.gadā) : 60 minūtes  ir  1998,20 :165,58: 60= 0,20 euro. Samaksa par izmeklējumu- 3,00 euro (0,20 euro*15 minūtes). Gadā plānots 100 * 3,00 euro=300,00 euro.</t>
  </si>
  <si>
    <t>Darba devēja valsts sociālās apdrošināšanas obligātās iemaksas, sociāla rakstura pabalsti un kompensācijas 3,00 euro * 23,59%.</t>
  </si>
  <si>
    <t>Viena izmeklējuma veikšanu nodrošina ārsts (mēnešalga- 1940 euro, piemaksa par darba stāžu- 58,2 euro, kopā- 1998,20 euro). Darba laika patēriņš 1 izmeklējuma veikšanai 15 minūtes. 1 minūtes darba izmaksas- 1998,20 euro : 165,58 stundas (vidējais darba stundu skaits mēnesī 2025.gadā) : 60 minūtes  ir  1998,20 :165,58: 60= 0,20 euro. Samaksa par izmeklējumu- 3,00 euro (0,20 euro*15 minūtes).Gadā plānots 80 *3,00 euro=240,0 euro.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</si>
  <si>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 5 minūtes =1,00 euro.  Gadā plānots 100*1,00 euro = 100,00 euro.</t>
  </si>
  <si>
    <t>Darba devēja valsts sociālās apdrošināšanas obligātās iemaksas, sociāla rakstura pabalsti un kompensācijas 1,00 euro * 23,59%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</si>
  <si>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 5 minūtes =1,00 euro.Gadā plānots 20*1,00 euro = 20,0 euro.</t>
  </si>
  <si>
    <t>Darba devēja valsts sociālās apdrošināšanas obligātās iemaksas, sociāla rakstura pabalsti un kompensācijas 1,00 euro * 23,59%.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</si>
  <si>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 5 minūtes =1,00 euro. Gadā plānots 30 * 1,00 euro =30,00 euro.</t>
  </si>
  <si>
    <t>Darba devēja valsts sociālās apdrošināšanas obligātās iemaksas, sociāla rakstura pabalsti un kompensācijas  1,00 euro * 23,59%.</t>
  </si>
  <si>
    <t xml:space="preserve">Viena izmeklējuma veikšanu nodrošina ārsts (mēnešalga- 1940 euro, piemaksa par darba stāžu- 58,2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minūtes).   Gadā plānots: 100 * 2,00 euro= 200,0 euro.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</si>
  <si>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50 * 4,00 euro= 200,0 euro.  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</si>
  <si>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50 * 4,00 euro= 200,00 euro.  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</si>
  <si>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700 * 4,00 euro= 2800,00 euro.  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</si>
  <si>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20 * 4,00 euro= 80,00 euro.     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</si>
  <si>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17,01 euro</t>
    </r>
    <r>
      <rPr>
        <sz val="9"/>
        <rFont val="Times New Roman"/>
        <family val="1"/>
        <charset val="186"/>
      </rPr>
      <t>, tai skaitā: 1) Anti P1,Lea,Leb,Lua,lub vai anti k,Kpa,Kpb,Jka, Jkb karte (1x12) 1 karte- 13,61 euro; 2) Diluents -1 0,5 ml - 0,15 euro; 3) dezinfekcijas līdzeklis 1 proced. -  0,0159 euro; 4) vienreizējās lietošanas cimdi, pāris - 0,0486 euro; 5) mēģene ar apaļu pamatni 1 gb.- 0,0122 euro; 6) Pastēra pipete 3,5 ml sterila 1 gb.-  0,051 euro; 7) bahilas-0,17 euro. Izdevumi kopā: 13,61+0,15+0,0159+0,0486+0,0122+0,051+0,17=14,0577 euro.  Izdevumi ar PVN 21%- 17,01 euro. Gadā plānots 20 * 17,01 euro=340,20 euro.</t>
    </r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</si>
  <si>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20 * 4,00 euro= 80,0 euro.      </t>
  </si>
  <si>
    <t>Viena izmeklējuma veikšanu nodrošina ārsts (mēnešalga- 1940 euro, piemaksa par darba stāžu- 58,20 euro, kopā- 1998,20 euro). Darba laika patēriņš 1 izmeklējuma veikšanai 45 minūtes. 1 minūtes darba izmaksas- 1998,20 euro : 165,58 stundas (vidējais darba stundu skaits mēnesī 2025.gadā) : 60 minūtes  ir  1998,20 :165,58 : 60= 0,20 euro. Samaksa par izmeklējumu- 9,00 euro (0,20 euro*45 minūtes).  Gadā plānots 20*9,00 euro=180,0 euro.</t>
  </si>
  <si>
    <t>Darba devēja valsts sociālās apdrošināšanas obligātās iemaksas, sociāla rakstura pabalsti un kompensācijas 9,00 euro * 23,59%.</t>
  </si>
  <si>
    <t>Viena izmeklējuma veikšanu nodrošina ārsts (mēnešalga- 1940 euro, piemaksa par darba stāžu- 58,20 euro, kopā- 1998,20 euro). Darba laika patēriņš 1 izmeklējuma veikšanai 30 minūtes. 1 minūtes darba izmaksas- 1998,20 euro : 165,58 stundas (vidējais darba stundu skaits mēnesī 2025.gadā) : 60 minūtes  ir  1998,20 :165,58 : 60= 0,20 euro. Samaksa par izmeklējumu- 6,00 euro (0,20 euro*30 minūtes).  Gadā plānots 200 * 6,00 euro=1200,00 euro.</t>
  </si>
  <si>
    <t>Darba devēja valsts sociālās apdrošināšanas obligātās iemaksas, sociāla rakstura pabalsti un kompensācijas 6,00 euro * 23,59%.</t>
  </si>
  <si>
    <t>Viena izmeklējuma veikšanu nodrošina ārsts (mēnešalga- 1940 euro, piemaksa par darba stāžu- 58,20 euro, kopā- 1998,20 euro). Darba laika patēriņš 1 izmeklējuma veikšanai 30 minūtes. 1 minūtes darba izmaksas- 1998,20 euro : 165,58 stundas (vidējais darba stundu skaits mēnesī 2025.gadā) : 60 minūtes  ir  1998,20 :165,58 : 60= 0,20 euro. Samaksa par izmeklējumu- 6,00 euro (0,20 euro*30 minūtes).  Gadā plānots 100 * 6,00 euro=600,00 euro.</t>
  </si>
  <si>
    <t>Viena izmeklējuma veikšanu nodrošina ārsts (mēnešalga- 1940 euro, piemaksa par darba stāžu- 58,20 euro, kopā- 1998,20 euro). Darba laika patēriņš 1 izmeklējuma veikšanai 80 minūtes. 1 minūtes darba izmaksas- 1998,20 euro : 165,58 stundas (vidējais darba stundu skaits mēnesī 2025.gadā) : 60 minūtes  ir  1998,20 :165,58:60= 0,20 euro. Samaksa par izmeklējumu- 16,00 euro (0,20 euro*80 minūtes). Gadā plānots 20 * 16,00 euro=320,00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</si>
  <si>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269 * 0,001=0,27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</si>
  <si>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269 * 0,296=79,62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</si>
  <si>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16* 0,237=4,74 euro.</t>
  </si>
  <si>
    <t>Gada faktiskās izmaksas 10,02 euro attiecas uz Hematoloģiskās izmeklēšanas nodaļas (turpmāk- ID)  veiktajiem izmeklējumiem. ID veikto maksas pakalpojumu skaits- 9855 izmeklējumi. Izmaksas uz 1 izmeklējumu 10,02 euro : 9855 izmeklējumi= 0,001 euro. Gadā plānotie izmeklējumi: 16* 0,001=0,02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</si>
  <si>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895 * 0,296=264,92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</si>
  <si>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895 * 0,001=0,90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</si>
  <si>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626 * 0,296=185,50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</si>
  <si>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626 * 0,001=0,63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</si>
  <si>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224 * 0,296=66,30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</si>
  <si>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224 * 0,001=0,22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</si>
  <si>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895 * 0,296=264,92euro.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</si>
  <si>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895 * 0,001=0,90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</si>
  <si>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895 * 0,296=264,92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</si>
  <si>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895* 0,001=0,90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</si>
  <si>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7 * 0,296=2,07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</si>
  <si>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7 * 0,001=0,01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</si>
  <si>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1970* 0,296=583,12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</si>
  <si>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50* 0,296=14,80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</si>
  <si>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50* 0,001=0,05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</si>
  <si>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100* 0,296=29,60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</si>
  <si>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100* 0,001=0,10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</si>
  <si>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50* 0,001=0,05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</si>
  <si>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200* 0,296=59,20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</si>
  <si>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200* 0,001=0,20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</si>
  <si>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20* 0,001=0,02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</si>
  <si>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100* 0,001=0,10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</si>
  <si>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20* 0,296=5,92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</si>
  <si>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50* 0,296=14,80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</si>
  <si>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700* 0,296=207,20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</si>
  <si>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700* 0,001=0,70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</si>
  <si>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100* 0,296=29,60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</si>
  <si>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200* 0,296=59,20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</si>
  <si>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20* 0,001=0,02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</si>
  <si>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izmeklējumi:80* 0,296=23,68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</si>
  <si>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80* 0,001=0,08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</si>
  <si>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7* 0,296=2,07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</si>
  <si>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7* 0,001=0,01 euro.</t>
  </si>
  <si>
    <t>Plānotais pakalpojuma sniegšanas vienību skaits:7</t>
  </si>
  <si>
    <t>Viena izmeklējuma veikšanu nodrošina ārsts (mēnešalga- 1940 euro, piemaksa par darba stāžu- 58,20 euro, kopā- 1998,20 euro). Darba laika patēriņš 1 izmeklējuma veikšanai 30 minūtes. 1 minūtes darba izmaksas- 1998,20 euro : 165,58 stundas (vidējais darba stundu skaits mēnesī 2025.gadā) : 60 minūtes  ir  1998,20 :165,58 : 60= 0,20 euro. Samaksa par izmeklējumu- 6,00 euro (0,20 euro*30 minūtes).  Gadā plānots 7 * 6,00 euro=42,00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</si>
  <si>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30* 0,296=8,88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</si>
  <si>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izmeklējumi:30* 0,001=0,03 euro.</t>
  </si>
  <si>
    <t>Viena izmeklējuma veikšanu nodrošina ārsts (mēnešalga- 1940 euro, piemaksa par darba stāžu- 58,20 euro, kopā- 1998,20 euro). Darba laika patēriņš 1 izmeklējuma veikšanai 110 minūtes. 1 minūtes darba izmaksas- 1998,20 euro : 165,58 stundas (vidējais darba stundu skaits mēnesī 2025.gadā) : 60 minūtes  ir  1998,20 :165,58 : 60= 0,20 euro. Samaksa par izmeklējumu- 22,00 euro (0,20 euro*110 minūtes).  Gadā plānots 7*22,00 euro=154,00 euro.</t>
  </si>
  <si>
    <t>Darba devēja valsts sociālās apdrošināšanas obligātās iemaksas, sociāla rakstura pabalsti un kompensācijas 22,00 euro * 23,59%.</t>
  </si>
  <si>
    <t>Viena izmeklējuma veikšanu nodrošina ārsts (mēnešalga- 1940 euro, piemaksa par darba stāžu- 58,20 euro, kopā- 1998,20 euro). Darba laika patēriņš 1 izmeklējuma veikšanai 195 minūtes. 1 minūtes darba izmaksas- 1998,20 euro : 165,58 stundas (vidējais darba stundu skaits mēnesī 2025.gadā) : 60 minūtes  ir  1998,20 :165,58 : 60= 0,20 euro. Samaksa par izmeklējumu- 39 euro (0,20 euro*195 minūtes).  Gadā plānots 7 * 39,00 euro=273,00 euro.</t>
  </si>
  <si>
    <t>Darba devēja valsts sociālās apdrošināšanas obligātās iemaksas, sociāla rakstura pabalsti un kompensācijas 39,00 euro * 23,59%.</t>
  </si>
  <si>
    <r>
      <t xml:space="preserve">Maksas pakalpojuma veids: </t>
    </r>
    <r>
      <rPr>
        <sz val="9"/>
        <rFont val="Times New Roman"/>
        <family val="1"/>
        <charset val="186"/>
      </rPr>
      <t>2.33. Asins grupas apgrieztās reakcijas (netiešā reakcija) noteikšana ar NaCl enzīmu kartēm un O A1 B standarteritrocītiem (izmanto 1/2 NaCl enzyme kartes)</t>
    </r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</si>
  <si>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: 60 minūtes  ir  1998,2 :165,58 : 60= 0,20 euro. 1 izmeklējuma veikšanas darba izmaksas 0,20 euro *20 minūtes =4,00 euro. Gadā plānots 30 * 4,00 euro =120,00 euro.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</si>
  <si>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.  Steidzama izmeklējuma veikšanai papildus nepieciešamas 13 minūtes- 0,20 euro*13 minūtes = 2,60 euro. Samaksa par izmeklējumu- 3,80 euro (1,20+ 2,60).Gadā plānots 20*3,80 euro =76,00 euro.</t>
  </si>
  <si>
    <t>Darba devēja valsts sociālās apdrošināšanas obligātās iemaksas, sociāla rakstura pabalsti un kompensācijas 3,80 euro * 23,59%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</si>
  <si>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10 * 5,61 euro = 56,10 euro.</t>
  </si>
  <si>
    <t>Darba devēja valsts sociālās apdrošināšanas obligātās iemaksas, sociāla rakstura pabalsti un kompensācijas6,60 euro * 23,59%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</si>
  <si>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 Gadā plānots 200 *6,60 euro = 1320,00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</si>
  <si>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izmeklējumi:200* 0,296=59,20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</si>
  <si>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 Gadā plānots 60 *6,60 euro = 396,00 euro.</t>
  </si>
  <si>
    <t>Darba devēja valsts sociālās apdrošināšanas obligātās iemaksas, sociāla rakstura pabalsti un kompensācijas; 6,60 euro * 23,59%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</si>
  <si>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60* 0,296=17,76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</si>
  <si>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60* 0,001=0,06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</si>
  <si>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60 * 0,007=0,42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</si>
  <si>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60* 0,049=2,94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</si>
  <si>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60 * 0,061=3,66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</si>
  <si>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60 * 0,09=5,40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</si>
  <si>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60* 0,050=13,00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</si>
  <si>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60*0,069=4,14euro.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</si>
  <si>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izmeklējumi:60* 0,003=0,18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</si>
  <si>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60* 0,237=17,76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</si>
  <si>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60 * 0,026=1,56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</si>
  <si>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60* 0,009=0,54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</si>
  <si>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60* 0,011=0,66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</si>
  <si>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izmeklējumi:60* 0,023=1,38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</si>
  <si>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60* 0,022=1,32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</si>
  <si>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60 * 0,034=2,04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</si>
  <si>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60* 0,002=0,12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</si>
  <si>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60* 0,003=0,18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</si>
  <si>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60* 0,001=0,06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</si>
  <si>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60* 0,004=0,24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</si>
  <si>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60 * 0,071=4,26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</si>
  <si>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60 * 0,021=1,26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</si>
  <si>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60 * 0,038=2,28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</si>
  <si>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 Gadā plānots 60 * 6,60 euro = 3 96,00euro.</t>
  </si>
  <si>
    <t>Darba devēja valsts sociālās apdrošināšanas obligātās iemaksas, sociāla rakstura pabalsti un kompensācijas 6,60 euro * 23,59%</t>
  </si>
  <si>
    <t>Darba devēja valsts sociālās apdrošināšanas obligātās iemaksas, sociāla rakstura pabalsti un kompensācijas 6,60 euro * 23,59%.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</si>
  <si>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100 * 6,60 euro =660,00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</si>
  <si>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100 * 6,60 euro = 660,00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</si>
  <si>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20 * 5,61 euro = 132,00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</si>
  <si>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20 * 6,60 euro =132,00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</si>
  <si>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400 * 6,60 euro =2640,00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</si>
  <si>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400 * 0,038=15,20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</si>
  <si>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400 * 0,021=08,40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</si>
  <si>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400 * 0,071=28,40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</si>
  <si>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400* 0,004=1,60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</si>
  <si>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400* 0,001=0,40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</si>
  <si>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400* 0,003=1,20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</si>
  <si>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400 * 0,002=0,80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</si>
  <si>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400 * 0,034=13,60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</si>
  <si>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400* 0,022=8,80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</si>
  <si>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400* 0,023=9,20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</si>
  <si>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400* 0,011=4,40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</si>
  <si>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izmeklējumi:400 * 0,009=3,60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</si>
  <si>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400 * 0,026=10,40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</si>
  <si>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400* 0,021=8,40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</si>
  <si>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400* 0,021=8,40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</si>
  <si>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400 * 0,052=20,80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</si>
  <si>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izmeklējumi:400*0,004=1,64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</si>
  <si>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izmeklējumi:400* 0,094=37,60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</si>
  <si>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400* 0,015=6,00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</si>
  <si>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400* 0,026=10,40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</si>
  <si>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400* 0,007=2,80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</si>
  <si>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400 * 0,010=4,00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</si>
  <si>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izmeklējumi:400 * 0,007=2,80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</si>
  <si>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400* 0,049=19,60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</si>
  <si>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400 * 0,061=24,40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</si>
  <si>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400 * 0,09=36,00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</si>
  <si>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400*0,05=20,00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</si>
  <si>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400* 0,069=27,60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</si>
  <si>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400* 0,003=1,20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</si>
  <si>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400* 0,002=0,80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</si>
  <si>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400* 0,237=94,80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</si>
  <si>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400* 0,296=118,40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</si>
  <si>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400* 0,001=0,40 euro.</t>
  </si>
  <si>
    <t>Viena izmeklējuma veikšanu nodrošina ārsts (mēnešalga- 1940 euro, piemaksa par darba stāžu- 558,2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minūtes).   Steidzama izmeklējuma veikšanai papildus nepieciešamas 13 minūtes - 0,20 euro*13 minūtes=2,60 euro. Samaksa par izmeklējumu-4,60 euro (2,00 + 2,60). Gadā plānots20 * 4,60 euro =92,00 euro.</t>
  </si>
  <si>
    <t>Darba devēja valsts sociālās apdrošināšanas obligātās iemaksas, sociāla rakstura pabalsti un kompensācijas 4,60 euro * 23,59%.</t>
  </si>
  <si>
    <t>Viena izmeklējuma veikšanu nodrošina ārsts (mēnešalga- 1940 euro, piemaksa par darba stāžu- 58,20 euro, kopā- 1998,20 euro). Darba laika patēriņš 1 izmeklējuma veikšanai 15 minūtes. 1 minūtes darba izmaksas 1998,20 : 165,58 stundas (vidējais darba stundu skaits mēnesī 2025.gadā) : 60 minūtes ir 1998,20 : 165,58 : 60 = 0,20 euro. 1 izmeklējuma veikšanas darba izmaksas 0,20 euro*15 minūtes =3,00 euro. Steidzama izmeklējuma veikšanai papildus nepieciešamas 13 minūtes - 0,20 euro*13 minūtes = 2,60 euro. Samaksa par izmeklējumu- 5,60 euro (3,00+2,60).   Gadā plānots 20 * 5,60 euro = 112,00 euro.</t>
  </si>
  <si>
    <t>Darba devēja valsts sociālās apdrošināšanas obligātās iemaksas, sociāla rakstura pabalsti un kompensācijas 5,60 euro * 23,59%.</t>
  </si>
  <si>
    <t>Viena izmeklējuma veikšanu nodrošina ārsts (mēnešalga- 1940 euro, piemaksa par darba stāžu- 558,2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minūtes).   Steidzama izmeklējuma veikšanai papildus nepieciešamas 13 minūtes - 0,20 euro*13 minūtes=2,60 euro. Samaksa par izmeklējumu-4,60 euro (2,00 + 2,60). Gadā plānots 20 * 4,60 euro =92,00 euro.</t>
  </si>
  <si>
    <t>Darba devēja valsts sociālās apdrošināšanas obligātās iemaksas, sociāla rakstura pabalsti un kompensācijas 11,25 * 23,59%.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</si>
  <si>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apmērā- 1998,20 euro : 165,58 stundas : 60 minūtes= 0,20*6 minūtes=1,20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izmeklējumu- 11,25 euro (1,20+1,20+8,85). Gadā plānots 30 * 11,25 euro = 337,50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</si>
  <si>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30* 0,001=0,03 euro.</t>
  </si>
  <si>
    <t xml:space="preserve"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 par virsstundu darbu saskaņā ar Darba likuma 68.panta 1.punktu 100% apmērā- 1998,20 euro : 165,58 stundas : 60 minūtes= 0,20*20 minūtes=4,00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izmeklējumu- 16,85 euro (4,00+4,00+8,85).  Gadā plānots 80 * 16,85 euro =1348,00 euro. </t>
  </si>
  <si>
    <t>Darba devēja valsts sociālās apdrošināšanas obligātās iemaksas, sociāla rakstura pabalsti un kompensācijas 16,85 euro * 23,59%.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</si>
  <si>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80* 0,001=0,08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</si>
  <si>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80* 0,296=23,68 euro.</t>
  </si>
  <si>
    <t>Darba devēja valsts sociālās apdrošināšanas obligātās iemaksas, sociāla rakstura pabalsti un kompensācijas 16,85 euro * 23,59%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</si>
  <si>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 par virsstundu darbu saskaņā ar Darba likuma 68.panta 1.punktu 100% apmērā- 1998,20 euro : 165,58 stundas : 60 minūtes= 0,20*20 minūtes=4,00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izmeklējumu- 16,85 euro (4,00+4,00+8,85).   Gadā plānots 60 * 16,85 euro =1011,00 euro</t>
  </si>
  <si>
    <t xml:space="preserve"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 par virsstundu darbu saskaņā ar Darba likuma 68.panta 1.punktu 100% apmērā- 1998,20 euro : 165,58 stundas : 60 minūtes= 0,20*20 minūtes=4,00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izmeklējumu- 16,85 euro (4,00+4,00+8,85).  Gadā plānots 30 * 16,85 euro =505,50 euro. </t>
  </si>
  <si>
    <t>Darba devēja valsts sociālās apdrošināšanas obligātās iemaksas, sociāla rakstura pabalsti un kompensācijas 16,850 euro * 23,59%</t>
  </si>
  <si>
    <t xml:space="preserve"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 par virsstundu darbu saskaņā ar Darba likuma 68.panta 1.punktu 100% apmērā- 1998,20 euro : 165,58 stundas : 60 minūtes= 0,20*20 minūtes=4,00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izmeklējumu- 16,85 euro (4,00+4,00+8,85).  Gadā plānots 7 * 16,85 euro =117,95 euro. </t>
  </si>
  <si>
    <t xml:space="preserve"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 par virsstundu darbu saskaņā ar Darba likuma 68.panta 1.punktu 100% apmērā- 1998,20 euro : 165,58 stundas : 60 minūtes= 0,20*20 minūtes=4,00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izmeklējumu- 16,85 euro (4,00+4,00+8,85).  Gadā plānots 200 * 16,85 euro =3370,00 euro. </t>
  </si>
  <si>
    <t>Viena izmeklējuma veikšanu nodrošina ārsts (mēnešalga- 1940 euro, piemaksa par darba stāžu- 58,2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 . Piemaksa  par virsstundu darbu saskaņā ar Darba likuma 68.panta 1.punktu 100% apmērā- 1998,20 euro : 165,58 stundas : 60 minūtes= 0,20*10 minūtes=2,00 euro. Samaksa par  "izsaukuma gatavību" saskaņā ar Centra 28.01.2025. rīkojuma Nr.1-4.2/4  1.punktu noteikta noteikta atlīdzība-stundas piemaksa 5 % no stundas mēnešalgas par “izsaukuma gatavību”- 0,59 euro,par 15 stundu dežūru svētku dienā- 8,85 euro (0,59*15stundas). Samaksa par izmeklējumu- 12,85 euro (2,0+2,0+8,85).  Gadā plānots 10 * 12,85 euro=128,50 euro.</t>
  </si>
  <si>
    <t>Darba devēja valsts sociālās apdrošināšanas obligātās iemaksas, sociāla rakstura pabalsti un kompensācijas 12,85 euro * 23,59%.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</si>
  <si>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10* 0,021=0,21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</si>
  <si>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10 * 0,021=0,21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</si>
  <si>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10 * 0,052=0,52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</si>
  <si>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10 * 0,004=0,04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</si>
  <si>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10 * 0,094=0,94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</si>
  <si>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10 * 0,015=0,15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</si>
  <si>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10 * 0,026=0,26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</si>
  <si>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10 * 0,007=0,07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</si>
  <si>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10 * 0,010=0,10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</si>
  <si>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izmeklējumi:10* 0,007=0,07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</si>
  <si>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10* 0,049=0,49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</si>
  <si>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10 * 0,061=0,61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</si>
  <si>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10 * 0,09=0,90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</si>
  <si>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10 * 0,050=0,50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</si>
  <si>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10* 0,069=0,69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</si>
  <si>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10* 0,003=0,03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</si>
  <si>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izmeklējumi:10* 0,002=0,02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</si>
  <si>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10* 0,237=2,37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</si>
  <si>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10* 0,296=2,96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</si>
  <si>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10* 0,001=0,01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</si>
  <si>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10* 0,026=0,26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</si>
  <si>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10 * 0,009=0,09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</si>
  <si>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10* 0,011=0,11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</si>
  <si>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10* 0,023=0,23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</si>
  <si>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10* 0,022=0,22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</si>
  <si>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10 * 0,034=0,34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</si>
  <si>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10 * 0,002=0,02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</si>
  <si>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10* 0,003=0,03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</si>
  <si>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 10* 0,001=0,01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</si>
  <si>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10 * 0,004=0,04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</si>
  <si>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10 * 0,071=0,71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</si>
  <si>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10 * 0,021=0,21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</si>
  <si>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10 * 0,038=0,38 euro.</t>
  </si>
  <si>
    <t>Viena izmeklējuma veikšanu nodrošina  ārsts (mēnešalga- 1940 euro, piemaksa par darba stāžu- 58,20 euro, kopā- 1998,20 euro). Darba laika patēriņš 1 izmeklējuma veikšanai 15 minūtes. 1 minūtes darba izmaksas- 1998,20 euro: 165,58 stundas (vidējais darba stundu skaits mēnesī 2025.gadā) : 60 minūtes  ir  1998,2: 165,58 : 60=  0,20 euro. 1 izmeklējuma veikšanas darba izmaksas 0,20 euro*15 minūtes=3,00 euro. Piemaksa  par virsstundu darbu saskaņā ar Darba likuma 68.panta 1.punktu 100% apmērā- 1998,2 euro : 165,58 stundas : 60 minūtes= 0,20*15 minūtes=3,00 euro. Samaksa par  "izsaukuma gatavību" saskaņā ar Centra 28.01.2025. rīkojuma Nr.1-4.2/4 1.punktu noteikta stundas piemaksa 5% no stundas mēnešalgas 8,85 euro,  atlīdzība par “izsaukuma gatavību”- 0,59 euro, par 15 stundu dežūru darba dienās- 8,85 euro (0,59 euro*15 stundas). Samaksa par izmeklējumu- 14,85 euro (3,00+3,00+8,85).  Gadā plānots 10*14,85 euro=148,50 euro.</t>
  </si>
  <si>
    <t>Darba devēja valsts sociālās apdrošināšanas obligātās iemaksas, sociāla rakstura pabalsti un kompensācijas 14,85 euro * 23,59%.</t>
  </si>
  <si>
    <t>Viena izmeklējuma veikšanu nodrošina ārsts (mēnešalga- 1940 euro, piemaksa par darba stāžu- 58,2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 . Piemaksa  par virsstundu darbu saskaņā ar Darba likuma 68.panta 1.punktu 100% apmērā- 1998,20 euro : 165,58 stundas : 60 minūtes= 0,20*10 minūtes=2,00 euro. Samaksa par  "izsaukuma gatavību" saskaņā ar Centra 28.01.2025. rīkojuma Nr.1-4.2/4  1.punktu noteikta noteikta atlīdzība-stundas piemaksa 5 % no stundas mēnešalgas par “izsaukuma gatavību”- 0,59 euro,par 15 stundu dežūru svētku dienā- 8,85 euro (0,59*15stundas). Samaksa par izmeklējumu- 12,85 euro (2,0+2,0+8,85).  Gadā plānots 7 * 12,85 euro=89,95 euro.</t>
  </si>
  <si>
    <t>Darba devēja valsts sociālās apdrošināšanas obligātās iemaksas, sociāla rakstura pabalsti un kompensācijas 16,56 * 23,59%.</t>
  </si>
  <si>
    <t>Darba devēja valsts sociālās apdrošināšanas obligātās iemaksas, sociāla rakstura pabalsti un kompensācijas 22,16 euro * 23,59%.</t>
  </si>
  <si>
    <t>Darba devēja valsts sociālās apdrošināšanas obligātās iemaksas, sociāla rakstura pabalsti un kompensācijas 22,16 euro * 23,59%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</si>
  <si>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izmeklējumi:20* 0,296=5,92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</si>
  <si>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5 * 0,038=0,019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</si>
  <si>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5 * 0,021=0,11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</si>
  <si>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5 * 0,071=0,36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</si>
  <si>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izmeklējumi:5* 0,004=0,02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</si>
  <si>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5* 0,001=0,01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</si>
  <si>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5* 0,003=0,02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</si>
  <si>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izmeklējumi:5* 0,002=0,01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</si>
  <si>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5 * 0,034=0,17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</si>
  <si>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5* 0,022=0,11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</si>
  <si>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 5* 0,023=0,12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</si>
  <si>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5* 0,011=0,06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</si>
  <si>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5* 0,009=0,54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</si>
  <si>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5 * 0,026=0,13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</si>
  <si>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5* 0,001=0,01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</si>
  <si>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5* 0,296=1,48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</si>
  <si>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izmeklējumi:5* 0,237=1,19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</si>
  <si>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5* 0,002=0,01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</si>
  <si>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5* 0,003=0,02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</si>
  <si>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5*0,069=0,35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</si>
  <si>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5* 0,050=0,25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</si>
  <si>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5 * 0,09=0,45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</si>
  <si>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5 * 0,061=0,31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</si>
  <si>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5* 0,049=0,25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</si>
  <si>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5 * 0,007=0,04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</si>
  <si>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izmeklējumi:5 * 0,010=0,05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</si>
  <si>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5* 0,007=0,04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</si>
  <si>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5* 0,026=0,13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</si>
  <si>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5* 0,015=0,08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</si>
  <si>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5* 0,094=0,47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</si>
  <si>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5*0,004=0,02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</si>
  <si>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5 * 0,052=0,26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</si>
  <si>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5* 0,021=0,11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</si>
  <si>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5* 0,021=1,26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</si>
  <si>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60* 0,002=0,12 euro.</t>
  </si>
  <si>
    <t>Darba devēja valsts sociālās apdrošināšanas obligātās iemaksas, sociāla rakstura pabalsti un kompensācijas 20,16 euro * 23,59%.</t>
  </si>
  <si>
    <t>Plānotais pakalpojuma sniegšanas vienību skaits:5</t>
  </si>
  <si>
    <t>Darba devēja valsts sociālās apdrošināšanas obligātās iemaksas, sociāla rakstura pabalsti un kompensācijas 11,85 * 23,59%.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</si>
  <si>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apmērā- 1998,20 euro : 165,58 stundas : 60 minūtes= 0,20*6 minūtes=1,20 euro. Piemaksa par nakts darbu saskaņā ar Darba likuma 67.panta 1.punktu  50% apmērā- 0,60 euro (1,20 euro* 50%).  Samaksa par  "izsaukuma gatavību"  darba dienās  saskaņā ar Centra 28.01.2025. rīkojuma Nr.1-4.2/4 1.punktu  noteikta stundas piemaksa 5% no stundas mēnešalgas 11,72 euro atlīdzība par “izsaukuma gatavību”- 0,59 euro, 15 stundu dežūru darba dienās- 8,85 euro (0,59 euro*15 stundas). Samaksa par izmeklējumu- 11,85 euro (1,20+1,20+0,60+8,85). Gadā plānots 7 * 111,85 euro = 82,95 euro.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</si>
  <si>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apmērā-2,00 euro (4,00 euro* 50%).  Samaksa par  "izsaukuma gatavību"  darba dienās  saskaņā ar Centra 28.01.2025. rīkojuma Nr.1-4.2/4  1.punktu  noteikta stundas piemaksa 5% no stundas mēnešalgas 11,72 euro atlīdzība par “izsaukuma gatavību”- 0,59 euro, 15 stundu dežūru darba dienās- 8,85 euro (0,59 euro*15 stundas). Samaksa par izmeklējumu- 18,85 euro (4,00+4,00+2,00+8,85).  Gadā plānots 20 * 18,85 euro =377,00 euro. </t>
  </si>
  <si>
    <t>Darba devēja valsts sociālās apdrošināšanas obligātās iemaksas, sociāla rakstura pabalsti un kompensācijas 18,85 euro * 23,59%.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</si>
  <si>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apmērā-2,00 euro (4,00 euro* 50%).  Samaksa par  "izsaukuma gatavību"  darba dienās  saskaņā ar Centra 28.01.2025. rīkojuma Nr.1-4.2/4  1.punktu  noteikta stundas piemaksa 5% no stundas mēnešalgas 11,72 euro atlīdzība par “izsaukuma gatavību”- 0,59 euro, 15 stundu dežūru darba dienās- 8,85 euro (0,59 euro*15 stundas). Samaksa par izmeklējumu- 18,85 euro (4,00+4,00+2,00+8,85).  Gadā plānots 7 * 18,85 euro =131,95 euro. 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</si>
  <si>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apmērā-2,00 euro (4,00 euro* 50%).  Samaksa par  "izsaukuma gatavību"  darba dienās  saskaņā ar Centra 28.01.2025. rīkojuma Nr.1-4.2/4  1.punktu  noteikta stundas piemaksa 5% no stundas mēnešalgas 11,72 euro atlīdzība par “izsaukuma gatavību”- 0,59 euro, 15 stundu dežūru darba dienās- 8,85 euro (0,59 euro*15 stundas). Samaksa par izmeklējumu- 18,85 euro (4,00+4,00+2,00+8,85).  Gadā plānots 7 * 18,85 euro =96,95 euro. 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</si>
  <si>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apmērā-2,00 euro (4,00 euro* 50%).  Samaksa par  "izsaukuma gatavību"  darba dienās  saskaņā ar Centra 28.01.2025. rīkojuma Nr.1-4.2/4  1.punktu  noteikta stundas piemaksa 5% no stundas mēnešalgas 11,72 euro atlīdzība par “izsaukuma gatavību”- 0,59 euro, 15 stundu dežūru darba dienās- 8,85 euro (0,59 euro*15 stundas). Samaksa par izmeklējumu- 18,85 euro (4,00+4,00+2,00+8,85).  Gadā plānots 60 * 18,85 euro =1131,00 euro. </t>
  </si>
  <si>
    <t xml:space="preserve">Viena izmeklējuma veikšanu nodrošina ārsts (mēnešalga- 1940 euro, piemaksa par darba stāžu- 58,2 euro, kopā- 1998,20 euro). Darba laika patēriņš 1 iz3,85eklējuma veikšanai 10 minūtes. 1 minūtes darba izmaksas- 1998,20 euro: 165,58 stundas (vidējais darba stundu skaits mēnesī 2025.gadā) : 60 minūtes  ir  1998,20: 165,58: 60=  0,20 euro. 1 izmeklējuma veikšanas darba izmaksas 0,20 euro* 10 minūtes =2,00 euro.  Samaksa par virsstundu darbu, piemaksa 100% apmērā- 1998,2 euro : 165,58 stundas : 60 minūtes= 0,20 euro * 10 minūtes= 2,00 euro. Piemaksa par nakts darbu saskaņā ar Darba likuma 67.panta 1.punktu  50% apmērā- 1,00 euro (2,00 euro* 50%).  Samaksa par  "izsaukuma gatavību"  darba dienās  saskaņā ar Centra 28.01.2025. rīkojuma Nr.1-4.2/4  1.punktu  noteikta stundas piemaksa 5% no stundas mēnešalgas 8,85 euro atlīdzība par “izsaukuma gatavību”- 0,59 euro, 15 stundu dežūru darba dienās- 8,85 euro (0,59 euro*15 stundas). Samaksa par izmeklējumu- 13,85euro (2,00+2,00+1,00+8,85). Gadā plānots 5 * 13,85 euro =69,25 euro. </t>
  </si>
  <si>
    <t>Darba devēja valsts sociālās apdrošināšanas obligātās iemaksas, sociāla rakstura pabalsti un kompensācija 13,85 euro * 23,59%.</t>
  </si>
  <si>
    <t xml:space="preserve">Viena izmeklējuma veikšanu nodrošina ārsts (mēnešalga- 1940 euro, piemaksa par darba stāžu- 58,20 euro, kopā- 1998,20 euro). Darba laika patēriņš 1 izmeklējuma veikšanai 15 minūtes. 1 minūtes darba izmaksas- 1998,20 euro: 165,58 stundas (vidējais darba stundu skaits mēnesī 2025.gadā) : 60 minūtes  ir  1998,20: 165,58 : 60=  0,20 euro. 1 izmeklējuma veikšanas darba izmaksas 0,20 euro*15 minūtes=3,00 euro.  Samaksa par virsstundu darbu, piemaksa 100% apmērā- 1998,20 euro : 165,58 stundas : 60 minūtes= 0,20 euro * 15 minūtes= 3,00 euro. Piemaksa par nakts darbu saskaņā ar Darba likuma 67.panta 1.punktu  50% apmērā- 1,50 euro (3,00 euro* 50%).  Samaksa par  "izsaukuma gatavību"  darba dienās  saskaņā ar Centra 28.01.2025. rīkojuma Nr.1-4.2/4  1.punktu  noteikta stundas piemaksa 5% no stundas mēnešalgas 11,72 euro atlīdzība par “izsaukuma gatavību”- 0,59 euro, 15 stundu dežūru darba dienās- 8,85 euro (0,59 euro*15 stundas). Samaksa par izmeklējumu-16,35 euro (3,00+3,00+1,50+8,85). Gadā plānots 5 * 16,35 euro = 81,75 euro. </t>
  </si>
  <si>
    <t>Darba devēja valsts sociālās apdrošināšanas obligātās iemaksas, sociāla rakstura pabalsti un kompensācijas 16,35 euro * 23,59%.</t>
  </si>
  <si>
    <t>Viena izmeklējuma veikšanu nodrošina ārsts (mēnešalga- 1940 euro, piemaksa par darba stāžu- 58,20 euro, kopā- 1998,20 euro). Darba laika patēriņš 1 izmeklējuma veikšanai 6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apmērā- 1998,20 euro : 165,58 stundas : 60 minūtes= 0,20*6 minūtes=1,20 euro. Samaksa par  "izsaukuma gatavību" saskaņā ar Centra 28.01.2025. rīkojuma Nr.1-4.2/4  1.punktu noteikta stundas piemaksa 5% no stundas mēnešalgas 11,72 euro,  atlīdzība par “izsaukuma gatavību”- 0,59 euro, par 24 stundu dežūru darba dienās- 14,16 euro (0,59 euro*24 stundas). Samaksa par izmeklējumu- 16,56 euro (1,20+1,20+ 14,16).    Gadā plānots  5 * 16,56 euro =82,80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</si>
  <si>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 Gadā plānots 50*22,16 euro = 1108,00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</si>
  <si>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 Gadā plānots 50 *22,16 euro =1108,00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</si>
  <si>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 Gadā plānots 5*22,16 euro =110,80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</si>
  <si>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Gadā plānots 50*22,16 euro =1108,00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</si>
  <si>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Gadā plānots  5*22,16 euro =110,80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</si>
  <si>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Gadā plānots 200*22,16 euro =4432,00 euro.</t>
  </si>
  <si>
    <t>Viena izmeklējuma veikšanu nodrošina  ārsts (mēnešalga- 1940 euro, piemaksa par darba stāžu- 58,20 euro, kopā- 1998,2 euro). Darba laika patēriņš 1 izmeklējuma veikšanai 10 minūtes. 1 minūtes darba izmaksas- 1998,20 euro: 165,58 stundas (vidējais darba stundu skaits mēnesī 2025.gadā) : 60 minūtes  ir  1998,20: 165,58 : 60=  0,20 euro. 1 izmeklējuma veikšanas darba izmaksas 0,20 euro*10 minūtes=2,00 euro. Piemaksa  par virsstundu darbu saskaņā ar Darba likuma 68.panta 1.punktu 100% apmērā- 1998,2 euro : 165,58 stundas : 60 minūtes= 0,20*10 minūtes=2,00 euro. Samaksa par  "izsaukuma gatavību" saskaņā ar Centra 28.01.2025. rīkojuma Nr.1-4.2/4 1.punktu noteikta stundas piemaksa 5% no stundas mēnešalgas 14,16 euro, atlīdzība par “izsaukuma gatavību”- 0,59 euro, par 24 stundu dežūru darba dienās- 14,16 euro (0,59 euro*24 stundas). Samaksa par izmeklējumu- 18,16 euro (2,00+2,00+14,16).  Gadā plānots 10 * 18,16 euro=181,60 euro.</t>
  </si>
  <si>
    <t>Darba devēja valsts sociālās apdrošināšanas obligātās iemaksas, sociāla rakstura pabalsti un kompensācijas 18,16 euro * 23,59%.</t>
  </si>
  <si>
    <t>Viena izmeklējuma veikšanu nodrošina  ārsts (mēnešalga- 1940 euro, piemaksa par darba stāžu- 58,20 euro, kopā- 1998,20 euro). Darba laika patēriņš 1 izmeklējuma veikšanai 15 minūtes. 1 minūtes darba izmaksas- 1998,205 euro: 165,58 stundas (vidējais darba stundu skaits mēnesī 2025.gadā) : 60 minūtes  ir  1998,20: 165,58 : 60=  0,20 euro. 1 izmeklējuma veikšanas darba izmaksas 0,20 euro*15 minūtes=3,00 euro. Piemaksa  par virsstundu darbu saskaņā ar Darba likuma 68.panta 1.punktu 100% apmērā- 1998,20 euro : 165,58 stundas : 60 minūtes= 0,20*15 minūtes=3,00 euro. Samaksa par  "izsaukuma gatavību" saskaņā ar Centra 28.01.2025. rīkojuma Nr.1-4.2/4 1.punktu noteikta stundas piemaksa 5% no stundas mēnešalgas 14,16 euro, atlīdzība par “izsaukuma gatavību”- 0,59 euro, par 24 stundu dežūru darba dienās- 14,16 euro (0,59 euro*24 stundas). Samaksa par izmeklējumu- 20,16 euro (3,00+3,00+14,16). Gadā plānots 5 * 20,16 euro=100,80 euro.</t>
  </si>
  <si>
    <t>Viena izmeklējuma veikšanu nodrošina  ārsts (mēnešalga- 1940 euro, piemaksa par darba stāžu- 58,20 euro, kopā- 1998,2 euro). Darba laika patēriņš 1 izmeklējuma veikšanai 10 minūtes. 1 minūtes darba izmaksas- 1998,20 euro: 165,58 stundas (vidējais darba stundu skaits mēnesī 2025.gadā) : 60 minūtes  ir  1998,20: 165,58 : 60=  0,20 euro. 1 izmeklējuma veikšanas darba izmaksas 0,20 euro*10 minūtes=2,00 euro. Piemaksa  par virsstundu darbu saskaņā ar Darba likuma 68.panta 1.punktu 100% apmērā- 1998,2 euro : 165,58 stundas : 60 minūtes= 0,20*10 minūtes=2,00 euro. Samaksa par  "izsaukuma gatavību" saskaņā ar Centra 28.01.2025. rīkojuma Nr.1-4.2/4 1.punktu noteikta stundas piemaksa 5% no stundas mēnešalgas 14,16 euro, atlīdzība par “izsaukuma gatavību”- 0,59 euro, par 24 stundu dežūru darba dienās- 14,16 euro (0,59 euro*24 stundas). Samaksa par izmeklējumu- 18,16 euro (2,00+2,00+14,16).   Gadā plānots 5 * 18,16euro=90,80 euro.</t>
  </si>
  <si>
    <t>Darba devēja valsts sociālās apdrošināšanas obligātās iemaksas, sociāla rakstura pabalsti un kompensācijas 17,15 * 23,59%.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</si>
  <si>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apmērā- 2,00 euro (4,00 euro* 50%).  Samaksa par  "izsaukuma gatavību" brīvdienās  saskaņā ar Centra 28.01.2025. rīkojuma Nr.1-4.2/ 4  1.punktu  noteikta stundas piemaksa 5% no stundas mēnešalgas11,72 euro atlīdzība par “izsaukuma gatavību”- 0,59 euro, 24 stundu dežūru darba dienās- 14,16 euro (0,59 euro* 24 stundas). Samaksa par izmeklējumu- 24,16 euro (4,00+4,00+2,00+14,16).Gadā plānots 10 *24,16 euro =241,60 euro. </t>
  </si>
  <si>
    <t>Darba devēja valsts sociālās apdrošināšanas obligātās iemaksas, sociāla rakstura pabalsti un kompensācijas 24,16 euro * 23,59%.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</si>
  <si>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apmērā- 2,00 euro (4,00 euro* 50%).  Samaksa par  "izsaukuma gatavību" brīvdienās  saskaņā ar Centra 28.01.2025. rīkojuma Nr.1-4.2/ 4  1.punktu  noteikta stundas piemaksa 5% no stundas mēnešalgas11,72 euro atlīdzība par “izsaukuma gatavību”- 0,59 euro, 24 stundu dežūru darba dienās- 14,16 euro (0,59 euro* 24 stundas). Samaksa par izmeklējumu- 24,16 euro (4,00+4,00+2,00+14,16).Gadā plānots 5 *24,16 euro =120,80 euro. </t>
  </si>
  <si>
    <t>Plānotais pakalpojuma sniegšanas vienību skaits:10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</si>
  <si>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apmērā- 2,00 euro (4,00 euro* 50%).  Samaksa par  "izsaukuma gatavību" brīvdienās  saskaņā ar Centra 28.01.2025. rīkojuma Nr.1-4.2/ 4  1.punktu  noteikta stundas piemaksa 5% no stundas mēnešalgas11,72 euro atlīdzība par “izsaukuma gatavību”- 0,59 euro, 24 stundu dežūru darba dienās- 14,16 euro (0,59 euro* 24 stundas). Samaksa par izmeklējumu- 24,16 euro (4,00+4,00+2,00+14,16).Gadā plānots 5*24,16 euro =120,80 euro. 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</si>
  <si>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5* 0,021=0,11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</si>
  <si>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5* 0,021=0,11euro.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</si>
  <si>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apmērā- 2,00 euro (4,00 euro* 50%).  Samaksa par  "izsaukuma gatavību" brīvdienās  saskaņā ar Centra 28.01.2025. rīkojuma Nr.1-4.2/ 4  1.punktu  noteikta stundas piemaksa 5% no stundas mēnešalgas11,72 euro atlīdzība par “izsaukuma gatavību”- 0,59 euro, 24 stundu dežūru darba dienās- 14,16 euro (0,59 euro* 24 stundas). Samaksa par izmeklējumu- 24,16 euro (4,00+4,00+2,00+14,16).Gadā plānots 30 *24,16 euro =724,80 euro. </t>
  </si>
  <si>
    <t xml:space="preserve">Viena izmeklējuma veikšanu nodrošina ārsts (mēnešalga- 1940 euro, piemaksa par darba stāžu- 58,20 euro, kopā- 1998,2 euro). Darba laika patēriņš 1 izmeklējuma veikšanai 10 minūtes. 1 minūtes darba izmaksas- 1998,20 euro: 165,58 stundas (vidējais darba stundu skaits mēnesī 2025.gadā) : 60 minūtes  ir  1998,2: 165,58 : 60=  0,20 euro. 1 izmeklējuma veikšanas darba izmaksas 0,20 euro*10 minūtes=2,00 euro.  Samaksa par virsstundu darbu, piemaksa 100% apmērā- 1998,2 euro : 165,58 stundas : 60 minūtes= 0,0,20 euro * 10 minūtes= 2,000 euro. Piemaksa par nakts darbu saskaņā ar Darba likuma 67.panta 1.punktu  50% apmērā-1,00 euro (2,00 euro* 50%).  Samaksa par  "izsaukuma gatavību" brīvdienās  saskaņā ar Centra 28.01.2025. rīkojuma Nr.1-4.2/4  1.punktu  noteikta stundas piemaksa 5% no stundas mēnešalgas 9,92 euro atlīdzība par “izsaukuma gatavību”- 0,59 euro, 24 stundu dežūru darba dienās- 14,16 euro (0,59 euro* 24 stundas). Samaksa par izmeklējumu- 19,16 euro (2,00+2,00+1,00+14,16).Gadā plānots 5 * 19,16 euro =95,80 euro. </t>
  </si>
  <si>
    <t>Darba devēja valsts sociālās apdrošināšanas obligātās iemaksas, sociāla rakstura pabalsti un kompensācija 19, 16 euro * 23,59%.</t>
  </si>
  <si>
    <t xml:space="preserve">Viena izmeklējuma veikšanu nodrošina ārsts (mēnešalga- 1940 euro, piemaksa par darba stāžu- 58,20 euro, kopā- 1998,20 euro). Darba laika patēriņš 1 izmeklējuma veikšanai 15 minūtes. 1 minūtes darba izmaksas- 1998,20 euro: 165,58 stundas (vidējais darba stundu skaits mēnesī 2025.gadā) : 60 minūtes  ir  1998,20: 165,58 : 60=  0,20 euro. 1 izmeklējuma veikšanas darba izmaksas 0,20 euro*15 minūtes=3,00 euro.  Samaksa par virsstundu darbu, piemaksa 100% apmērā- 1940 euro : 165,58 stundas : 60 minūtes= 0,20 euro * 15 minūtes=3,00 euro. Piemaksa par nakts darbu saskaņā ar Darba likuma 67.panta 1.punktu  50% apmērā- 1,50 euro (3,00 euro* 50%).  Samaksa par  "izsaukuma gatavību" brīvdienās  saskaņā ar Centra28.01.2025. rīkojuma Nr.1-4.2/ 4 1.punktu  noteikta stundas piemaksa 5% no stundas mēnešalgas 11,72 euro atlīdzība par “izsaukuma gatavību”- 0,59 euro, 24 stundu dežūru darba dienās- 14,16 euro (0,59 euro* 24 stundas). Samaksa par izmeklējumu- 21,66 euro (3,00+3,00+1,50+14,16).Gadā plānots 5 *21,66 euro = 108,30 euro. </t>
  </si>
  <si>
    <t>Darba devēja valsts sociālās apdrošināšanas obligātās iemaksas, sociāla rakstura pabalsti un kompensācijas 21,66 euro * 23,59%.</t>
  </si>
  <si>
    <t>Darba devēja valsts sociālās apdrošināšanas obligātās iemaksas, sociāla rakstura pabalsti un kompensācija 19,16 euro * 23,59%.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</si>
  <si>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apmērā- 1998,20 euro : 165,58 stundas : 60 minūtes= 0,20*6 minūtes=1,20 euro. Piemaksa par darbu svētku dienās  100% apmērā-1,20 euro, Samaksa par  "izsaukuma gatavību" saskaņā ar Centra 28.01.2025. rīkojuma Nr.1-4.2/4  1.punktu noteikta noteikta atlīdzība-stundas piemaksa 10% no stundas mēnešalgas par “izsaukuma gatavību”- 1,17 euro,par 24 stundu dežūru svētku dienā- 28,08 euro (1,17 euro*24 stundas).  Samaksa par izmeklējumu- 31,68 euro (1,20+ 1,20+1,20+28,08). Gadā plānots 5 *31,68 euro =158,40 euro.</t>
  </si>
  <si>
    <t>Darba devēja valsts sociālās apdrošināšanas obligātās iemaksas, sociāla rakstura pabalsti un kompensācijas 31,68 * 23,59%.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</si>
  <si>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par virsstundu darbu askaņā ar Darba likuma 68.panta 1.punktu 100% apmērā- 4,00 euro. Piemaksa par  darbu svētku dienās saskaņā ar Darba likuma 68.panta 1.punktu 100% apmērā- 4,00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izmeklējumu- 40,08 euro (4,00+4,00+4,00+28,08). Gadā plānots 10*40,08 euro 400,80 euro. </t>
  </si>
  <si>
    <t>Darba devēja valsts sociālās apdrošināšanas obligātās iemaksas, sociāla rakstura pabalsti un kompensācijas 40,08 euro * 23,59%.</t>
  </si>
  <si>
    <t>Darba devēja valsts sociālās apdrošināšanas obligātās iemaksas, sociāla rakstura pabalsti un kompensācijas 40,08euro * 23,59%.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</si>
  <si>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par virsstundu darbu askaņā ar Darba likuma 68.panta 1.punktu 100% apmērā- 4,00 euro. Piemaksa par  darbu svētku dienās saskaņā ar Darba likuma 68.panta 1.punktu 100% apmērā- 4,00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izmeklējumu- 40,08 euro (4,00+4,00+4,00+28,08). Gadā plānots 5*40,08=200,40 euro. 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</si>
  <si>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par virsstundu darbu askaņā ar Darba likuma 68.panta 1.punktu 100% apmērā- 4,00 euro. Piemaksa par  darbu svētku dienās saskaņā ar Darba likuma 68.panta 1.punktu 100% apmērā- 4,00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izmeklējumu- 40,08 euro (4,00+4,00+4,00+28,08). Gadā plānots 5*40,08 euro 200,40 euro. 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</si>
  <si>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par virsstundu darbu askaņā ar Darba likuma 68.panta 1.punktu 100% apmērā- 4,00 euro. Piemaksa par  darbu svētku dienās saskaņā ar Darba likuma 68.panta 1.punktu 100% apmērā- 4,00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izmeklējumu- 40,08 euro (4,00+4,00+4,00+28,08). Gadā plānots 30*40,08 euro 1202,40 euro. </t>
  </si>
  <si>
    <t xml:space="preserve">Viena izmeklējuma veikšanu nodrošina ārsts (mēnešalga- 1940 euro, piemaksa par darba stāžu- 58,20 euro, kopā- 1998,20 euro). Darba laika patēriņš 1 izmeklējuma veikšanai 15 minūtes. 1 minūtes darba izmaksas- 1998,20 euro: 165,58 stundas (vidējais darba stundu skaits mēnesī 2025.gadā) : 60 minūtes  ir  1998,20: 165,58: 60=  0,20 euro. 1 izmeklējuma veikšanas darba izmaksas 0,20 euro* 15 minūtes=3,00 euro. Piemaksa par virsstundu darbu askaņā ar Darba likuma 68.panta 1.punktu 100% apmērā- 3,00 euro. Piemaksa par  darbu svētku dienās saskaņā ar Darba likuma 68.panta 1.punktu 100% apmērā-3,00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izmeklējumu- 37,08 euro (3,00+3,00+3,00+28,08).  Gadā plānots 5*37,08 euro =185,40 euro. </t>
  </si>
  <si>
    <t>Darba devēja valsts sociālās apdrošināšanas obligātās iemaksas, sociāla rakstura pabalsti un kompensācijas 37,08 euro * 23,59%.</t>
  </si>
  <si>
    <t xml:space="preserve">Viena izmeklējuma veikšanu nodrošina ārsts (mēnešalga- 1940 euro, piemaksa par darba stāžu- 58,20 euro, kopā- 1998,20 euro). Darba laika patēriņš 1 izmeklējuma veikšanai 10 minūtes. 1 minūtes darba izmaksas- 1998,20 euro: 165,58 stundas (vidējais darba stundu skaits mēnesī 2025.gadā) : 60 minūtes  ir  1998,20: 165,58 : 60=  0,20 euro. 1 izmeklējuma veikšanas darba izmaksas 0,20 euro* 10 minūtes=2,00 euro. Piemaksa par virsstundu darbu askaņā ar Darba likuma 68.panta 1.punktu 100% apmērā- 2,00 euro. Piemaksa par  darbu svētku dienās saskaņā ar Darba likuma 68.panta 1.punktu 100% apmērā- 2,00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 34,08 euro (2,00+2,00+2,00+28,08). Gadā plānots 5*34,08 euro =170,40 euro. </t>
  </si>
  <si>
    <t>Darba devēja valsts sociālās apdrošināšanas obligātās iemaksas, sociāla rakstura pabalsti un kompensācija 34,08 euro * 23,59%.</t>
  </si>
  <si>
    <t xml:space="preserve">Viena izmeklējuma veikšanu nodrošina ārsts (mēnešalga- 1940 euro, piemaksa par darba stāžu- 58,20 euro, kopā- 1998,20 euro). Darba laika patēriņš 1 izmeklējuma veikšanai 10 minūtes. 1 minūtes darba izmaksas- 1998,20 euro: 165,58 stundas (vidējais darba stundu skaits mēnesī 2025.gadā) : 60 minūtes  ir  1998,20: 165,58 : 60=  0,20 euro. 1 izmeklējuma veikšanas darba izmaksas 0,20 euro* 10 minūtes=2,00 euro. Piemaksa par virsstundu darbu askaņā ar Darba likuma 68.panta 1.punktu 100% apmērā- 2,00 euro. Piemaksa par  darbu svētku dienās saskaņā ar Darba likuma 68.panta 1.punktu 100% apmērā- 2,00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 34,08 euro (2,00+2,00+2,00+28,08).  Gadā plānots 5 *34,08 euro =170,40 euro. 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</si>
  <si>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apmērā- 1940 euro : 165,58 stundas : 60 minūtes= 0,20*6 minūtes=1,20 euro. Piemaksa par darbu svētku dienās  100% apmērā-1,20 euro,   Piemaksa par nakts darbu saskaņā ar Darba likuma 67.panta 1.punktu 50% apmērā- 0,60 euro (1,20*50%). Samaksa par  "izsaukuma gatavību" svētku dienā saskaņā ar Centra 28.01.2025. rīkojuma Nr.1-4.2/4  2.punktu noteikta atlīdzība- stundas piemaksa 10% no stundas mēnešalgas par “izsaukuma gatavību”- 1,17 euro, par 24 stundu dežūru svētku dienā- 28,08 euro (1,17 euro*24 stundas).  Samaksa par izmeklējumu-32,28 euro (1,20+ 1,20+1,20+0,60+28,08).   Gadā plānots 5*32,28 euro =161,40 euro.</t>
  </si>
  <si>
    <t>Darba devēja valsts sociālās apdrošināšanas obligātās iemaksas, sociāla rakstura pabalsti un kompensācijas 32,28 * 23,59%.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</si>
  <si>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euro: 165,58 stundas (vidējais darba stundu skaits mēnesī 2025.gadā) : 60 minūtes  ir  1998,20: 165,58 : 60=  0,20 euro. 1 izmeklējuma veikšanas darba izmaksas 0,20 euro* 20 minūtes=4,00 euro. Piemaksa par virsstundu darbu askaņā ar Darba likuma 68.panta 1.punktu 100% apmērā- 4,00 euro. Piemaksa par  darbu svētku dienās saskaņā ar Darba likuma 68.panta 1.punktu 100% apmērā- 4,00 euro.  Piemaksa par nakts darbu saskaņā ar Darba likuma 67.panta 1.punktu 50% apmērā- 2,00 euro (4,00*50%). Samaksa par  "izsaukuma gatavību" svētku dienā saskaņā ar Centra 28.01.2025. rīkojuma Nr.1-4.2/4 1.punktu noteikta atlīdzība- stundas piemaksa 10% no stundas mēnešalgas par “izsaukuma gatavību”- 1,17 euro, par 24 stundu dežūru svētku dienā- 28,08 euro (1,17 euro*24 stundas). Samaksa par izmeklējumu- 42,08 euro (4,00+4,00+4,00+2,00+28,08).  Gadā plānots 5  * 42,08 euro = 210,40 euro. </t>
  </si>
  <si>
    <t>Darba devēja valsts sociālās apdrošināšanas obligātās iemaksas, sociāla rakstura pabalsti un kompensācijas 42,08 euro * 23,59%.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</si>
  <si>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euro: 165,58 stundas (vidējais darba stundu skaits mēnesī 2025.gadā) : 60 minūtes  ir  1998,20: 165,58 : 60=  0,20 euro. 1 izmeklējuma veikšanas darba izmaksas 0,20 euro* 20 minūtes=4,00 euro. Piemaksa par virsstundu darbu askaņā ar Darba likuma 68.panta 1.punktu 100% apmērā- 4,00 euro. Piemaksa par  darbu svētku dienās saskaņā ar Darba likuma 68.panta 1.punktu 100% apmērā- 4,00 euro.  Piemaksa par nakts darbu saskaņā ar Darba likuma 67.panta 1.punktu 50% apmērā- 2,00 euro (4,00*50%). Samaksa par  "izsaukuma gatavību" svētku dienā saskaņā ar Centra 28.01.2025. rīkojuma Nr.1-4.2/4 1.punktu noteikta atlīdzība- stundas piemaksa 10% no stundas mēnešalgas par “izsaukuma gatavību”- 1,17 euro, par 24 stundu dežūru svētku dienā- 28,08 euro (1,17 euro*24 stundas). Samaksa par izmeklējumu- 42,08 euro (4,00+4,00+4,00+2,00+28,08).  Gadā plānots 20  * 42,08 euro =841,60 euro. </t>
  </si>
  <si>
    <t xml:space="preserve">Viena izmeklējuma veikšanu nodrošina ārsts (mēnešalga- 1940 euro, piemaksa par darba stāžu- 58,20 euro, kopā- 1998,2 euro). Darba laika patēriņš 1 izmeklējuma veikšanai  10 minūtes. 1 minūtes darba izmaksas- 1998,2 euro: 165,58 stundas (vidējais darba stundu skaits mēnesī 2025.gadā) : 60 minūtes  ir  1998,2: 165,58 : 60=  0,20 euro. 1 izmeklējuma veikšanas darba izmaksas 0,20 euro*10 minūtes=2,00 euro. Piemaksa par virsstundu darbu askaņā ar Darba likuma 68.panta 1.punktu 100% apmērā- 2,00 euro. Piemaksa par  darbu svētku dienās saskaņā ar Darba likuma 68.panta 1.punktu 100% apmērā-2,00 euro.  Piemaksa par nakts darbu saskaņā ar Darba likuma 67.panta 1.punktu 50% apmērā- 1,00 euro (2,00*50%). Samaksa par  "izsaukuma gatavību" svētku dienā saskaņā ar Centra28.01.2025. rīkojuma Nr.1-4.2/4 1.punktu noteikta atlīdzība- stundas piemaksa 10% no stundas mēnešalgas par “izsaukuma gatavību”- 1,17 euro, par 24 stundu dežūru svētku dienā- 28,08 euro (1,17 euro*24 stundas). Samaksa par izmeklējumu- 35,08 euro (2,00+2,00+2,00+1,00+28,08). . Gadā plānots 5*35,08 euro =175,40 euro. </t>
  </si>
  <si>
    <t>Darba devēja valsts sociālās apdrošināšanas obligātās iemaksas, sociāla rakstura pabalsti un kompensācija 35,08 euro * 23,59%.</t>
  </si>
  <si>
    <t xml:space="preserve">Viena izmeklējuma veikšanu nodrošina ārsts (mēnešalga- 1940 euro, piemaksa par darba stāžu- 58,20euro, kopā- 1998,20 euro). Darba laika patēriņš 1 izmeklējuma veikšanai  15 minūtes. 1 minūtes darba izmaksas- 1998,20 euro: 165,58 stundas (vidējais darba stundu skaits mēnesī 2025.gadā) : 60 minūtes  ir  1998,20: 165,58 : 60=  0,20 euro. 1 izmeklējuma veikšanas darba izmaksas 0,20 euro*15 minūtes=3,00 euro. Piemaksa par virsstundu darbu askaņā ar Darba likuma 68.panta 1.punktu 100% apmērā- 3,00 euro. Piemaksa par  darbu svētku dienās saskaņā ar Darba likuma 68.panta 1.punktu 100% apmērā- 3,00 euro.  Piemaksa par nakts darbu saskaņā ar Darba likuma 67.panta 1.punktu 50% apmērā- 1,50 euro (3,00*50%). Samaksa par  "izsaukuma gatavību" svētku dienā saskaņā ar Centra 28.01.2025. rīkojuma Nr.1-4.2/4 1.punktu noteikta atlīdzība- stundas piemaksa 10% no stundas mēnešalgas par “izsaukuma gatavību”- 1,17 euro, par 24 stundu dežūru svētku dienā- 28,08 euro (1,17 euro*24 stundas). Samaksa par izmeklējumu- 38,58 euro (3,00+3,00+3,00+1,5+28,08). Gadā plānots 5*38,58 euro =192,90 euro. </t>
  </si>
  <si>
    <t>Darba devēja valsts sociālās apdrošināšanas obligātās iemaksas, sociāla rakstura pabalsti un kompensācijas 38,58 euro * 23,59%.</t>
  </si>
  <si>
    <t xml:space="preserve">Viena izmeklējuma veikšanu nodrošina ārsts (mēnešalga- 1940 euro, piemaksa par darba stāžu- 58,20 euro, kopā- 1998,2 euro). Darba laika patēriņš 1 izmeklējuma veikšanai  10 minūtes. 1 minūtes darba izmaksas- 1998,2 euro: 165,58 stundas (vidējais darba stundu skaits mēnesī 2025.gadā) : 60 minūtes  ir  1998,2: 165,58 : 60=  0,20 euro. 1 izmeklējuma veikšanas darba izmaksas 0,20 euro*10 minūtes=2,00 euro. Piemaksa par virsstundu darbu askaņā ar Darba likuma 68.panta 1.punktu 100% apmērā- 2,00 euro. Piemaksa par  darbu svētku dienās saskaņā ar Darba likuma 68.panta 1.punktu 100% apmērā-2,00 euro.  Piemaksa par nakts darbu saskaņā ar Darba likuma 67.panta 1.punktu 50% apmērā- 1,00 euro (2,00*50%). Samaksa par  "izsaukuma gatavību" svētku dienā saskaņā ar Centra28.01.2025. rīkojuma Nr.1-4.2/4 1.punktu noteikta atlīdzība- stundas piemaksa 10% no stundas mēnešalgas par “izsaukuma gatavību”- 1,17 euro, par 24 stundu dežūru svētku dienā- 28,08 euro (1,17 euro*24 stundas). Samaksa par izmeklējumu- 35,08 euro (2,00+2,00+2,00+1,00+28,08). Gadā plānots 5*35,08 euro =175,40 euro. 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</si>
  <si>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apmērā- 1998,20 euro : 165,58 stundas : 60 minūtes= 0,20*6 minūtes=1,20 euro. Piemaksa par nakts darbu saskaņā ar Darba likuma 67.panta 1.punktu  50% apmērā- 0,60 euro (1,20 euro* 50%).  Samaksa par  "izsaukuma gatavību"  darba dienās  saskaņā ar Centra 28.01.2025. rīkojuma Nr.1-4.2/4 1.punktu  noteikta stundas piemaksa 5% no stundas mēnešalgas 11,72 euro atlīdzība par “izsaukuma gatavību”- 0,59 euro, 24 stundu dežūru darba dienās- 14,16 euro (0,59 euro*24 stundas). Samaksa par izmeklējumu- 17,16 euro (1,20+1,20+0,60+14,16). Gadā plānots 5 * 17,16 euro = 85,80  euro.</t>
  </si>
  <si>
    <t>Viena izmeklējuma veikšanu nodrošina biomedicīnas laborants (mēnešalga- 1540 euro, piemaksa par darba stāžu- 46,20 euro, kopā- 1586,20 euro). Darba laika patēriņš 1 izmeklējuma veikšanai 5 minūtes. 1 minūtes darba izmaksas- 1586,20 euro : 165,58 stundas (vidējais darba stundu skaits mēnesī 2025.gadā)  : 60 minūtes ir 1586,20 : 165,58 : 60 = 0,16 euro. 1 izmeklējuma veikšanas darba izmaksas 0,16 euro * 5 minūtes = 0,80 euro.   Gadā plānots 60 *0,80 euro = 48,00 euro.</t>
  </si>
  <si>
    <t>Darba devēja valsts sociālās apdrošināšanas obligātās iemaksas, sociāla rakstura pabalsti un kompensācijas; 0,80 euro * 23,59%</t>
  </si>
  <si>
    <t>1 izmeklējuma veikšanai nepieciešams 1,04 euro, tai skaitā1) Architect IA HIV Ag/Ab Combo Reagent-0,552 euro; 2) Architect IA HIV Ag/Ab Calibrator Kit-0,004 euro;  3) Architect IA HIV Ag/Ab Control Kit-0,0099 euro; 4) Architect IA Trigger Solution-0,0037 euro; 5)Architect IA Pre-Trigger Solution-0,0025 euro; 6)Architect IA Wash Buffer 4x975mL-0,033 euro; 7) Architect IA Probe Conditioning Solution-0,00119 euro;8) Architect IA Reaction Vessels-0,0154 euro; 9) Architect IA Septums-0,0035 euro; 10) vienreizējās lietošanas cimdi, pāris - 0,0486 euro; 11) dezinfekcijas līdzeklis 1 proced.-0,0159 euro;12) bahilas-0,17 euro.Izdevumi kopā: 0,552+0,004+0,0099+0,0037+0,0025+0,033+0,0012+0,0159+0,0486+0,17= 0,8597 euro. Izdevumi ar PVN 21%- 1,04 euro.  Gadā plānots 60 * 1,04 euro = 62,40 euro.</t>
  </si>
  <si>
    <t>1 izmeklējuma veikšanai nepieciešams 2,43 euro, tai skaitā  1) Architect IA Anti-HCV Reagent-1,701 euro; 2) Architect IA Anti-HCV Control Kit-0,006 euro;  3)Architect IA Anti-HCV Control Kit-0,0040 euro; 4) Architect IA Trigger Solution-0,0037 euro; 5)Architect IA Trigger Solution-0,0025 euro; 6)Architect IA Wash Buffer 4x975mL-0,033 euro; 7) Architect IA Probe Conditioning Solution-0,0012 euro;8) Architect IA Reaction Vessels-0,0154 euro; 9) Architect IA Septums-0,0035 euro; 10) vienreizējās lietošanas cimdi, pāris - 0,0486 euro; 11) dezinfekcijas līdzeklis 1 proced.-0,0159 euro;12) bahilas-0,17 euro. Izdevumi kopā:1,701+0,006+0,004+0,0037+0,0025+0,033+0,0012+0,0154+,035++0,0486+,0159+,017= 2,0048 euro. Izdevumi ar PVN 21%- 2,43 euro.  Gadā plānots 60 * 2,43 euro =145,80 euro.</t>
  </si>
  <si>
    <t>1 izmeklējuma veikšanai nepieciešams 1,05 euro, tai skaitā  1) Architect IA HBsAg (Qualitative) Reagent-0,5187 euro; 2)Architect IA HBsAg qualitative Calibrator Kit-0,004 euro;  3) Architect IA HBsAg qualitative Control Kit-0,0080 euro; 4) Architect IA Trigger Solution-0,0037 euro; 5)Architect IA Trigger Solution-0,0025 euro; 6)Architect IA Wash Buffer 4x975mL-0,033 euro; 7) Architect IA Probe Conditioning Solution-0,0012 euro;8) Architect IA Reaction Vessels-0,0154 euro; 9) Architect IA Septums-0,0035 euro; 10) vienreizējās lietošanas cimdi, pāris - 0,0486 euro; 11) dezinfekcijas līdzeklis 1 proced.-0,0159 euro;12) bahilas-0,17 euro. Izdevumi kopā:0,5187+0,004+0,008+0,0037+0,0025+0,033+0,0012+0,0154+,035++0,0486+,0159+,017= 0,8668 euro. Izdevumi ar PVN 21%- 1,05 euro.  Gadā plānots 60 * 1,05 euro =63,00 euro.</t>
  </si>
  <si>
    <t>1 izmeklējuma veikšanai nepieciešams 0,84 euro, tai skaitā  1) Architect IA Syphilis TP Reagent-0,3361 euro; 2) Architect IA Syphilis Calibrator Kit-0,004 euro;  3)Architect IA Syphilis Control Kit-0,0060 euro; 4) Architect IA Trigger Solution-0,0037 euro; 5)Architect IA Trigger Solution-0,0025 euro; 6)Architect IA Wash Buffer 4x975mL-0,033 euro; 7) Architect IA Probe Conditioning Solution-0,0012 euro;8) Architect IA Reaction Vessels-0,0154 euro; 9) Architect IA Septums-0,0035 euro; 10) vienreizējās lietošanas cimdi, pāris - 0,0486 euro; 11) dezinfekcijas līdzeklis 1 proced.-0,0159 euro;12) bahilas-0,17 euro. Izdevumi kopā:0,3361+0,004+0,06+0,0037+0,0025+0,033+0,0012+0,0154+,035++0,0486+,0159+,017= 0,6939 euro. Izdevumi ar PVN 21%- 0,84 euro.  Gadā plānots 60 * 0,84 euro =50,40 euro.</t>
  </si>
  <si>
    <t>1 izmeklējuma veikšanai nepieciešams10,33 euro, tai skaitā  1) Procleix Ultrio Elite Assay-7,6593 euro; 2) 3S Plate (1.0mL) with Data Matrix (48 Tubes x 54 plates)          -0,4664 euro;  3) NEO Tips 96 without filter (1.0 mL - 10x5x96 pcs)      -0,1756 euro; 10) vienreizējās lietošanas cimdi, pāris - 0,0486 euro; 11) dezinfekcijas līdzeklis 1 proced.-0,0159 euro;12) bahilas-0,17 euro. Izdevumi kopā:7,6593+0,4664+0,1756+0,0486+,0159+,017=8,5358 euro. Izdevumi ar PVN 21%- 10,33 euro.  Gadā plānots 60 *10,33 euro =619,80 euro.</t>
  </si>
  <si>
    <t>1 izmeklējuma veikšanai nepieciešams 10,33 euro, tai skaitā  1) Procleix Ultrio Elite Assay-7,6593 euro; 2) 3S Plate (1.0mL) with Data Matrix (48 Tubes x 54 plates)       -0,4664 euro;  3) NEO Tips 96 without filter (1.0 mL - 10x5x96 pcs)       -0,1756 euro; 4)  vienreizējās lietošanas cimdi, pāris - 0,0486 euro; 5) dezinfekcijas līdzeklis 1 proced.-0,0159 euro; 6) bahilas-0,17 euro. Izdevumi kopā:7,6593+0,4664+0,1756+0,0486+,0159+,017= 8,5358 euro. Izdevumi ar PVN 21%- 10,33 euro.  Gadā plānots 60 * 10,33 euro =619,80 euro.</t>
  </si>
  <si>
    <t>Darba devēja valsts sociālās apdrošināšanas obligātās iemaksas, sociāla rakstura pabalsti un kompensācijas 76,86 * 23,59%</t>
  </si>
  <si>
    <t>Datorsistēmu un datortīklu adminstratora mēnešalga 1525 euro. Darba dienu skaits vidēji mēnesī ir 21, stundu skaits darba dienā -8. Aprīkojuma sagatavošana vebinārijam - 0,5 stundas. Aprēķins: 1525 euro: 21 darba dienu skaits: 8 stundas = 9,08 euro/stundā*0,5 stundas=4,54 euro.  Vebinārs notiek 4 dienas, aprīkojumu sagatavo četras reizes. 4,54 euro*4 reizes/ 10 dalībnieki =1,82 euro.</t>
  </si>
  <si>
    <t>Darba devēja valsts sociālās apdrošināšanas obligātās iemaksas, sociāla rakstura pabalsti un kompensācijas 1,82 * 23,59%</t>
  </si>
  <si>
    <t>Gada faktiskās izmaksas 31212,32 euro. VADC vidējās izmaksas uz 1m² gadā 4,86 euro (31212,32 euro : 6424,71 m²). Apspriežu zāle 32,6 m². Apspriežu zāles gada izmaksas 158,44 euro ( 4,86 euro*32,6m²). Apspriežu zāles izmaksa vienai stundai 0,0797 euro (158,44 euro : 1987 stundas 2025.g.). 40 akadēmiskās stundas*45min/60min= 30 stundas. 30 stundas *0,0797 euro/stundā= 2,39 euro. Plānotais dalībnieku skaits vienā kursā 10. Vienam dalībniekam 2,39 euro:10=0,24 euro.</t>
  </si>
  <si>
    <t>Gada faktiskās izmaksas 76326,72 euro. VADC vidējās izmaksas uz 1m² gadā 11,88 euro (76326,72 euro : 6424,71 m²). Apspriežu zāle 32,6 m². Apspriežu zāles gada izmaksas 387,29 euro (11,88 euro * 32,6 m²). Apspriežu zāles izmaksa vienai stundai 0,1949 euro (387,29 euro : 1987 stundas 2025.g.). 40 akadēmiskās stundas * 45min/60min = 30,0 stundas. 30,0 stundas * 0,1949 euro/stundā = 5,85 euro. Plānotais dalībnieku skaits vienā kursā 10. Vienam dalībniekam 5,85 euro:10=0,59 euro.</t>
  </si>
  <si>
    <t>Gada faktiskās izmaksas 6159,43 euro. VADC vidējās izmaksas uz 1m² gadā 0,96 euro (6159,43 euro : 6424,71 m²). Apspriežu zāle 32,6 m². Apspriežu zāles gada izmaksas 31,30 euro (0,96 euro*32,6m²). Apspriežu zāles izmaksa vienai stundai 0,0158 euro (31,30 euro : 1987 stundas 2025.g.).  40 akadēmiskās stundas*45min/60min= 30 stundas. 30 stundas *0,0158 euro/stundā= 0,47 euro. Plānotais dalībnieku skaits vienā kursā 10. Vienam dalībniekam  0,47 euro:10=0,05 euro.</t>
  </si>
  <si>
    <t>Gada faktiskās izmaksas 139699,96 euro. VADC vidējās izmaksas uz 1m² gadā 21,74 euro (139699,96 euro : 6424,71 m²). Apspriežu zāle 32,6 m². Apspriežu zāles gada izmaksas 708,72 euro (21,74 euro*32,6m²). Apspriežu zāles izmaksa vienai stundai 0,3567 euro (708,72 euro : 1987 stundas 2025.g.).  40 akadēmiskās stundas*45min/60min= 30 stundas. 30 stundas *0,3567 euro/stundā= 10,70 euro. Plānotais dalībnieku skaits vienā kursā 10. Vienam dalībniekam  10,70 euro:10= 1,07 euro.</t>
  </si>
  <si>
    <t>Gada faktiskās izmaksas 21733,79 euro. VADC vidējās izmaksas uz 1m² gadā 3,38 euro (21733,79 euro : 6424,71 m²). Apspriežu zāle 32,6 m². Apspriežu zāles gada izmaksas 110,19 euro (3,38 euro*32,6m²). Apspriežu zāles izmaksa vienai stundai 0,0555 euro (110,19 euro : 1987 stundas 2025.g.).  40 akadēmiskās stundas*45min/60min= 30 stundas. 30 stundas *0,0555 euro/stundā= 1,67 euro. Plānotais dalībnieku skaits vienā kursā 10. Vienam dalībniekam  1,67 euro:10= 0,17 euro.</t>
  </si>
  <si>
    <t>Gada faktiskās izmaksas 38286,54 euro. VADC vidējās izmaksas uz 1m² gadā 5,96 euro (38286,54 euro : 6424,71 m²). Apspriežu zāle 32,6 m². Apspriežu zāles gada izmaksas 194,30 euro (5,96 euro*32,6m²). Apspriežu zāles izmaksa vienai stundai 0,0978 euro (194,30 euro : 1987 stundas 2025.g.).  40 akadēmiskās stundas*45min/60min= 30 stundas. 30 stundas *0,0978 euro/stundā= 2,93 euro. Plānotais dalībnieku skaits vienā kursā 10. Vienam dalībniekam  2,93 euro:10= 0,29 euro.</t>
  </si>
  <si>
    <t>Gada faktiskās izmaksas 10204,36 euro. VADC vidējās izmaksas uz 1m² gadā 1,59 euro (10204,36 euro : 6424,71 m²). Apspriežu zāle 32,6 m². Apspriežu zāles gada izmaksas 51,83 euro (1,59 euro * 32,6 m²). Apspriežu zāles izmaksa vienai stundai 0,0261 euro (51,83 euro : 1987 stundas 2025.g.). 40 akadēmiskās stundas * 45min/60min = 30,0 stundas.30,0 stundas * 0,0261 euro/stundā = 0,78 euro. Plānotais dalībnieku skaits vienā kursā 10. Vienam dalībniekam 0,78 euro : 10 = 0,08 euro.</t>
  </si>
  <si>
    <t>Gada faktiskās izmaksas 9718,82 euro. VADC vidējās izmaksas uz 1m² gadā 1,51 euro (9718,82 euro : 6424,71 m²). Apspriežu zāle 32,6 m². Apspriežu zāles gada izmaksas 49,23 euro (1,51 euro * 32,6 m²). Apspriežu zāles izmaksa vienai stundai 0,0248 euro (49,23 euro : 1987 stundas 2025.g.). 40 akadēmiskās stundas * 45min/60min = 30,0 stundas. 30,0 stundas * 0,0248 euro/stundā = 0,74 euro. Plānotais dalībnieku skaits vienā kursā 10. Vienam dalībniekam 0,74 euro : 10 = 0,07 euro.</t>
  </si>
  <si>
    <t>Gada faktiskās izmaksas 72390,49 euro. VADC vidējās izmaksas uz 1m² gadā 11,27 euro (72390,49 euro : 6424,71 m²). Apspriežu zāle 32,6 m². Apspriežu zāles gada izmaksas 367,40 euro (11,27 euro * 32,6 m²). Apspriežu zāles izmaksa vienai stundai 0,1849 euro (367,40 euro : 1987 stundas 2025.g.). 40 akadēmiskās stundas * 45min/60min = 30,0 stundas. 30,0 stundas * 0,1849 euro/stundā = 5,55 euro. Plānotais dalībnieku skaits vienā kursā 10. Vienam dalībniekam 5,55 euro : 10 = 0,56 euro.</t>
  </si>
  <si>
    <t>Gada faktiskās izmaksas 90535,06 euro. VADC vidējās izmaksas uz 1m² gadā 14,09 euro (90535,06 euro : 6424,71 m²). Apspriežu zāle 32,6 m². Apspriežu zāles gada izmaksas 459,33 euro (14,09 euro * 32,6 m²). Apspriežu zāles izmaksa vienai stundai 0,2312 euro (459,33 euro : 1987 stundas 2025.g.). 40 akadēmiskās stundas * 45min/60min = 30,0 stundas. 30,0 stundas * 0,2312 euro/stundā = 6,94 euro. Plānotais dalībnieku skaits vienā kursā 10. Vienam dalībniekam 6,94 euro : 10 = 0,69 euro.</t>
  </si>
  <si>
    <t>Gada faktiskās izmaksas 74425,04 euro. VADC vidējās izmaksas uz 1m² gadā 11,58 euro (74425,04 euro : 6424,71 m²). Apspriežu zāle 32,6 m². Apspriežu zāles gada izmaksas 377,51 euro (11,58 euro * 32,6 m²). Apspriežu zāles izmaksa vienai stundai 0,1900 euro (377,51 euro : 1987 stundas 2025.g.). 40 akadēmiskās stundas * 45min/60min = 30,0 stundas. 30,0 stundas * 0,1900 euro/stundā = 5,70 euro. Plānotais dalībnieku skaits vienā kursā 10. Vienam dalībniekam 5,70 euro : 10 = 0,57 euro.</t>
  </si>
  <si>
    <t>Gada faktiskās izmaksas 101941,15 euro. VADC vidējās izmaksas uz 1m² gadā 15,87 euro (101941,15 euro : 6424,71 m²). Apspriežu zāle 32,6 m². Apspriežu zāles gada izmaksas 517,36 euro (15,87 euro * 32,6 m²). Apspriežu zāles izmaksa vienai stundai 0,2604 euro (517,36 euro : 1987 stundas 2025.g.). 40 akadēmiskās stundas * 45min / 60min = 30,0 stundas. 30,0 stundas * 0,2604 euro/stundā = 7,81 euro. Plānotais dalībnieku skaits vienā kursā 10. Vienam dalībniekam 7,81 euro : 10 = 0,78 euro.</t>
  </si>
  <si>
    <t>Gada faktiskās izmaksas 3912,01 euro. VADC vidējās izmaksas uz 1m² gadā 0,61 euro (3912,01 euro : 6424,71 m²). Apspriežu zāle 32,6 m². Apspriežu zāles gada izmaksas 19,89 euro (1,59 euro * 32,6 m²). Apspriežu zāles izmaksa vienai stundai 0,0100 euro (19,89 euro : 1987 stundas 2025.g.). 40 akadēmiskās stundas*45min/60min= 30,0 stundas. 30,0 stundas *0,0100 euro/stundā=0,30 euro. Vienam dalībniekam 0,30 euro : 10=0,03 euro</t>
  </si>
  <si>
    <t>Pārējie remontdaru un iestāžu uzturēšanas pakalpojumi</t>
  </si>
  <si>
    <t>Gada faktiskās izmaksas 3319,39 euro. VADC vidējās izmaksas uz 1m² gadā 0,52 euro (3319,39 euro : 6424,71 m²). Apspriežu zāle 32,6 m². Apspriežu zāles gada izmaksas 16,95 euro (0,52 euro * 32,6 m²). Apspriežu zāles izmaksa vienai stundai 0,0085 euro (16,95 euro : 1987 stundas 2025.g.). 40 akadēmiskās stundas*45min/60min= 30,0 stundas. 30,0 stundas *0,0085 euro/stundā=0,26 euro. Vienam dalībniekam 0,26 euro : 10 = 0,03 euro</t>
  </si>
  <si>
    <t>Gada faktiskās izmaksas 350790,73 euro. VADC vidējās izmaksas uz 1m² gadā 54,60 euro (350790,73 euro : 6424,71 m²). Apspriežu zāle 32,6 m². Apspriežu zāles gada izmaksas 1779,96 euro (54,60 euro * 32,6 m²). Apspriežu zāles izmaksa vienai stundai 0,8958 euro (1779,96 euro : 1987 stundas 2025.g.). 40 akadēmiskās stundas * 45min / 60min = 30,0 stundas. 30,0 stundas * 0,8958 euro/stundā = 26,87 euro. Plānotais dalībnieku skaits vienā kursā 10. Vienam dalībniekam 26,87 euro:10= 2,69 euro.</t>
  </si>
  <si>
    <t>Gada faktiskās izmaksas 437000,78 euro. VADC vidējās izmaksas uz 1m² gadā 68,02 euro (437000,78 euro : 6424,71 m²). Apspriežu zāle 32,6 m². Apspriežu zāles gada izmaksas 2217,45 euro (68,02 euro * 32,6 m²). Apspriežu zāles izmaksa vienai stundai 1,1160 euro (2217,45 euro : 1987 stundas 2025.g.). 40 akadēmiskās stundas * 45min / 60min = 30,0 stundas. 30,0 stundas * 1,1160 euro/stundā = 33,48 euro. Plānotais dalībnieku skaits vienā kursā 10. Vienam dalībniekam 33,48 euro : 10 = 3,35 euro.</t>
  </si>
  <si>
    <t>Gada faktiskās izmaksas 1502,88 euro. VADC vidējās izmaksas uz 1m² gadā 0,23 euro (1502,88 euro : 6424,71 m²). Apspriežu zāle 32,6 m². Apspriežu zāles gada izmaksas 7,50 euro (0,23 euro * 32,6 m²). Apspriežu zāles izmaksa vienai stundai 0,0038 euro (7,50 euro : 1987 stundas 2025.g.). 40 akadēmiskās stundas*45min/60min= 30,0 stundas. 30,0 stundas *0,0038 euro/stundā=0,11 euro. Vienam dalībniekam 0,11 : 10 = 0,01 euro</t>
  </si>
  <si>
    <t>Gada faktiskās izmaksas 38551,01 euro. VADC vidējās izmaksas uz 1m² gadā 6,00 euro (38551,01 euro : 6424,71 m²). Apspriežu zāle 32,6 m². Apspriežu zāles gada izmaksas 195,60 euro (6,00 euro * 32,6 m²). Apspriežu zāles izmaksa vienai stundai 0,0984 euro (195,60 euro : 1987 stundas 2025.g.). 40 akadēmiskās stundas*45min/60min= 30,0 stundas. 30,0 stundas *0,0984 euro/stundā=2,95 euro. Vienam dalībniekam 2,95 euro :10 =0,30 euro</t>
  </si>
  <si>
    <t>Gada faktiskās izmaksas 16185,75 euro. VADC vidējās izmaksas uz 1m² gadā 2,52 euro (16185,75 euro : 6424,71 m²). Apspriežu zāle 32,6 m². Apspriežu zāles gada izmaksas 82,15 euro (2,52 euro * 32,6 m²). Apspriežu zāles izmaksa vienai stundai 0,0413 euro (82,15 euro : 1987 stundas 2025.g.). 40 akadēmiskās stundas * 45min / 60min = 30,0 stundas. 30,0 stundas * 0,0413 euro/stundā = 1,24 euro. Plānotais dalībnieku skaits vienā kursā 10. Vienam dalībniekam 1,24 euro : 10 = 0,12 euro.</t>
  </si>
  <si>
    <t>Izdevumi par precēm iestādes sabiedrisko aktivitāšu īstenošanai</t>
  </si>
  <si>
    <t>Gada faktiskās izmaksas 34657,56 euro. VADC vidējās izmaksas uz 1m² gadā 5,39 euro (34657,56 euro : 6424,71 m²). Apspriežu zāle 32,6 m². Apspriežu zāles gada izmaksas 175,71 euro (5,39 euro * 32,6 m²). Apspriežu zāles izmaksa vienai stundai 0,0884 euro (175,71 euro : 1987 stundas 2025.g.). 40 akadēmiskās stundas * 45min/60min = 30,0 stundas. 30,0 stundas * 0,0884 euro/stundā = 2,65 euro. Plānotais dalībnieku skaits vienā kursā 10. Vienam dalībniekam 2,65 euro : 10 = 0,27 euro.</t>
  </si>
  <si>
    <t>Gada faktiskās izmaksas 49799,56 euro. VADC vidējās izmaksas uz 1m² gadā 7,75 euro (49799,56 euro : 6424,71 m²). Apspriežu zāle 32,6 m². Apspriežu zāles gada izmaksas 252,65 euro (7,75 euro * 32,6 m²). Apspriežu zāles izmaksa vienai stundai 0,1272 euro (252,65 euro : 1987 stundas 2025.g.). 40 akadēmiskās stundas * 45min / 60min = 30,0 stundas. 30,0 stundas * 0,1272 euro/stundā = 3,82 euro. Plānotais dalībnieku skaits vienā kursā 10. Vienam dalībniekam 3,82 euro : 10 = 0,38 euro.</t>
  </si>
  <si>
    <t>Gada faktiskās izmaksas 3095,60 euro. VADC vidējās izmaksas uz 1m² gadā 0,48 euro (3095,60 euro : 6424,71 m²). Apspriežu zāle 32,6 m². Apspriežu zāles gada izmaksas 15,65 euro (0,48 euro * 32,6 m²). Apspriežu zāles izmaksa vienai stundai 0,0079 euro (15,65 euro : 1987 stundas 2025.g.). 40 akadēmiskās stundas * 45min/60min = 30,0 stundas.30,0 stundas * 0,0079 euro/stundā = 0,24 euro. Plānotais dalībnieku skaits vienā kursā 10. Vienam dalībniekam 0,24 euro : 10 = 0,02 euro.</t>
  </si>
  <si>
    <t>Gada faktiskās izmaksas 4587,48 euro. VADC vidējās izmaksas uz 1m² gadā 0,71 euro (4587,48 euro : 6424,71 m²). Apspriežu zāle 32,6 m². Apspriežu zāles gada izmaksas 23,15 euro (0,71 euro * 32,6 m²). Apspriežu zāles izmaksa vienai stundai 0,0117 euro (23,15 euro : 1987 stundas 2025.g.). 40 akadēmiskās stundas * 45min/60min = 30,0 stundas. 30,0 stundas * 0,0117 euro/stundā = 0,35 euro. Plānotais dalībnieku skaits vienā kursā 10. Vienam dalībniekam 0,35 euro : 10 = 0,04 euro.</t>
  </si>
  <si>
    <t>Gada faktiskās izmaksas 1910,79 euro. VADC vidējās izmaksas uz 1m² gadā 0,30 euro (1910,79 euro : 6424,71 m²). Apspriežu zāle 32,6 m². Apspriežu zāles gada izmaksas 9,78 euro (0,30 euro * 32,6 m²). Apspriežu zāles izmaksa vienai stundai 0,0049 euro (9,78 euro : 1987 stundas 2025.g.). 40 akadēmiskās stundas * 45min/60min = 30,0 stundas. 30,0 stundas * 0,0049 euro/stundā = 0,15 euro. Plānotais dalībnieku skaits vienā kursā 10. Vienam dalībniekam 0,15 euro : 10 = 0,02 euro.</t>
  </si>
  <si>
    <t>Gada faktiskās izmaksas 5573,12 euro. VADC vidējās izmaksas uz 1m² gadā 0,87 euro (5573,12 euro : 6424,71 m²). Apspriežu zāle 32,6 m². Apspriežu zāles gada izmaksas 28,36 euro (0,87 euro * 32,6 m²). Apspriežu zāles izmaksa vienai stundai 0,0143 euro (28,36 euro : 1987 stundas 2025.g.). 40 akadēmiskās stundas * 45min / 60min = 30,0 stundas. 30,0 stundas * 0,0143 euro/stundā = 0,43 euro. Plānotais dalībnieku skaits vienā kursā 10. Vienam dalībniekam 0,43 euro : 10 = 0,04 euro.</t>
  </si>
  <si>
    <t>Gada faktiskās izmaksas 31760,58 euro. VADC vidējās izmaksas uz 1m² gadā 4,94 euro (31760,58 euro : 6424,71 m²). Apspriežu zāle 32,6 m². Apspriežu zāles gada izmaksas 161,04 euro (4,94 euro * 32,6 m²). Apspriežu zāles izmaksa vienai stundai 0,0810 euro (161,04 euro : 1987 stundas 2025.g.). 40 akadēmiskās stundas * 45min / 60min = 30,0 stundas. 30,0 stundas * 0,0810 euro/stundā = 2,43 euro. Plānotais dalībnieku skaits vienā kursā 10. Vienam dalībniekam 2,43 euro : 10 = 0,24 euro.</t>
  </si>
  <si>
    <t>Gada faktiskās izmaksas 56125,63 euro. VADC vidējās izmaksas uz 1m² gadā 8,74 euro (56125,63 euro : 6424,71 m²). Apspriežu zāle 32,6 m². Apspriežu zāles gada izmaksas 284,92 euro (8,74 euro * 32,6 m²). Apspriežu zāles izmaksa vienai stundai 0,1434 euro (284,92 euro : 1987 stundas 2025.g.).40 akadēmiskās stundas * 45min/60min = 30,0 stundas.309,0 stundas * 0,1434 euro/stundā = 4,30 euro. Plānotais dalībnieku skaits vienā kursā 10. Vienam dalībniekam 4,30 euro : 10 = 0,43 euro.</t>
  </si>
  <si>
    <t>Darba devēja valsts sociālās apdrošināšanas obligātās iemaksas, pabalsti un kompensācijas 39,04 * 23,59%</t>
  </si>
  <si>
    <t xml:space="preserve">Gada faktiskās izmaksas 31212,32 euro. VADC vidējās izmaksas uz 1m² gadā 4,86 euro (31212,32 euro : 6424,71 m²). Konferenču zāle 101,6 m². Konferenču zāles gada izmaksas 493,78 euro ( 4,86 euro*101,6m²). Konferenču zāles izmaksa vienai stundai 0,2485 euro (493,78 euro : 1987 stundas 2025.g.).  16 akadēmiskās stundas*45min/60min= 12,0 stundas. 12,0 stundas *0,2485 euro/stundā= 2,98 euro. Plānotais dalībnieku skaits vienā kursā 10. Vienam dalībniekam 2,98 euro:10=0,30 euro. </t>
  </si>
  <si>
    <t>Gada faktiskās izmaksas 76326,72 euro. VADC vidējās izmaksas uz 1m² gadā 11,88 euro (76326,72 euro : 6424,71 m²). Konferenču zāle 101,6 m². Konferenču zāles gada izmaksas 1207,01 euro (11,88 euro*101,6m²). Konferenču zāles izmaksa vienai stundai 0,6075 euro (1207,01 euro : 1987 stundas 2025.g.).   16 akadēmiskās stundas*45min/60min= 12,0 stundas. 12,0 stundas *0,6075 euro/stundā= 7,29 euro. Plānotais dalībnieku skaits vienā kursā 10. Vienam dalībniekam 7,29 euro:10=0,73 euro.</t>
  </si>
  <si>
    <t>Gada faktiskās izmaksas 6159,43 euro. VADC vidējās izmaksas uz 1m² gadā 0,96 euro (6159,43 euro : 6424,71 m²). Konferenču zāle 101,6 m². Konferenču zāles gada izmaksas 97,54 euro (0,96 euro*101,6m²).Konferenču zāles izmaksa vienai stundai 0,0491 euro (97,54 euro : 1987 stundas 2025.g.). 16 akadēmiskās stundas*45min/60min= 12,0 stundas. 12,0 stundas *0,0491 euro/stundā= 0,59 euro. Plānotais dalībnieku skaits vienā kursā 10. Vienam dalībniekam 0,59 euro:10=0,06 euro.</t>
  </si>
  <si>
    <t>Gada faktiskās izmaksas 139699,96 euro. VADC vidējās izmaksas uz 1m² gadā 21,74 euro (139699,96 euro : 6424,71 m²). Konferenču zāle 101,6 m². Konferenču zāles gada izmaksas 2208,78 euro (21,74 euro*101,6m²). Konferenču zāles izmaksa vienai stundai 1,1116 euro (2208,78 euro : 1987 stundas 2025.g.).  16 akadēmiskās stundas*45min/60min= 12,0 stundas. 12,0 stundas *1,1116 euro/stundā= 13,34 euro. Plānotais dalībnieku skaits vienā kursā 10. Vienam dalībniekam 13,34 euro:10=1,33 euro.</t>
  </si>
  <si>
    <t>Gada faktiskās izmaksas 21733,79 euro. VADC vidējās izmaksas uz 1m² gadā 3,38 euro (21733,79 euro : 6424,71 m²).  Konferenču zāle 101,6 m². Konferenču zāles gada izmaksas 343,41 euro (3,38 euro*101,6m²). Konferenču zāles izmaksa vienai stundai 0,1728 euro (343,41 euro :1987 stundas 2025.g.)  16 akadēmiskās stundas*45min/60min= 12,0 stundas. 12,0 stundas *0,1728 euro/stundā= 2,07 euro. Plānotais dalībnieku skaits vienā kursā 10. Vienam dalībniekam 2,07 euro:10=0,21 euro.</t>
  </si>
  <si>
    <t>Gada faktiskās izmaksas 38286,54 euro. VADC vidējās izmaksas uz 1m² gadā 5,96 euro (38286,54 euro : 6424,71 m²).  Konferenču zāle 101,6 m². Konferenču zāles gada izmaksas 605,54 euro (5,96 euro*101,6m²). Konferenču zāles izmaksa vienai stundai 0,3048 euro (605,54 euro : 1987 stundas 2025.g.).  16 akadēmiskās stundas*45min/60min= 12,0 stundas. 12,0 stundas *0,3048 euro/stundā= 3,66 euro. Plānotais dalībnieku skaits vienā kursā 10. Vienam dalībniekam 3,66 euro:10=0,37 euro.</t>
  </si>
  <si>
    <t>Gada faktiskās izmaksas 10204,36 euro. VADC vidējās izmaksas uz 1m² gadā 1,59 euro (10204,36 euro : 6424,71 m²).  Konferenču zāle 101,6 m². Konferenču zāles gada izmaksas 161,54 euro (1,59 euro*101,6m²). Konferenču zāles izmaksa vienai stundai 0,0813 euro (161,54 euro : 1987 stundas 2025.g.).  16 akadēmiskās stundas*45min/60min= 12,0 stundas. 12,0 stundas *0,0813 euro/stundā= 0,98 euro. Plānotais dalībnieku skaits vienā kursā 10. Vienam dalībniekam 0,98 euro:10=0,10 euro.</t>
  </si>
  <si>
    <t>Gada faktiskās izmaksas 9718,82 euro. VADC vidējās izmaksas uz 1m² gadā 1,51 euro (9718,82 euro : 6424,71 m²).  Konferenču zāle 101,6 m². Konferenču zāles gada izmaksas 153,42 euro (1,51 euro*101,6m²). Konferenču zāles izmaksa vienai stundai 0,0772 euro (153,42 euro : 1987 stundas 2025.g.).  16 akadēmiskās stundas*45min/60min= 12,0 stundas. 12,0 stundas *0,0772 euro/stundā= 0,93 euro. Plānotais dalībnieku skaits vienā kursā 10. Vienam dalībniekam 0,93 euro:10=0,09 euro.</t>
  </si>
  <si>
    <t>Gada faktiskās izmaksas 72390,49 euro. VADC vidējās izmaksas uz 1m² gadā 11,27 euro (72390,49 euro : 6424,71 m²). Konferenču zāle 101,6 m². Konferenču zāles gada izmaksas 1145,03 euro (11,27 euro*101,6m²). Konferenču zāles izmaksa vienai stundai 0,5763 euro (1145,03 euro : 1987 stundas 2025.g.).   16 akadēmiskās stundas*45min/60min= 12,0 stundas. 12,0 stundas *0,5763 euro/stundā= 6,92 euro. Plānotais dalībnieku skaits vienā kursā 10. Vienam dalībniekam 6,92 euro:10=0,69 euro.</t>
  </si>
  <si>
    <t>Gada faktiskās izmaksas 90535,06 euro. VADC vidējās izmaksas uz 1m² gadā 14,09 euro (90535,06 euro : 6424,71 m²). Konferenču zāle 101,6 m². Konferenču zāles gada izmaksas 1431,54 euro (14,09 euro*101,6m²). Konferenču zāles izmaksa vienai stundai 0,7205 euro (1431,54 euro : 1987 stundas 2025.g.).   16 akadēmiskās stundas*45min/60min= 12,0 stundas. 12,0 stundas *0,7205 euro/stundā= 8,65 euro. Plānotais dalībnieku skaits vienā kursā 10. Vienam dalībniekam 8,65 euro:10=0,87 euro.</t>
  </si>
  <si>
    <t>Gada faktiskās izmaksas 74425,04 euro. VADC vidējās izmaksas uz 1m² gadā 11,58 euro (74425,04 euro : 6424,71 m²). Konferenču zāle 101,6 m². Konferenču zāles gada izmaksas 1176,53 euro (11,58 euro*101,6 m²).Konferenču zāles izmaksa vienai stundai 0,5921 euro (1176,53 euro : 1987 stundas 2025.g.).  16 akadēmiskās stundas*45min/60min= 12,0 stundas. 12,0 stundas *0,5921 euro/stundā= 7,11 euro. Plānotais dalībnieku skaits vienā kursā 10. Vienam dalībniekam 7,11 euro:10=0,71 euro.</t>
  </si>
  <si>
    <t>Gada faktiskās izmaksas 101941,15 euro. VADC vidējās izmaksas uz 1m² gadā 15,87 euro ( euro : 6424,71 m²).  Konferenču zāle 101,6 m². Konferenču zāles gada izmaksas 1612,39 euro (15,87 euro*101,6 m²). Konferenču zāles izmaksa vienai stundai 0,8115 euro (1612,39 euro : 1987 stundas 2025.g.). 16 akadēmiskās stundas*45min/60min= 12,0 stundas. 12,0 stundas *0,8115 euro/stundā= 9,74 euro. Plānotais dalībnieku skaits vienā kursā 10. Vienam dalībniekam 9,74 euro:10=0,97 euro.</t>
  </si>
  <si>
    <t>Gada faktiskās izmaksas 3912,01 euro. VADC vidējās izmaksas uz 1m² gadā 0,61 euro (3912,01 euro : 6424,71 m²).  Konferenču zāle 101,6 m². Konferenču zāles gada izmaksas 61,98 euro (0,61 euro*101,6m²). Konferenču zāles izmaksa vienai stundai 0,0312 euro (61,98 euro : 1987 stundas 2025.g.).  16 akadēmiskās stundas*45min/60min= 12,0 stundas. 12,0 stundas *0,0312 euro/stundā= 0,37 euro. Plānotais dalībnieku skaits vienā kursā 10. Vienam dalībniekam 0,37 euro:10=0,04 euro.</t>
  </si>
  <si>
    <t>Gada faktiskās izmaksas 3319,39 euro. VADC vidējās izmaksas uz 1m² gadā 0,52 euro (3319,39 euro : 6424,71 m²).  Konferenču zāle 101,6 m². Konferenču zāles gada izmaksas 52,83 euro (0,52 euro*101,6m²). Konferenču zāles izmaksa vienai stundai 0,0266 euro (52,83 euro : 1987 stundas 2025.g.).  16 akadēmiskās stundas*45min/60min= 12,0 stundas. 12,0 stundas *0,0266 euro/stundā= 0,32 euro. Plānotais dalībnieku skaits vienā kursā 10. Vienam dalībniekam 0,32 euro:10=0,03 euro.</t>
  </si>
  <si>
    <t>Gada faktiskās izmaksas 350790,73 euro. VADC vidējās izmaksas uz 1m² gadā 54,60 euro (350790,73 euro : 6424,71 m²). Konferenču zāle 101,6 m². Konferenču zāles gada izmaksas 5547,36 euro (54,60 euro*101,6m²). Konferenču zāles izmaksa vienai stundai 2,7918 euro (5547,36 euro : 1987 stundas 2025.g.).  16 akadēmiskās stundas*45min/60min= 12,0 stundas. 12,0 stundas *2,7918 euro/stundā= 33,50 euro. Plānotais dalībnieku skaits vienā kursā 10. Vienam dalībniekam  33,50 euro:10=3,35 euro.</t>
  </si>
  <si>
    <t>Gada faktiskās izmaksas 437000,78 euro. VADC vidējās izmaksas uz 1m² gadā 68,02 euro (437000,78 euro : 6424,71 m²). Konferenču zāle 101,6 m². Konferenču zāles gada izmaksas 6910,83 euro (68,02 euro*101,6m²). Konferenču zāles izmaksa vienai stundai 3,4780 euro (6910,83 euro : 1987 stundas 2025.g.).   16 akadēmiskās stundas*45min/60min= 12,0 stundas. 12,0 stundas *3,4780 euro/stundā= 41,74 euro. Plānotais dalībnieku skaits vienā kursā 10. Vienam dalībniekam 41,74 euro:10= 4,17 euro.</t>
  </si>
  <si>
    <t>Gada faktiskās izmaksas 1502,88 euro. VADC vidējās izmaksas uz 1m² gadā 0,23 euro (1502,88 euro : 6424,71 m²).  Konferenču zāle 101,6 m². Konferenču zāles gada izmaksas 23,37 euro (0,23 euro*101,6m²). Konferenču zāles izmaksa vienai stundai 0,0118 euro (23,37 euro : 1987 stundas 2025.g.).  16 akadēmiskās stundas*45min/60min= 12,0 stundas. 12,0 stundas *0,0118 euro/stundā= 0,14 euro. Plānotais dalībnieku skaits vienā kursā 10. Vienam dalībniekam 0,14 euro:10=0,01 euro.</t>
  </si>
  <si>
    <t>Gada faktiskās izmaksas 38551,01 euro. VADC vidējās izmaksas uz 1m² gadā 6,00 euro (38551,01 euro : 6424,71 m²).  Konferenču zāle 101,6 m². Konferenču zāles gada izmaksas 609,60 euro (6,00 euro*101,6m²). Konferenču zāles izmaksa vienai stundai 0,3068 euro (609,60 euro : 1987 stundas 2025.g.).  16 akadēmiskās stundas*45min/60min= 12,0 stundas. 12,0 stundas *0,3068 euro/stundā= 3,68 euro. Plānotais dalībnieku skaits vienā kursā 10. Vienam dalībniekam 3,68 euro:10=0,37 euro.</t>
  </si>
  <si>
    <t>Gada faktiskās izmaksas 14043,51 euro. VADC vidējās izmaksas uz 1m² gadā 2,19 euro (14043,51 euro : 6424,71 m²).  Konferenču zāle 101,6 m². Konferenču zāles gada izmaksas 222,50 euro (2,19 euro*101,6 m²). Konferenču zāles izmaksa vienai stundai 0,1120 euro (222,50 euro : 1987 stundas 2025.g.).  16 akadēmiskās stundas*45min/60min= 12,0 stundas. 12,0 stundas *0,1120 euro/stundā= 1,34 euro. Plānotais dalībnieku skaits vienā kursā 10. Vienam dalībniekam 1,34 euro:10=0,13 euro.</t>
  </si>
  <si>
    <t xml:space="preserve">Gada faktiskās izmaksas 16185,75 euro. VADC vidējās izmaksas uz 1m² gadā 2,52 euro (16185,75 euro : 6424,71 m²).  Konferenču zāle 101,6 m². Konferenču zāles gada izmaksas 256,03 euro (2,52 euro*101,6 m²). Konferenču zāles izmaksa vienai stundai 0,1289 euro (256,03 euro : 1987 stundas 2025.g.).  16 akadēmiskās stundas*45min/60min= 12,0 stundas. 12,0 stundas *0,1289 euro/stundā= 1,55 euro. Plānotais dalībnieku skaits vienā kursā 10. Vienam dalībniekam 1,55 euro:10=0,16 euro. </t>
  </si>
  <si>
    <t xml:space="preserve">Gada faktiskās izmaksas 34657,56 euro. VADC vidējās izmaksas uz 1m² gadā 5,39 euro (34657,56 euro : 6424,71 m²).  Konferenču zāle 101,6 m². Konferenču zāles gada izmaksas 547,62 euro (5,39 euro*101,6 m²). Konferenču zāles izmaksa vienai stundai 0,2756 euro (547,62 euro : 1987 stundas 2025.g.).  16 akadēmiskās stundas*45min/60min= 12,0 stundas. 12,0 stundas *0,2756 euro/stundā= 3,31 euro. Plānotais dalībnieku skaits vienā kursā 10. Vienam dalībniekam 3,31 euro:10=0,33 euro. </t>
  </si>
  <si>
    <t>Gada faktiskās izmaksas 49799,56 euro. VADC vidējās izmaksas uz 1m² gadā 7,75 euro (49799,56 euro : 6424,71 m²). Konferenču zāle 101,6 m². Konferenču zāles gada izmaksas 787,40 euro (7,75 euro*101,6m²). Konferenču zāles izmaksa vienai stundai 0,3963 euro (787,40 euro : 1987 stundas 2025.g.)  16 akadēmiskās stundas*45min/60min= 12,0 stundas. 12,0 stundas *0,3963 euro/stundā= 4,76 euro. Plānotais dalībnieku skaits vienā kursā 10. Vienam dalībniekam 4,76 euro:10=0,48 euro.</t>
  </si>
  <si>
    <t xml:space="preserve">Gada faktiskās izmaksas 3095,60 euro. VADC vidējās izmaksas uz 1m² gadā 0,48 euro (3095,6 euro : 6424,71 m²).  Konferenču zāle 101,6 m². Konferenču zāles gada izmaksas 48,77 euro (0,48 euro*101,6 m²). Konferenču zāles izmaksa vienai stundai 0,0245 euro (48,77 euro : 1987 stundas 2025.g.).  16 akadēmiskās stundas*45min/60min= 12,0 stundas. 12,0 stundas *0,0245 euro/stundā= 0,29 euro. Plānotais dalībnieku skaits vienā kursā 10. Vienam dalībniekam 0,29 euro:10=0,03 euro. </t>
  </si>
  <si>
    <t xml:space="preserve">Gada faktiskās izmaksas 4587,48 euro. VADC vidējās izmaksas uz 1m² gadā 0,71 euro (4587,48 euro : 6424,71 m²).  Konferenču zāle 101,6 m². Konferenču zāles gada izmaksas 72,14 euro (0,71 euro*101,6 m²). Konferenču zāles izmaksa vienai stundai 0,0363 euro (72,14 euro : 1987 stundas 2025.g.).  16 akadēmiskās stundas*45min/60min= 12,0 stundas. 12,0 stundas *0,0363 euro/stundā= 0,44 euro. Plānotais dalībnieku skaits vienā kursā 10. Vienam dalībniekam 0,44 euro:10=0,04 euro. </t>
  </si>
  <si>
    <t xml:space="preserve">Gada faktiskās izmaksas 1910,79 euro. VADC vidējās izmaksas uz 1m² gadā 0,30 euro (1910,79 euro : 6424,71 m²).  Konferenču zāle 101,6 m². Konferenču zāles gada izmaksas 30,48 euro (0,30 euro*101,6 m²). Konferenču zāles izmaksa vienai stundai 0,0153 euro (30,48 euro : 1987 stundas 2025.g.).  16 akadēmiskās stundas*45min/60min= 12,0 stundas. 12,0 stundas *0,0153 euro/stundā= 0,18 euro. Plānotais dalībnieku skaits vienā kursā 10. Vienam dalībniekam 0,18 euro:10=0,02 euro. </t>
  </si>
  <si>
    <t>Gada faktiskās izmaksas 5573,12 euro. VADC vidējās izmaksas uz 1m² gadā 0,87 euro (5573,12 euro : 6424,71 m²). Konferenču zāle 101,6 m². Konferenču zāles gada izmaksas 88,39 euro (0,87 euro*101,6m²). Konferenču zāles izmaksa vienai stundai 0,0445 euro (88,39 euro : 1987 stundas 2021.g.).  16 akadēmiskās stundas*45min/60min= 12,0 stundas. 12,0 stundas *0,0445 euro/stundā= 0,53 euro. Plānotais dalībnieku skaits vienā kursā 10. Vienam dalībniekam 0,53 euro:10=0,05 euro.</t>
  </si>
  <si>
    <t>Gada faktiskās izmaksas 31760,58 euro. VADC vidējās izmaksas uz 1m² gadā 4,94 euro (31760,58 euro : 6424,71 m²). Konferenču zāle 101,6 m². Konferenču zāles gada izmaksas 501,90 euro (4,94 euro*101,6 m²).Konferenču zāles izmaksa vienai stundai 0,2526 euro (501,90 euro : 1987 stundas 2025.g.).  16 akadēmiskās stundas*45min/60min= 12,0 stundas. 12,0 stundas *0,2526 euro/stundā= 3,03 euro. Plānotais dalībnieku skaits vienā kursā 10. Vienam dalībniekam 3,03 euro:10=0,30 euro.</t>
  </si>
  <si>
    <t>Gada faktiskās izmaksas 56125,63 euro. VADC vidējās izmaksas uz 1m² gadā 8,74 euro (56125,63 euro : 6424,71 m²). Konferenču zāle 101,6 m². Konferenču zāles gada izmaksas 887,98 euro (8,74 euro*101,6 m²).Konferenču zāles izmaksa vienai stundai 0,4469 euro (887,98 euro : 1987 stundas 2025.g.).  16 akadēmiskās stundas*45min/60min= 12,0 stundas. 12,0 stundas *0,4469 euro/stundā= 5,36 euro. Plānotais dalībnieku skaits vienā kursā 10. Vienam dalībniekam 5,36 euro:10=0,54 euro.</t>
  </si>
  <si>
    <t>1 ak. stunda</t>
  </si>
  <si>
    <t>Darba devēja valsts sociālās apdrošināšanas obligātās iemaksas, sociāla rakstura pabalsti un kompensācijas 3,04 * 23,59%</t>
  </si>
  <si>
    <t>Gada faktiskās izmaksas 31212,32 euro. VADC vidējās izmaksas uz 1m² gadā 4,86 euro (31212,32 euro : 6424,71 m²). Konferenču zāle 101,6 m². Konferenču zāles gada izmaksas 493,78 euro (4,86 euro*101,6m²). Konferenču zāles izmaksa vienai stundai 0,2485 euro (493,78 euro : 1987 stundas 2025.g.).  1 akadēmiskā stunda*45min/60min= 0,75 stundas. 0,75 stundas *0,2485 euro/stundā= 0,19 euro. Plānotais dalībnieku skaits vienā kursā 10. Vienam dalībniekam 0,19 euro:10=0,02 euro.</t>
  </si>
  <si>
    <t>Gada faktiskās izmaksas 76326,72 euro. VADC vidējās izmaksas uz 1m² gadā 11,88 euro (76326,72 euro : 6424,71 m²). Konferenču zāle 101,6 m². Konferenču zāles gada izmaksas 1207,01 euro (11,88 euro*101,6m²). Konferenču zāles izmaksa vienai stundai 0,6075 euro (1207,01 euro :1987 stundas 2025.g.). 1 akadēmiskā stunda*45min/60min= 0,75 stundas. 0,75 stundas *0,6075 euro/stundā= 0,46 euro. Plānotais dalībnieku skaits vienā kursā 10. Vienam dalībniekam 0,46 euro:10=0,05 euro.</t>
  </si>
  <si>
    <t>Gada faktiskās izmaksas 6159,43 euro. VADC vidējās izmaksas uz 1m² gadā 0,96 euro (6159,43 euro : 6424,71 m²). Konferenču zāle 101,6 m². Konferenču zāles gada izmaksas 97,54 euro (0,96 euro*101,6m²).Konferenču zāles izmaksa vienai stundai 0,0491 euro (97,54 euro : 1987 stundas 2025.g.). 1 akadēmiskā stunda*45min/60min= 0,75 stundas. 0,75 stundas *0,0491 euro/stundā= 0,04 euro. Plānotais dalībnieku skaits vienā kursā 10. Vienam dalībniekam 0,04 euro:10=0,004 euro.</t>
  </si>
  <si>
    <t>Gada faktiskās izmaksas 139699 euro. VADC vidējās izmaksas uz 1m² gadā 21,74 euro (139699,96 euro : 6424,71 m²). Konferenču zāle 101,6 m². Konferenču zāles gada izmaksas 2208,78 euro (21,74 euro*101,6m²). Konferenču zāles izmaksa vienai stundai 1,1116 euro (2208,78 euro : 1987 stundas 2025.g.).  1 akadēmiskā stunda*45min/60min= 0,75 stundas. 0,75 stundas *1,1116 euro/stundā= 0,83 euro. Plānotais dalībnieku skaits vienā kursā 10. Vienam dalībniekam 0,83 euro:10=0,08 euro.</t>
  </si>
  <si>
    <t>Gada faktiskās izmaksas 21733,79 euro. VADC vidējās izmaksas uz 1m² gadā 3,38 euro (21733,79 euro : 6424,71 m²).  Konferenču zāle 101,6 m². Konferenču zāles gada izmaksas 343,41 euro (3,38 euro*101,6m²). Konferenču zāles izmaksa vienai stundai 0,1728 euro (343,41 euro : 1987 stundas 2025.g.).  1 akadēmiskā stunda*45min/60min= 0,75 stundas. 0,75 stundas *0,1728 euro/stundā= 0,13 euro. Plānotais dalībnieku skaits vienā kursā 10. Vienam dalībniekam 0,13euro:10=0,01 euro.</t>
  </si>
  <si>
    <t>Gada faktiskās izmaksas 38286,54 euro. VADC vidējās izmaksas uz 1m² gadā 5,96 euro (38286,54 euro : 6424,71 m²).  Konferenču zāle 101,6 m². Konferenču zāles gada izmaksas 605,54 euro (5,96 euro*101,6m²). Konferenču zāles izmaksa vienai stundai 0,3048 euro (605,54 euro : 1987 stundas 2025.g.).  1 akadēmiskā stunda*45min/60min= 0,75 stundas. 0,75 stundas *0,3048 euro/stundā= 0,23 euro. Plānotais dalībnieku skaits vienā kursā 10. Vienam dalībniekam 0,23 euro:10=0,02 euro.</t>
  </si>
  <si>
    <t>Gada faktiskās izmaksas 10204,36 euro. VADC vidējās izmaksas uz 1m² gadā 1,59 euro (10204,36 euro : 6424,71 m²).  Konferenču zāle 101,6 m². Konferenču zāles gada izmaksas 161,54 euro (1,59 euro*101,6m²). Konferenču zāles izmaksa vienai stundai 0,0813 euro (161,54 euro : 1987 stundas 2025.g.).  1 akadēmiskā stunda*45min/60min= 0,75 stundas. 0,75 stundas *0,0813 euro/stundā= 0,06 euro. Plānotais dalībnieku skaits vienā kursā 10. Vienam dalībniekam 0,06 euro:10=0,01 euro.</t>
  </si>
  <si>
    <t>Gada faktiskās izmaksas 9718,82 euro. VADC vidējās izmaksas uz 1m² gadā 1,51 euro (9718,82 euro : 6424,71 m²).  Konferenču zāle 101,6 m². Konferenču zāles gada izmaksas 153,42 euro (1,51 euro*101,6m²). Konferenču zāles izmaksa vienai stundai 0,0772 euro (153,42 euro : 1987 stundas 2025.g.).  1 akadēmiskā stunda*45min/60min= 0,75 stundas. 0,75 stundas *0,0772 euro/stundā= 0,06 euro. Plānotais dalībnieku skaits vienā kursā 10. Vienam dalībniekam 0,06 euro:10=0,01 euro.</t>
  </si>
  <si>
    <t>Gada faktiskās izmaksas 72390,49 euro. VADC vidējās izmaksas uz 1m² gadā 11,27 euro (72390,49 euro : 6424,71 m²). Konferenču zāle 101,6 m². Konferenču zāles gada izmaksas 1145,03 euro (11,27 euro*101,6m²). Konferenču zāles izmaksa vienai stundai 0,5763 euro (1145,03 euro : 1987 stundas 2025.g.).   1 akadēmiskā stunda*45min/60min= 0,75 stundas. 0,75 stundas *0,5763 euro/stundā= 0,43 euro. Plānotais dalībnieku skaits vienā kursā 10. Vienam dalībniekam 0,43 euro:10=0,04 euro.</t>
  </si>
  <si>
    <t>Gada faktiskās izmaksas 90535,06 euro. VADC vidējās izmaksas uz 1m² gadā 14,09 euro (90535,06 euro : 6424,71 m²). Konferenču zāle 101,6 m². Konferenču zāles gada izmaksas 1431,54 euro (14,09 euro*101,6m²). Konferenču zāles izmaksa vienai stundai 0,7205 euro (1431,54 euro : 1987 stundas 2025.g.).   1 akadēmiskā stunda*45min/60min= 0,75 stundas. 0,75 stundas *0,7205 euro/stundā= 0,54 euro. Plānotais dalībnieku skaits vienā kursā 10. Vienam dalībniekam 0,54 euro:10=0,05 euro.</t>
  </si>
  <si>
    <t>Gada faktiskās izmaksas 74425,04 euro. VADC vidējās izmaksas uz 1m² gadā 11,58 euro (74425,04 euro : 6424,71 m²). Konferenču zāle 101,6 m². Konferenču zāles gada izmaksas 1176,53 euro (11,58 euro*101,6 m²).Konferenču zāles izmaksa vienai stundai 0,5921 euro (1176,53 euro : 1987 stundas 2025.g.).  1 akadēmiskā stunda*45min/60min= 0,75 stundas. 0,75 stundas *0,5921 euro/stundā= 0,44 euro. Plānotais dalībnieku skaits vienā kursā 10. Vienam dalībniekam 0,44 euro:10=0,04 euro.</t>
  </si>
  <si>
    <t>Gada faktiskās izmaksas 101941,15 euro. VADC vidējās izmaksas uz 1m² gadā 15,87 euro (101941,15 euro : 6424,71 m²).  Konferenču zāle 101,6 m². Konferenču zāles gada izmaksas 1612,39 euro (15,87 euro*101,6 m²). Konferenču zāles izmaksa vienai stundai 0,8115 euro (1612,39 euro : 1987 stundas 2025.g.).  1 akadēmiskā stunda*45min/60min= 0,75 stundas. 0,75 stundas *0,8115 euro/stundā= 0,61 euro. Plānotais dalībnieku skaits vienā kursā 10. Vienam dalībniekam 0,61 euro:10=0,06 euro.</t>
  </si>
  <si>
    <t>Gada faktiskās izmaksas 3912,01 euro. VADC vidējās izmaksas uz 1m² gadā 0,61 euro (3912,01 euro : 6424,71 m²).  Konferenču zāle 101,6 m². Konferenču zāles gada izmaksas 61,98 euro (0,61 euro*101,6m²). Konferenču zāles izmaksa vienai stundai 0,0312 euro (61,98 euro : 1987 stundas 2025.g.).  1 akadēmiskā stunda*45min/60min= 0,75 stundas. 0,75 stundas *0,0312 euro/stundā= 0,02 euro. Plānotais dalībnieku skaits vienā kursā 10. Vienam dalībniekam 0,02 euro:10=0,00 euro.</t>
  </si>
  <si>
    <t>Gada faktiskās izmaksas 3319,39 euro. VADC vidējās izmaksas uz 1m² gadā 0,52 euro (3319,39 euro : 6424,71 m²).  Konferenču zāle 101,6 m². Konferenču zāles gada izmaksas 52,83 euro (0,52 euro*101,6m²). Konferenču zāles izmaksa vienai stundai 0,0266 euro (52,83 euro : 1987 stundas 2025.g.).  1 akadēmiskā stunda*45min/60min= 0,75 stundas. 0,75 stundas *0,0266 euro/stundā= 0,02 euro. Plānotais dalībnieku skaits vienā kursā 10. Vienam dalībniekam 0,02 euro:10=0,00 euro.</t>
  </si>
  <si>
    <t>Gada faktiskās izmaksas 350790,73 euro. VADC vidējās izmaksas uz 1m² gadā 54,60 euro (350790,73 euro : 6424,71 m²). Konferenču zāle 101,6 m². Konferenču zāles gada izmaksas 5547,36 euro (54,60 euro*101,6m²). Konferenču zāles izmaksa vienai stundai 2,7918 euro (5547,36 euro : 1987 stundas 2025.g.).  1 akadēmiskā stunda*45min/60min= 0,75 stundas. 0,75 stundas *2,7918 euro/stundā= 2,09 euro. Plānotais dalībnieku skaits vienā kursā 10. Vienam dalībniekam 2,09 euro:10=0,21 euro.</t>
  </si>
  <si>
    <t>Gada faktiskās izmaksas 437000,78 euro. VADC vidējās izmaksas uz 1m² gadā 68,02 euro (437000,78 euro : 6424,71 m²). Konferenču zāle 101,6 m². Konferenču zāles gada izmaksas 6910,83 euro (68,02 euro*101,6m²). Konferenču zāles izmaksa vienai stundai 3,4780 euro (6910,83 euro : 1987 stundas 2025.g.).  1 akadēmiskā stunda*45min/60min= 0,75 stundas. 0,75 stundas *3,4780 euro/stundā= 2,61 euro. Plānotais dalībnieku skaits vienā kursā 10. Vienam dalībniekam 2,61 euro:10= 0,26 euro.</t>
  </si>
  <si>
    <t>Gada faktiskās izmaksas 1502,88 euro. VADC vidējās izmaksas uz 1m² gadā 0,23 euro (1502,88 euro : 6424,71 m²).  Konferenču zāle 101,6 m². Konferenču zāles gada izmaksas 23,37 euro (0,23 euro*101,6m²). Konferenču zāles izmaksa vienai stundai 0,0118 euro (23,37 euro : 1987 stundas 2025.g.).  1 akadēmiskā stunda*45min/60min= 0,75 stundas. 0,75 stundas *0,0118 euro/stundā= 0,01 euro. Plānotais dalībnieku skaits vienā kursā 10. Vienam dalībniekam 0,01 euro:10=0,00 euro.</t>
  </si>
  <si>
    <t>Gada faktiskās izmaksas 38551,01 euro. VADC vidējās izmaksas uz 1m² gadā 6,00 euro (38551,01 euro : 6424,71 m²).  Konferenču zāle 101,6 m². Konferenču zāles gada izmaksas 609,60 euro (6,00 euro*101,6m²). Konferenču zāles izmaksa vienai stundai 0,3068 euro (609,60 euro : 1987 stundas 2025.g.).  1 akadēmiskā stunda*45min/60min= 0,75 stundas. 0,75 stundas *0,3068 euro/stundā= 0,23 euro. Plānotais dalībnieku skaits vienā kursā 10. Vienam dalībniekam 0,23 euro:10=0,02 euro.</t>
  </si>
  <si>
    <t>Gada faktiskās izmaksas 14043,51 euro. VADC vidējās izmaksas uz 1m² gadā 2,19 euro (14043,51 euro : 6424,71 m²).  Konferenču zāle 101,6 m². Konferenču zāles gada izmaksas 222,50 euro (2,19 euro*101,6 m²). Konferenču zāles izmaksa vienai stundai 0,1120 euro (222,50 euro : 1987 stundas 2025.g.).  1 akadēmiskā stunda*45min/60min= 0,75 stundas. 0,75 stundas *0,1120 euro/stundā= 0,08 euro. Plānotais dalībnieku skaits vienā kursā 10. Vienam dalībniekam 0,08 euro:10=0,01 euro.</t>
  </si>
  <si>
    <t xml:space="preserve">Gada faktiskās izmaksas 16185,75 euro. VADC vidējās izmaksas uz 1m² gadā 2,52 euro (16185,75 euro : 6424,71 m²).  Konferenču zāle 101,6 m². Konferenču zāles gada izmaksas 256,03 euro (2,52 euro*101,6 m²). Konferenču zāles izmaksa vienai stundai 0,1289 euro (256,03 euro : 1987 stundas 2025.g.).  1 akadēmiskā stunda*45min/60min= 0,75 stundas. 0,75 stundas *0,1289 euro/stundā= 0,10 euro. Plānotais dalībnieku skaits vienā kursā 10. Vienam dalībniekam 0,10 euro:10=0,01 euro. </t>
  </si>
  <si>
    <t xml:space="preserve">Gada faktiskās izmaksas 34657,56 euro. VADC vidējās izmaksas uz 1m² gadā 5,39 euro (34657,56 euro : 6424,71 m²).  Konferenču zāle 101,6 m². Konferenču zāles gada izmaksas 547,62 euro (5,39 euro*101,6 m²). Konferenču zāles izmaksa vienai stundai 0,2756 euro (547,62 euro : 1987 stundas 2025.g.).  1 akadēmiskā stunda*45min/60min= 0,75 stundas. 0,75 stundas *0,2756 euro/stundā= 0,21 euro. Plānotais dalībnieku skaits vienā kursā 10. Vienam dalībniekam 0,21 euro:10=0,02 euro. </t>
  </si>
  <si>
    <t>Gada faktiskās izmaksas 49799,56 euro. VADC vidējās izmaksas uz 1m² gadā 7,75 euro (49799,56 euro : 6424,71 m²). Konferenču zāle 101,6 m². Konferenču zāles gada izmaksas 787,40 euro (7,75 euro*101,6m²). Konferenču zāles izmaksa vienai stundai 0,3963 euro (787,40 euro : 1987 stundas 2025.g.).  1 akadēmiskā stunda*45min/60min= 0,75 stundas. 0,75 stundas *0,3963 euro/stundā= 0,30 euro. Plānotais dalībnieku skaits vienā kursā 10. Vienam dalībniekam 0,30 euro:10=0,03 euro.</t>
  </si>
  <si>
    <t xml:space="preserve">Gada faktiskās izmaksas 3095,60 euro. VADC vidējās izmaksas uz 1m² gadā 0,48 euro (3095,6 euro : 6424,71 m²).  Konferenču zāle 101,6 m². Konferenču zāles gada izmaksas 48,77 euro (0,48 euro*101,6 m²). Konferenču zāles izmaksa vienai stundai 0,0245 euro (48,77 euro : 1987 stundas 2025.g.).  1 akadēmiskā stunda*45min/60min= 0,75 stundas. 0,75 stundas *0,0245 euro/stundā= 0,02 euro. Plānotais dalībnieku skaits vienā kursā 10. Vienam dalībniekam 0,02 euro:10=0,00 euro. </t>
  </si>
  <si>
    <t xml:space="preserve">Gada faktiskās izmaksas 4587,48 euro. VADC vidējās izmaksas uz 1m² gadā 0,71 euro (4587,48 euro : 6424,71 m²).  Konferenču zāle 101,6 m². Konferenču zāles gada izmaksas 72,14 euro (0,71 euro*101,6 m²). Konferenču zāles izmaksa vienai stundai 0,0363 euro (72,14 euro : 1987 stundas 2025.g.).  1 akadēmiskā stunda*45min/60min= 0,75 stundas. 0,75 stundas *0,0363 euro/stundā= 0,03 euro. Plānotais dalībnieku skaits vienā kursā 10. Vienam dalībniekam 0,03 euro:10=0,00 euro. </t>
  </si>
  <si>
    <t xml:space="preserve">Gada faktiskās izmaksas 1910,79 euro. VADC vidējās izmaksas uz 1m² gadā 0,30 euro (1910,79 euro : 6424,71 m²).  Konferenču zāle 101,6 m². Konferenču zāles gada izmaksas 30,48 euro (0,30 euro*101,6 m²). Konferenču zāles izmaksa vienai stundai 0,0153 euro (30,48 euro : 1987 stundas 2025.g.).  1 akadēmiskā stunda*45min/60min= 0,75 stundas. 0,75 stundas *0,0153 euro/stundā= 0,01 euro. Plānotais dalībnieku skaits vienā kursā 10. Vienam dalībniekam 0,01 euro:10=0,00 euro. </t>
  </si>
  <si>
    <t>Gada faktiskās izmaksas 5573,12 euro. VADC vidējās izmaksas uz 1m² gadā 0,87 euro (5573,12 euro : 6424,71 m²). Konferenču zāle 101,6 m². Konferenču zāles gada izmaksas 88,39 euro (0,87 euro*101,6m²). Konferenču zāles izmaksa vienai stundai 0,0445 euro (88,39 euro : 1987 stundas 2025.g.).  1 akadēmiskā stunda*45min/60min= 0,75 stundas. 0,75 stundas *0,0445 euro/stundā= 0,03 euro. Plānotais dalībnieku skaits vienā kursā 10. Vienam dalībniekam 0,03euro:10=0,00 euro.</t>
  </si>
  <si>
    <t>Gada faktiskās izmaksas 31760,58 euro. VADC vidējās izmaksas uz 1m² gadā 4,94 euro (31760,58 euro : 6424,71 m²). Konferenču zāle 101,6 m². Konferenču zāles gada izmaksas 501,90 euro (4,94 euro*101,6 m²).Konferenču zāles izmaksa vienai stundai 0,2526 euro (501,90 euro : 1987 stundas 2025.g.).  1 akadēmiskā stunda*45min/60min= 0,75 stundas. 0,75 stundas *0,2526 euro/stundā= 0,19 euro. Plānotais dalībnieku skaits vienā kursā 10. Vienam dalībniekam 0,19 euro:10=0,02euro.</t>
  </si>
  <si>
    <t>Gada faktiskās izmaksas 56125,63 euro. VADC vidējās izmaksas uz 1m² gadā 8,74 euro (56125,63 euro : 6424,71 m²). Konferenču zāle 101,6 m². Konferenču zāles gada izmaksas 887,98 euro (8,74 euro*101,6 m²).Konferenču zāles izmaksa vienai stundai 0,4469 euro (887,98 euro : 1987 stundas 2025.g.).  1 akadēmiskā stunda*45min/60min= 0,75 stundas. 0,75 stundas *0,4469 euro/stundā=0,34 euro. Plānotais dalībnieku skaits vienā kursā 10. Vienam dalībniekam 0,34 euro:10=0,03 euro.</t>
  </si>
  <si>
    <t>1 ak.stunda</t>
  </si>
  <si>
    <t xml:space="preserve">Datorsistēmu un datortīklu adminstratora mēnešalga 1525 euro. Darba dienu skaits vidēji mēnesī ir 21, stundu skaits darba dienā -8. Aprīkojuma sagatavošana - 0,25 stundas. Aprēķins: 1525 euro: 21 darba dienu skaits: 8 stundas = 9,08 euro/stundā*0,25 stundas=2,27 euro.  </t>
  </si>
  <si>
    <t>Darba devēja valsts sociālās apdrošināšanas obligātās iemaksas, sociāla rakstura pabalsti un kompensācijas 2,27 * 23,59%</t>
  </si>
  <si>
    <t>Gada faktiskās izmaksas 139699,96 euro. VADC vidējās izmaksas uz 1m² gadā 21,74 euro (139699,96 euro : 6424,71 m²). Konferenču zāle 101,6 m². Konferenču zāles gada izmaksas 2208,78 euro (21,74 euro*101,6m²). Konferenču zāles izmaksa vienai stundai 1,1116 euro (2208,78 euro : 1987 stundas 2025.g.).  1 akadēmiskā stunda*45min/60min= 0,75 stundas. 0,75 stundas *1,1116 euro/stundā= 0,83 euro. Plānotais dalībnieku skaits vienā kursā 10. Vienam dalībniekam 0,83 euro:10=0,08 euro.</t>
  </si>
  <si>
    <t>Gada faktiskās izmaksas 3912,01 euro. VADC vidējās izmaksas uz 1m² gadā 0,61 euro (3912,01 euro : 6424,71 m²).  Konferenču zāle 101,6 m². Konferenču zāles gada izmaksas 61,98 euro (0,61 euro*101,6m²). Konferenču zāles izmaksa vienai stundai 0,0312 euro (61,98 euro : 1987 stundas 2025.g.).  1 akadēmiskā stunda*45min/60min= 0,75 stundas. 0,75 stundas *0,0312 euro/stundā= 0,02 euro. Plānotais dalībnieku skaits vienā kursā 10. Vienam dalībniekam 0,02 euro:10=0,002 euro.</t>
  </si>
  <si>
    <t>Gada faktiskās izmaksas 3319,39 euro. VADC vidējās izmaksas uz 1m² gadā 0,52 euro (3319,39 euro : 6424,71 m²).  Konferenču zāle 101,6 m². Konferenču zāles gada izmaksas 52,83 euro (0,52 euro*101,6m²). Konferenču zāles izmaksa vienai stundai 0,0266 euro (52,83 euro : 1987 stundas 2025.g.).  1 akadēmiskā stunda*45min/60min= 0,75 stundas. 0,75 stundas *0,0266 euro/stundā= 0,02 euro. Plānotais dalībnieku skaits vienā kursā 10. Vienam dalībniekam 0,02 euro:10=0,002 euro.</t>
  </si>
  <si>
    <t>Gada faktiskās izmaksas 1502,88 euro. VADC vidējās izmaksas uz 1m² gadā 0,23 euro (1502,88 euro : 6424,71 m²).  Konferenču zāle 101,6 m². Konferenču zāles gada izmaksas 23,37 euro (0,23 euro*101,6m²). Konferenču zāles izmaksa vienai stundai 0,0118 euro (23,37 euro : 1987 stundas 2025.g.).  1 akadēmiskā stunda*45min/60min= 0,75 stundas. 0,75 stundas *0,0118 euro/stundā= 0,01 euro. Plānotais dalībnieku skaits vienā kursā 10. Vienam dalībniekam 0,01 euro:10=0,001 euro.</t>
  </si>
  <si>
    <t xml:space="preserve">Gada faktiskās izmaksas 3095,60 euro. VADC vidējās izmaksas uz 1m² gadā 0,48 euro (3095,6 euro : 6424,71 m²).  Konferenču zāle 101,6 m². Konferenču zāles gada izmaksas 48,77 euro (0,48 euro*101,6 m²). Konferenču zāles izmaksa vienai stundai 0,0245 euro (48,77 euro : 1987 stundas 2025.g.).  1 akadēmiskā stunda*45min/60min= 0,75 stundas. 0,75 stundas *0,0245 euro/stundā= 0,02 euro. Plānotais dalībnieku skaits vienā kursā 10. Vienam dalībniekam 0,02 euro:10=0,002 euro. </t>
  </si>
  <si>
    <t xml:space="preserve">Gada faktiskās izmaksas 4587,48 euro. VADC vidējās izmaksas uz 1m² gadā 0,71 euro (4587,48 euro : 6424,71 m²).  Konferenču zāle 101,6 m². Konferenču zāles gada izmaksas 72,14 euro (0,71 euro*101,6 m²). Konferenču zāles izmaksa vienai stundai 0,0363 euro (72,14 euro : 1987 stundas 2025.g.).  1 akadēmiskā stunda*45min/60min= 0,75 stundas. 0,75 stundas *0,0363 euro/stundā= 0,03 euro. Plānotais dalībnieku skaits vienā kursā 10. Vienam dalībniekam 0,03 euro:10=0,003 euro. </t>
  </si>
  <si>
    <t xml:space="preserve">Gada faktiskās izmaksas 1910,79 euro. VADC vidējās izmaksas uz 1m² gadā 0,30 euro (1910,79 euro : 6424,71 m²).  Konferenču zāle 101,6 m². Konferenču zāles gada izmaksas 30,48 euro (0,30 euro*101,6 m²). Konferenču zāles izmaksa vienai stundai 0,0153 euro (30,48 euro : 1987 stundas 2025.g.).  1 akadēmiskā stunda*45min/60min= 0,75 stundas. 0,75 stundas *0,0153 euro/stundā= 0,01 euro. Plānotais dalībnieku skaits vienā kursā 10. Vienam dalībniekam 0,01 euro:10=0,001 euro. </t>
  </si>
  <si>
    <t>Gada faktiskās izmaksas 5573,12 euro. VADC vidējās izmaksas uz 1m² gadā 0,87 euro (5573,12 euro : 6424,71 m²). Konferenču zāle 101,6 m². Konferenču zāles gada izmaksas 88,39 euro (0,87 euro*101,6m²). Konferenču zāles izmaksa vienai stundai 0,0445 euro (88,39 euro : 1987 stundas 2025.g.).  1 akadēmiskā stunda*45min/60min= 0,75 stundas. 0,75 stundas *0,0445 euro/stundā= 0,03 euro. Plānotais dalībnieku skaits vienā kursā 10. Vienam dalībniekam 0,03 euro:10=0,003 euro.</t>
  </si>
  <si>
    <t>Darba devēja valsts sociālās apdrošināšanas obligātās iemaksas, sociāla rakstura pabalsti un kompensācijas 139,55 * 23,59%</t>
  </si>
  <si>
    <t xml:space="preserve">Lektoru darba alga par ceļā pavadīto laiku - 1 stunda katram lektoram vienā virzienā. Aprēķins: 13,48 euro/stundā *2 lektori * 2 virzieni= 53,92 euro. </t>
  </si>
  <si>
    <t>Darba devēja valsts sociālās apdrošināšanas obligātās iemaksas, sociāla rakstura pabalsti un kompensācijas 53,92 * 23,59%</t>
  </si>
  <si>
    <t>2 lektori * 1,50 euro sabiedriskā transporta biļete * 2 biļetes vienā virzienā*2 virzieni*2 reizes = 24,00 euro</t>
  </si>
  <si>
    <t>Pakalpojumu izmaksas kopā (ar PVN) vienam kursam (30 dalībnieki)</t>
  </si>
  <si>
    <t>Auto vadītāja mēnešalga 1259 euro. Darba dienu skaits vidēji mēnesī ir 21, stundu skaits darba dienā -8. Aprēķins: 1259 euro: 21 darba dienu skaits: 8 stundas = 7,49 euro/ stundā.    2 braucieni* 8 stundas *7,49 euro/stundā= 119,84  euro.  Lektors 1 braucienā ceļā  vienā virzienā pavada 1,5 stundu. 2 lektori *katrs 1 brauciens * 3,0 stundas (turp un atpakaļ)= 6 stundas. 6 stundas x13,48 euro/stundā=80,88 euro. Kopā  200,72 euro (119,84 euro +80,88 euro).</t>
  </si>
  <si>
    <t>Darba devēja valsts sociālās apdrošināšanas obligātās iemaksas, sociāla rakstura pabalsti un kompensācijas 200,72 * 23,59%</t>
  </si>
  <si>
    <t xml:space="preserve">30 dalībnieki </t>
  </si>
  <si>
    <t>Darba devēja valsts sociālās apdrošināšanas obligātās iemaksas, sociāla rakstura pabalsti un kompensācijas 12,14 * 23,59%</t>
  </si>
  <si>
    <t xml:space="preserve">Datorsistēmu un datortīklu adminstratora mēnešalga 1525 euro. Darba dienu skaits vidēji mēnesī ir 21, stundu skaits darba dienā -8. Aprīkojuma sagatavošana vebinārijam - 0,5 stundas. Aprēķins: 1525 euro: 21 darba dienu skaits: 8 stundas = 9,08 euro/stundā*0,5 stundas=4,54 euro.  </t>
  </si>
  <si>
    <t>Darba devēja valsts sociālās apdrošināšanas obligātās iemaksas, sociāla rakstura pabalsti un kompensācijas 4,54 * 23,59%</t>
  </si>
  <si>
    <t>Gada faktiskās izmaksas 31212,32 euro. VADC vidējās izmaksas uz 1m² gadā 4,86 euro (31212,32 euro : 6424,71 m²). Apspriežu zāle 32,6 m². Apspriežu zāles gada izmaksas 158,44 euro ( 4,86 euro*32,6m²). Apspriežu zāles izmaksa vienai stundai 0,0797 euro (158,44 euro : 1987 stundas 2025.g.).  1 akadēmiskās stundas*45min/60min= 0,75 stundas. 0,75 stundas *0,0797 euro/stundā=0,06 euro.</t>
  </si>
  <si>
    <t>Gada faktiskās izmaksas 76326,72 euro. VADC vidējās izmaksas uz 1m² gadā 11,88 euro (76326,72 euro : 6424,71 m²). Apspriežu zāle 32,6 m². Apspriežu zāles gada izmaksas 387,29 euro (11,88 euro * 32,6 m²). Apspriežu zāles izmaksa vienai stundai 0,1949 euro (387,29 euro : 1987 stundas 2025.g.). 1 akadēmiskās stundas*45min/60min= 0,75 stundas. 0,75 stundas *0,1949 euro/stundā=0,15 euro.</t>
  </si>
  <si>
    <t>Gada faktiskās izmaksas 139699,96 euro. VADC vidējās izmaksas uz 1m² gadā 21,74 euro (139699,96 euro : 6424,71 m²). Apspriežu zāle 32,6 m². Apspriežu zāles gada izmaksas 708,72 euro (21,74 euro * 32,6 m²). Apspriežu zāles izmaksa vienai stundai 0,3567 euro (708,72 euro : 1987 stundas 2025.g.). 1 akadēmiskās stundas*45min/60min= 0,75 stundas. 0,75 stundas *0,3567 euro/stundā=0,27 euro.</t>
  </si>
  <si>
    <t>Gada faktiskās izmaksas 38286,54 euro. VADC vidējās izmaksas uz 1m² gadā 5,96 euro (38286,54 euro : 6424,71 m²). Apspriežu zāle 32,6 m². Apspriežu zāles gada izmaksas 194,30 euro (5,96 euro * 32,6 m²). Apspriežu zāles izmaksa vienai stundai 0,0978 euro (194,30 euro : 1987 stundas 2025.g.). 1 akadēmiskās stundas*45min/60min= 0,75 stundas. 0,75 stundas *0,0978 euro/stundā=0,07 euro.</t>
  </si>
  <si>
    <t>Gada faktiskās izmaksas 10204,36 euro. VADC vidējās izmaksas uz 1m² gadā 1,59 euro (10204,36 euro : 6424,71 m²). Apspriežu zāle 32,6 m². Apspriežu zāles gada izmaksas 51,83 euro (1,59 euro * 32,6 m²). Apspriežu zāles izmaksa vienai stundai 0,0261 euro (51,83 euro : 1987 stundas 2025.g.). 1 akadēmiskās stundas*45min/60min= 0,75 stundas. 0,75 stundas *0,0261 euro/stundā=0,02 euro.</t>
  </si>
  <si>
    <t>Gada faktiskās izmaksas 9718,82 euro. VADC vidējās izmaksas uz 1m² gadā 1,51 euro (9718,82 euro : 6424,71 m²). Apspriežu zāle 32,6 m². Apspriežu zāles gada izmaksas 49,23 euro (1,51 euro * 32,6 m²). Apspriežu zāles izmaksa vienai stundai 0,0248 euro (49,23 euro : 1987 stundas 2025.g.). 1 akadēmiskās stundas*45min/60min= 0,75 stundas. 0,75 stundas *0,0248 euro/stundā=0,02 euro.</t>
  </si>
  <si>
    <t>Gada faktiskās izmaksas 72390,49 euro. VADC vidējās izmaksas uz 1m² gadā 11,27 euro (72390,49 euro : 6424,71 m²). Apspriežu zāle 32,6 m². Apspriežu zāles gada izmaksas 367,40 euro (11,27 euro * 32,6 m²). Apspriežu zāles izmaksa vienai stundai 0,1849 euro (367,40 euro : 1987 stundas 2025.g.). 1 akadēmiskās stundas*45min/60min= 0,75 stundas. 0,75 stundas *0,1849 euro/stundā=0,14 euro.</t>
  </si>
  <si>
    <t>Gada faktiskās izmaksas 90535,06 euro. VADC vidējās izmaksas uz 1m² gadā 14,09 euro (90535,06 euro : 6424,71 m²). Apspriežu zāle 32,6 m². Apspriežu zāles gada izmaksas 459,33 euro (14,09 euro * 32,6 m²). Apspriežu zāles izmaksa vienai stundai 0,2312 euro (459,33 euro : 1987 stundas 2025.g.). 1 akadēmiskās stundas*45min/60min= 0,75 stundas. 0,75 stundas *0,2312 euro/stundā=0,17 euro.</t>
  </si>
  <si>
    <t>Gada faktiskās izmaksas 74425,04 euro. VADC vidējās izmaksas uz 1m² gadā 11,58 euro (74425,04 euro : 6424,71 m²). Apspriežu zāle 32,6 m². Apspriežu zāles gada izmaksas 377,51 euro (11,58 euro * 32,6 m²). Apspriežu zāles izmaksa vienai stundai 0,1900 euro (377,51 euro : 1987 stundas 2025.g.). 1 akadēmiskās stundas*45min/60min= 0,75 stundas. 0,75 stundas *0,1900 euro/stundā=0,14 euro.</t>
  </si>
  <si>
    <t>Gada faktiskās izmaksas 101941,15 euro. VADC vidējās izmaksas uz 1m² gadā 15,87 euro (101941,15 euro : 6424,71 m²). Apspriežu zāle 32,6 m². Apspriežu zāles gada izmaksas 517,36 euro (15,87 euro * 32,6 m²). Apspriežu zāles izmaksa vienai stundai 0,2604 euro (517,36 euro : 1987 stundas 2025.g.). 1 akadēmiskās stundas*45min/60min= 0,75 stundas. 0,75 stundas *0,2604 euro/stundā=0,2 euro.</t>
  </si>
  <si>
    <t>Gada faktiskās izmaksas 3912,01 euro. VADC vidējās izmaksas uz 1m² gadā 0,61 euro (3912,01 euro : 6424,71 m²). Apspriežu zāle 32,6 m². Apspriežu zāles gada izmaksas 19,89 euro (1,59 euro * 32,6 m²). Apspriežu zāles izmaksa vienai stundai 0,0100 euro (19,89 euro : 1987 stundas 2025.g.). 1 akadēmiskās stundas*45min/60min= 0,75 stundas. 0,75 stundas *0,0100 euro/stundā=0,01 euro.</t>
  </si>
  <si>
    <t>Gada faktiskās izmaksas 3319,39 euro. VADC vidējās izmaksas uz 1m² gadā 0,52 euro (3319,39 euro : 6424,71 m²). Apspriežu zāle 32,6 m². Apspriežu zāles gada izmaksas 16,95 euro (0,52 euro * 32,6 m²). Apspriežu zāles izmaksa vienai stundai 0,0085 euro (16,95 euro : 1987 stundas 2025.g.). 1 akadēmiskās stundas*45min/60min= 0,75 stundas. 0,75 stundas *0,0085 euro/stundā=0,01 euro.</t>
  </si>
  <si>
    <t>Gada faktiskās izmaksas 350790,73 euro. VADC vidējās izmaksas uz 1m² gadā 54,60 euro (350790,73 euro : 6424,71 m²). Apspriežu zāle 32,6 m². Apspriežu zāles gada izmaksas 1779,96 euro (54,60 euro * 32,6 m²). Apspriežu zāles izmaksa vienai stundai 0,8958 euro (1779,96 euro : 1987 stundas 2025.g.). 1 akadēmiskās stundas*45min/60min= 0,75 stundas. 0,75 stundas *0,8958 euro/stundā=0,67 euro.</t>
  </si>
  <si>
    <t>Gada faktiskās izmaksas 437000,78 euro. VADC vidējās izmaksas uz 1m² gadā 68,02 euro (437000,78 euro : 6424,71 m²). Apspriežu zāle 32,6 m². Apspriežu zāles gada izmaksas 2217,45 euro (68,02 euro * 32,6 m²). Apspriežu zāles izmaksa vienai stundai 1,1160 euro (2217,45 euro : 1987 stundas 2025.g.). 1 akadēmiskās stundas*45min/60min= 0,75 stundas. 0,75 stundas *1,1160 euro/stundā=0,84 euro.</t>
  </si>
  <si>
    <t>Gada faktiskās izmaksas 1502,88 euro. VADC vidējās izmaksas uz 1m² gadā 0,23 euro (1502,88 euro : 6424,71 m²). Apspriežu zāle 32,6 m². Apspriežu zāles gada izmaksas 7,50 euro (0,23 euro * 32,6 m²). Apspriežu zāles izmaksa vienai stundai 0,0038 euro (7,50 euro : 1987 stundas 2025.g.). 1 akadēmiskās stundas*45min/60min= 0,75 stundas. 0,75 stundas *0,0038 euro/stundā=0,00 euro.</t>
  </si>
  <si>
    <t>Gada faktiskās izmaksas 38551,01 euro. VADC vidējās izmaksas uz 1m² gadā 6,00 euro (38551,01 euro : 6424,71 m²). Apspriežu zāle 32,6 m². Apspriežu zāles gada izmaksas 195,60 euro (6,00 euro * 32,6 m²). Apspriežu zāles izmaksa vienai stundai 0,0984 euro (195,60 euro : 1987 stundas 2025.g.). 1 akadēmiskās stundas*45min/60min= 0,75 stundas. 0,75 stundas *0,0984 euro/stundā=0,07 euro.</t>
  </si>
  <si>
    <t>Gada faktiskās izmaksas 16185,75 euro. VADC vidējās izmaksas uz 1m² gadā 2,52 euro (16185,75 euro : 6424,71 m²). Apspriežu zāle 32,6 m². Apspriežu zāles gada izmaksas 82,15 euro (2,52 euro * 32,6 m²). Apspriežu zāles izmaksa vienai stundai 0,0413 euro (82,15 euro : 1987 stundas 2025.g.). 1 akadēmiskās stundas*45min/60min= 0,75 stundas. 0,75 stundas *0,0413 euro/stundā=0,03 euro.</t>
  </si>
  <si>
    <t>Gada faktiskās izmaksas 34657,56 euro. VADC vidējās izmaksas uz 1m² gadā 5,39 euro (34657,56 euro : 6424,71 m²). Apspriežu zāle 32,6 m². Apspriežu zāles gada izmaksas 175,71 euro (5,39 euro * 32,6 m²). Apspriežu zāles izmaksa vienai stundai 0,0884 euro (175,71 euro : 1987 stundas 2025.g.). 1 akadēmiskās stundas*45min/60min= 0,75 stundas. 0,75 stundas *0,0884 euro/stundā=0,07 euro.</t>
  </si>
  <si>
    <t>Gada faktiskās izmaksas 49799,56 euro. VADC vidējās izmaksas uz 1m² gadā 7,75 euro (49799,56 euro : 6424,71 m²). Apspriežu zāle 32,6 m². Apspriežu zāles gada izmaksas 252,65 euro (7,75 euro * 32,6 m²). Apspriežu zāles izmaksa vienai stundai 0,1272 euro (252,65 euro : 1987 stundas 2025.g.). 1 akadēmiskās stundas*45min/60min= 0,75 stundas. 0,75 stundas *0,1272 euro/stundā=0,10 euro.</t>
  </si>
  <si>
    <t>Gada faktiskās izmaksas 3095,60 euro. VADC vidējās izmaksas uz 1m² gadā 0,48 euro (3095,60 euro : 6424,71 m²). Apspriežu zāle 32,6 m². Apspriežu zāles gada izmaksas 15,65 euro (0,48 euro * 32,6 m²). Apspriežu zāles izmaksa vienai stundai 0,0079 euro (15,65 euro : 1987 stundas 2025.g.). 1 akadēmiskās stundas*45min/60min= 0,75 stundas. 0,75 stundas *0,0079 euro/stundā=0,01 euro.</t>
  </si>
  <si>
    <t>Gada faktiskās izmaksas 4587,48 euro. VADC vidējās izmaksas uz 1m² gadā 0,71 euro (4587,48 euro : 6424,71 m²). Apspriežu zāle 32,6 m². Apspriežu zāles gada izmaksas 23,15 euro (0,71 euro * 32,6 m²). Apspriežu zāles izmaksa vienai stundai 0,0117 euro (23,15 euro : 1987 stundas 2025.g.). 1 akadēmiskās stundas*45min/60min= 0,75 stundas. 0,75 stundas *0,0117 euro/stundā=0,01 euro.</t>
  </si>
  <si>
    <t>Gada faktiskās izmaksas 1910,79 euro. VADC vidējās izmaksas uz 1m² gadā 0,30 euro (1910,79 euro : 6424,71 m²). Apspriežu zāle 32,6 m². Apspriežu zāles gada izmaksas 9,78 euro (0,30 euro * 32,6 m²). Apspriežu zāles izmaksa vienai stundai 0,0049 euro (9,78 euro : 1987 stundas 2025.g.). 1 akadēmiskās stundas*45min/60min= 0,75 stundas. 0,75 stundas *0,0049 euro/stundā=0,00 euro.</t>
  </si>
  <si>
    <t>Gada faktiskās izmaksas 5573,12 euro. VADC vidējās izmaksas uz 1m² gadā 0,87 euro (5573,12 euro : 6424,71 m²). Apspriežu zāle 32,6 m². Apspriežu zāles gada izmaksas 28,36 euro (0,87 euro * 32,6 m²). Apspriežu zāles izmaksa vienai stundai 0,0143 euro (28,36 euro : 1987 stundas 2025.g.). 1 akadēmiskās stundas*45min/60min= 0,75 stundas. 0,75 stundas *0,0143 euro/stundā=0,01 euro.</t>
  </si>
  <si>
    <t>Gada faktiskās izmaksas 31760,58 euro. VADC vidējās izmaksas uz 1m² gadā 4,94 euro (31760,58 euro : 6424,71 m²). Apspriežu zāle 32,6 m². Apspriežu zāles gada izmaksas 161,04 euro (4,94 euro * 32,6 m²). Apspriežu zāles izmaksa vienai stundai 0,0810 euro (161,04 euro : 1987 stundas 2025.g.). 1 akadēmiskās stundas*45min/60min= 0,75 stundas. 0,75 stundas *0,0810 euro/stundā=0,06 euro.</t>
  </si>
  <si>
    <t>Gada faktiskās izmaksas 56125,63 euro. VADC vidējās izmaksas uz 1m² gadā 8,74 euro (56125,63 euro : 6424,71 m²). Apspriežu zāle 32,6 m². Apspriežu zāles gada izmaksas 284,92 euro (8,74 euro * 32,6 m²). Apspriežu zāles izmaksa vienai stundai 0,1434 euro (284,92 euro : 1987 stundas 2025.g.). 1 akadēmiskās stundas*45min/60min= 0,75 stundas. 0,75 stundas *0,1434 euro/stundā=0,11 euro.</t>
  </si>
  <si>
    <t>Pakalpojumu izmaksas kopā (ar PVN) viena akadēmiskā stunda kursantu grupai</t>
  </si>
  <si>
    <t>30 dalībnieki</t>
  </si>
  <si>
    <t>Datorsistēmu un datortīklu adminstratora mēnešalga 1525 euro. Darba dienu skaits vidēji mēnesī ir 21, stundu skaits darba dienā -8. Aprīkojuma sagatavošana vebinārijam - 0,5 stundas. Aprēķins: 1525 euro: 21 darba dienu skaits: 8 stundas =9,08 euro/stundā*0,5 stundas=4,54 euro.  Vebinārs notiek 2 dienas, aprīkojumu sagatavo divas reizes. 4,54 euro*2 reizes =9,08 euro.</t>
  </si>
  <si>
    <t>Darba devēja valsts sociālās apdrošināšanas obligātās iemaksas, sociāla rakstura pabalsti un kompensācijas 9,08 * 23,59%</t>
  </si>
  <si>
    <t xml:space="preserve">Gada faktiskās izmaksas 31212,32 euro. VADC vidējās izmaksas uz 1m² gadā 4,86 euro (31212,32 euro : 6424,71 m²). Apspriežu zāle 32,6 m². Apspriežu zāles gada izmaksas 158,44 euro ( 4,86 euro*32,6m²). Apspriežu zāles izmaksa vienai stundai 0,0797 euro (158,44 euro : 1987 stundas 2025.g.).  12 akadēmiskās stundas*45min/60min= 9,0 stundas. 9,0 stundas *0,0797 euro/stundā=0,72 euro. </t>
  </si>
  <si>
    <t xml:space="preserve">Gada faktiskās izmaksas 76326,72 euro. VADC vidējās izmaksas uz 1m² gadā 11,88 euro (76326,72 euro : 6424,71 m²). Apspriežu zāle 32,6 m². Apspriežu zāles gada izmaksas 387,29 euro (11,88 euro * 32,6 m²). Apspriežu zāles izmaksa vienai stundai 0,1949 euro (387,29 euro : 1987 stundas 2025.g.). 12 akadēmiskās stundas * 45min/60min = 9,0 stundas. 9,0 stundas * 0,1949 euro/stundā = 1,75 euro. </t>
  </si>
  <si>
    <t xml:space="preserve">Gada faktiskās izmaksas 139699,96 euro. VADC vidējās izmaksas uz 1m² gadā 21,74 euro (139699,96 euro : 6424,71 m²). Apspriežu zāle 32,6 m². Apspriežu zāles gada izmaksas 708,72 euro (21,74 euro * 32,6 m²). Apspriežu zāles izmaksa vienai stundai 0,3567 euro (708,72 euro : 1987 stundas 2025.g.). 12 akadēmiskās stundas * 45min/60min = 9,0 stundas. 9,0 stundas * 0,3567 euro/stundā = 3,21 euro. </t>
  </si>
  <si>
    <t xml:space="preserve">Gada faktiskās izmaksas 38286,54 euro. VADC vidējās izmaksas uz 1m² gadā 5,96 euro (38286,54 euro : 6424,71 m²). Apspriežu zāle 32,6 m². Apspriežu zāles gada izmaksas 194,30 euro (5,96 euro * 32,6 m²). Apspriežu zāles izmaksa vienai stundai 0,0978 euro (194,30 euro : 1987 stundas 2025.g.). 12 akadēmiskās stundas * 45min/60min = 9,0 stundas. 9,0 stundas * 0,0978 euro/stundā = 0,88 euro. </t>
  </si>
  <si>
    <t xml:space="preserve">Gada faktiskās izmaksas 10204,36 euro. VADC vidējās izmaksas uz 1m² gadā 1,59 euro (10204,36 euro : 6424,71 m²). Apspriežu zāle 32,6 m². Apspriežu zāles gada izmaksas 51,83 euro (1,59 euro * 32,6 m²). Apspriežu zāles izmaksa vienai stundai 0,0261 euro (51,83 euro : 1987 stundas 2025.g.). 12 akadēmiskās stundas * 45min/60min = 9,0 stundas. 9,0 stundas * 0,0261 euro/stundā = 0,23 euro. </t>
  </si>
  <si>
    <t xml:space="preserve">Gada faktiskās izmaksas 9718,82 euro. VADC vidējās izmaksas uz 1m² gadā 1,51 euro (9718,82 euro : 6424,71 m²). Apspriežu zāle 32,6 m². Apspriežu zāles gada izmaksas 49,23 euro (1,51 euro * 32,6 m²). Apspriežu zāles izmaksa vienai stundai 0,0248 euro (49,23 euro : 1987 stundas 2025.g.). 12 akadēmiskās stundas * 45min/60min = 9,0 stundas. 9,0 stundas * 0,0248 euro/stundā = 0,22 euro. </t>
  </si>
  <si>
    <t xml:space="preserve">Gada faktiskās izmaksas 72390,49 euro. VADC vidējās izmaksas uz 1m² gadā 11,27 euro (72390,49 euro : 6424,71 m²). Apspriežu zāle 32,6 m². Apspriežu zāles gada izmaksas 367,40 euro (11,27 euro * 32,6 m²). Apspriežu zāles izmaksa vienai stundai 0,1849 euro (367,40 euro : 1987 stundas 2025.g.). 12 akadēmiskās stundas * 45min/60min = 9,0 stundas. 9,0 stundas * 0,1849 euro/stundā = 1,66 euro. </t>
  </si>
  <si>
    <t xml:space="preserve">Gada faktiskās izmaksas 90535,06 euro. VADC vidējās izmaksas uz 1m² gadā 14,09 euro (90535,06 euro : 6424,71 m²). Apspriežu zāle 32,6 m². Apspriežu zāles gada izmaksas 459,33 euro (14,09 euro * 32,6 m²). Apspriežu zāles izmaksa vienai stundai 0,2312 euro (459,33 euro : 1987 stundas 2025.g.). 12 akadēmiskās stundas * 45min/60min = 9,0 stundas. 9,0 stundas * 0,2312 euro/stundā = 2,08 euro. </t>
  </si>
  <si>
    <t xml:space="preserve">Gada faktiskās izmaksas 74425,04 euro. VADC vidējās izmaksas uz 1m² gadā 11,58 euro (74425,04 euro : 6424,71 m²). Apspriežu zāle 32,6 m². Apspriežu zāles gada izmaksas 377,51 euro (11,58 euro * 32,6 m²). Apspriežu zāles izmaksa vienai stundai 0,1900 euro (377,51 euro : 1987 stundas 2025.g.). 12 akadēmiskās stundas * 45min/60min = 9,0 stundas. 9,0 stundas * 0,1900 euro/stundā = 1,71 euro. </t>
  </si>
  <si>
    <r>
      <t>Gada faktiskās izmaksas 101941,15 euro. VADC vidējās izmaksas uz 1m² gadā 15,87 euro (101941,15 euro : 6424,71 m²). Apspriežu zāle 32,6 m². Apspriežu zāles gada izmaksas 517,36 euro (15,87 euro * 32,6 m²). Apspriežu zāles izmaksa vienai stundai 0,2604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euro (517,36 euro : 1987 stundas 2025.g.). 12 akadēmiskās stundas * 45min / 60min = 9,0 stundas. 9,0 stundas * 0,2604 euro/stundā = 2,34 euro. </t>
    </r>
  </si>
  <si>
    <t xml:space="preserve">Gada faktiskās izmaksas 3912,01 euro. VADC vidējās izmaksas uz 1m² gadā 0,61 euro (3912,01 euro : 6424,71 m²). Apspriežu zāle 32,6 m². Apspriežu zāles gada izmaksas 19,89 euro (1,59 euro * 32,6 m²). Apspriežu zāles izmaksa vienai stundai 0,0100 euro (19,89 euro : 1987 stundas 2025.g.). 12 akadēmiskās stundas * 45min/60min = 9,0 stundas. 9,0 stundas * 0,0100 euro/stundā = 0,09 euro. </t>
  </si>
  <si>
    <t xml:space="preserve">Gada faktiskās izmaksas 3319,39 euro. VADC vidējās izmaksas uz 1m² gadā 0,52 euro (3319,39 euro : 6424,71 m²). Apspriežu zāle 32,6 m². Apspriežu zāles gada izmaksas 16,95 euro (0,52 euro * 32,6 m²). Apspriežu zāles izmaksa vienai stundai 0,0085 euro (16,95 euro : 1987 stundas 2025.g.). 12 akadēmiskās stundas * 45min/60min = 9,0 stundas. 9,0 stundas * 0,0085 euro/stundā = 0,08 euro. </t>
  </si>
  <si>
    <t xml:space="preserve">Gada faktiskās izmaksas 350790,73 euro. VADC vidējās izmaksas uz 1m² gadā 54,60 euro (350790,73 euro : 6424,71 m²). Apspriežu zāle 32,6 m². Apspriežu zāles gada izmaksas 1779,96 euro (54,60 euro * 32,6 m²). Apspriežu zāles izmaksa vienai stundai 0,8958 euro (1779,96 euro : 1987 stundas 2025.g.). 12 akadēmiskās stundas * 45min / 60min = 9,0 stundas. 9,0 stundas * 0,8958 euro/stundā = 8,06 euro. </t>
  </si>
  <si>
    <t xml:space="preserve">Gada faktiskās izmaksas 437000,78 euro. VADC vidējās izmaksas uz 1m² gadā 68,02 euro (437000,78 euro : 6424,71 m²). Apspriežu zāle 32,6 m². Apspriežu zāles gada izmaksas 2217,45 euro (68,02 euro * 32,6 m²). Apspriežu zāles izmaksa vienai stundai 1,1160 euro (2217,45 euro : 1987 stundas 2025.g.). 12 akadēmiskās stundas * 45min / 60min = 9,0 stundas. 9,0 stundas * 1,1160 euro/stundā = 10,04 euro. </t>
  </si>
  <si>
    <t>Gada faktiskās izmaksas 1502,88 euro. VADC vidējās izmaksas uz 1m² gadā 0,23 euro (1502,88 euro : 6424,71 m²). Apspriežu zāle 32,6 m². Apspriežu zāles gada izmaksas 7,50 euro (0,23 euro * 32,6 m²). Apspriežu zāles izmaksa vienai stundai 0,0038 euro (7,50 euro : 1987 stundas 2025.g.). 12 akadēmiskās stundas*45min/60min= 9,0 stundas. 9,0 stundas *0,0038 euro/stundā=0,03 euro.</t>
  </si>
  <si>
    <t>Gada faktiskās izmaksas 38551,01 euro. VADC vidējās izmaksas uz 1m² gadā 6,00 euro (38551,01 euro : 6424,71 m²). Apspriežu zāle 32,6 m². Apspriežu zāles gada izmaksas 195,60 euro (6,00 euro * 32,6 m²). Apspriežu zāles izmaksa vienai stundai 0,0984 euro (195,60 euro : 1987 stundas 2025.g.). 12 akadēmiskās stundas*45min/60min= 9,0 stundas. 9,0 stundas *0,0984 euro/stundā=0,89 euro.</t>
  </si>
  <si>
    <t xml:space="preserve">Gada faktiskās izmaksas 16185,75 euro. VADC vidējās izmaksas uz 1m² gadā 2,52 euro (16185,75 euro : 6424,71 m²). Apspriežu zāle 32,6 m². Apspriežu zāles gada izmaksas 82,15 euro (2,52 euro * 32,6 m²). Apspriežu zāles izmaksa vienai stundai 0,0413 euro (82,15 euro : 1987 stundas 2025.g.). 12 akadēmiskās stundas * 45min / 60min = 9,0 stundas. 9,0 stundas * 0,0413 euro/stundā = 0,37 euro. </t>
  </si>
  <si>
    <t xml:space="preserve">Gada faktiskās izmaksas 34657,56 euro. VADC vidējās izmaksas uz 1m² gadā 5,39 euro (34657,56 euro : 6424,71 m²). Apspriežu zāle 32,6 m². Apspriežu zāles gada izmaksas 175,71 euro (5,39 euro * 32,6 m²). Apspriežu zāles izmaksa vienai stundai 0,0884 euro (175,71 euro : 1987 stundas 2025.g.). 12 akadēmiskās stundas * 45min/60min = 9,0 stundas. 9,0 stundas * 0,0884 euro/stundā = 0,80 euro. </t>
  </si>
  <si>
    <t xml:space="preserve">Gada faktiskās izmaksas 49799,56 euro. VADC vidējās izmaksas uz 1m² gadā 7,75 euro (49799,56 euro : 6424,71 m²). Apspriežu zāle 32,6 m². Apspriežu zāles gada izmaksas 252,65 euro (7,75 euro * 32,6 m²). Apspriežu zāles izmaksa vienai stundai 0,1272 euro (252,65 euro : 1987 stundas 2025.g.). 12 akadēmiskās stundas * 45min / 60min = 9,0 stundas. 9,0 stundas * 0,1272 euro/stundā = 1,14 euro. </t>
  </si>
  <si>
    <t xml:space="preserve">Gada faktiskās izmaksas 3095,60 euro. VADC vidējās izmaksas uz 1m² gadā 0,48 euro (3095,60 euro : 6424,71 m²). Apspriežu zāle 32,6 m². Apspriežu zāles gada izmaksas 15,65 euro (0,48 euro * 32,6 m²). Apspriežu zāles izmaksa vienai stundai 0,0079 euro (15,65 euro : 1987 stundas 2025.g.). 12 akadēmiskās stundas * 45min/60min = 9,0 stundas. 9,0 stundas * 0,0079 euro/stundā = 0,07 euro. </t>
  </si>
  <si>
    <t xml:space="preserve">Gada faktiskās izmaksas 4587,48 euro. VADC vidējās izmaksas uz 1m² gadā 0,71 euro (4587,48 euro : 6424,71 m²). Apspriežu zāle 32,6 m². Apspriežu zāles gada izmaksas 23,15 euro (0,71 euro * 32,6 m²). Apspriežu zāles izmaksa vienai stundai 0,0117 euro (23,15 euro : 1987 stundas 2025.g.). 12 akadēmiskās stundas * 45min/60min = 9,0 stundas. 9,0 stundas * 0,0117 euro/stundā = 0,11 euro. </t>
  </si>
  <si>
    <t xml:space="preserve">Gada faktiskās izmaksas 1910,79 euro. VADC vidējās izmaksas uz 1m² gadā 0,30 euro (1910,79 euro : 6424,71 m²). Apspriežu zāle 32,6 m². Apspriežu zāles gada izmaksas 9,78 euro (0,30 euro * 32,6 m²). Apspriežu zāles izmaksa vienai stundai 0,0049 euro (9,78 euro : 1987 stundas 2025.g.). 12 akadēmiskās stundas * 45min/60min = 9,0 stundas. 9,0 stundas * 0,0049 euro/stundā = 0,04 euro. </t>
  </si>
  <si>
    <t xml:space="preserve">Gada faktiskās izmaksas 5573,12 euro. VADC vidējās izmaksas uz 1m² gadā 0,87 euro (5573,12 euro : 6424,71 m²). Apspriežu zāle 32,6 m². Apspriežu zāles gada izmaksas 28,36 euro (0,87 euro * 32,6 m²). Apspriežu zāles izmaksa vienai stundai 0,0143 euro (28,36 euro : 1987 stundas 2025.g.). 12 akadēmiskās stundas * 45min / 60min = 9,0 stundas. 9,0 stundas * 0,0143 euro/stundā = 0,13 euro. </t>
  </si>
  <si>
    <t xml:space="preserve">Gada faktiskās izmaksas 31760,58 euro. VADC vidējās izmaksas uz 1m² gadā 4,94 euro (31760,58 euro : 6424,71 m²). Apspriežu zāle 32,6 m². Apspriežu zāles gada izmaksas 161,04 euro (4,94 euro * 32,6 m²). Apspriežu zāles izmaksa vienai stundai 0,0810 euro (161,04 euro : 1987 stundas 2025.g.). 12 akadēmiskās stundas * 45min / 60min = 9,0 stundas. 9,0 stundas * 0,0810 euro/stundā = 0,73 euro. </t>
  </si>
  <si>
    <t xml:space="preserve">Gada faktiskās izmaksas 56125,63 euro. VADC vidējās izmaksas uz 1m² gadā 8,74 euro (56125,63 euro : 6424,71 m²). Apspriežu zāle 32,6 m². Apspriežu zāles gada izmaksas 284,92 euro (8,74 euro * 32,6 m²). Apspriežu zāles izmaksa vienai stundai 0,1434 euro (284,92 euro : 1987 stundas 2025.g.). 12 akadēmiskās stundas * 45min/60min = 9,0 stundas. 9,0 stundas * 0,1434 euro/stundā = 1,29 euro. </t>
  </si>
  <si>
    <t>1 dalībnieks</t>
  </si>
  <si>
    <t>Darba devēja valsts sociālās apdrošināšanas obligātās iemaksas, sociāla rakstura pabalsti un kompensācijas 13,96 * 23,59%</t>
  </si>
  <si>
    <t>Datorsistēmu un datortīklu adminstratora mēnešalga 1525 euro. Darba dienu skaits vidēji mēnesī ir 21, stundu skaits darba dienā -8. Aprīkojuma sagatavošana vebinārijam - 0,5 stundas. Aprēķins: 1525 euro: 21 darba dienu skaits: 8 stundas = 9,08 euro/stundā*0,5 stundas=4,54 euro.  Vebinārs notiek 2 dienas, aprīkojumu sagatavo divas reizes. 4,54 euro*2 reizes/ 10 dalībnieki =0,91 euro.</t>
  </si>
  <si>
    <t>Darba devēja valsts sociālās apdrošināšanas obligātās iemaksas, sociāla rakstura pabalsti un kompensācijas 0,91 * 23,59%</t>
  </si>
  <si>
    <t>Gada faktiskās izmaksas 31212,32 euro. VADC vidējās izmaksas uz 1m² gadā 4,86 euro (31212,32 euro : 6424,71 m²). Apspriežu zāle 32,6 m². Apspriežu zāles gada izmaksas 158,44 euro ( 4,86 euro*32,6m²). Apspriežu zāles izmaksa vienai stundai 0,0797 euro (158,44 euro : 1987 stundas 2025.g.).  12 akadēmiskās stundas*45min/60min= 9,0 stundas. 9,0 stundas *0,0797 euro/stundā=0,72 euro. Plānotais dalībnieku skaits vienā kursā 10. Vienam dalībniekam 0,72 euro:10=0,07 euro.</t>
  </si>
  <si>
    <t>Gada faktiskās izmaksas 76326,72 euro. VADC vidējās izmaksas uz 1m² gadā 11,88 euro (76326,72 euro : 6424,71 m²). Apspriežu zāle 32,6 m². Apspriežu zāles gada izmaksas 387,29 euro (11,88 euro * 32,6 m²). Apspriežu zāles izmaksa vienai stundai 0,1949 euro (387,29 euro : 1987 stundas 2025.g.). 12 akadēmiskās stundas * 45min/60min = 9,0 stundas. 9,0 stundas * 0,1949 euro/stundā = 1,75 euro. Plānotais dalībnieku skaits vienā kursā 10. Vienam dalībniekam 1,75 euro : 10 = 0,18 euro.</t>
  </si>
  <si>
    <t>Gada faktiskās izmaksas 139699,96 euro. VADC vidējās izmaksas uz 1m² gadā 21,74 euro (139699,96 euro : 6424,71 m²). Apspriežu zāle 32,6 m². Apspriežu zāles gada izmaksas 708,72 euro (21,74 euro * 32,6 m²). Apspriežu zāles izmaksa vienai stundai 0,3567 euro (708,72 euro : 1987 stundas 2025.g.). 12 akadēmiskās stundas * 45min/60min = 9,0 stundas. 9,0 stundas * 0,3567 euro/stundā = 3,21 euro. Plānotais dalībnieku skaits vienā kursā 10. Vienam dalībniekam 3,21 euro : 10 = 0,32 euro.</t>
  </si>
  <si>
    <t>Gada faktiskās izmaksas 38286,54 euro. VADC vidējās izmaksas uz 1m² gadā 5,96 euro (38286,54 euro : 6424,71 m²). Apspriežu zāle 32,6 m². Apspriežu zāles gada izmaksas 194,30 euro (5,96 euro * 32,6 m²). Apspriežu zāles izmaksa vienai stundai 0,0978 euro (194,30 euro : 1987 stundas 2025.g.). 12 akadēmiskās stundas * 45min/60min = 9,0 stundas. 9,0 stundas * 0,0978 euro/stundā = 0,88 euro. Plānotais dalībnieku skaits vienā kursā 10. Vienam dalībniekam 0,88 euro : 10 = 0,09 euro.</t>
  </si>
  <si>
    <t>Gada faktiskās izmaksas 10204,36 euro. VADC vidējās izmaksas uz 1m² gadā 1,59 euro (10204,36 euro : 6424,71 m²). Apspriežu zāle 32,6 m². Apspriežu zāles gada izmaksas 51,83 euro (1,59 euro * 32,6 m²). Apspriežu zāles izmaksa vienai stundai 0,0261 euro (51,83 euro : 1987 stundas 2025.g.). 12 akadēmiskās stundas * 45min/60min = 9,0 stundas. 9,0 stundas * 0,0261 euro/stundā = 0,23 euro. Plānotais dalībnieku skaits vienā kursā 10. Vienam dalībniekam 0,23 euro : 10 = 0,02 euro.</t>
  </si>
  <si>
    <t>Gada faktiskās izmaksas 9718,82 euro. VADC vidējās izmaksas uz 1m² gadā 1,51 euro (9718,82 euro : 6424,71 m²). Apspriežu zāle 32,6 m². Apspriežu zāles gada izmaksas 49,23 euro (1,51 euro * 32,6 m²). Apspriežu zāles izmaksa vienai stundai 0,0248 euro (49,23 euro : 1987 stundas 2025.g.). 12 akadēmiskās stundas * 45min/60min = 9,0 stundas. 9,0 stundas * 0,0248 euro/stundā = 0,22 euro. Plānotais dalībnieku skaits vienā kursā 10. Vienam dalībniekam 0,22 euro : 10 = 0,02 euro.</t>
  </si>
  <si>
    <t>Gada faktiskās izmaksas 72390,49 euro. VADC vidējās izmaksas uz 1m² gadā 11,27 euro (72390,49 euro : 6424,71 m²). Apspriežu zāle 32,6 m². Apspriežu zāles gada izmaksas 367,40 euro (11,27 euro * 32,6 m²). Apspriežu zāles izmaksa vienai stundai 0,1849 euro (367,40 euro : 1987 stundas 2025.g.). 12 akadēmiskās stundas * 45min/60min = 9,0 stundas. 9,0 stundas * 0,1849 euro/stundā = 1,66 euro. Plānotais dalībnieku skaits vienā kursā 10. Vienam dalībniekam 1,66 euro : 10 = 0,17 euro.</t>
  </si>
  <si>
    <t>Gada faktiskās izmaksas 90535,06 euro. VADC vidējās izmaksas uz 1m² gadā 14,09 euro (90535,06 euro : 6424,71 m²). Apspriežu zāle 32,6 m². Apspriežu zāles gada izmaksas 459,33 euro (14,09 euro * 32,6 m²). Apspriežu zāles izmaksa vienai stundai 0,2312 euro (459,33 euro : 1987 stundas 2025.g.). 12 akadēmiskās stundas * 45min/60min = 9,0 stundas. 9,0 stundas * 0,2312 euro/stundā = 2,08 euro. Plānotais dalībnieku skaits vienā kursā 10. Vienam dalībniekam 2,08 euro : 10 = 0,21 euro.</t>
  </si>
  <si>
    <t>Gada faktiskās izmaksas 74425,04 euro. VADC vidējās izmaksas uz 1m² gadā 11,58 euro (74425,04 euro : 6424,71 m²). Apspriežu zāle 32,6 m². Apspriežu zāles gada izmaksas 377,51 euro (11,58 euro * 32,6 m²). Apspriežu zāles izmaksa vienai stundai 0,1900 euro (377,51 euro : 1987 stundas 2025.g.). 12 akadēmiskās stundas * 45min/60min = 9,0 stundas. 9,0 stundas * 0,1900 euro/stundā = 1,71 euro. Plānotais dalībnieku skaits vienā kursā 10. Vienam dalībniekam 1,71 euro : 10 = 0,17 euro.</t>
  </si>
  <si>
    <t>Gada faktiskās izmaksas 101941,15 euro. VADC vidējās izmaksas uz 1m² gadā 15,87 euro (101941,15 euro : 6424,71 m²). Apspriežu zāle 32,6 m². Apspriežu zāles gada izmaksas 517,36 euro (15,87 euro * 32,6 m²). Apspriežu zāles izmaksa vienai stundai 0,2604 euro (517,36 euro : 1987 stundas 2025.g.). 12 akadēmiskās stundas * 45min / 60min = 9,0 stundas. 9,0 stundas * 0,2604 euro/stundā = 2,34 euro. Plānotais dalībnieku skaits vienā kursā 10. Vienam dalībniekam 2,34 euro : 10 = 0,23 euro.</t>
  </si>
  <si>
    <t>Gada faktiskās izmaksas 3912,01 euro. VADC vidējās izmaksas uz 1m² gadā 0,61 euro (3912,01 euro : 6424,71 m²). Apspriežu zāle 32,6 m². Apspriežu zāles gada izmaksas 19,89 euro (1,59 euro * 32,6 m²). Apspriežu zāles izmaksa vienai stundai 0,0100 euro (19,89 euro : 1987 stundas 2025.g.). 12 akadēmiskās stundas*45min/60min= 9,0 stundas. 9,0 stundas *0,0100 euro/stundā=0,09 euro. Vienam dalībniekam 0,09 euro : 10=0,01 euro</t>
  </si>
  <si>
    <t>Gada faktiskās izmaksas 3319,39 euro. VADC vidējās izmaksas uz 1m² gadā 0,52 euro (3319,39 euro : 6424,71 m²). Apspriežu zāle 32,6 m². Apspriežu zāles gada izmaksas 16,95 euro (0,52 euro * 32,6 m²). Apspriežu zāles izmaksa vienai stundai 0,0085 euro (16,95 euro : 1987 stundas 2025.g.). 12 akadēmiskās stundas*45min/60min= 9,0 stundas. 9,0 stundas *0,0085 euro/stundā=0,08 euro. Vienam dalībniekam 0,08 euro : 10 = 0,01 euro</t>
  </si>
  <si>
    <t>Gada faktiskās izmaksas 350790,73 euro. VADC vidējās izmaksas uz 1m² gadā 54,60 euro (350790,73 euro : 6424,71 m²). Apspriežu zāle 32,6 m². Apspriežu zāles gada izmaksas 1779,96 euro (54,60 euro * 32,6 m²). Apspriežu zāles izmaksa vienai stundai 0,8958 euro (1779,96 euro : 1987 stundas 2025.g.). 12 akadēmiskās stundas * 45min / 60min = 9,0 stundas. 9,0 stundas * 0,8958 euro/stundā = 8,06 euro. Plānotais dalībnieku skaits vienā kursā 10. Vienam dalībniekam 8,06 euro : 10 = 0,81 euro.</t>
  </si>
  <si>
    <t>Gada faktiskās izmaksas 437000,78 euro. VADC vidējās izmaksas uz 1m² gadā 68,02 euro (437000,78 euro : 6424,71 m²). Apspriežu zāle 32,6 m². Apspriežu zāles gada izmaksas 2217,45 euro (68,02 euro * 32,6 m²). Apspriežu zāles izmaksa vienai stundai 1,1160 euro (2217,45 euro : 1987 stundas 2025.g.). 12 akadēmiskās stundas * 45min / 60min = 9,0 stundas. 9,0 stundas * 1,1160 euro/stundā = 10,04 euro. Plānotais dalībnieku skaits vienā kursā 10. Vienam dalībniekam 10,04 euro : 10 = 1,00 euro.</t>
  </si>
  <si>
    <t>Gada faktiskās izmaksas 1502,88 euro. VADC vidējās izmaksas uz 1m² gadā 0,23 euro (1502,88 euro : 6424,71 m²). Apspriežu zāle 32,6 m². Apspriežu zāles gada izmaksas 7,50 euro (0,23 euro * 32,6 m²). Apspriežu zāles izmaksa vienai stundai 0,0038 euro (7,50 euro : 1987 stundas 2025.g.). 12 akadēmiskās stundas*45min/60min= 9,0 stundas. 9,0 stundas *0,0038 euro/stundā=0,03 euro. Vienam dalībniekam 0,03 : 10 = 0 euro</t>
  </si>
  <si>
    <t>Gada faktiskās izmaksas 38551,01 euro. VADC vidējās izmaksas uz 1m² gadā 6,00 euro (38551,01 euro : 6424,71 m²). Apspriežu zāle 32,6 m². Apspriežu zāles gada izmaksas 195,60 euro (6,00 euro * 32,6 m²). Apspriežu zāles izmaksa vienai stundai 0,0984 euro (195,60 euro : 1987 stundas 2025.g.). 12 akadēmiskās stundas*45min/60min= 9,0 stundas. 9,0 stundas *0,0984 euro/stundā=0,89 euro. Vienam dalībniekam 0,89 euro :10 =0,09 euro</t>
  </si>
  <si>
    <t>Gada faktiskās izmaksas 16185,75 euro. VADC vidējās izmaksas uz 1m² gadā 2,52 euro (16185,75 euro : 6424,71 m²). Apspriežu zāle 32,6 m². Apspriežu zāles gada izmaksas 82,15 euro (2,52 euro * 32,6 m²). Apspriežu zāles izmaksa vienai stundai 0,0413 euro (82,15 euro : 1987 stundas 2025.g.). 12 akadēmiskās stundas * 45min / 60min = 9,0 stundas. 9,0 stundas * 0,0413 euro/stundā = 0,37 euro. Plānotais dalībnieku skaits vienā kursā 10. Vienam dalībniekam 0,37 euro : 10 = 0,04 euro.</t>
  </si>
  <si>
    <t>Gada faktiskās izmaksas 34657,56 euro. VADC vidējās izmaksas uz 1m² gadā 5,39 euro (34657,56 euro : 6424,71 m²). Apspriežu zāle 32,6 m². Apspriežu zāles gada izmaksas 175,71 euro (5,39 euro * 32,6 m²). Apspriežu zāles izmaksa vienai stundai 0,0884 euro (175,71 euro : 1987 stundas 2025.g.). 12 akadēmiskās stundas * 45min/60min = 9,0 stundas. 9,0 stundas * 0,0884 euro/stundā = 0,80 euro. Plānotais dalībnieku skaits vienā kursā 10. Vienam dalībniekam 0,80 euro : 10 = 0,08 euro.</t>
  </si>
  <si>
    <t>Gada faktiskās izmaksas 49799,56 euro. VADC vidējās izmaksas uz 1m² gadā 7,75 euro (49799,56 euro : 6424,71 m²). Apspriežu zāle 32,6 m². Apspriežu zāles gada izmaksas 252,65 euro (7,75 euro * 32,6 m²). Apspriežu zāles izmaksa vienai stundai 0,1272 euro (252,65 euro : 1987 stundas 2025.g.). 12 akadēmiskās stundas * 45min / 60min = 9,0 stundas. 9,0 stundas * 0,1272 euro/stundā = 1,14 euro. Plānotais dalībnieku skaits vienā kursā 10. Vienam dalībniekam 1,14 euro : 10 = 0,11 euro.</t>
  </si>
  <si>
    <t>Gada faktiskās izmaksas 3095,60 euro. VADC vidējās izmaksas uz 1m² gadā 0,48 euro (3095,60 euro : 6424,71 m²). Apspriežu zāle 32,6 m². Apspriežu zāles gada izmaksas 15,65 euro (0,48 euro * 32,6 m²). Apspriežu zāles izmaksa vienai stundai 0,0079 euro (15,65 euro : 1987 stundas 2025.g.). 12 akadēmiskās stundas * 45min/60min = 9,0 stundas. 9,0 stundas * 0,0079 euro/stundā = 0,07 euro. Plānotais dalībnieku skaits vienā kursā 10. Vienam dalībniekam 0,07 euro : 10 = 0,007 euro.</t>
  </si>
  <si>
    <t>Gada faktiskās izmaksas 4587,48 euro. VADC vidējās izmaksas uz 1m² gadā 0,71 euro (4587,48 euro : 6424,71 m²). Apspriežu zāle 32,6 m². Apspriežu zāles gada izmaksas 23,15 euro (0,71 euro * 32,6 m²). Apspriežu zāles izmaksa vienai stundai 0,0117 euro (23,15 euro : 1987 stundas 2025.g.). 12 akadēmiskās stundas * 45min/60min = 9,0 stundas. 9,0 stundas * 0,0117 euro/stundā = 0,11 euro. Plānotais dalībnieku skaits vienā kursā 10. Vienam dalībniekam 0,11 euro : 10 = 0,01 euro.</t>
  </si>
  <si>
    <t>Gada faktiskās izmaksas 1910,79 euro. VADC vidējās izmaksas uz 1m² gadā 0,30 euro (1910,79 euro : 6424,71 m²). Apspriežu zāle 32,6 m². Apspriežu zāles gada izmaksas 9,78 euro (0,30 euro * 32,6 m²). Apspriežu zāles izmaksa vienai stundai 0,0049 euro (9,78 euro : 1987 stundas 2025.g.). 12 akadēmiskās stundas * 45min/60min = 9,0 stundas. 9,0 stundas * 0,0049 euro/stundā = 0,04 euro. Plānotais dalībnieku skaits vienā kursā 10. Vienam dalībniekam 0,04 euro : 10 = 0,004 euro.</t>
  </si>
  <si>
    <t>Gada faktiskās izmaksas 5573,12 euro. VADC vidējās izmaksas uz 1m² gadā 0,87 euro (5573,12 euro : 6424,71 m²). Apspriežu zāle 32,6 m². Apspriežu zāles gada izmaksas 28,36 euro (0,87 euro * 32,6 m²). Apspriežu zāles izmaksa vienai stundai 0,0143 euro (28,36 euro : 1987 stundas 2025.g.). 12 akadēmiskās stundas * 45min / 60min = 9,0 stundas. 9,0 stundas * 0,0143 euro/stundā = 0,13 euro. Plānotais dalībnieku skaits vienā kursā 10. Vienam dalībniekam 0,13 euro : 10 = 0,01 euro.</t>
  </si>
  <si>
    <t>Gada faktiskās izmaksas 31760,58 euro. VADC vidējās izmaksas uz 1m² gadā 4,94 euro (31760,58 euro : 6424,71 m²). Apspriežu zāle 32,6 m². Apspriežu zāles gada izmaksas 161,04 euro (4,94 euro * 32,6 m²). Apspriežu zāles izmaksa vienai stundai 0,0810 euro (161,04 euro : 1987 stundas 2025.g.). 12 akadēmiskās stundas * 45min / 60min = 9,0 stundas. 9,0 stundas * 0,0810 euro/stundā = 0,73 euro. Plānotais dalībnieku skaits vienā kursā 10. Vienam dalībniekam 0,73 euro : 10 = 0,07 euro.</t>
  </si>
  <si>
    <t>Gada faktiskās izmaksas 56125,63 euro. VADC vidējās izmaksas uz 1m² gadā 8,74 euro (56125,63 euro : 6424,71 m²). Apspriežu zāle 32,6 m². Apspriežu zāles gada izmaksas 284,92 euro (8,74 euro * 32,6 m²). Apspriežu zāles izmaksa vienai stundai 0,1434 euro (284,92 euro : 1987 stundas 2025.g.). 12 akadēmiskās stundas * 45min/60min = 9,0 stundas. 9,0 stundas * 0,1434 euro/stundā = 1,29 euro. Plānotais dalībnieku skaits vienā kursā 10. Vienam dalībniekam 1,29 euro : 10 = 0,13 euro.</t>
  </si>
  <si>
    <t>Darba devēja valsts sociālās apdrošināšanas obligātās iemaksas, pabalsti un kompensācijas 60,84 * 23,59%</t>
  </si>
  <si>
    <t xml:space="preserve">Gada faktiskās izmaksas 31212,32 euro. VADC vidējās izmaksas uz 1m² gadā 4,86 euro (31212,32 euro : 6424,71 m²). Konferenču zāle 101,6 m². Konferenču zāles gada izmaksas 493,78 euro ( 4,86 euro*101,6m²). Konferenču zāles izmaksa vienai stundai 0,2485 euro (493,78 euro : 1987 stundas 2025.g.).  24 akadēmiskās stundas*45min/60min= 18,0 stundas. 18,0 stundas *0,2485 euro/stundā= 4,47 euro. Plānotais dalībnieku skaits vienā kursā 10. Vienam dalībniekam 4,47 euro:10=0,45 euro. </t>
  </si>
  <si>
    <t>Gada faktiskās izmaksas 76326,72 euro. VADC vidējās izmaksas uz 1m² gadā 11,88 euro (76326,72 euro : 6424,71 m²). Konferenču zāle 101,6 m². Konferenču zāles gada izmaksas 1207,01 euro (11,88 euro*101,6m²). Konferenču zāles izmaksa vienai stundai 0,6075 euro (1207,01 euro : 1987 stundas 2025.g.).   24 akadēmiskās stundas*45min/60min= 18,0 stundas. 18,0 stundas *0,6075 euro/stundā= 10,94 euro. Plānotais dalībnieku skaits vienā kursā 10. Vienam dalībniekam 10,94 euro:10=1,09 euro.</t>
  </si>
  <si>
    <t>Gada faktiskās izmaksas 6159,43 euro. VADC vidējās izmaksas uz 1m² gadā 0,96 euro (6159,43 euro : 6424,71 m²). Konferenču zāle 101,6 m². Konferenču zāles gada izmaksas 97,54 euro (0,96 euro*101,6m²).Konferenču zāles izmaksa vienai stundai 0,0491 euro (97,54 euro : 1987 stundas 2025.g.). 24 akadēmiskās stundas*45min/60min= 18,0 stundas. 18,0 stundas *0,0491 euro/stundā= 0,88 euro. Plānotais dalībnieku skaits vienā kursā 10. Vienam dalībniekam 0,88 euro:10=0,09 euro.</t>
  </si>
  <si>
    <t>Gada faktiskās izmaksas 139699,96 euro. VADC vidējās izmaksas uz 1m² gadā 21,74 euro (139699,96 euro : 6424,71 m²). Konferenču zāle 101,6 m². Konferenču zāles gada izmaksas 2208,78 euro (21,74 euro*101,6m²). Konferenču zāles izmaksa vienai stundai 1,1116 euro (2208,78 euro : 1987 stundas 2025.g.).  24 akadēmiskās stundas*45min/60min= 18,0 stundas. 18,0 stundas *1,1116 euro/stundā= 20,01 euro. Plānotais dalībnieku skaits vienā kursā 10. Vienam dalībniekam 20,01 euro:10=2,00 euro.</t>
  </si>
  <si>
    <t>Gada faktiskās izmaksas 21733,79 euro. VADC vidējās izmaksas uz 1m² gadā 3,38 euro (21733,79 euro : 6424,71 m²).  Konferenču zāle 101,6 m². Konferenču zāles gada izmaksas 343,41 euro (3,38 euro*101,6m²). Konferenču zāles izmaksa vienai stundai 0,1728 euro (343,41 euro :1987 stundas 2025.g.)  24 akadēmiskās stundas*45min/60min= 18,0 stundas. 18,0 stundas *0,1728 euro/stundā= 3,11 euro. Plānotais dalībnieku skaits vienā kursā 10. Vienam dalībniekam 3,11 euro:10=0,31 euro.</t>
  </si>
  <si>
    <t>Gada faktiskās izmaksas 38286,54 euro. VADC vidējās izmaksas uz 1m² gadā 5,96 euro (38286,54 euro : 6424,71 m²).  Konferenču zāle 101,6 m². Konferenču zāles gada izmaksas 605,54 euro (5,96 euro*101,6m²). Konferenču zāles izmaksa vienai stundai 0,3048 euro (605,54 euro : 1987 stundas 2025.g.).  24 akadēmiskās stundas*45min/60min= 18,0 stundas. 18,0 stundas *0,3048 euro/stundā= 5,49 euro. Plānotais dalībnieku skaits vienā kursā 10. Vienam dalībniekam 5,49 euro:10=0,55 euro.</t>
  </si>
  <si>
    <t>Gada faktiskās izmaksas 10204,36 euro. VADC vidējās izmaksas uz 1m² gadā 1,59 euro (10204,36 euro : 6424,71 m²).  Konferenču zāle 101,6 m². Konferenču zāles gada izmaksas 161,54 euro (1,59 euro*101,6m²). Konferenču zāles izmaksa vienai stundai 0,0813 euro (161,54 euro : 1987 stundas 2025.g.).  24 akadēmiskās stundas*45min/60min= 18,0 stundas. 18,0 stundas *0,0813 euro/stundā= 1,46 euro. Plānotais dalībnieku skaits vienā kursā 10. Vienam dalībniekam 1,46 euro:10=0,15 euro.</t>
  </si>
  <si>
    <t>Gada faktiskās izmaksas 9718,82 euro. VADC vidējās izmaksas uz 1m² gadā 1,51 euro (9718,82 euro : 6424,71 m²).  Konferenču zāle 101,6 m². Konferenču zāles gada izmaksas 153,42 euro (1,51 euro*101,6m²). Konferenču zāles izmaksa vienai stundai 0,0772 euro (153,42 euro : 1987 stundas 2025.g.).  24 akadēmiskās stundas*45min/60min= 18,0 stundas. 18,0 stundas *0,0772 euro/stundā= 1,39 euro. Plānotais dalībnieku skaits vienā kursā 10. Vienam dalībniekam 0,70 euro:10=0,07 euro.</t>
  </si>
  <si>
    <t>Gada faktiskās izmaksas 72390,49 euro. VADC vidējās izmaksas uz 1m² gadā 11,27 euro (72390,49 euro : 6424,71 m²). Konferenču zāle 101,6 m². Konferenču zāles gada izmaksas 1145,03 euro (11,27 euro*101,6m²). Konferenču zāles izmaksa vienai stundai 0,5763 euro (1145,03 euro : 1987 stundas 2025.g.).   24 akadēmiskās stundas*45min/60min= 18,0 stundas. 18,0 stundas *0,5763 euro/stundā= 10,37 euro. Plānotais dalībnieku skaits vienā kursā 10. Vienam dalībniekam 10,37 euro:10=1,04 euro.</t>
  </si>
  <si>
    <t>Gada faktiskās izmaksas 90535,06 euro. VADC vidējās izmaksas uz 1m² gadā 14,09 euro (90535,06 euro : 6424,71 m²). Konferenču zāle 101,6 m². Konferenču zāles gada izmaksas 1431,54 euro (14,09 euro*101,6m²). Konferenču zāles izmaksa vienai stundai 0,7205 euro (1431,54 euro : 1987 stundas 2025.g.).   24 akadēmiskās stundas*45min/60min= 18,0 stundas. 18,0 stundas *0,7205 euro/stundā= 12,97 euro. Plānotais dalībnieku skaits vienā kursā 10. Vienam dalībniekam 12,97 euro:10=1,30 euro.</t>
  </si>
  <si>
    <t>Gada faktiskās izmaksas 74425,04 euro. VADC vidējās izmaksas uz 1m² gadā 11,58 euro (74425,04 euro : 6424,71 m²). Konferenču zāle 101,6 m². Konferenču zāles gada izmaksas 1176,53 euro (11,58 euro*101,6 m²).Konferenču zāles izmaksa vienai stundai 0,5921 euro (1176,53 euro : 1987 stundas 2025.g.).  24 akadēmiskās stundas*45min/60min= 18,0 stundas. 18,0 stundas *0,5921 euro/stundā= 10,66 euro. Plānotais dalībnieku skaits vienā kursā 10. Vienam dalībniekam 10,66 euro:10=1,07 euro.</t>
  </si>
  <si>
    <t>Gada faktiskās izmaksas 101941,15 euro. VADC vidējās izmaksas uz 1m² gadā 15,87 euro ( euro : 6424,71 m²).  Konferenču zāle 101,6 m². Konferenču zāles gada izmaksas 1612,39 euro (15,87 euro*101,6 m²). Konferenču zāles izmaksa vienai stundai 0,8115 euro (1612,39 euro : 1987 stundas 2025.g.). 24 akadēmiskās stundas*45min/60min= 18,0 stundas. 18,0 stundas *0,8115 euro/stundā= 14,61 euro. Plānotais dalībnieku skaits vienā kursā 10. Vienam dalībniekam 14,61 euro:10=1,46 euro.</t>
  </si>
  <si>
    <t>Gada faktiskās izmaksas 3912,01 euro. VADC vidējās izmaksas uz 1m² gadā 0,61 euro (3912,01 euro : 6424,71 m²).  Konferenču zāle 101,6 m². Konferenču zāles gada izmaksas 61,98 euro (0,61 euro*101,6m²). Konferenču zāles izmaksa vienai stundai 0,0312 euro (61,98 euro : 1987 stundas 2025.g.).  24 akadēmiskās stundas*45min/60min= 18,0 stundas. 18,0 stundas *0,0312 euro/stundā= 0,56 euro. Plānotais dalībnieku skaits vienā kursā 10. Vienam dalībniekam 0,56 euro:10=0,06 euro.</t>
  </si>
  <si>
    <t>Gada faktiskās izmaksas 3319,39 euro. VADC vidējās izmaksas uz 1m² gadā 0,52 euro (3319,39 euro : 6424,71 m²).  Konferenču zāle 101,6 m². Konferenču zāles gada izmaksas 52,83 euro (0,52 euro*101,6m²). Konferenču zāles izmaksa vienai stundai 0,0266 euro (52,83 euro : 1987 stundas 2025.g.).  24 akadēmiskās stundas*45min/60min= 18,0 stundas. 18,0 stundas *0,0266 euro/stundā= 0,48 euro. Plānotais dalībnieku skaits vienā kursā 10. Vienam dalībniekam 0,48 euro:10=0,05 euro.</t>
  </si>
  <si>
    <t>Gada faktiskās izmaksas 350790,73 euro. VADC vidējās izmaksas uz 1m² gadā 54,60 euro (350790,73 euro : 6424,71 m²). Konferenču zāle 101,6 m². Konferenču zāles gada izmaksas 5547,36 euro (54,60 euro*101,6m²). Konferenču zāles izmaksa vienai stundai 2,7918 euro (5547,36 euro : 1987 stundas 2025.g.).  24 akadēmiskās stundas*45min/60min= 18,0 stundas. 18,0 stundas *2,7918 euro/stundā=50,25 euro. Plānotais dalībnieku skaits vienā kursā 10. Vienam dalībniekam  50,25 euro:10=5,03 euro.</t>
  </si>
  <si>
    <t>Gada faktiskās izmaksas 437000,78 euro. VADC vidējās izmaksas uz 1m² gadā 68,02 euro (437000,78 euro : 6424,71 m²). Konferenču zāle 101,6 m². Konferenču zāles gada izmaksas 6910,83 euro (68,02 euro*101,6m²). Konferenču zāles izmaksa vienai stundai 3,4780 euro (6910,83 euro : 1987 stundas 2025.g.).   24 akadēmiskās stundas*45min/60min= 18,0 stundas. 18,0 stundas *3,4780 euro/stundā= 62,60 euro. Plānotais dalībnieku skaits vienā kursā 10. Vienam dalībniekam 62,60 euro:10= 6,26 euro.</t>
  </si>
  <si>
    <t>Gada faktiskās izmaksas 1502,88 euro. VADC vidējās izmaksas uz 1m² gadā 0,23 euro (1502,88 euro : 6424,71 m²).  Konferenču zāle 101,6 m². Konferenču zāles gada izmaksas 23,37 euro (0,23 euro*101,6m²). Konferenču zāles izmaksa vienai stundai 0,0118 euro (23,37 euro : 1987 stundas 2025.g.).  24 akadēmiskās stundas*45min/60min= 18,0 stundas. 18,0 stundas *0,0118 euro/stundā= 0,21 euro. Plānotais dalībnieku skaits vienā kursā 10. Vienam dalībniekam 0,21 euro:10=0,02 euro.</t>
  </si>
  <si>
    <t>Gada faktiskās izmaksas 38551,01 euro. VADC vidējās izmaksas uz 1m² gadā 6,00 euro (38551,01 euro : 6424,71 m²).  Konferenču zāle 101,6 m². Konferenču zāles gada izmaksas 609,60 euro (6,00 euro*101,6m²). Konferenču zāles izmaksa vienai stundai 0,3068 euro (609,60 euro : 1987 stundas 2025.g.).  24 akadēmiskās stundas*45min/60min= 18,0 stundas. 18,0 stundas *0,3068 euro/stundā= 5,52 euro. Plānotais dalībnieku skaits vienā kursā 10. Vienam dalībniekam 5,52 euro:10=0,55 euro.</t>
  </si>
  <si>
    <t>Gada faktiskās izmaksas 14043,51 euro. VADC vidējās izmaksas uz 1m² gadā 2,19 euro (14043,51 euro : 6424,71 m²).  Konferenču zāle 101,6 m². Konferenču zāles gada izmaksas 222,50 euro (2,19 euro*101,6 m²). Konferenču zāles izmaksa vienai stundai 0,1120 euro (222,50 euro : 1987 stundas 2025.g.).  24 akadēmiskās stundas*45min/60min= 18,0 stundas. 18,0 stundas *0,1120 euro/stundā= 2,02 euro. Plānotais dalībnieku skaits vienā kursā 10. Vienam dalībniekam 2,02 euro:10=0,20 euro.</t>
  </si>
  <si>
    <t xml:space="preserve">Gada faktiskās izmaksas 16185,75 euro. VADC vidējās izmaksas uz 1m² gadā 2,52 euro (16185,75 euro : 6424,71 m²).  Konferenču zāle 101,6 m². Konferenču zāles gada izmaksas 256,03 euro (2,52 euro*101,6 m²). Konferenču zāles izmaksa vienai stundai 0,1289 euro (256,03 euro : 1987 stundas 2025.g.).  24 akadēmiskās stundas*45min/60min= 18,0 stundas. 18,0 stundas *0,1289 euro/stundā= 2,32 euro. Plānotais dalībnieku skaits vienā kursā 10. Vienam dalībniekam 2,32 euro:10=0,23 euro. </t>
  </si>
  <si>
    <t xml:space="preserve">Gada faktiskās izmaksas 34657,56 euro. VADC vidējās izmaksas uz 1m² gadā 5,39 euro (34657,56 euro : 6424,71 m²).  Konferenču zāle 101,6 m². Konferenču zāles gada izmaksas 547,62 euro (5,39 euro*101,6 m²). Konferenču zāles izmaksa vienai stundai 0,2756 euro (547,62 euro : 1987 stundas 2025.g.).  24 akadēmiskās stundas*45min/60min= 18,0 stundas. 18,0 stundas *0,2756 euro/stundā= 4,96 euro. Plānotais dalībnieku skaits vienā kursā 10. Vienam dalībniekam 4,96 euro:10=0,50 euro. </t>
  </si>
  <si>
    <t>Gada faktiskās izmaksas 49799,56 euro. VADC vidējās izmaksas uz 1m² gadā 7,75 euro (49799,56 euro : 6424,71 m²). Konferenču zāle 101,6 m². Konferenču zāles gada izmaksas 787,40 euro (7,75 euro*101,6m²). Konferenču zāles izmaksa vienai stundai 0,3963 euro (787,40 euro : 1987 stundas 2025.g.)  24 akadēmiskās stundas*45min/60min= 18,0 stundas. 18,0 stundas *0,3963 euro/stundā= 7,13 euro. Plānotais dalībnieku skaits vienā kursā 10. Vienam dalībniekam 7,13 euro:10=0,71 euro.</t>
  </si>
  <si>
    <t xml:space="preserve">Gada faktiskās izmaksas 3095,60 euro. VADC vidējās izmaksas uz 1m² gadā 0,48 euro (3095,6 euro : 6424,71 m²).  Konferenču zāle 101,6 m². Konferenču zāles gada izmaksas 48,77 euro (0,48 euro*101,6 m²). Konferenču zāles izmaksa vienai stundai 0,0245 euro (48,77 euro : 1987 stundas 2025.g.).  24 akadēmiskās stundas*45min/60min= 18,0 stundas. 18,0 stundas *0,0245 euro/stundā= 0,44 euro. Plānotais dalībnieku skaits vienā kursā 10. Vienam dalībniekam 0,44 euro:10=0,04 euro. </t>
  </si>
  <si>
    <t xml:space="preserve">Gada faktiskās izmaksas 4587,48 euro. VADC vidējās izmaksas uz 1m² gadā 0,71 euro (4587,48 euro : 6424,71 m²).  Konferenču zāle 101,6 m². Konferenču zāles gada izmaksas 72,14 euro (0,71 euro*101,6 m²). Konferenču zāles izmaksa vienai stundai 0,0363 euro (72,14 euro : 1987 stundas 2025.g.).  24 akadēmiskās stundas*45min/60min= 18,0 stundas. 18,0 stundas *0,0363 euro/stundā= 0,65 euro. Plānotais dalībnieku skaits vienā kursā 10. Vienam dalībniekam 0,65 euro:10=0,07 euro. </t>
  </si>
  <si>
    <t xml:space="preserve">Gada faktiskās izmaksas 1910,79 euro. VADC vidējās izmaksas uz 1m² gadā 0,30 euro (1910,79 euro : 6424,71 m²).  Konferenču zāle 101,6 m². Konferenču zāles gada izmaksas 30,48 euro (0,30 euro*101,6 m²). Konferenču zāles izmaksa vienai stundai 0,0153 euro (30,48 euro : 1987 stundas 2025.g.).  24 akadēmiskās stundas*45min/60min= 18,0 stundas. 18,0 stundas *0,0153 euro/stundā= 0,28 euro. Plānotais dalībnieku skaits vienā kursā 10. Vienam dalībniekam 0,28 euro:10=0,03 euro. </t>
  </si>
  <si>
    <t>Gada faktiskās izmaksas 5573,12 euro. VADC vidējās izmaksas uz 1m² gadā 0,87 euro (5573,12 euro : 6424,71 m²). Konferenču zāle 101,6 m². Konferenču zāles gada izmaksas 88,39 euro (0,87 euro*101,6m²). Konferenču zāles izmaksa vienai stundai 0,0445 euro (88,39 euro : 1987 stundas 2021.g.).  24 akadēmiskās stundas*45min/60min= 18,0 stundas. 18,0 stundas *0,0445 euro/stundā= 0,80 euro. Plānotais dalībnieku skaits vienā kursā 10. Vienam dalībniekam 0,80 euro:10=0,08 euro.</t>
  </si>
  <si>
    <t>Gada faktiskās izmaksas 31760,58 euro. VADC vidējās izmaksas uz 1m² gadā 4,94 euro (31760,58 euro : 6424,71 m²). Konferenču zāle 101,6 m². Konferenču zāles gada izmaksas 501,90 euro (4,94 euro*101,6 m²).Konferenču zāles izmaksa vienai stundai 0,2526 euro (501,90 euro : 1987 stundas 2025.g.).  24 akadēmiskās stundas*45min/60min= 18,0 stundas. 18,0 stundas *0,2526 euro/stundā=4,55 euro. Plānotais dalībnieku skaits vienā kursā 10. Vienam dalībniekam 4,55 euro:10=0,46 euro.</t>
  </si>
  <si>
    <t>Gada faktiskās izmaksas 56125,63 euro. VADC vidējās izmaksas uz 1m² gadā 8,74 euro (56125,63 euro : 6424,71 m²). Konferenču zāle 101,6 m². Konferenču zāles gada izmaksas 887,98 euro (8,74 euro*101,6 m²).Konferenču zāles izmaksa vienai stundai 0,4469 euro (887,98 euro : 1987 stundas 2025.g.).  24 akadēmiskās stundas*45min/60min= 18,0 stundas. 18,0 stundas *0,4469 euro/stundā= 8,04 euro. Plānotais dalībnieku skaits vienā kursā 10. Vienam dalībniekam 8,04 euro:10=0,80 euro.</t>
  </si>
  <si>
    <t>Darba devēja valsts sociālās apdrošināšanas obligātās iemaksas, pabalsti un kompensācijas 30,42 * 23,59%</t>
  </si>
  <si>
    <t xml:space="preserve">Gada faktiskās izmaksas 31212,32 euro. VADC vidējās izmaksas uz 1m² gadā 4,86 euro (31212,32 euro : 6424,71 m²). Konferenču zāle 101,6 m². Konferenču zāles gada izmaksas 493,78 euro ( 4,86 euro*101,6m²). Konferenču zāles izmaksa vienai stundai 0,2485 euro (493,78 euro : 1987 stundas 2025.g.).  12 akadēmiskās stundas*45min/60min= 9,0 stundas. 9,0 stundas *0,2485 euro/stundā= 2,24 euro. Plānotais dalībnieku skaits vienā kursā 10. Vienam dalībniekam 2,24 euro:10=0,22 euro. </t>
  </si>
  <si>
    <t>Gada faktiskās izmaksas 76326,72 euro. VADC vidējās izmaksas uz 1m² gadā 11,88 euro (76326,72 euro : 6424,71 m²). Konferenču zāle 101,6 m². Konferenču zāles gada izmaksas 1207,01 euro (11,88 euro*101,6m²). Konferenču zāles izmaksa vienai stundai 0,6075 euro (1207,01 euro : 1987 stundas 2025.g.).   12 akadēmiskās stundas*45min/60min= 9,0 stundas. 9,0 stundas *0,6075 euro/stundā= 5,47 euro. Plānotais dalībnieku skaits vienā kursā 10. Vienam dalībniekam 5,47 euro:10=0,55 euro.</t>
  </si>
  <si>
    <t>Gada faktiskās izmaksas 6159,43 euro. VADC vidējās izmaksas uz 1m² gadā 0,96 euro (6159,43 euro : 6424,71 m²). Konferenču zāle 101,6 m². Konferenču zāles gada izmaksas 97,54 euro (0,96 euro*101,6m²).Konferenču zāles izmaksa vienai stundai 0,0491 euro (97,54 euro : 1987 stundas 2025.g.). 12 akadēmiskās stundas*45min/60min= 9,0 stundas. ,0 stundas *0,0491 euro/stundā= 0,44 euro. Plānotais dalībnieku skaits vienā kursā 10. Vienam dalībniekam 0,44 euro:10=0,04 euro.</t>
  </si>
  <si>
    <t>Gada faktiskās izmaksas 139699,96 euro. VADC vidējās izmaksas uz 1m² gadā 21,74 euro (139699,96 euro : 6424,71 m²). Konferenču zāle 101,6 m². Konferenču zāles gada izmaksas 2208,78 euro (21,74 euro*101,6m²). Konferenču zāles izmaksa vienai stundai 1,1116 euro (2208,78 euro : 1987 stundas 2025.g.).  12 akadēmiskās stundas*45min/60min= 9,0 stundas. 9,0 stundas *1,1116 euro/stundā= 10,00 euro. Plānotais dalībnieku skaits vienā kursā 10. Vienam dalībniekam 10,00 euro:10=1,00 euro.</t>
  </si>
  <si>
    <t>Gada faktiskās izmaksas 21733,79 euro. VADC vidējās izmaksas uz 1m² gadā 3,38 euro (21733,79 euro : 6424,71 m²).  Konferenču zāle 101,6 m². Konferenču zāles gada izmaksas 343,41 euro (3,38 euro*101,6m²). Konferenču zāles izmaksa vienai stundai 0,1728 euro (343,41 euro :1987 stundas 2025.g.)  12 akadēmiskās stundas*45min/60min= 9,0 stundas. 9,0 stundas *0,1728 euro/stundā= 1,56 euro. Plānotais dalībnieku skaits vienā kursā 10. Vienam dalībniekam 1,56 euro:10=0,16 euro.</t>
  </si>
  <si>
    <t>Gada faktiskās izmaksas 38286,54 euro. VADC vidējās izmaksas uz 1m² gadā 5,96 euro (38286,54 euro : 6424,71 m²).  Konferenču zāle 101,6 m². Konferenču zāles gada izmaksas 605,54 euro (5,96 euro*101,6m²). Konferenču zāles izmaksa vienai stundai 0,3048 euro (605,54 euro : 1987 stundas 2025.g.).  12 akadēmiskās stundas*45min/60min= 9,0 stundas. 9,0 stundas *0,3048 euro/stundā= 2,74 euro. Plānotais dalībnieku skaits vienā kursā 10. Vienam dalībniekam 2,74 euro:10=0,27 euro.</t>
  </si>
  <si>
    <t>Gada faktiskās izmaksas 10204,36 euro. VADC vidējās izmaksas uz 1m² gadā 1,59 euro (10204,36 euro : 6424,71 m²).  Konferenču zāle 101,6 m². Konferenču zāles gada izmaksas 161,54 euro (1,59 euro*101,6m²). Konferenču zāles izmaksa vienai stundai 0,0813 euro (161,54 euro : 1987 stundas 2025.g.).  12 akadēmiskās stundas*45min/60min= 9,0 stundas. 9,0 stundas *0,0813 euro/stundā= 0,73 euro. Plānotais dalībnieku skaits vienā kursā 10. Vienam dalībniekam 0,73 euro:10=0,07 euro.</t>
  </si>
  <si>
    <t>Gada faktiskās izmaksas 9718,82 euro. VADC vidējās izmaksas uz 1m² gadā 1,51 euro (9718,82 euro : 6424,71 m²).  Konferenču zāle 101,6 m². Konferenču zāles gada izmaksas 153,42 euro (1,51 euro*101,6m²). Konferenču zāles izmaksa vienai stundai 0,0772 euro (153,42 euro : 1987 stundas 2025.g.).  12 akadēmiskās stundas*45min/60min= 9,0 stundas. 9,0 stundas *0,0772 euro/stundā= 0,70 euro. Plānotais dalībnieku skaits vienā kursā 10. Vienam dalībniekam 0,70 euro:10=0,07 euro.</t>
  </si>
  <si>
    <t>Gada faktiskās izmaksas 72390,49 euro. VADC vidējās izmaksas uz 1m² gadā 11,27 euro (72390,49 euro : 6424,71 m²). Konferenču zāle 101,6 m². Konferenču zāles gada izmaksas 1145,03 euro (11,27 euro*101,6m²). Konferenču zāles izmaksa vienai stundai 0,5763 euro (1145,03 euro : 1987 stundas 2025.g.).   12 akadēmiskās stundas*45min/60min= 9,0 stundas. 9,0 stundas *0,5763 euro/stundā= 5,19 euro. Plānotais dalībnieku skaits vienā kursā 10. Vienam dalībniekam 5,19 euro:10=0,52 euro.</t>
  </si>
  <si>
    <t>Gada faktiskās izmaksas 90535,06 euro. VADC vidējās izmaksas uz 1m² gadā 14,09 euro (90535,06 euro : 6424,71 m²). Konferenču zāle 101,6 m². Konferenču zāles gada izmaksas 1431,54 euro (14,09 euro*101,6m²). Konferenču zāles izmaksa vienai stundai 0,7205 euro (1431,54 euro : 1987 stundas 2025.g.).   12 akadēmiskās stundas*45min/60min= 9,0 stundas. 9,0 stundas *0,7205 euro/stundā= 6,49 euro. Plānotais dalībnieku skaits vienā kursā 10. Vienam dalībniekam 6,49 euro:10=0,65 euro.</t>
  </si>
  <si>
    <t>Gada faktiskās izmaksas 74425,04 euro. VADC vidējās izmaksas uz 1m² gadā 11,58 euro (74425,04 euro : 6424,71 m²). Konferenču zāle 101,6 m². Konferenču zāles gada izmaksas 1176,53 euro (11,58 euro*101,6 m²).Konferenču zāles izmaksa vienai stundai 0,5921 euro (1176,53 euro : 1987 stundas 2025.g.).  12 akadēmiskās stundas*45min/60min= 9,0 stundas. 9,0 stundas *0,5921 euro/stundā= 5,33 euro. Plānotais dalībnieku skaits vienā kursā 10. Vienam dalībniekam 5,33 euro:10=0,53 euro.</t>
  </si>
  <si>
    <t>Gada faktiskās izmaksas 101941,15 euro. VADC vidējās izmaksas uz 1m² gadā 15,87 euro ( euro : 6424,71 m²).  Konferenču zāle 101,6 m². Konferenču zāles gada izmaksas 1612,39 euro (15,87 euro*101,6 m²). Konferenču zāles izmaksa vienai stundai 0,8115 euro (1612,39 euro : 1987 stundas 2025.g.). 12 akadēmiskās stundas*45min/60min= 9,0 stundas. 9,0 stundas *0,8115 euro/stundā= 7,30 euro. Plānotais dalībnieku skaits vienā kursā 10. Vienam dalībniekam 7,30 euro:10=0,73 euro.</t>
  </si>
  <si>
    <t>Gada faktiskās izmaksas 3912,01 euro. VADC vidējās izmaksas uz 1m² gadā 0,61 euro (3912,01 euro : 6424,71 m²).  Konferenču zāle 101,6 m². Konferenču zāles gada izmaksas 61,98 euro (0,61 euro*101,6m²). Konferenču zāles izmaksa vienai stundai 0,0312 euro (61,98 euro : 1987 stundas 2025.g.).  12 akadēmiskās stundas*45min/60min= 9,0 stundas. 9,0 stundas *0,0312 euro/stundā= 0,28 euro. Plānotais dalībnieku skaits vienā kursā 10. Vienam dalībniekam 0,28 euro:10=0,03 euro.</t>
  </si>
  <si>
    <t>Gada faktiskās izmaksas 3319,39 euro. VADC vidējās izmaksas uz 1m² gadā 0,52 euro (3319,39 euro : 6424,71 m²).  Konferenču zāle 101,6 m². Konferenču zāles gada izmaksas 52,83 euro (0,52 euro*101,6m²). Konferenču zāles izmaksa vienai stundai 0,0266 euro (52,83 euro : 1987 stundas 2025.g.).  12 akadēmiskās stundas*45min/60min= 9,0 stundas. 9,0 stundas *0,0266 euro/stundā= 0,24 euro. Plānotais dalībnieku skaits vienā kursā 10. Vienam dalībniekam 0,24 euro:10=0,02 euro.</t>
  </si>
  <si>
    <t>Gada faktiskās izmaksas 350790,73 euro. VADC vidējās izmaksas uz 1m² gadā 54,60 euro (350790,73 euro : 6424,71 m²). Konferenču zāle 101,6 m². Konferenču zāles gada izmaksas 5547,36 euro (54,60 euro*101,6m²). Konferenču zāles izmaksa vienai stundai 2,7918 euro (5547,36 euro : 1987 stundas 2025.g.).  12 akadēmiskās stundas*45min/60min= 9,0 stundas. 9,0 stundas *2,7918 euro/stundā=25,13 euro. Plānotais dalībnieku skaits vienā kursā 10. Vienam dalībniekam  25,13 euro:10=2,51 euro.</t>
  </si>
  <si>
    <t>Gada faktiskās izmaksas 437000,78 euro. VADC vidējās izmaksas uz 1m² gadā 68,02 euro (437000,78 euro : 6424,71 m²). Konferenču zāle 101,6 m². Konferenču zāles gada izmaksas 6910,83 euro (68,02 euro*101,6m²). Konferenču zāles izmaksa vienai stundai 3,4780 euro (6910,83 euro : 1987 stundas 2025.g.).   12 akadēmiskās stundas*45min/60min= 9,0 stundas. 9,0 stundas *3,4780 euro/stundā= 31,30 euro. Plānotais dalībnieku skaits vienā kursā 10. Vienam dalībniekam 31,30 euro:10= 3,13 euro.</t>
  </si>
  <si>
    <t>Gada faktiskās izmaksas 1502,88 euro. VADC vidējās izmaksas uz 1m² gadā 0,23 euro (1502,88 euro : 6424,71 m²).  Konferenču zāle 101,6 m². Konferenču zāles gada izmaksas 23,37 euro (0,23 euro*101,6m²). Konferenču zāles izmaksa vienai stundai 0,0118 euro (23,37 euro : 1987 stundas 2025.g.).  12 akadēmiskās stundas*45min/60min= 9,0 stundas. 9,0 stundas *0,0118 euro/stundā= 0,11 euro. Plānotais dalībnieku skaits vienā kursā 10. Vienam dalībniekam 0,11 euro:10=0,01 euro.</t>
  </si>
  <si>
    <t>Gada faktiskās izmaksas 38551,01 euro. VADC vidējās izmaksas uz 1m² gadā 6,00 euro (38551,01 euro : 6424,71 m²).  Konferenču zāle 101,6 m². Konferenču zāles gada izmaksas 609,60 euro (6,00 euro*101,6m²). Konferenču zāles izmaksa vienai stundai 0,3068 euro (609,60 euro : 1987 stundas 2025.g.).  12 akadēmiskās stundas*45min/60min= 9,0 stundas. 9,0 stundas *0,3068 euro/stundā= 2,76 euro. Plānotais dalībnieku skaits vienā kursā 10. Vienam dalībniekam 2,76 euro:10=0,28 euro.</t>
  </si>
  <si>
    <t>Gada faktiskās izmaksas 14043,51 euro. VADC vidējās izmaksas uz 1m² gadā 2,19 euro (14043,51 euro : 6424,71 m²).  Konferenču zāle 101,6 m². Konferenču zāles gada izmaksas 222,50 euro (2,19 euro*101,6 m²). Konferenču zāles izmaksa vienai stundai 0,1120 euro (222,50 euro : 1987 stundas 2025.g.).  12 akadēmiskās stundas*45min/60min= 9,0 stundas. 9,0 stundas *0,1120 euro/stundā= 1,01 euro. Plānotais dalībnieku skaits vienā kursā 10. Vienam dalībniekam 1,01 euro:10=0,10 euro.</t>
  </si>
  <si>
    <t xml:space="preserve">Gada faktiskās izmaksas 16185,75 euro. VADC vidējās izmaksas uz 1m² gadā 2,52 euro (16185,75 euro : 6424,71 m²).  Konferenču zāle 101,6 m². Konferenču zāles gada izmaksas 256,03 euro (2,52 euro*101,6 m²). Konferenču zāles izmaksa vienai stundai 0,1289 euro (256,03 euro : 1987 stundas 2025.g.).  12 akadēmiskās stundas*45min/60min= 9,0 stundas. 9,0 stundas *0,1289 euro/stundā= 1,16 euro. Plānotais dalībnieku skaits vienā kursā 10. Vienam dalībniekam 1,16 euro:10=0,12 euro. </t>
  </si>
  <si>
    <t xml:space="preserve">Gada faktiskās izmaksas 34657,56 euro. VADC vidējās izmaksas uz 1m² gadā 5,39 euro (34657,56 euro : 6424,71 m²).  Konferenču zāle 101,6 m². Konferenču zāles gada izmaksas 547,62 euro (5,39 euro*101,6 m²). Konferenču zāles izmaksa vienai stundai 0,2756 euro (547,62 euro : 1987 stundas 2025.g.).  12 akadēmiskās stundas*45min/60min= 9,0 stundas. 9,0 stundas *0,2756 euro/stundā= 2,48 euro. Plānotais dalībnieku skaits vienā kursā 10. Vienam dalībniekam 2,48 euro:10=0,25 euro. </t>
  </si>
  <si>
    <t>Gada faktiskās izmaksas 49799,56 euro. VADC vidējās izmaksas uz 1m² gadā 7,75 euro (49799,56 euro : 6424,71 m²). Konferenču zāle 101,6 m². Konferenču zāles gada izmaksas 787,40 euro (7,75 euro*101,6m²). Konferenču zāles izmaksa vienai stundai 0,3963 euro (787,40 euro : 1987 stundas 2025.g.)  12 akadēmiskās stundas*45min/60min= 9,0 stundas. 9,0 stundas *0,3963 euro/stundā= 3,57 euro. Plānotais dalībnieku skaits vienā kursā 10. Vienam dalībniekam 3,57 euro:10=0,36 euro.</t>
  </si>
  <si>
    <t xml:space="preserve">Gada faktiskās izmaksas 3095,60 euro. VADC vidējās izmaksas uz 1m² gadā 0,48 euro (3095,6 euro : 6424,71 m²).  Konferenču zāle 101,6 m². Konferenču zāles gada izmaksas 48,77 euro (0,48 euro*101,6 m²). Konferenču zāles izmaksa vienai stundai 0,0245 euro (48,77 euro : 1987 stundas 2025.g.).  12 akadēmiskās stundas*45min/60min= 9,0 stundas. 9,0 stundas *0,0245 euro/stundā= 0,22 euro. Plānotais dalībnieku skaits vienā kursā 10. Vienam dalībniekam 0,22 euro:10=0,03 euro. </t>
  </si>
  <si>
    <t xml:space="preserve">Gada faktiskās izmaksas 4587,48 euro. VADC vidējās izmaksas uz 1m² gadā 0,71 euro (4587,48 euro : 6424,71 m²).  Konferenču zāle 101,6 m². Konferenču zāles gada izmaksas 72,14 euro (0,71 euro*101,6 m²). Konferenču zāles izmaksa vienai stundai 0,0363 euro (72,14 euro : 1987 stundas 2025.g.).  12 akadēmiskās stundas*45min/60min= 9,0 stundas. 9,0 stundas *0,0363 euro/stundā= 0,33 euro. Plānotais dalībnieku skaits vienā kursā 10. Vienam dalībniekam 0,33 euro:10=0,03 euro. </t>
  </si>
  <si>
    <t xml:space="preserve">Gada faktiskās izmaksas 1910,79 euro. VADC vidējās izmaksas uz 1m² gadā 0,30 euro (1910,79 euro : 6424,71 m²).  Konferenču zāle 101,6 m². Konferenču zāles gada izmaksas 30,48 euro (0,30 euro*101,6 m²). Konferenču zāles izmaksa vienai stundai 0,0153 euro (30,48 euro : 1987 stundas 2025.g.).  12 akadēmiskās stundas*45min/60min= 9,0 stundas. 9,0 stundas *0,0153 euro/stundā= 0,14 euro. Plānotais dalībnieku skaits vienā kursā 10. Vienam dalībniekam 0,14 euro:10=0,01 euro. </t>
  </si>
  <si>
    <t>Gada faktiskās izmaksas 5573,12 euro. VADC vidējās izmaksas uz 1m² gadā 0,87 euro (5573,12 euro : 6424,71 m²). Konferenču zāle 101,6 m². Konferenču zāles gada izmaksas 88,39 euro (0,87 euro*101,6m²). Konferenču zāles izmaksa vienai stundai 0,0445 euro (88,39 euro : 1987 stundas 2021.g.).  12 akadēmiskās stundas*45min/60min= 9,0 stundas. 9,0 stundas *0,0445 euro/stundā= 0,40 euro. Plānotais dalībnieku skaits vienā kursā 10. Vienam dalībniekam 0,40 euro:10=0,04 euro.</t>
  </si>
  <si>
    <t>Gada faktiskās izmaksas 31760,58 euro. VADC vidējās izmaksas uz 1m² gadā 4,94 euro (31760,58 euro : 6424,71 m²). Konferenču zāle 101,6 m². Konferenču zāles gada izmaksas 501,90 euro (4,94 euro*101,6 m²).Konferenču zāles izmaksa vienai stundai 0,2526 euro (501,90 euro : 1987 stundas 2025.g.).  12 akadēmiskās stundas*45min/60min= 9,0 stundas. 9,0 stundas *0,2526 euro/stundā=2,27 euro. Plānotais dalībnieku skaits vienā kursā 10. Vienam dalībniekam 2,27 euro:10=0,23 euro.</t>
  </si>
  <si>
    <t>Gada faktiskās izmaksas 56125,63 euro. VADC vidējās izmaksas uz 1m² gadā 8,74 euro (56125,63 euro : 6424,71 m²). Konferenču zāle 101,6 m². Konferenču zāles gada izmaksas 887,98 euro (8,74 euro*101,6 m²).Konferenču zāles izmaksa vienai stundai 0,4469 euro (887,98 euro : 1987 stundas 2025.g.).  12 akadēmiskās stundas*45min/60min= 9,0 stundas. 9,0 stundas *0,4469 euro/stundā= 4,02 euro. Plānotais dalībnieku skaits vienā kursā 10. Vienam dalībniekam 4,02 euro:10=0,40 euro.</t>
  </si>
  <si>
    <t>Darba devēja valsts sociālās apdrošināšanas obligātās iemaksas, sociāla rakstura pabalsti un kompensācijas 18,61 * 23,59%</t>
  </si>
  <si>
    <t>Gada faktiskās izmaksas 31212,32 euro. VADC vidējās izmaksas uz 1m² gadā 4,86 euro (31212,32 euro : 6424,71 m²). Apspriežu zāle 32,6 m². Apspriežu zāles gada izmaksas 158,44 euro ( 4,86 euro*32,6m²). Apspriežu zāles izmaksa vienai stundai 0,0797 euro (158,44 euro : 1987 stundas 2025.g.).  16 akadēmiskās stundas*45min/60min=12,0 stundas. 12,0 stundas *0,0797 euro/stundā=0,96 euro. Plānotais dalībnieku skaits vienā kursā 10. Vienam dalībniekam 0,96 euro:10=0,10 euro.</t>
  </si>
  <si>
    <t>Gada faktiskās izmaksas 76326,72 euro. VADC vidējās izmaksas uz 1m² gadā 11,88 euro (76326,72 euro : 6424,71 m²). Apspriežu zāle 32,6 m². Apspriežu zāles gada izmaksas 387,29 euro (11,88 euro * 32,6 m²). Apspriežu zāles izmaksa vienai stundai 0,1949 euro (387,29 euro : 1987 stundas 2025.g.). 16 akadēmiskās stundas * 45min/60min = 12,0 stundas. 12,0 stundas * 0,1949 euro/stundā = 2,34 euro. Plānotais dalībnieku skaits vienā kursā 10. Vienam dalībniekam 2,34 euro : 10 = 0,23 euro.</t>
  </si>
  <si>
    <t>Gada faktiskās izmaksas 139699,96 euro. VADC vidējās izmaksas uz 1m² gadā 21,74 euro (139699,96 euro : 6424,71 m²). Apspriežu zāle 32,6 m². Apspriežu zāles gada izmaksas 708,72 euro (21,74 euro * 32,6 m²). Apspriežu zāles izmaksa vienai stundai 0,3567 euro (708,72 euro : 1987 stundas 2025.g.). 16 akadēmiskās stundas * 45min/60min = 12,0 stundas. 12,0 stundas * 0,3567 euro/stundā = 4,28 euro. Plānotais dalībnieku skaits vienā kursā 10. Vienam dalībniekam 4,28 euro : 10 = 0,43 euro.</t>
  </si>
  <si>
    <t>Gada faktiskās izmaksas 38286,54 euro. VADC vidējās izmaksas uz 1m² gadā 5,96 euro (38286,54 euro : 6424,71 m²). Apspriežu zāle 32,6 m². Apspriežu zāles gada izmaksas 194,30 euro (5,96 euro * 32,6 m²). Apspriežu zāles izmaksa vienai stundai 0,0978 euro (194,30 euro : 1987 stundas 2025.g.). 16 akadēmiskās stundas * 45min/60min = 12,0 stundas. 12,0 stundas * 0,0978 euro/stundā = 1,17 euro. Plānotais dalībnieku skaits vienā kursā 10. Vienam dalībniekam 1,17 euro : 10 = 0,12 euro.</t>
  </si>
  <si>
    <t>Gada faktiskās izmaksas 10204,36 euro. VADC vidējās izmaksas uz 1m² gadā 1,59 euro (10204,36 euro : 6424,71 m²). Apspriežu zāle 32,6 m². Apspriežu zāles gada izmaksas 51,83 euro (1,59 euro * 32,6 m²). Apspriežu zāles izmaksa vienai stundai 0,0261 euro (51,83 euro : 1987 stundas 2025.g.). 16 akadēmiskās stundas * 45min/60min = 12,0 stundas. 12,0 stundas * 0,0261 euro/stundā = 0,31 euro. Plānotais dalībnieku skaits vienā kursā 10. Vienam dalībniekam 0,31 euro : 10 = 0,03 euro.</t>
  </si>
  <si>
    <t>Gada faktiskās izmaksas 9718,82 euro. VADC vidējās izmaksas uz 1m² gadā 1,51 euro (9718,82 euro : 6424,71 m²). Apspriežu zāle 32,6 m². Apspriežu zāles gada izmaksas 49,23 euro (1,51 euro * 32,6 m²). Apspriežu zāles izmaksa vienai stundai 0,0248 euro (49,23 euro : 1987 stundas 2025.g.). 16 akadēmiskās stundas * 45min/60min =12,0 stundas. 12,0 stundas * 0,0248 euro/stundā = 0,30 euro. Plānotais dalībnieku skaits vienā kursā 10. Vienam dalībniekam 0,30 euro : 10 = 0,03 euro.</t>
  </si>
  <si>
    <t>Gada faktiskās izmaksas 72390,49 euro. VADC vidējās izmaksas uz 1m² gadā 11,27 euro (72390,49 euro : 6424,71 m²). Apspriežu zāle 32,6 m². Apspriežu zāles gada izmaksas 367,40 euro (11,27 euro * 32,6 m²). Apspriežu zāles izmaksa vienai stundai 0,1849 euro (367,40 euro : 1987 stundas 2025.g.). 16 akadēmiskās stundas * 45min/60min = 12,0 stundas. 12,0 stundas * 0,1849 euro/stundā = 2,22 euro. Plānotais dalībnieku skaits vienā kursā 10. Vienam dalībniekam 2,22 euro : 10 = 0,22 euro.</t>
  </si>
  <si>
    <t>Gada faktiskās izmaksas 90535,06 euro. VADC vidējās izmaksas uz 1m² gadā 14,09 euro (90535,06 euro : 6424,71 m²). Apspriežu zāle 32,6 m². Apspriežu zāles gada izmaksas 459,33 euro (14,09 euro * 32,6 m²). Apspriežu zāles izmaksa vienai stundai 0,2312 euro (459,33 euro : 1987 stundas 2025.g.). 16 akadēmiskās stundas * 45min/60min = 12,0 stundas. 12,0 stundas * 0,2312 euro/stundā = 2,77 euro. Plānotais dalībnieku skaits vienā kursā 10. Vienam dalībniekam 2,77 euro : 10 = 0,28 euro.</t>
  </si>
  <si>
    <t>Gada faktiskās izmaksas 74425,04 euro. VADC vidējās izmaksas uz 1m² gadā 11,58 euro (74425,04 euro : 6424,71 m²). Apspriežu zāle 32,6 m². Apspriežu zāles gada izmaksas 377,51 euro (11,58 euro * 32,6 m²). Apspriežu zāles izmaksa vienai stundai 0,1900 euro (377,51 euro : 1987 stundas 2025.g.). 16 akadēmiskās stundas * 45min/60min = 12,0 stundas. 12,0 stundas * 0,1900 euro/stundā = 2,28 euro. Plānotais dalībnieku skaits vienā kursā 10. Vienam dalībniekam 2,28 euro : 10 = 0,23 euro.</t>
  </si>
  <si>
    <t>Gada faktiskās izmaksas 101941,15 euro. VADC vidējās izmaksas uz 1m² gadā 15,87 euro (101941,15 euro : 6424,71 m²). Apspriežu zāle 32,6 m². Apspriežu zāles gada izmaksas 517,36 euro (15,87 euro * 32,6 m²). Apspriežu zāles izmaksa vienai stundai 0,2604 euro (517,36 euro : 1987 stundas 2025.g.). 16 akadēmiskās stundas * 45min / 60min = 12,0 stundas. 12,0 stundas * 0,2604 euro/stundā = 3,12 euro. Plānotais dalībnieku skaits vienā kursā 10. Vienam dalībniekam 3,12 euro : 10 = 0,31 euro.</t>
  </si>
  <si>
    <t>Gada faktiskās izmaksas 3912,01 euro. VADC vidējās izmaksas uz 1m² gadā 0,61 euro (3912,01 euro : 6424,71 m²). Apspriežu zāle 32,6 m². Apspriežu zāles gada izmaksas 19,89 euro (1,59 euro * 32,6 m²). Apspriežu zāles izmaksa vienai stundai 0,0100 euro (19,89 euro : 1987 stundas 2025.g.). 16 akadēmiskās stundas*45min/60min= 12,0 stundas. 12,0 stundas *0,0100 euro/stundā=0,12 euro. Vienam dalībniekam 0,12 euro : 10=0,012 euro</t>
  </si>
  <si>
    <t>Gada faktiskās izmaksas 3319,39 euro. VADC vidējās izmaksas uz 1m² gadā 0,52 euro (3319,39 euro : 6424,71 m²). Apspriežu zāle 32,6 m². Apspriežu zāles gada izmaksas 16,95 euro (0,52 euro * 32,6 m²). Apspriežu zāles izmaksa vienai stundai 0,0085 euro (16,95 euro : 1987 stundas 2025.g.). 16 akadēmiskās stundas*45min/60min= 12,0 stundas. 12,0 stundas *0,0085 euro/stundā=0,10 euro. Vienam dalībniekam 0,10 euro : 10 = 0,01 euro</t>
  </si>
  <si>
    <t>Gada faktiskās izmaksas 350790,73 euro. VADC vidējās izmaksas uz 1m² gadā 54,60 euro (350790,73 euro : 6424,71 m²). Apspriežu zāle 32,6 m². Apspriežu zāles gada izmaksas 1779,96 euro (54,60 euro * 32,6 m²). Apspriežu zāles izmaksa vienai stundai 0,8958 euro (1779,96 euro : 1987 stundas 2025.g.). 16 akadēmiskās stundas * 45min / 60min = 12,0 stundas. 12,0 stundas * 0,8958 euro/stundā = 10,75 euro. Plānotais dalībnieku skaits vienā kursā 10. Vienam dalībniekam 10,75 euro : 10 = 1,08 euro.</t>
  </si>
  <si>
    <t>Gada faktiskās izmaksas 437000,78 euro. VADC vidējās izmaksas uz 1m² gadā 68,02 euro (437000,78 euro : 6424,71 m²). Apspriežu zāle 32,6 m². Apspriežu zāles gada izmaksas 2217,45 euro (68,02 euro * 32,6 m²). Apspriežu zāles izmaksa vienai stundai 1,1160 euro (2217,45 euro : 1987 stundas 2025.g.). 16 akadēmiskās stundas * 45min / 60min = 12,0 stundas. 12,0 stundas * 1,1160 euro/stundā = 13,39 euro. Plānotais dalībnieku skaits vienā kursā 10. Vienam dalībniekam 13,39 euro : 10 = 1,34 euro.</t>
  </si>
  <si>
    <t>Gada faktiskās izmaksas 1502,88 euro. VADC vidējās izmaksas uz 1m² gadā 0,23 euro (1502,88 euro : 6424,71 m²). Apspriežu zāle 32,6 m². Apspriežu zāles gada izmaksas 7,50 euro (0,23 euro * 32,6 m²). Apspriežu zāles izmaksa vienai stundai 0,0038 euro (7,50 euro : 1987 stundas 2025.g.). 16 akadēmiskās stundas*45min/60min= 12,0 stundas. 12,0 stundas *0,0038 euro/stundā=0,05 euro. Vienam dalībniekam 0,05 : 10 = 0,01 euro</t>
  </si>
  <si>
    <t>Gada faktiskās izmaksas 38551,01 euro. VADC vidējās izmaksas uz 1m² gadā 6,00 euro (38551,01 euro : 6424,71 m²). Apspriežu zāle 32,6 m². Apspriežu zāles gada izmaksas 195,60 euro (6,00 euro * 32,6 m²). Apspriežu zāles izmaksa vienai stundai 0,0984 euro (195,60 euro : 1987 stundas 2025.g.). 16 akadēmiskās stundas*45min/60min= 12,0 stundas. 12,0 stundas *0,0984 euro/stundā=1,18 euro. Vienam dalībniekam 1,18 euro :10 =0,12 euro</t>
  </si>
  <si>
    <t>Gada faktiskās izmaksas 16185,75 euro. VADC vidējās izmaksas uz 1m² gadā 2,52 euro (16185,75 euro : 6424,71 m²). Apspriežu zāle 32,6 m². Apspriežu zāles gada izmaksas 82,15 euro (2,52 euro * 32,6 m²). Apspriežu zāles izmaksa vienai stundai 0,0413 euro (82,15 euro : 1987 stundas 2025.g.). 16 akadēmiskās stundas * 45min / 60min = 12,0 stundas. 12,0 stundas * 0,0413 euro/stundā = 0,50 euro. Plānotais dalībnieku skaits vienā kursā 10. Vienam dalībniekam 0,50 euro : 10 = 0,05 euro.</t>
  </si>
  <si>
    <t>Gada faktiskās izmaksas 34657,56 euro. VADC vidējās izmaksas uz 1m² gadā 5,39 euro (34657,56 euro : 6424,71 m²). Apspriežu zāle 32,6 m². Apspriežu zāles gada izmaksas 175,71 euro (5,39 euro * 32,6 m²). Apspriežu zāles izmaksa vienai stundai 0,0884 euro (175,71 euro : 1987 stundas 2025.g.). 16 akadēmiskās stundas * 45min/60min = 12,0 stundas. 12,0 stundas * 0,0884 euro/stundā = 1,06 euro. Plānotais dalībnieku skaits vienā kursā 10. Vienam dalībniekam 1,06 euro : 10 = 0,11 euro.</t>
  </si>
  <si>
    <t>Gada faktiskās izmaksas 49799,56 euro. VADC vidējās izmaksas uz 1m² gadā 7,75 euro (49799,56 euro : 6424,71 m²). Apspriežu zāle 32,6 m². Apspriežu zāles gada izmaksas 252,65 euro (7,75 euro * 32,6 m²). Apspriežu zāles izmaksa vienai stundai 0,1272 euro (252,65 euro : 1987 stundas 2025.g.). 16 akadēmiskās stundas * 45min / 60min = 12,0 stundas. 12,0 stundas * 0,1272 euro/stundā = 1,53 euro. Plānotais dalībnieku skaits vienā kursā 10. Vienam dalībniekam 1,53 euro : 10 = 0,15 euro.</t>
  </si>
  <si>
    <t>Gada faktiskās izmaksas 3095,60 euro. VADC vidējās izmaksas uz 1m² gadā 0,48 euro (3095,60 euro : 6424,71 m²). Apspriežu zāle 32,6 m². Apspriežu zāles gada izmaksas 15,65 euro (0,48 euro * 32,6 m²). Apspriežu zāles izmaksa vienai stundai 0,0079 euro (15,65 euro : 1987 stundas 2025.g.). 16 akadēmiskās stundas * 45min/60min = 12,0 stundas. 12,0 stundas * 0,0079 euro/stundā = 0,09 euro. Plānotais dalībnieku skaits vienā kursā 10. Vienam dalībniekam 0,09 euro : 10 = 0,01 euro.</t>
  </si>
  <si>
    <t>Gada faktiskās izmaksas 4587,48 euro. VADC vidējās izmaksas uz 1m² gadā 0,71 euro (4587,48 euro : 6424,71 m²). Apspriežu zāle 32,6 m². Apspriežu zāles gada izmaksas 23,15 euro (0,71 euro * 32,6 m²). Apspriežu zāles izmaksa vienai stundai 0,0117 euro (23,15 euro : 1987 stundas 2025.g.). 16 akadēmiskās stundas * 45min/60min = 12,0 stundas. 12,0 stundas * 0,0117 euro/stundā = 0,14 euro. Plānotais dalībnieku skaits vienā kursā 10. Vienam dalībniekam 0,14 euro : 10 = 0,01 euro.</t>
  </si>
  <si>
    <t>Gada faktiskās izmaksas 1910,79 euro. VADC vidējās izmaksas uz 1m² gadā 0,30 euro (1910,79 euro : 6424,71 m²). Apspriežu zāle 32,6 m². Apspriežu zāles gada izmaksas 9,78 euro (0,30 euro * 32,6 m²). Apspriežu zāles izmaksa vienai stundai 0,0049 euro (9,78 euro : 1987 stundas 2025.g.). 16 akadēmiskās stundas * 45min/60min = 12,0 stundas. 12,0 stundas * 0,0049 euro/stundā = 0,06 euro. Plānotais dalībnieku skaits vienā kursā 10. Vienam dalībniekam 0,06 euro : 10 = 0,01 euro.</t>
  </si>
  <si>
    <t>Gada faktiskās izmaksas 5573,12 euro. VADC vidējās izmaksas uz 1m² gadā 0,87 euro (5573,12 euro : 6424,71 m²). Apspriežu zāle 32,6 m². Apspriežu zāles gada izmaksas 28,36 euro (0,87 euro * 32,6 m²). Apspriežu zāles izmaksa vienai stundai 0,0143 euro (28,36 euro : 1987 stundas 2025.g.). 16 akadēmiskās stundas * 45min / 60min = 12,0 stundas. 12,0 stundas * 0,0143 euro/stundā = 0,17 euro. Plānotais dalībnieku skaits vienā kursā 10. Vienam dalībniekam 0,17 euro : 10 = 0,02 euro.</t>
  </si>
  <si>
    <t>Gada faktiskās izmaksas 31760,58 euro. VADC vidējās izmaksas uz 1m² gadā 4,94 euro (31760,58 euro : 6424,71 m²). Apspriežu zāle 32,6 m². Apspriežu zāles gada izmaksas 161,04 euro (4,94 euro * 32,6 m²). Apspriežu zāles izmaksa vienai stundai 0,0810 euro (161,04 euro : 1987 stundas 2025.g.). 16 akadēmiskās stundas * 45min / 60min =12,0 stundas. 12,0 stundas * 0,0810 euro/stundā = 0,97 euro. Plānotais dalībnieku skaits vienā kursā 10. Vienam dalībniekam 0,97 euro : 10 = 0,10 euro.</t>
  </si>
  <si>
    <t>Gada faktiskās izmaksas 56125,63 euro. VADC vidējās izmaksas uz 1m² gadā 8,74 euro (56125,63 euro : 6424,71 m²). Apspriežu zāle 32,6 m². Apspriežu zāles gada izmaksas 284,92 euro (8,74 euro * 32,6 m²). Apspriežu zāles izmaksa vienai stundai 0,1434 euro (284,92 euro : 1987 stundas 2025.g.). 16 akadēmiskās stundas * 45min/60min = 12,0 stundas. 12,0 stundas * 0,1434 euro/stundā = 1,72 euro. Plānotais dalībnieku skaits vienā kursā 10. Vienam dalībniekam 1,72 euro : 10 = 0,17 euro.</t>
  </si>
  <si>
    <r>
  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Vebināra lekcijas teorija 40 akadēmiskās stundas *45min/60min=30,00 stundas * 13,48 euro/ stundā =</t>
    </r>
    <r>
      <rPr>
        <b/>
        <sz val="9"/>
        <rFont val="Times New Roman"/>
        <family val="1"/>
        <charset val="186"/>
      </rPr>
      <t xml:space="preserve"> 404,40</t>
    </r>
    <r>
      <rPr>
        <sz val="9"/>
        <rFont val="Times New Roman"/>
        <family val="1"/>
        <charset val="186"/>
      </rPr>
      <t xml:space="preserve"> euro.   Lektoru sagatavošanās kursiem, informatīvā materiāla aktualizēšana 1x gadā; sertifikātu izrakstīšana 90 min/60min=1,5 stundas *1,35 euro/stundā = 2,03 euro*30 stundas=60,90 euro. Praktiskais, pastāvīgais darbs 30 akadēmiskās stundas klātienē * 45 min/60min=22,50 stundas* 13,48 euro/stundā= 303,30 euro. Kopā= 404,40euro+60,90euro+303,30euro= 768,60 euro. 768,60 euro / 10 dalībnieki=76,86 euro</t>
    </r>
  </si>
  <si>
    <r>
      <t>Reaģentu, materiālu izmaksas praktiskajām nodarbībām.Cenas ar PVN. 1.</t>
    </r>
    <r>
      <rPr>
        <b/>
        <sz val="9"/>
        <rFont val="Times New Roman"/>
        <family val="1"/>
        <charset val="186"/>
      </rPr>
      <t xml:space="preserve">Asins grupas noteikšana ar dubultreakciju, plaknes metode 33,18 euro, </t>
    </r>
    <r>
      <rPr>
        <sz val="9"/>
        <rFont val="Times New Roman"/>
        <family val="1"/>
        <charset val="186"/>
      </rPr>
      <t>tai skaitā: 1) Anti A monoklonālais reaģents 0,1ml-0,08 euro izmaksas 1 izmeklējumam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*20 izmeklējumi=1,60 euro. 2)Anti B monoklonālais reaģents, cena 0,1ml-0,08 euro izmaksas 1 izmeklējumam*20 izmeklējumi=1,60 euro. 3)5% Standarteritrocītu komplekts ABO asins grupas noteikšanai ar apgriezto reakciju O, A1,B (Hematest) - 0,3ml=1,16 euro*20 izmeklējumi=</t>
    </r>
    <r>
      <rPr>
        <b/>
        <sz val="9"/>
        <rFont val="Times New Roman"/>
        <family val="1"/>
        <charset val="186"/>
      </rPr>
      <t xml:space="preserve"> 23,20 euro</t>
    </r>
    <r>
      <rPr>
        <sz val="9"/>
        <rFont val="Times New Roman"/>
        <family val="1"/>
        <charset val="186"/>
      </rPr>
      <t xml:space="preserve">. 4)Pastēra pipete 3,5ml 1gb. -0,051 euro*20=1,02 euro. 1.Izdevumi kopā 27,42 euro (1,60+1,60+23,20+1,02). </t>
    </r>
    <r>
      <rPr>
        <b/>
        <sz val="9"/>
        <rFont val="Times New Roman"/>
        <family val="1"/>
        <charset val="186"/>
      </rPr>
      <t>Ar PVN 21%- 33,18 euro</t>
    </r>
    <r>
      <rPr>
        <sz val="9"/>
        <rFont val="Times New Roman"/>
        <family val="1"/>
        <charset val="186"/>
      </rPr>
      <t>.</t>
    </r>
  </si>
  <si>
    <r>
      <rPr>
        <b/>
        <sz val="9"/>
        <rFont val="Times New Roman"/>
        <family val="1"/>
        <charset val="186"/>
      </rPr>
      <t xml:space="preserve">2.Rh (D) pazīmes noteikšana ar plaknes metodi 11,16 euro, </t>
    </r>
    <r>
      <rPr>
        <sz val="9"/>
        <rFont val="Times New Roman"/>
        <family val="1"/>
        <charset val="186"/>
      </rPr>
      <t xml:space="preserve">tai skaitā: 1) Anti D¹  IgM monoklonālais reaģents 0,1ml- 0,15 euro izmaksas 1 izmeklējumam*20 izmeklējumi=3,00 euro. 2)Anti D²  IgM monoklonālais reaģents 0,1ml -0,15 euro izmaksas 1 izmeklējumam*20 izmeklējumi=3,00 euro. 3)Kontrolreaģents - negatīva kontrole monoklonālam reaģentam 0,1ml -0,11 euro izmaksas 1 izmeklējumam *20 izmeklējumi=2,20 euro. 4) Pastēra pipete 3,5ml 1gb. -0,051 euro*20=1,02 euro. </t>
    </r>
    <r>
      <rPr>
        <b/>
        <sz val="9"/>
        <rFont val="Times New Roman"/>
        <family val="1"/>
        <charset val="186"/>
      </rPr>
      <t>2.</t>
    </r>
    <r>
      <rPr>
        <sz val="9"/>
        <rFont val="Times New Roman"/>
        <family val="1"/>
        <charset val="186"/>
      </rPr>
      <t xml:space="preserve">Izdevumi kopā 9,22 euro (3,00+3,00+2,20+1,02). </t>
    </r>
    <r>
      <rPr>
        <b/>
        <sz val="9"/>
        <rFont val="Times New Roman"/>
        <family val="1"/>
        <charset val="186"/>
      </rPr>
      <t>Ar PVN 21% -  11,16 euro.</t>
    </r>
  </si>
  <si>
    <r>
      <rPr>
        <b/>
        <sz val="9"/>
        <rFont val="Times New Roman"/>
        <family val="1"/>
        <charset val="186"/>
      </rPr>
      <t xml:space="preserve"> 3. A antigēna apakšgrupas noteikšana ar lektīniem, stobriņu metode 16,01 euro,</t>
    </r>
    <r>
      <rPr>
        <sz val="9"/>
        <rFont val="Times New Roman"/>
        <family val="1"/>
        <charset val="186"/>
      </rPr>
      <t xml:space="preserve"> tai skaitā:</t>
    </r>
    <r>
      <rPr>
        <b/>
        <sz val="9"/>
        <rFont val="Times New Roman"/>
        <family val="1"/>
        <charset val="186"/>
      </rPr>
      <t xml:space="preserve"> 1)</t>
    </r>
    <r>
      <rPr>
        <sz val="9"/>
        <rFont val="Times New Roman"/>
        <family val="1"/>
        <charset val="186"/>
      </rPr>
      <t xml:space="preserve"> Anti A1 lektīns 0,1ml - 0,699 euro*5 izmeklējumi=3,495 euro. 2)Anti H lektīns 0,1ml -1,819 euro*5 izmeklējumi=9,095 euro. 3)Mēģenes ar apaļu pamatni  1 gb. - 0,0122 euro *2gb.=0,0244 euro*5 izmeklējumi=0,12 euro. 4)Pastēra pipetes 3,5 ml sterilas 2 gb. - 0,102 euro* 5 izmeklējumi=0,51 euro</t>
    </r>
    <r>
      <rPr>
        <b/>
        <sz val="9"/>
        <rFont val="Times New Roman"/>
        <family val="1"/>
        <charset val="186"/>
      </rPr>
      <t>.</t>
    </r>
    <r>
      <rPr>
        <sz val="9"/>
        <rFont val="Times New Roman"/>
        <family val="1"/>
        <charset val="186"/>
      </rPr>
      <t xml:space="preserve"> 3.Kopā  13,23 euro (3,50+9,10+0,12+0,51).</t>
    </r>
    <r>
      <rPr>
        <b/>
        <sz val="9"/>
        <rFont val="Times New Roman"/>
        <family val="1"/>
        <charset val="186"/>
      </rPr>
      <t xml:space="preserve"> Ar PVN 21% - 16,01 euro.</t>
    </r>
  </si>
  <si>
    <r>
      <rPr>
        <b/>
        <sz val="9"/>
        <rFont val="Times New Roman"/>
        <family val="1"/>
        <charset val="186"/>
      </rPr>
      <t xml:space="preserve">4.Antieritrocitāro antivielu skrīnings ar gelkaršu metodi 30,40 euro, </t>
    </r>
    <r>
      <rPr>
        <sz val="9"/>
        <rFont val="Times New Roman"/>
        <family val="1"/>
        <charset val="186"/>
      </rPr>
      <t xml:space="preserve">tai skaitā:1) Gelkarte Liss/Coombs 0,5 gb.-3,34 euro*6 izmeklējumi=20,04 euro. 2)0,8% Standarteritrocīti ID-Dia Cell I-II-III 0,15ml- 0,694 euro*6 izmeklējumi = 4,16 euro. 3) Mēģene ar apaļu pamatni 1 gb. - 0,0122 euro*6 izmeklējumi= 0,0732 euro. 4)Pastēra pipete 3,5ml 1gb. -0,051 euro*6 izmeklējumi=0,306 euro 5) FT 9400230 0,5ml-250 uL uzgaļi 1 gb.- 0,03 euro*3 gab.*6 izmeklējumi=0,54 euro. 4.Kopā 25,12 euro (20,04+4,16+0,07+0,31+0,54). </t>
    </r>
    <r>
      <rPr>
        <b/>
        <sz val="9"/>
        <rFont val="Times New Roman"/>
        <family val="1"/>
        <charset val="186"/>
      </rPr>
      <t>Ar PVN 21% - 30,40 euro.</t>
    </r>
  </si>
  <si>
    <r>
      <rPr>
        <b/>
        <sz val="9"/>
        <rFont val="Times New Roman"/>
        <family val="1"/>
        <charset val="186"/>
      </rPr>
      <t>5.Direktais antiglobulīna tests 8,66 euro,</t>
    </r>
    <r>
      <rPr>
        <sz val="9"/>
        <rFont val="Times New Roman"/>
        <family val="1"/>
        <charset val="186"/>
      </rPr>
      <t xml:space="preserve"> tai skaitā: 1) Gelkarte Liss/Coombs-1/6 daļa. 5,52 euro*1/6 =0,92 euro*6 izmeklējumi=5,52 euro. 2)Diluents-2 0,5ml-0,15 euro izmaksas 1 izmeklējumam*6 izmeklējumi=0,90 euro. 3)Mēģene ar apaļu pamatni 1 gb. - 0,0122 euro*6 izmeklējumi= 0,0732 euro. 4)FT 9400230 0,5-250 uL uzgaļi 1 gb.- 0,03 euro*2 gb. *6 izmeklējumi = 0,36 euro. 5) Pastēra pipete 3,5ml 1gb. -0,051 euro*6 izmeklējumi =0,306 euro.    5.Kopā   7,16 euro (5,52+0,90+0,07+0,36+0,31). </t>
    </r>
    <r>
      <rPr>
        <b/>
        <sz val="9"/>
        <rFont val="Times New Roman"/>
        <family val="1"/>
        <charset val="186"/>
      </rPr>
      <t>Ar PVN 21%- 8,66 euro.</t>
    </r>
  </si>
  <si>
    <r>
      <rPr>
        <b/>
        <sz val="9"/>
        <rFont val="Times New Roman"/>
        <family val="1"/>
        <charset val="186"/>
      </rPr>
      <t>6.Direktā antiglobulīna testa diferencēšana 5,25 euro,</t>
    </r>
    <r>
      <rPr>
        <sz val="9"/>
        <rFont val="Times New Roman"/>
        <family val="1"/>
        <charset val="186"/>
      </rPr>
      <t xml:space="preserve"> tai skaitā:  1)Karte DAT Screening 2-0,5 gb.- 4,07 euro*1 izmeklējums= 4,07 euro. 2)Diluents 2 0,5ml- 0,15 euro *1 izmeklējums =0,15 euro. 3) Mēģene ar apaļu pamatni 1 gb. - 0,0122 euro*1 izmeklējums= 0,0122 euro. 4) Pastēra pipete 3,5ml 1gb. -0,051 euro. 5) FT 9400230 0,5-250 uL uzgaļi 1 gb.- 0,03 euro*2 gb.*1 izmeklējums = 0,06 euro.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6.Kopā  4,34 euro (4,07+0,15+0,01+0,05+0,06). </t>
    </r>
    <r>
      <rPr>
        <b/>
        <sz val="9"/>
        <rFont val="Times New Roman"/>
        <family val="1"/>
        <charset val="186"/>
      </rPr>
      <t>Ar PVN 21%- 5,25 euro.</t>
    </r>
  </si>
  <si>
    <r>
      <rPr>
        <b/>
        <sz val="9"/>
        <rFont val="Times New Roman"/>
        <family val="1"/>
        <charset val="186"/>
      </rPr>
      <t xml:space="preserve">7.Autokontrole 37°C IAT 2,88 euro, </t>
    </r>
    <r>
      <rPr>
        <sz val="9"/>
        <rFont val="Times New Roman"/>
        <family val="1"/>
        <charset val="186"/>
      </rPr>
      <t xml:space="preserve">tai skaitā: 1)Gelkarte Liss/Coombs-1/6 daļa.  0,92 euro *2 izmeklējumi = 1,84 euro. 2)  Diluents 2 0,5ml-0,15 euro*2 izmeklējumi=0,30 euro. 3) Mēģene ar apaļu pamatni 1 gb. - 0,0122 euro *2 izmeklējumi=0,02 euro. 4) Pastēra pipete 3,5ml 1gb. -0,051 euro*2 izmeklējumi=0,102 euro. 5)  FT 9400230 0,5-250 uL uzgaļi 1 gb.- 0,03 euro*2 gb.*2 izmeklējumi=0,12 euro. 7.Kopā 2,38 euro (1,84+0,30+0,02+0,102+0,12). </t>
    </r>
    <r>
      <rPr>
        <b/>
        <sz val="9"/>
        <rFont val="Times New Roman"/>
        <family val="1"/>
        <charset val="186"/>
      </rPr>
      <t>Ar PVN 21%- 2,88 euro.</t>
    </r>
  </si>
  <si>
    <r>
      <rPr>
        <b/>
        <sz val="9"/>
        <rFont val="Times New Roman"/>
        <family val="1"/>
        <charset val="186"/>
      </rPr>
      <t>8.Asins saderības izmeklēšana 7,08 euro,</t>
    </r>
    <r>
      <rPr>
        <sz val="9"/>
        <rFont val="Times New Roman"/>
        <family val="1"/>
        <charset val="186"/>
      </rPr>
      <t xml:space="preserve"> tai skaitā: 1)Anti A monoklonālais reaģents 0,1ml-0,08 euro izmaksas 1 izmeklējumam. 0,2ml=2*0,08 euro=0,16 euro *4 izmeklējumi =0,64 euro. 2) Anti B monoklonālais reaģents 0,1ml-0,08 euro izmaksas 1 izmeklējumam. 0,2ml=2*0,08 euro=0,16 euro*4 izmeklējumi=0,64 euro.3) Gelkarte Liss/Coombs-1/6 daļa -0,92 euro*4 izmeklējumi=3,68 euro. 4) Diluents-2 0,5ml - 0,15 euro izmaksas 1 izmeklējumam*4 izmeklējumi=0,60 euro. 5) Mēģene ar apaļu pamatni 1 gb. - 0,0122 euro*4 izmeklējumi =0,05 euro. 6) FT 9400230 0,5-250 uL uzgaļi 1 gb.- 0,03 euro*2 gb.*4 izmeklējumi=0,24 euro. 8.Kopā  5,85 euro (0,64+0,64+3,68+0,60+0,05+0,24). </t>
    </r>
    <r>
      <rPr>
        <b/>
        <sz val="9"/>
        <rFont val="Times New Roman"/>
        <family val="1"/>
        <charset val="186"/>
      </rPr>
      <t>Ar PVN 21%- 7,08 euro.</t>
    </r>
  </si>
  <si>
    <r>
      <rPr>
        <b/>
        <sz val="9"/>
        <rFont val="Times New Roman"/>
        <family val="1"/>
        <charset val="186"/>
      </rPr>
      <t xml:space="preserve"> 9.Asins grupas un Rh(D) pazīmes noteikšana ar gelkaršu metodi 10,19 euro, </t>
    </r>
    <r>
      <rPr>
        <sz val="9"/>
        <rFont val="Times New Roman"/>
        <family val="1"/>
        <charset val="186"/>
      </rPr>
      <t xml:space="preserve">tai skaitā: 1) karte Dia Clon ABO/D (VI)+apgrieztā reakcija 1 gb.- 3,48 euro*2 izmeklējumi= 6,96 euro. 2)  Diluents-2 0,5ml - 0,15 euro izmaksas 1 izmeklējumam *2 izmeklējumi=0,30 euro. 3) Mēģene ar apaļu pamatni 1 gb. - 0,0122 euro *2 gb. *2 izmeklējumi=0,05 euro.4) FT 250 Universal 0,5-250 uL uzgaļi 1 gb.- 0,03 euro*4 gb.*2 izmeklējumi=0,24 euro. 5) 5% Standarteritrocītu komplekts ABO asins rupas noteikšanai ar apgriezto reakciju A1;B (Hematest)  -0,1ml -0,387 euro *2 izmeklējumi= 0,774 euro. 6) Pastēra pipete 3,5ml 1gb. -0,051 euro *2 izmeklējumi=0,102 euro.  9.Kopā 8,42 euro (6,96+0,30+0,05+0,24+0,77+0,10).  </t>
    </r>
    <r>
      <rPr>
        <b/>
        <sz val="9"/>
        <rFont val="Times New Roman"/>
        <family val="1"/>
        <charset val="186"/>
      </rPr>
      <t>Ar PVN 21%- 10,19 euro.</t>
    </r>
  </si>
  <si>
    <r>
      <rPr>
        <b/>
        <sz val="9"/>
        <rFont val="Times New Roman"/>
        <family val="1"/>
        <charset val="186"/>
      </rPr>
      <t xml:space="preserve">10.Asins grupas un Rh (D) pazīmes noteikšana ar gelkaršu metodi 9,10 euro, </t>
    </r>
    <r>
      <rPr>
        <sz val="9"/>
        <rFont val="Times New Roman"/>
        <family val="1"/>
        <charset val="186"/>
      </rPr>
      <t xml:space="preserve">tai skaitā:  1)karte Dia Clon ABO/D+Dat 1 gb., 3,46 euro*2 izmeklējumi=6,92 euro.  2)Diluents-2 0,5ml - 0,15 euro izmaksas 1 izmeklējumam *2 izmeklējumi=0,30 euro.3) Mēģene ar apaļu pamatni 1 gb. - 0,0122 euro*2 izmeklējumi=0,02 euro. 4) FT 9400230 0,5-250 uL uzgaļi 1 gb.- 0,03 euro*3 gab.*2 izmeklējumi=0,18 euro. 5)Pastēra pipete 3,5ml 1gb. -0,051 euro*2 izmeklējumi=0,102 euro. 10.Kopā 7,52 euro (6,92+0,30+0,02+0,18+0,10). </t>
    </r>
    <r>
      <rPr>
        <b/>
        <sz val="9"/>
        <rFont val="Times New Roman"/>
        <family val="1"/>
        <charset val="186"/>
      </rPr>
      <t>Ar PVN 21%- 9,10 euro.</t>
    </r>
  </si>
  <si>
    <r>
      <rPr>
        <b/>
        <sz val="9"/>
        <rFont val="Times New Roman"/>
        <family val="1"/>
        <charset val="186"/>
      </rPr>
      <t>11.Rh-Kell  fenotipa noteikšana ar gelkaršu metodi 21,16 euro, tai skaitā: 1)</t>
    </r>
    <r>
      <rPr>
        <sz val="9"/>
        <rFont val="Times New Roman"/>
        <family val="1"/>
        <charset val="186"/>
      </rPr>
      <t xml:space="preserve"> Gelkarte Diaclon Subgroup+K 1gb.-4,12 euro*4 izmeklējumi=16,48 euro. 2)Diluents-2 0,5ml - 0,15 euro izmaksas 1 izmeklējumam * 4 izmeklējumi= 0,60 euro. 3) Mēģene ar apaļu pamatni 1 gb. - 0,0122 euro*4=0,05 euro. 4) FT 9400230 0,5-250 uL uzgaļi 1 gb.- 0,03 euro*3 gb.*4 izmeklējumi=0,36 euro. 11.Kopā 17,49 euro (16,48+0,60+0,05+0,36). </t>
    </r>
    <r>
      <rPr>
        <b/>
        <sz val="9"/>
        <rFont val="Times New Roman"/>
        <family val="1"/>
        <charset val="186"/>
      </rPr>
      <t>Ar PVN 21%- 21,16 euro.</t>
    </r>
  </si>
  <si>
    <r>
      <rPr>
        <b/>
        <sz val="9"/>
        <rFont val="Times New Roman"/>
        <family val="1"/>
        <charset val="186"/>
      </rPr>
      <t xml:space="preserve">12.Dw antigēna noteikšana ar IAT 3,24 euro, </t>
    </r>
    <r>
      <rPr>
        <sz val="9"/>
        <rFont val="Times New Roman"/>
        <family val="1"/>
        <charset val="186"/>
      </rPr>
      <t>tai skaitā: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 1)Gelkarte Liss/Coombs-1/6 daļa -0,92 euro*2 izmeklējumi=1,84 euro. 2)Anti DIgG reaģenti  1 izmeklējumam 0,05ml - 0,20 euro * 2 izmeklējumi = 0,40 euro. 3) Diluents-2 0,5ml - 0,15 euro izmaksas 1 izmeklējumam*2 izmeklējumi=0,30 euro. 4)Mēģene ar apaļu pamatni 1 gb. - 0,0122 euro *2 izmeklējumi = 0,02 euro. 5) FT 9400230 0,5-250 uL uzgaļi 1 gb.- 0,03 euro *2 gb. *2 izmeklējumi= 0,12 euro. 12.Kopā 2,68  euro (1,84+0,40+0,30+0,02+0,12). </t>
    </r>
    <r>
      <rPr>
        <b/>
        <sz val="9"/>
        <rFont val="Times New Roman"/>
        <family val="1"/>
        <charset val="186"/>
      </rPr>
      <t>Ar PVN 21%- 3,24 euro.</t>
    </r>
  </si>
  <si>
    <r>
      <rPr>
        <b/>
        <sz val="9"/>
        <rFont val="Times New Roman"/>
        <family val="1"/>
        <charset val="186"/>
      </rPr>
      <t>13. Fizioloģiskā šķīguma aizvietošanas tehnika apgrieztās reakcijas noteikšanai 0,08 euro</t>
    </r>
    <r>
      <rPr>
        <sz val="9"/>
        <rFont val="Times New Roman"/>
        <family val="1"/>
        <charset val="186"/>
      </rPr>
      <t xml:space="preserve">, tai skaitā : 1)Mēģene ar apaļu pamatni 1 gb. - 0,0122 euro*6 gb.*1 izmeklējums= </t>
    </r>
    <r>
      <rPr>
        <b/>
        <sz val="9"/>
        <rFont val="Times New Roman"/>
        <family val="1"/>
        <charset val="186"/>
      </rPr>
      <t>0,07 euro</t>
    </r>
    <r>
      <rPr>
        <sz val="9"/>
        <rFont val="Times New Roman"/>
        <family val="1"/>
        <charset val="186"/>
      </rPr>
      <t xml:space="preserve">. </t>
    </r>
    <r>
      <rPr>
        <b/>
        <sz val="9"/>
        <rFont val="Times New Roman"/>
        <family val="1"/>
        <charset val="186"/>
      </rPr>
      <t>Ar PVN 21%- 0,08 euro.</t>
    </r>
  </si>
  <si>
    <r>
      <t xml:space="preserve"> </t>
    </r>
    <r>
      <rPr>
        <b/>
        <sz val="9"/>
        <rFont val="Times New Roman"/>
        <family val="1"/>
        <charset val="186"/>
      </rPr>
      <t xml:space="preserve">14.Antieritrocitāro antivielu titrēšana 17,16 euro, </t>
    </r>
    <r>
      <rPr>
        <sz val="9"/>
        <rFont val="Times New Roman"/>
        <family val="1"/>
        <charset val="186"/>
      </rPr>
      <t xml:space="preserve">tai skaitā:  1) Gelkarte Liss Coombs 2 gb. - 5,52*2 gb.=11,04 euro. 2)  Mēģene ar apaļu pamatni 1 gb. - 0,0122 euro*12 gb. *1 izmeklējums=0,15 euro. 3) FT 250 Universal 0,5-250 uL uzgaļi 1 gb.- 0,03 euro*13 gb.*1 izmeklējums= 0,39 euro. 4) NaCL fizioloģiskais šķīdums 6 ml -0,01 euro. 5)Eritrocīti no panel Diamed (Panelis) ID - DiaPanel 0,6ml -2,59 euro    14.Kopā  14,18 euro (11,04+0,15+0,39+0,01+2,59).   </t>
    </r>
    <r>
      <rPr>
        <b/>
        <sz val="9"/>
        <rFont val="Times New Roman"/>
        <family val="1"/>
        <charset val="186"/>
      </rPr>
      <t xml:space="preserve"> Ar PVN 21%- 17,16 euro.</t>
    </r>
  </si>
  <si>
    <r>
      <rPr>
        <b/>
        <sz val="9"/>
        <rFont val="Times New Roman"/>
        <family val="1"/>
        <charset val="186"/>
      </rPr>
      <t>15.Nepieciešamie materiāli 17,87 euro</t>
    </r>
    <r>
      <rPr>
        <sz val="9"/>
        <rFont val="Times New Roman"/>
        <family val="1"/>
        <charset val="186"/>
      </rPr>
      <t xml:space="preserve">, tai skaitā:  1)Vienreizēji lietojams halāts, 1gab., cena 1,14 euro*1gab.*6 dienas= 6,84 euro. 2)Vienreizējās lietošanas cimdi, pāris - 0,049 euro*1 pāris*6 dienas= 0,29 euro. 3)  Vienreizlietojama plakne Nacryl- 3,26 euro*2 gb.*1 izmeklējums=6,52 euro.   4)Dezinfekcijas līdzeklis 1 proced.-0,0159 euro*6 dienas=0,095 euro. 5)Bahilas 0,17 euro*1 pāris*6 dienas=1,02 euro  15.Kopā  14,77 euro (6,84+0,29+6,52+0,095+1,02).  </t>
    </r>
    <r>
      <rPr>
        <b/>
        <sz val="9"/>
        <rFont val="Times New Roman"/>
        <family val="1"/>
        <charset val="186"/>
      </rPr>
      <t xml:space="preserve"> Ar PVN 21%- 17,87 euro. </t>
    </r>
    <r>
      <rPr>
        <sz val="9"/>
        <rFont val="Times New Roman"/>
        <family val="1"/>
        <charset val="186"/>
      </rPr>
      <t xml:space="preserve">                                                                                                       </t>
    </r>
    <r>
      <rPr>
        <b/>
        <sz val="9"/>
        <rFont val="Times New Roman"/>
        <family val="1"/>
        <charset val="186"/>
      </rPr>
      <t>Kopā vienam dalībniekam ar PVN 21%- 193,42 euro (33,18+11,16+16,01+30,40+8,66+5,25+2,88+7,08+10,19+9,10+21,16+3,24+0,08+17,16+17,87).</t>
    </r>
  </si>
  <si>
    <r>
      <t xml:space="preserve">Maksas pakalpojuma veids: </t>
    </r>
    <r>
      <rPr>
        <sz val="9"/>
        <rFont val="Times New Roman"/>
        <family val="1"/>
        <charset val="186"/>
      </rPr>
      <t>1.5.Kursi "Imūnhematoloģija kvalifikācijas uzturēšanai" (16 akadēmiskās stundas)</t>
    </r>
  </si>
  <si>
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13,48 euro/stundā: 10 dalībnieki = 1,35 euro/stundā. Lekcijas teorija 15 akadēmiskās stundas *45min/60min=11,25 stundas * 1,35 euro/ stundā = 15,19 euro.   Praktiskais, pastāvīgais darbs 1 akadēmiskās stundas *45min/60min=0,75 stundas *1,35 euro/stundā = 1,01 euro. Lektoru sagatavošanās kursiem, informatīvā materiāla aktualizēšana 1x gadā; sertifikātu izrakstīšana 90min/60min=1,5 stundas *1,35 euro/stundā = 2,03 euro *11,25 stundas=22,84 euro. Kopā= 15,19 euro +1,01 euro+22,84 euro= 39,04 euro.</t>
  </si>
  <si>
    <r>
      <t xml:space="preserve">Maksas pakalpojuma veids: </t>
    </r>
    <r>
      <rPr>
        <sz val="9"/>
        <rFont val="Times New Roman"/>
        <family val="1"/>
        <charset val="186"/>
      </rPr>
      <t>1.4.Kursi "Imūnhematoloģijas pamati" (70 akadēmiskās stundas, 40 vebinārs+30 praktiskās)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</si>
  <si>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5,84 euro</t>
    </r>
    <r>
      <rPr>
        <sz val="9"/>
        <rFont val="Times New Roman"/>
        <family val="1"/>
        <charset val="186"/>
      </rPr>
      <t>, tai skaitā: 1) vienreizējās lietošanas cimdi, pāris - 0,0486euro; 2) dezinfekcijas līdzeklis 1 proced.- 0,0159 euro; 3) mēģene ar apaļu pamatni 3 gb.- 0,0122 euro; 4) Pastēra pipetes 3,5 ml sterilas 3 gb.- 0,051 euro; 5) Dia Cidel komplekts 0,5 gb.- 4,53 euro; 6) bahilas-0,17 euro. Izdevumi kopā: 0,0487+0,0159+0,0122+0,051+4,53+0,17=4,828 euro. Izdevumi ar PVN 21%- 5,84 euro. Gadā plānots 5*5,84 euro =29,20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</si>
  <si>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5,50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proced.- 0,0159 euro; 3) mēģene ar apaļu pamatni 1 gb. - 0,0122 euro; 4) Pastēra pipete 3,5 ml sterila 1 gb.- 0,051 euro;5)FT 9400230 uzgaļi 0,5-250 uL 1 gb. - 0,03 euro 6) Karte DAT Screening 2- 0,5 gb.- 4,07 euro; 7) Diluents- 2 0,5 ml - 0,15 euro: 8) bahilas-0,17 euro. Izdevumi kopā: 0,0486+0,0159+0,0122+0,051+ 0,03+4,07+0,15+0,17=4,548 euro. Izdevumi ar PVN 21%- 5,50 euro. Gadā plānots 5 * 5,50 euro =27,50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</si>
  <si>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1,71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 gb.- 0,0122 euro; 4) Pastēra pipete 3,5 ml sterila 1 gb. - 0,051 euro; 5) FT 9400230 uzgaļi 0,5-250 uL 1 gb. - 0,03 euro; 6) Karte Liss/Coombs 0,17 gb.- 0,938 euro; 7) Diluents - 2  0,5 ml.- 0,15 euro; 8) bahilas-0,17 euro. Izdevumi kopā: 0,0486+0,0159+0,0122+ 0,051+0,03+0,938+0,15+0,17=1,4157 euro. Izdevumi ar PVN 21%- 1,71 euro. Gadā plānots 34 * 1,43 euro =48,62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</si>
  <si>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20 * 2,11 euro =42,20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</si>
  <si>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5* 23,80 euro =119,00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</si>
  <si>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 5 * 14,93 euro = 74,65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</si>
  <si>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5 *17,47 euro =87,35 euro.</t>
    </r>
  </si>
  <si>
    <r>
      <t>1 izmeklējuma veikšanai nepieciešams 4,65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ml- 0,694 euro; 3) dezinfekcijas līdzeklis 1 proced. -  0,0159 euro; 4) vienreizējās lietošanas cimdi, pāris - 0,0486 euro; 5) mēģene ar apaļu pamatni 1 gb - 0,0122 euro; 6)  Pastēra pipete 3,5 ml sterila 1 gb.-  0,051 euro; 7) FT 9400230  uzgaļi 0,5-250 uL 3 gb.- 0,09 euro; 8)  bahilas-0,17 euro. Izdevumi kopā: 2,76+0,694+0,0159+0,0486+0,0122+0,051+0,09+0,17= 3,842 euro. Izdevumi ar PVN 21%- 4,65 euro. Gadā plānots 5 * 4,65 euro = 23,25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</si>
  <si>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5 * 5,50 euro = 27,50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</si>
  <si>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5 * 0,66 euro =3,30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</si>
  <si>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5 * 5,04 euro= 25,20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</si>
  <si>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5* 1,94 euro =9,70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</si>
  <si>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1,71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 gb.- 0,0122 euro; 4) Pastēra pipete 3,5 ml sterila 1 gb. - 0,051 euro; 5) FT 9400230 uzgaļi 0,5-250 uL 1 gb. - 0,03 euro; 6) Karte Liss/Coombs 0,17 gb.- 0,938 euro; 7) Diluents - 2  0,5 ml.- 0,15 euro; 8) bahilas-0,17 euro. Izdevumi kopā: 0,0486+0,0159+0,0122+ 0,051+0,03+0,938+0,15+0,17=1,4157 euro. Izdevumi ar PVN 21%- 1,71 euro. Gadā plānots 5 * 1,71 euro =8,55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</si>
  <si>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200 * 2,11 euro =422,00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</si>
  <si>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5 * 23,80 euro =119,0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</si>
  <si>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 10 * 14,93 euro = 149,30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</si>
  <si>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10 *17,47 euro =174,70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</si>
  <si>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10 * 5,50 euro =55,00euro.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</si>
  <si>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5* 0,66 euro =3,30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</si>
  <si>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80 * 5,04 euro= 403,20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</si>
  <si>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5 * 1,94 euro = 9,70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</si>
  <si>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30 * 2,11 euro =63,30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</si>
  <si>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5 * 23,80 euro =119,20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</si>
  <si>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10 * 5,50 euro = 55,00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</si>
  <si>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10 * 5,04 euro= 50,40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</si>
  <si>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5 * 1,94 euro =9,70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</si>
  <si>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1,71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 gb.- 0,0122 euro; 4) Pastēra pipete 3,5 ml sterila 1 gb. - 0,051 euro; 5) FT 9400230 uzgaļi 0,5-250 uL 1 gb. - 0,03 euro; 6) Karte Liss/Coombs 0,17 gb.- 0,938 euro; 7) Diluents - 2  0,5 ml.- 0,15 euro; 8) bahilas-0,17 euro. Izdevumi kopā: 0,0486+0,0159+0,0122+ 0,051+0,03+0,938+0,15+0,17=1,4157 euro. Izdevumi ar PVN 21%- 1,71 euro. Gadā plānots10 * 1,71 euro =17,10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</si>
  <si>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5 * 23,80 euro =119,00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</si>
  <si>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 50 * 14,93 euro =746,50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</si>
  <si>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50 *17,47 euro =873,50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</si>
  <si>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50 * 5,50 euro = 275,00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</si>
  <si>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80 * 5,04 euro= 252,00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</si>
  <si>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60 * 2,11 euro =126,00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</si>
  <si>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20 * 23,72 euro =476,00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</si>
  <si>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plānots20 * 14,93 euro = 298,60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</si>
  <si>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20 *17,47 euro =349,40 euro.</t>
    </r>
  </si>
  <si>
    <r>
      <t>1 izmeklējuma veikšanai nepieciešams 4,65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ml- 0,694 euro; 3) dezinfekcijas līdzeklis 1 proced. -  0,0159 euro; 4) vienreizējās lietošanas cimdi, pāris - 0,0486 euro; 5) mēģene ar apaļu pamatni 1 gb - 0,0122 euro; 6)  Pastēra pipete 3,5 ml sterila 1 gb.-  0,051 euro; 7) FT 9400230  uzgaļi 0,5-250 uL 3 gb.- 0,09 euro; 8)  bahilas-0,17 euro. Izdevumi kopā: 2,76+0,694+0,0159+0,0486+0,0122+0,051+0,09+0,17= 3,842 euro. Izdevumi ar PVN 21%- 4,65 euro. Gadā plānots 7* 4,65 euro = 32,55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</si>
  <si>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20 * 5,50 euro = 110,00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</si>
  <si>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7 * 0,66 euro =4,62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</si>
  <si>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20 * 5,04 euro=100,80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</si>
  <si>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7 * 1,94 euro = 13,58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</si>
  <si>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5,84 euro</t>
    </r>
    <r>
      <rPr>
        <sz val="9"/>
        <rFont val="Times New Roman"/>
        <family val="1"/>
        <charset val="186"/>
      </rPr>
      <t>, tai skaitā: 1) vienreizējās lietošanas cimdi, pāris - 0,0486euro; 2) dezinfekcijas līdzeklis 1 proced.- 0,0159 euro; 3) mēģene ar apaļu pamatni 3 gb.- 0,0122 euro; 4) Pastēra pipetes 3,5 ml sterilas 3 gb.- 0,051 euro; 5) Dia Cidel komplekts 0,5 gb.- 4,53 euro; 6) bahilas-0,17 euro. Izdevumi kopā: 0,0487+0,0159+0,0122+0,051+4,53+0,17=4,828 euro. Izdevumi ar PVN 21%- 5,84 euro. Gadā plānots 7*5,84 euro =40,88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</si>
  <si>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5,50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proced.- 0,0159 euro; 3) mēģene ar apaļu pamatni 1 gb. - 0,0122 euro; 4) Pastēra pipete 3,5 ml sterila 1 gb.- 0,051 euro;5)FT 9400230 uzgaļi 0,5-250 uL 1 gb. - 0,03 euro 6) Karte DAT Screening 2- 0,5 gb.- 4,07 euro; 7) Diluents- 2 0,5 ml - 0,15 euro: 8) bahilas-0,17 euro. Izdevumi kopā: 0,0486+0,0159+0,0122+0,051+ 0,03+4,07+0,15+0,17=4,548 euro. Izdevumi ar PVN 21%- 5,50 euro. Gadā plānots 10 * 5,50 euro =55,00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</si>
  <si>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1,71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 gb.- 0,0122 euro; 4) Pastēra pipete 3,5 ml sterila 1 gb. - 0,051 euro; 5) FT 9400230 uzgaļi 0,5-250 uL 1 gb. - 0,03 euro; 6) Karte Liss/Coombs 0,17 gb.- 0,938 euro; 7) Diluents - 2  0,5 ml.- 0,15 euro; 8) bahilas-0,17 euro. Izdevumi kopā: 0,0486+0,0159+0,0122+ 0,051+0,03+0,938+0,15+0,17=1,4157 euro. Izdevumi ar PVN 21%- 1,71 euro. Gadā plānots 10 * 1,71 euro =17,10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</si>
  <si>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200* 2,11 euro = 422,00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</si>
  <si>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7 * 23,80 euro =166,60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</si>
  <si>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 895 * 14,93 euro = 13362,35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</si>
  <si>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80 *17,47 euro =1397,60 euro.</t>
    </r>
  </si>
  <si>
    <r>
      <t>1 izmeklējuma veikšanai nepieciešams 4,65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ml- 0,694 euro; 3) dezinfekcijas līdzeklis 1 proced. -  0,0159 euro; 4) vienreizējās lietošanas cimdi, pāris - 0,0486 euro; 5) mēģene ar apaļu pamatni 1 gb - 0,0122 euro; 6)  Pastēra pipete 3,5 ml sterila 1 gb.-  0,051 euro; 7) FT 9400230  uzgaļi 0,5-250 uL 3 gb.- 0,09 euro; 8)  bahilas-0,17 euro. Izdevumi kopā: 2,76+0,694+0,0159+0,0486+0,0122+0,051+0,09+0,17= 3,842 euro. Izdevumi ar PVN 21%- 4,65 euro. Gadā plānots 30 * 4,65 euro = 139,50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</si>
  <si>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60 * 5,50 euro = 330,00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</si>
  <si>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30 * 0,66 euro =19,80 euro. 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</si>
  <si>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30 * 1,94 euro = 58,20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</si>
  <si>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5,84 euro</t>
    </r>
    <r>
      <rPr>
        <sz val="9"/>
        <rFont val="Times New Roman"/>
        <family val="1"/>
        <charset val="186"/>
      </rPr>
      <t>, tai skaitā: 1) vienreizējās lietošanas cimdi, pāris - 0,0486euro; 2) dezinfekcijas līdzeklis 1 proced.- 0,0159 euro; 3) mēģene ar apaļu pamatni 3 gb.- 0,0122 euro; 4) Pastēra pipetes 3,5 ml sterilas 3 gb.- 0,051 euro; 5) Dia Cidel komplekts 0,5 gb.- 4,53 euro; 6) bahilas-0,17 euro. Izdevumi kopā: 0,0487+0,0159+0,0122+0,051+4,53+0,17=4,828 euro. Izdevumi ar PVN 21%- 5,84 euro. Gadā plānots 20*5,84 euro =116,80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</si>
  <si>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5,50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proced.- 0,0159 euro; 3) mēģene ar apaļu pamatni 1 gb. - 0,0122 euro; 4) Pastēra pipete 3,5 ml sterila 1 gb.- 0,051 euro;5)FT 9400230 uzgaļi 0,5-250 uL 1 gb. - 0,03 euro 6) Karte DAT Screening 2- 0,5 gb.- 4,07 euro; 7) Diluents- 2 0,5 ml - 0,15 euro: 8) bahilas-0,17 euro. Izdevumi kopā: 0,0486+0,0159+0,0122+0,051+ 0,03+4,07+0,15+0,17=4,548 euro. Izdevumi ar PVN 21%- 5,50 euro. Gadā plānots 100 * 5,50 euro =550,00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</si>
  <si>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1,71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 gb.- 0,0122 euro; 4) Pastēra pipete 3,5 ml sterila 1 gb. - 0,051 euro; 5) FT 9400230 uzgaļi 0,5-250 uL 1 gb. - 0,03 euro; 6) Karte Liss/Coombs 0,17 gb.- 0,938 euro; 7) Diluents - 2  0,5 ml.- 0,15 euro; 8) bahilas-0,17 euro. Izdevumi kopā: 0,0486+0,0159+0,0122+ 0,051+0,03+0,938+0,15+0,17=1,4157 euro. Izdevumi ar PVN 21%- 1,71 euro. Gadā plānots 20 * 1,71 euro =34,20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</si>
  <si>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400 * 2,11 euro = 844,00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</si>
  <si>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20 * 23,80 euro =476,00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</si>
  <si>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 100 * 14,93 euro = 1493,00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</si>
  <si>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100*17,47 euro =1747,00 euro.</t>
    </r>
  </si>
  <si>
    <r>
      <t>1 izmeklējuma veikšanai nepieciešams 4,65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ml- 0,694 euro; 3) dezinfekcijas līdzeklis 1 proced. -  0,0159 euro; 4) vienreizējās lietošanas cimdi, pāris - 0,0486 euro; 5) mēģene ar apaļu pamatni 1 gb - 0,0122 euro; 6)  Pastēra pipete 3,5 ml sterila 1 gb.-  0,051 euro; 7) FT 9400230  uzgaļi 0,5-250 uL 3 gb.- 0,09 euro; 8)  bahilas-0,17 euro. Izdevumi kopā: 2,76+0,694+0,0159+0,0486+0,0122+0,051+0,09+0,17= 3,842 euro. Izdevumi ar PVN 21%- 4,65 euro. Gadā plānots 60 * 4,65 euro = 93,00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</si>
  <si>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60 * 0,66 euro =39,60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</si>
  <si>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200 * 5,04 euro= 1008,00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</si>
  <si>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20 * 1,94 euro = 38,80 euro.</t>
    </r>
  </si>
  <si>
    <r>
      <t>1 izmeklējuma veikšanai nepieciešams 3,24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skaitā: 1) vienreizējās lietošanas cimdi, pāris - 0,0486 euro; 2) dezinfekcijas līdzeklis 1 proced.- 0,0159 euro; 3) Pastēra pipete 3,5 ml sterila 1 gb.- 0,051 euro; 4) 0,8%standarteritrocīiti  ID-DiaCell ABO 0,15 ml- 0,15 euro; 5) mēģene 21 gab.-0,0122 euro; 6) Karte Na C1 enzyme test (4x12)-2,14 euro; 7) FT 9400230 uzgaļi 0,5-250 ul 3 gb.-0,09 euro;8) bahilas-0,17 euro. Izdevumi kopā: 0,0486+0,0159+0,051+0,15+0,0122+2,14+0,09+0,17=2,678 euro. Izdevumi ar PVN 21%-3,24 euro. Gadā plānots 30*3,24 euro = 97,20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</si>
  <si>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0,83 euro</t>
    </r>
    <r>
      <rPr>
        <sz val="9"/>
        <rFont val="Times New Roman"/>
        <family val="1"/>
        <charset val="186"/>
      </rPr>
      <t>, tai skaitā: 1) vienreizējās lietošanas cimdi, pāris - 0,0486 euro; 2) dezinfekcijas līdzeklis 1 proced.- 0,0159 euro; 3) Pastēra pipete 3,5 ml sterila 3 gb.- 0,153 euro; 4) Na Cl 0,9 % fizioloģiskais šķīdums  24 ml - 0,04 euro; 5) mēģene 21 gab.-0,256 euro; 6) bahilas-0,17 euro. Izdevumi kopā: 0,0486+0,0159+0,153+0,04+0,256+0,17=0,684 euro. Izdevumi ar PVN 21%- 0,83 euro. Gadā plānots 30*0,83 euro = 24,90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</si>
  <si>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30,59 euro</t>
    </r>
    <r>
      <rPr>
        <sz val="9"/>
        <rFont val="Times New Roman"/>
        <family val="1"/>
        <charset val="186"/>
      </rPr>
      <t>, tai skaitā: 1) vienreizējās lietošanas cimdi, pāris - 0,0486 euro; 2) dezinfekcijas līdzeklis 1 proced.- 0,0159euro; 3) mēģene ar apaļu pamatni 21 gb. - 0,2562 euro; 4) Pastēra pipetes 3,5 ml sterila 42 gb - 2,14 euro; 5) 1% papaīna šķīdums ID- Papain 6 ml - 22,50 euro; 6) Na Cl 0,9% fizioloģiskais šķīdums 140 ml - 0,15 euro; 7) bahilas-0,17 euro. Izdevumi kopā: 0,0486+0,0159+0,256+2,14+22,50+0,15+0,17= 25,28 euro. Izdevumi ar PVN 21%- 30,59 euro. Gadā plānots 4 *30,59 euro =214,13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</si>
  <si>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7,42 euro</t>
    </r>
    <r>
      <rPr>
        <sz val="9"/>
        <rFont val="Times New Roman"/>
        <family val="1"/>
        <charset val="186"/>
      </rPr>
      <t>, tai skaitā: 1) vienreizējās lietošanas cimdi, pāris - 0,0486 euro; 2) dezinfekcijas līdzeklis 1 proced.- 0,0159 euro; 3) mēģene ar apaļu pamatni 15 gb.- 0,183 euro; 4) Pastēra pipetes 3,5 ml sterila  28 gb.- 1,428 euro; 5) 20% peg 4000 šķīdums (polietilēnglikols) 3 ml - 4,17 euro; 6) Na Cl 0,9% fizioloģiskais šķīdums 100 ml - 0,11 euro; 7) bahilas-0,17 euro. Izdevumi kopā: 0,0486+0,0159+0,183+1,428+4,17+0,11+0,17=6,126 euro. Izdevumi ar PVN 21%- 7,42 euro. Gadā plānots 7 * 7,42 euro = 51,94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</si>
  <si>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2,30 euro</t>
    </r>
    <r>
      <rPr>
        <sz val="9"/>
        <rFont val="Times New Roman"/>
        <family val="1"/>
        <charset val="186"/>
      </rPr>
      <t>, tai skaitā: 1) vienreizējās lietošanas cimdi, pāris - 0,0486 euro; 2) dezinfekcijas līdzeklis 1 proced.- 0,0159 euro; 3) mēģene ar apaļu pamatni 6 gb.- 0,0732 euro.; 4) Pastēra pipete 3,5 ml  sterila 4 gb.- 0,204 euro; 5) 20% peg 4000 šķīdums (polietilēnglikols) 1 ml - 1,39 euro; 6) bahilas-0,17 euro. Izdevumi kopā: 0,0486+0,0159+0,0732+0,204+1,39+0,17= 1,9017 euro.  Izdevumi ar PVN 21%-2,30 euro. Gadā plānots7 *2,30 euro =16,10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</si>
  <si>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29,44 euro</t>
    </r>
    <r>
      <rPr>
        <sz val="9"/>
        <rFont val="Times New Roman"/>
        <family val="1"/>
        <charset val="186"/>
      </rPr>
      <t>, tai skaitā  1) vienreizējās lietošanas cimdi, pāris- 0,0486 euro; 2) dezinfekcijas līdzeklis 1 proced.-  0,0159 euro; 3) mēģene ar apaļu pamatni 1 gb.- 0,0122 euro; 4) Pastēra pipete 3,5 ml sterila 1 gb.- 0,051euro; 5) FT 9400230 uzgaļi 0,5 -250 uL 1 gb.- 0,03 euro; 6) Karte DAT Screening 1- 1 gb.-23,85 euro; 7) Diluents -2  0,5 ml.- 0,15 euro; 8) bahilas-0,17 euro. Izdevumi kopā: 0,0486+0,0159+0,0122+ 0,051+0,03+23,85+0,15+0,17=24,328 euro. Izdevumi ar PVN 21%- 29,44 euro.Gadā plānots 80 *29,44 =2355,20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</si>
  <si>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0,68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10 gb.- 0,122 euro; 4) Pastēra pipetes 3,5 ml sterilas 4 gb.- 0,204 euro; 5) bahilas-0,17 euro. Izdevumi kopā: 0,0486+0,0159+0,122+0,204+0,17=0,5605 euro. Izdevumi ar PVN 21%- 0,68 euro.  Gadā plānots 20 * 0,68 euro = 13,60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</si>
  <si>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17,24</t>
    </r>
    <r>
      <rPr>
        <sz val="9"/>
        <rFont val="Times New Roman"/>
        <family val="1"/>
        <charset val="186"/>
      </rPr>
      <t xml:space="preserve"> euro, tai skaitā  1) Karte Liss Coombs 2 gb.- 11,04 euro ; 2) Eritrocīti no panel Diamed ( Panelis) ID-DiaPanel 0,6 ml - 2,59 euro; 3) Na Cl fizioloģiskais šķīdums 6 ml. - 0,01 euro; 4) dezinfekcijas līdzeklis 1 proced. -  0,0159 euro; 5) vienreizējās lietošanas cimdi, pāris - 0,0486 euro; 6) mēģene ar apaļu pamatni 12 gb. - 0,0,122 euro; 7) FT 250 Universal 0,5-250 uL 13 gb. - 0,36 euro; 8)bahilas-0,17 euro. Izdevumi kopā: 11,04+2,59+0,01+0,0159+0,0486+0,0122+0,36+0,17=14,247 euro. Izdevumi ar PVN 21%- 17,24 euro.Gadā plānots 200 * 17,24euro= 3448,00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</si>
  <si>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3,68 euro</t>
    </r>
    <r>
      <rPr>
        <sz val="9"/>
        <rFont val="Times New Roman"/>
        <family val="1"/>
        <charset val="186"/>
      </rPr>
      <t>, tai skaitā  1) Karte Na Cl enzyme test (4x12) 0,5 gb - 2,14 euro; 2) 0,8% skrīningeritrocīti ID-Dia Cell I-II-IIIP 0,15 ml - 0,51 euro; 3) dezinfekcijas līdzeklis 1 proced. -  0,0159 euro; 4) vienreizējās lietošanas cimdi, pāris - 0,0486 euro; 5) mēģene ar apaļu pamatni 1 gb - 0,0122 euro; 6) Pastēra pipete 3,5 ml  sterila 1 gb - 0,051 euro; 7) FT 9400230 uzgaļi 0,5-250 uL 3 gb.- 0,09 euro; 8) bahilas-0,17 euro. Izdevumi kopā: 2,14+0,51+0,0159+0,0486+0,0122+0,051+0,09+0,17= 3,038 euro. Izdevumi ar PVN 21%- 3,68 euro. Gadā plānots 100*3,68 euro = 368,0 euro.</t>
    </r>
  </si>
  <si>
    <r>
      <t>1 izmeklējuma veikšanai nepieciešams 69,43</t>
    </r>
    <r>
      <rPr>
        <b/>
        <sz val="9"/>
        <rFont val="Times New Roman"/>
        <family val="1"/>
        <charset val="186"/>
      </rPr>
      <t xml:space="preserve"> euro,</t>
    </r>
    <r>
      <rPr>
        <sz val="9"/>
        <rFont val="Times New Roman"/>
        <family val="1"/>
        <charset val="186"/>
      </rPr>
      <t xml:space="preserve"> tai skaitā: 1) karte Coombs Anti IgG91x12 - 2 kartes -8,58 euro ; 2) Diluents-2 1 ml- 0,30 euro; 3) dezinfekcijas līdzeklis 1 proced. -  0,0159 euro; 4) vienreizējās lietošanas cimdi, pāris - 0,0486 euro; 5) mēģene ar apaļu pamatni  1 gb -0,0122 euro; 6) Pastēra pipete 3,5 ml sterila 1 gb.- 0,051 euro; 7) partial- D Typing set  0,6 ml- 48,20 euro 8) bahilas-0,17 euro. Izdevumi kopā: 8,58+0,30+0,0159+0,0486+0,0122+0,051+48,20+0,17 =57,378 euro. Izdevumi ar PVN 21%- 69,43 euro. Gadā plānots 20*69,43 euro=1388,60 euro.</t>
    </r>
  </si>
  <si>
    <r>
      <t xml:space="preserve">1 izmeklējuma veikšanai nepieciešami </t>
    </r>
    <r>
      <rPr>
        <b/>
        <sz val="9"/>
        <rFont val="Times New Roman"/>
        <family val="1"/>
        <charset val="186"/>
      </rPr>
      <t>16,78 euro</t>
    </r>
    <r>
      <rPr>
        <sz val="9"/>
        <rFont val="Times New Roman"/>
        <family val="1"/>
        <charset val="186"/>
      </rPr>
      <t>, tai skaitā: 1) Anti M,N,S,s,Fya,Fyb (1x12) 1 karte -13,42 euro ; 2) Diluents-2 0,5 ml - 0,15 euro; 3) dezinfekcijas līdzeklis 1 proced. -  0,0159 euro; 4) vienreizējās lietošanas cimdi, pāris - 0,0486 euro; 5) mēģene ar apaļu pamatni 1 gb - 0,0122 euro; 6) Pastēra pipete 3,5 ml sterila 1 gb -  0,051 euro; 7) bahilas-0,17 euro. Izdevumi kopā: 13,42+0,15+0,0159+0,0486+0,0122+ 0,051+0,017=13,868 euro. Izdevumi ar PVN 21%- 16,78 euro. Gadā plānot 20 * 16,78 euro =335,60 euro.</t>
    </r>
  </si>
  <si>
    <r>
      <t>1 izmeklējuma veikšanai nepieciešams 4,76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 xml:space="preserve">, tai skaitā: Vidējās izmaksas -1) Anti:  kartes  </t>
    </r>
    <r>
      <rPr>
        <u/>
        <sz val="9"/>
        <rFont val="Times New Roman"/>
        <family val="1"/>
        <charset val="186"/>
      </rPr>
      <t>vidējās izmaksas- 3,34 euro</t>
    </r>
    <r>
      <rPr>
        <sz val="9"/>
        <rFont val="Times New Roman"/>
        <family val="1"/>
        <charset val="186"/>
      </rPr>
      <t xml:space="preserve"> ; 2) Diluents -2 0,5 ml - 0,15 euro; 3) dezinfekcijas līdzeklis 1 proced. -  0,0159 euro; 4) vienreizējās lietošanas cimdi, pāris - 0,0486 euro; 5) mēģene ar apaļu pamatni  1 gb- 0,0122 euro; 6) Pastēra pipete 3,5 ml sterila 1 gb.-  0,051 euro; 7) Diluents -1 0,5 ml - 0,15 euro; 8) bahilas-0,017 euro. Izdevumi kopā: 3,34+0,15+0,0159+0,0486+0,0122+0,051+0,15+0,17=3,9377 euro.  Izdevumi ar PVN 21%-4,76  euro. Gadā plānots 700 * 4,76 euro =3332,0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</si>
  <si>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4,76 euro,</t>
    </r>
    <r>
      <rPr>
        <sz val="9"/>
        <rFont val="Times New Roman"/>
        <family val="1"/>
        <charset val="186"/>
      </rPr>
      <t xml:space="preserve"> tai skaitā  1) Diulents -2 0,5 ml - 0,15 euro; 2) karte Dia Clon ABO/D 1 gb.- 3,34 euro; 3) dezinfekcijas līdzeklis 1 proced.- 0,0159 euro; 4) vienreizējās lietošanas cimdi, pāris - 0,0486 euro;  5) Pastēra pipete 3,5 ml  strerila 1 gb.- 0,051 euro; 6) mēģenes ar apaļu pamatni 1 gb. - 0,0122 euro; 7) FT 9400230 0,5-250 uL uzgalis 1 gb.- 0,03 euro; 8) bahilas-0,17 euro. Izdevumi kopā: 0,15+3,34+0,0159+0,0486+0,051+0,0122+0,03+0,17= 3,9377 euro.  Izdevumi ar PVN 21%- `4,76 euro. Gadā plānots 50 * 4,76 euro =238,00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</si>
  <si>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4,62 euro,</t>
    </r>
    <r>
      <rPr>
        <sz val="9"/>
        <rFont val="Times New Roman"/>
        <family val="1"/>
        <charset val="186"/>
      </rPr>
      <t xml:space="preserve"> tai skaitā  1) Diulents -2 0,5 ml - 0,15 euro; 2) karte Dia Clon ABO/D 1 gb.- 3,34 euro; 3) dezinfekcijas līdzeklis 1 proced.- 0,0159 euro; 4) vienreizējās lietošanas cimdi, pāris - 0,0486 euro;  5) Pastēra pipete 3,5 ml  strerila 1 gb.- 0,051 euro; 6) mēģenes ar apaļu pamatni 1 gb. - 0,0122 euro; 7) FT 9400230 0,5-250 uL uzgalis 1 gb.- 0,03 euro; 7) bahilas-0,17 euro. Izdevumi kopā: 0,15+3,34+0,0159+0,0486+0,051+0,0122+0,03+0,17= 3,8177 euro.  Izdevumi ar PVN 21%- `4,62 euro. Gadā plānots 50 * 4,62 euro =231,0 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</si>
  <si>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2,94 euro</t>
    </r>
    <r>
      <rPr>
        <sz val="9"/>
        <rFont val="Times New Roman"/>
        <family val="1"/>
        <charset val="186"/>
      </rPr>
      <t>, tai skaitā: 1) Anti- A1 lektīns  0.1 ml - 0,57 euro; 2) Anti-H lektīns  0,1 ml - 1,50 euro; 3) dezinfekcijas līdzeklis 1 proced. -  0,0159 euro; 4) vienreizējās lietošanas cimdi, pāris - 0,0486 euro; 5) Pastēra pipetes 3,5 ml  sterilas 2 gb - 0,102 euro; 6) mēģenes ar apaļu pamatni 2 gb.- 0,0244 euro 7) bahilas-0,17 euro. Izdevumi kopā: 0,57+1,50+0,0159+0,0486 +0,102+0,0244+0,17=2,4309 euro.  Izdevumi ar PVN 21%- 2,94 euro. Gadā plānots 20 * 0,66 euro = 58,80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</si>
  <si>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1,16 euro</t>
    </r>
    <r>
      <rPr>
        <sz val="9"/>
        <rFont val="Times New Roman"/>
        <family val="1"/>
        <charset val="186"/>
      </rPr>
      <t>, tai skaitā: 1) vates tamponi - 0,01 euro; 2) dezinfekcijas līdzeklis 1 proced.- 0,0159 euro; 3) salvetes neaustas, sterilas  1 gb.- 0,02 euro;  4) vakumstobra adata 21G ar drošības sistēmu un turētēju 1 gb. - 0,21 euro; 5) vienreizējās lietošanas cimdi, pāris -  0,0486 euro; 6) elastīgā saite 0,25 gb.- 0,13 euro; 7) sterili kociņi 1 gb. - 0,05 euro; 8) St/vakutaineri 9 ml 2 gb. - 0,16 euro; 9) vakuuma stobriņš EDTA 2 gb.- 0,14 euro; 10) bahilas-0,17 euro. Izdevumi kopā: 0,01+0,0159+0,02+0,21 +0,0486+0,13+0,05+0,16+0,14+0,17=0,545 euro. Izdevumi ar PVN 21%-1,16  euro. Gadā plānots 100*1,16 euro=116,0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</si>
  <si>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0,97 euro</t>
    </r>
    <r>
      <rPr>
        <sz val="9"/>
        <rFont val="Times New Roman"/>
        <family val="1"/>
        <charset val="186"/>
      </rPr>
      <t>, tai skaitā  1) vates tamponi- 0,01 euro; 2) dezinfekcijas līdzeklis 1 procedūrai-  0,0159 euro; 3) salvetes neaustas, sterilas 1 gb. -  0,02 euro; 4) vakuumstobra adata 21G ar drošības sistēmu un turētēju 1 gb.- 0,21 euro; 5) vienreizējās lietošanas cimdi,  pāris - 0,0486 euro; 6) elastīgā saite 0,25 gb. - 0,13 euro; 7) sterili kociņi 1 gb. - 0,05 euro; 8)  st/vakutaineri 9 ml 1 gb. - 0,08 euro;  9) vakuuma stobriņš EDTA 1 gb. - 0,07 euro; 10) bahilas-0,17 eruro. Izdevumi kopā: 0,01+0,0159+0,02+0,21+0,0486+0,13+0,05+0,08+0,07+0,17=0,8045 euro. Izdevumi ar PVN 21%-  0,97  euro. Gadā plānots 200*0,97 euro=194,0 euro.</t>
    </r>
  </si>
  <si>
    <r>
      <t>1 izmeklējuma veikšanai nepieciešams kopā 2,11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 1) Anti-A IgM monoklonālais reaģents (ABO1) 10 ml - 0,08 euro; 2) Anti-B IgM monoklonālais reaģents (ABO2) 10ml-  0,08 euro;3) Anti-D IgM monoklonālais reaģents (RHI) 0,1 ml - 0,15 euro 4) Nacryl plāksnīte 1 gb.-1,05euro;  5) Pastēra pipete 1 ml sterila, 1 gb.- 0,051 euro; 6) lāpstiņa maisīšanai 2 gb. - 0,022 euro; 7) lancetes SFETY 21G- 0,06 euro; 8) dezinfekcijas līdzeklis 1 proced. -  0,0159 euro; 9) plāksteris Mepore - 0,01 euro; 10) sterilas salvetes 5x5 cm- 0,002; 11) vienreizējās lietošanas cimdi, pāris- 0,0486 euro; 12) bahilas-0,17 euro. Izdevumi kopā:  0,08+0,08+0,15+1,05+0,051+0,022+0,06+0,0159+0,01+0,002+0,0486+0,17= 1,74 euro. Izdevumi ar PVN 21%-2,11  euro. Gadā plānots 100*2,11 euro =211,00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</si>
  <si>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5,84 euro</t>
    </r>
    <r>
      <rPr>
        <sz val="9"/>
        <rFont val="Times New Roman"/>
        <family val="1"/>
        <charset val="186"/>
      </rPr>
      <t>, tai skaitā: 1) vienreizējās lietošanas cimdi, pāris - 0,0486euro; 2) dezinfekcijas līdzeklis 1 proced.- 0,0159 euro; 3) mēģene ar apaļu pamatni 3 gb.- 0,0122 euro; 4) Pastēra pipetes 3,5 ml sterilas 3 gb.- 0,051 euro; 5) Dia Cidel komplekts 0,5 gb.- 4,53 euro; 6) bahilas-0,17 euro. Izdevumi kopā: 0,0487+0,0159+0,0122+0,051+4,53+0,17=4,828 euro. Izdevumi ar PVN 21%- 5,84 euro. Gadā plānots 50*5,84 euro =292,00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</si>
  <si>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1970 * 2,11 euro = 4156,70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</si>
  <si>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16 * 23,72 euro =379,52 euro.</t>
    </r>
  </si>
  <si>
    <r>
  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 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Gadā plānots 895 * 4,00 euro= 3580,0 euro.      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</si>
  <si>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895 *17,47 euro =15635,65 euro.</t>
    </r>
  </si>
  <si>
    <r>
      <t>1 izmeklējuma veikšanai nepieciešams 4,65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ml- 0,694 euro; 3) dezinfekcijas līdzeklis 1 proced. -  0,0159 euro; 4) vienreizējās lietošanas cimdi, pāris - 0,0486 euro; 5) mēģene ar apaļu pamatni 1 gb - 0,0122 euro; 6)  Pastēra pipete 3,5 ml sterila 1 gb.-  0,051 euro; 7) FT 9400230  uzgaļi 0,5-250 uL 3 gb.- 0,09 euro; 8)  bahilas-0,17 euro. Izdevumi kopā: 2,76+0,694+0,0159+0,0486+0,0122+0,051+0,09+0,17= 3,842 euro. Izdevumi ar PVN 21%- 4,65 euro. Gadā plānots 224 * 4,65 euro = 1041,6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</si>
  <si>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626 * 5,50 euro = 3443,00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</si>
  <si>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269 * 0,66 euro =177,54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</si>
  <si>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895 * 5,04 euro= 4510,80 euro.</t>
    </r>
  </si>
  <si>
    <r>
      <t>Viena izmeklējuma veikšanu nodrošina ārsts (mēnešalga- 1940 euro, piemaksa par darba stāžu- 58,20 euro, kopā- 1998,20 euro). Darba laika patēriņš 1 izmeklējuma veikšanai 6 minūtes. 1 minūtes darba izmaksas- 1998,20 euro : 165,58 stundas (vidējais darba stundu skaits mēnesī 2025.gadā) : 60 minūtes  ir  1998,2 :165,58 : 60= 0,20 euro. 1 izmeklējuma veikšanas darba izmaksas 0,20 euro *6 minūtes =</t>
    </r>
    <r>
      <rPr>
        <b/>
        <sz val="10"/>
        <rFont val="Times New Roman"/>
        <family val="1"/>
        <charset val="186"/>
      </rPr>
      <t xml:space="preserve">1,20 euro. </t>
    </r>
    <r>
      <rPr>
        <sz val="10"/>
        <rFont val="Times New Roman"/>
        <family val="1"/>
        <charset val="186"/>
      </rPr>
      <t>Gadā plānots 269 * 1,20 euro= 322,8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</si>
  <si>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269 * 1,94 euro = 521,86 euro.</t>
    </r>
  </si>
  <si>
    <r>
      <t xml:space="preserve">Maksas pakalpojuma veids: </t>
    </r>
    <r>
      <rPr>
        <sz val="9"/>
        <rFont val="Times New Roman"/>
        <family val="1"/>
        <charset val="186"/>
      </rPr>
      <t>1.12. Vebinārs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</si>
  <si>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1.11. Vebinārs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</si>
  <si>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1.10. Vebinārs (1 akadēmiskā stunda)</t>
    </r>
  </si>
  <si>
    <r>
      <t xml:space="preserve">Maksas pakalpojuma veids: </t>
    </r>
    <r>
      <rPr>
        <sz val="9"/>
        <rFont val="Times New Roman"/>
        <family val="1"/>
        <charset val="186"/>
      </rPr>
      <t>1.7. Lekcija VADC ar vieslektoru (1 akadēmiskā stunda)</t>
    </r>
  </si>
  <si>
    <r>
      <t xml:space="preserve">Maksas pakalpojuma veids: </t>
    </r>
    <r>
      <rPr>
        <sz val="9"/>
        <rFont val="Times New Roman"/>
        <family val="1"/>
        <charset val="186"/>
      </rPr>
      <t>1.6. Lekcija VADC (1 akadēmiskā stunda)</t>
    </r>
  </si>
  <si>
    <r>
      <t>Antieritrocitāro antivielu identifikācija (37</t>
    </r>
    <r>
      <rPr>
        <vertAlign val="superscript"/>
        <sz val="10"/>
        <rFont val="Times New Roman"/>
        <family val="1"/>
        <charset val="186"/>
      </rPr>
      <t xml:space="preserve">o </t>
    </r>
    <r>
      <rPr>
        <sz val="10"/>
        <rFont val="Times New Roman"/>
        <family val="1"/>
        <charset val="186"/>
      </rPr>
      <t>vai 4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>, vai 20</t>
    </r>
    <r>
      <rPr>
        <vertAlign val="superscript"/>
        <sz val="10"/>
        <rFont val="Times New Roman"/>
        <family val="1"/>
        <charset val="186"/>
      </rPr>
      <t>o)</t>
    </r>
    <r>
      <rPr>
        <sz val="10"/>
        <rFont val="Times New Roman"/>
        <family val="1"/>
        <charset val="186"/>
      </rPr>
      <t>ar gelkaršu metodi, enzīmu testu (2 kartes Na Cl enzyme)</t>
    </r>
  </si>
  <si>
    <r>
      <t>Antieritrocitāro antivielu skrīnings (37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>vai 4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 xml:space="preserve"> , vai 20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>)</t>
    </r>
    <r>
      <rPr>
        <vertAlign val="superscript"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ar gelkaršu metodi ,enzīmu testu (1/2 karte Na Cl enzyme)</t>
    </r>
  </si>
  <si>
    <r>
      <t>Antieritrocitāro antivielu identifikācija (37</t>
    </r>
    <r>
      <rPr>
        <vertAlign val="superscript"/>
        <sz val="10"/>
        <rFont val="Times New Roman"/>
        <family val="1"/>
        <charset val="186"/>
      </rPr>
      <t xml:space="preserve">o </t>
    </r>
    <r>
      <rPr>
        <sz val="10"/>
        <rFont val="Times New Roman"/>
        <family val="1"/>
        <charset val="186"/>
      </rPr>
      <t>vai 4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>, vai 20</t>
    </r>
    <r>
      <rPr>
        <vertAlign val="superscript"/>
        <sz val="10"/>
        <rFont val="Times New Roman"/>
        <family val="1"/>
        <charset val="186"/>
      </rPr>
      <t>o)</t>
    </r>
    <r>
      <rPr>
        <sz val="10"/>
        <rFont val="Times New Roman"/>
        <family val="1"/>
        <charset val="186"/>
      </rPr>
      <t>ar gelkaršu metodi, enzīmu testu (2 kartes Na Cl enzyme)-neatliekami</t>
    </r>
  </si>
  <si>
    <r>
      <t>Antieritrocitāro antivielu identifikācija (37</t>
    </r>
    <r>
      <rPr>
        <vertAlign val="superscript"/>
        <sz val="10"/>
        <rFont val="Times New Roman"/>
        <family val="1"/>
        <charset val="186"/>
      </rPr>
      <t xml:space="preserve">o </t>
    </r>
    <r>
      <rPr>
        <sz val="10"/>
        <rFont val="Times New Roman"/>
        <family val="1"/>
        <charset val="186"/>
      </rPr>
      <t>vai 4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>, vai 20</t>
    </r>
    <r>
      <rPr>
        <vertAlign val="superscript"/>
        <sz val="10"/>
        <rFont val="Times New Roman"/>
        <family val="1"/>
        <charset val="186"/>
      </rPr>
      <t>o)</t>
    </r>
    <r>
      <rPr>
        <sz val="10"/>
        <rFont val="Times New Roman"/>
        <family val="1"/>
        <charset val="186"/>
      </rPr>
      <t>ar gelkaršu metodi, enzīmu testu (2 kartes Na Cl enzyme)-virsstundas</t>
    </r>
  </si>
  <si>
    <r>
  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Lekcijas teorija 16 akadēmiskās stundas *45min/60min=12,00 stundas * 13,48 euro/ stundā =</t>
    </r>
    <r>
      <rPr>
        <b/>
        <sz val="9"/>
        <rFont val="Times New Roman"/>
        <family val="1"/>
        <charset val="186"/>
      </rPr>
      <t xml:space="preserve"> 161,76</t>
    </r>
    <r>
      <rPr>
        <sz val="9"/>
        <rFont val="Times New Roman"/>
        <family val="1"/>
        <charset val="186"/>
      </rPr>
      <t xml:space="preserve"> euro.   Lektoru sagatavošanās kursiem, informatīvā materiāla aktualizēšana 1x gadā; sertifikātu izrakstīšana 90 min/60min=1,5 stundas *1,35 euro/stundā = 2,03 euro*12 stundas=24,36 euro. Kopā= 161,76 euro +24,36 euro= 186,12 euro. 1186,12 euro / 10 dalībnieki=18,61 euro</t>
    </r>
  </si>
  <si>
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13,48 euro/stundā: 10 dalībnieki = 1,35 euro/stundā. Lekcijas teorija 12 akadēmiskās stundas *45min/60min=9,00 stundas * 1,35 euro/ stundā = 12,15 euro.   Lektoru sagatavošanās kursiem, informatīvā materiāla aktualizēšana 1x gadā; sertifikātu izrakstīšana 90min/60min=1,5 stundas *1,35 euro/stundā = 2,03 euro *9,00 stundas=18,27 euro. Kopā= 12,15 euro +18,27 euro= 30,42 euro.</t>
  </si>
  <si>
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13,48 euro/stundā: 10 dalībnieki = 1,35 euro/stundā. Lekcijas teorija 24 akadēmiskās stundas *45min/60min=18,00 stundas * 1,35 euro/ stundā = 24,30 euro.  Lektoru sagatavošanās kursiem, informatīvā materiāla aktualizēšana 1x gadā; sertifikātu izrakstīšana 90min/60min=1,5 stundas *1,35 euro/stundā = 2,03 euro *18,00 stundas=18,27 euro. Kopā= 24,30 euro +36,54 euro= 60,84 euro.</t>
  </si>
  <si>
    <r>
  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Lekcijas teorija 12 akadēmiskās stundas *45min/60min=9,00 stundas * 13,48 euro/ stundā =</t>
    </r>
    <r>
      <rPr>
        <b/>
        <sz val="9"/>
        <rFont val="Times New Roman"/>
        <family val="1"/>
        <charset val="186"/>
      </rPr>
      <t xml:space="preserve"> 121,32</t>
    </r>
    <r>
      <rPr>
        <sz val="9"/>
        <rFont val="Times New Roman"/>
        <family val="1"/>
        <charset val="186"/>
      </rPr>
      <t xml:space="preserve"> euro.   Lektoru sagatavošanās kursiem, informatīvā materiāla aktualizēšana 1x gadā; sertifikātu izrakstīšana 90 min/60min=1,5 stundas *1,35 euro/stundā = 2,03 euro*9 stundas=18,23 euro. Kopā= 121,32 euro +18,23 euro= 139,55 euro. 139,55 euro / 10 dalībnieki=13,96 euro</t>
    </r>
  </si>
  <si>
    <r>
  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Lekcijas teorija 12 akadēmiskās stundas *45min/60min=9,00 stundas * 13,48 euro/ stundā =</t>
    </r>
    <r>
      <rPr>
        <b/>
        <sz val="9"/>
        <rFont val="Times New Roman"/>
        <family val="1"/>
        <charset val="186"/>
      </rPr>
      <t xml:space="preserve"> 121,32</t>
    </r>
    <r>
      <rPr>
        <sz val="9"/>
        <rFont val="Times New Roman"/>
        <family val="1"/>
        <charset val="186"/>
      </rPr>
      <t xml:space="preserve"> euro.   Lektoru sagatavošanās kursiem, informatīvā materiāla aktualizēšana 1x gadā; sertifikātu izrakstīšana 90 min/60min=1,5 stundas *1,35 euro/stundā = 2,03 euro*9 stundas=18,23 euro. Kopā= 121,32 euro +18,23 euro= 139,55 euro.</t>
    </r>
  </si>
  <si>
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Lekcijas teorija 1 akadēmiskā stunda *45min/60min=0,75 stundas * 13,48 euro/ stundā = 10,11 euro.   Lektoru sagatavošanās kursiem, informatīvā materiāla aktualizēšana 1x gadā; sertifikātu izrakstīšana 90 min/60min = 1,5 stundas * 1,35 euro/stundā = 2,03 euro. Kopā= 10,11 euro+2,03 euro= 12,14 euro.</t>
  </si>
  <si>
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13,48 euro/stundā: 10 dalībnieki = 1,35 euro/stundā. Lekcijas teorija 1 akadēmiskā stunda *45min/60min=0,75 stundas * 1,35 euro/ stundā = 1,01 euro.   Lektoru sagatavošanās kursiem, informatīvā materiāla aktualizēšana 1x gadā; sertifikātu izrakstīšana 90 min/60min = 1,5 stundas * 1,35 euro/stundā = 2,03 euro. Kopā= 1,01 euro+2,03 euro= 3,04 euro.</t>
  </si>
  <si>
    <t xml:space="preserve">Kursi “Transfuzioloģija Asins dienesta ārstniecības personām” (24 akadēmiskās stundas) </t>
  </si>
  <si>
    <t xml:space="preserve">Kursi “Transfuzioloģijas pamati” (12 akadēmiskās stundas) </t>
  </si>
  <si>
    <t xml:space="preserve">Vebinārs (16 akadēmiskās stundas) </t>
  </si>
  <si>
    <t>Asins grupas apgrieztās reakcijas (netiešā reakcija) noteikšana ar NaCl enzīmu kartēm un O A1 B standarteritrocītiem (izmanto 1/2 NaCl enzyme kartes)</t>
  </si>
  <si>
    <t>Anti-HIV 1/2 un p 24 Ag noteikšana</t>
  </si>
  <si>
    <t>HBsAg noteikšana (kvalitatīvi, bez apstiprināšanas)</t>
  </si>
  <si>
    <t>Anti-HCV noteikšana</t>
  </si>
  <si>
    <t>Anti- Treponema pallidum antivielu IgG/IgM noteikšana</t>
  </si>
  <si>
    <t>Vīrusu HCV-RNS, HBV-DNS un HIV-RNS noteikšana ar nukleīnskābju amplifikācijas testu (NAT)- skrīnings</t>
  </si>
  <si>
    <t>NAT skrīnings ar atšifrēšanu (2.38.+2.40.+2.41.+2.42.)</t>
  </si>
  <si>
    <t>HCV-RNS noteikšana ar nukleīnskābju amplifikācijas testu (NAT)</t>
  </si>
  <si>
    <t>HIV-RNS noteikšana ar nukleīnskābju amplifikācijas testu (NAT)</t>
  </si>
  <si>
    <t>HBV-DNS noteikšana ar nukleīnskābju amplifikācijas testu (NAT)</t>
  </si>
  <si>
    <t>2.33.</t>
  </si>
  <si>
    <t>2.34.</t>
  </si>
  <si>
    <t>2.35.</t>
  </si>
  <si>
    <t>2.36.</t>
  </si>
  <si>
    <t>2.37.</t>
  </si>
  <si>
    <t>2.38.</t>
  </si>
  <si>
    <t>2.39.</t>
  </si>
  <si>
    <t>2.40.</t>
  </si>
  <si>
    <t>2.41.</t>
  </si>
  <si>
    <t>2.42.</t>
  </si>
  <si>
    <r>
      <t xml:space="preserve">Maksas pakalpojuma veids: </t>
    </r>
    <r>
      <rPr>
        <sz val="9"/>
        <rFont val="Times New Roman"/>
        <family val="1"/>
        <charset val="186"/>
      </rPr>
      <t>1.1.Kursi "Transfuzioloģija Asins dienesta ārstniecības personām" (24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</si>
  <si>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1.2.Kursi "Transfuzioloģijas pamati"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</si>
  <si>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1.3. Vebinārs (16 akadēmiskās stundas)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</si>
  <si>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9,81 euro</t>
    </r>
    <r>
      <rPr>
        <sz val="9"/>
        <rFont val="Times New Roman"/>
        <family val="1"/>
        <charset val="186"/>
      </rPr>
      <t>, tai skaitā 1) Karte Liss Coombs 1 gb.- 5,52 euro; 2) Eritrocīti no ID-Dia panel Pluss 6 (papildpanelis) (6x4) 0,3 ml - 2,08 euro; 3) dezinfekcijas līdzeklis 1 proced.- 0,0159 euro; 4) vienreizējās lietošanas cimdi, pāris - 0,0486 euro; 5) mēģene ar apaļu pamatni  1 gb- 0,0122 euro; 6) Pastēra pipete 3,5 ml sterila 1 gb- 0,051 euro; 7) FT 250 9400230 uzgaļi 0,5-250 uL 7 gb - 0,21 euro; 8) bahilas-0,17 euro. Izdevumi kopā: 5,52+2,08+0,0159+0,0486+0,0122+0,051+0,21+0,17=8,11 euro .Izdevumi ar PVN 21%- 9,81 euro.  Gadā plānots 20 *9,81 euro =196,20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</si>
  <si>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9,81 euro</t>
    </r>
    <r>
      <rPr>
        <sz val="9"/>
        <rFont val="Times New Roman"/>
        <family val="1"/>
        <charset val="186"/>
      </rPr>
      <t>, tai skaitā 1) Karte Liss Coombs 1 gb.- 5,52 euro; 2) Eritrocīti no ID-Dia panel Pluss 6 (papildpanelis) (6x4) 0,3 ml - 2,08 euro; 3) dezinfekcijas līdzeklis 1 proced.- 0,0159 euro; 4) vienreizējās lietošanas cimdi, pāris - 0,0486 euro; 5) mēģene ar apaļu pamatni  1 gb- 0,0122 euro; 6) Pastēra pipete 3,5 ml sterila 1 gb- 0,051 euro; 7) FT 250 9400230 uzgaļi 0,5-250 uL 7 gb - 0,21 euro; 8) bahilas-0,17 euro. Izdevumi kopā: 5,52+2,08+0,0159+0,0486+0,0122+0,051+0,21+0,17=8,11 euro .Izdevumi ar PVN 21%- 9,81 euro.  Gadā plānots 7 *9,81 euro =68,67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</si>
  <si>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9,81</t>
    </r>
    <r>
      <rPr>
        <sz val="9"/>
        <rFont val="Times New Roman"/>
        <family val="1"/>
        <charset val="186"/>
      </rPr>
      <t xml:space="preserve"> euro, tai skaitā 1) Karte Liss Coombs 1 gb.- 5,52 euro; 2) Eritrocīti no ID-Dia panel Pluss 6 (papildpanelis) (6x4) 0,3 ml - 2,08 euro; 3) dezinfekcijas līdzeklis 1 proced.- 0,0159 euro; 4) vienreizējās lietošanas cimdi, pāris - 0,0486 euro; 5) mēģene ar apaļu pamatni  1 gb- 0,0122 euro; 6) Pastēra pipete 3,5 ml sterila 1 gb- 0,051 euro; 7) FT 250 9400230 uzgaļi 0,5-250 uL 7 gb - 0,21 euro; 8) bahilas-0,17 euro. Izdevumi kopā: 5,52+2,08+0,0159+0,0486+0,0122+0,051+0,21+0,17=8,11 euro .Izdevumi ar PVN 21%- 9,81 euro.  Gadā plānots 7 *9,81 euro =68,67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</si>
  <si>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9,81</t>
    </r>
    <r>
      <rPr>
        <sz val="9"/>
        <rFont val="Times New Roman"/>
        <family val="1"/>
        <charset val="186"/>
      </rPr>
      <t xml:space="preserve"> euro, tai skaitā 1) Karte Liss Coombs 1 gb.- 5,52 euro; 2) Eritrocīti no ID-Dia panel Pluss 6 (papildpanelis) (6x4) 0,3 ml - 2,08 euro; 3) dezinfekcijas līdzeklis 1 proced.- 0,0159 euro; 4) vienreizējās lietošanas cimdi, pāris - 0,0486 euro; 5) mēģene ar apaļu pamatni  1 gb- 0,0122 euro; 6) Pastēra pipete 3,5 ml sterila 1 gb- 0,051 euro; 7) FT 250 9400230 uzgaļi 0,5-250 uL 7 gb - 0,21 euro; 8) bahilas-0,17 euro. Izdevumi kopā: 5,52+2,08+0,0159+0,0486+0,0122+0,051+0,21+0,17=8,11 euro .Izdevumi ar PVN 21%- 9,81 euro.  Gadā plānots 20 *9,81 euro =196,20 euro.</t>
    </r>
  </si>
  <si>
    <t>1 izmeklējuma veikšanai nepieciešams 9,81 euro, tai skaitā 1) Karte Liss Coombs 1 gb.- 5,52 euro; 2) Eritrocīti no ID-Dia panel Pluss 6 (papildpanelis) (6x4) 0,3 ml - 2,08 euro; 3) dezinfekcijas līdzeklis 1 proced.- 0,0159 euro; 4) vienreizējās lietošanas cimdi, pāris - 0,0486 euro; 5) mēģene ar apaļu pamatni  1 gb- 0,0122 euro; 6) Pastēra pipete 3,5 ml sterila 1 gb- 0,051 euro; 7) FT 250 9400230 uzgaļi 0,5-250 uL 7 gb - 0,21 euro; 8) bahilas-0,17 euro. Izdevumi kopā: 5,52+2,08+0,0159+0,0486+0,0122+0,051+0,21+0,17=8,11 euro .Izdevumi ar PVN 21%- 9,81 euro.  Gadā plānots 5 *9,81 euro =49,05 euro.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</si>
  <si>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8,85 euro</t>
    </r>
    <r>
      <rPr>
        <sz val="9"/>
        <rFont val="Times New Roman"/>
        <family val="1"/>
        <charset val="186"/>
      </rPr>
      <t>, tai skaitā  1) Karte Liss Coombs H antigēna noteikšanai1 gb.- 5,52 euro;  2) Eritrocīti no panel Diamed (Panelis) ID-DiaPanel 0,3 ml - 1,30 euro; 3) Na Cl fizioloģiskais šķīdums 3 ml - 0,01 euro; 4) dezinfekcijas līdzeklis 1 proced. -  0,0159 euro;  5) vienreizējās lietošanas cimdi, pāris antigēna noteikšanai - 0,0486 euro; 6) mēģene ar apaļu pamatni 6 gb.- 0,07 euro; 7) FT 9400230 uzgaļi  0,5-250 uL 7 gb.- 0,18 euro; 8) bahilas-0,17 euro. Izdevumi kopā:5,52+1,30+0,01+0,0159+0,0486+0,07+0,18+0,17=7,31 euro. Izdevumi ar PVN 21%- 8,85 euro. Gadā plānots 100 * 8,85 euro= 885,00 euro.</t>
    </r>
  </si>
  <si>
    <r>
      <t xml:space="preserve">Maksas pakalpojuma veids: </t>
    </r>
    <r>
      <rPr>
        <sz val="9"/>
        <rFont val="Times New Roman"/>
        <family val="1"/>
        <charset val="186"/>
      </rPr>
      <t>2.34. Anti-HIV 1/2 un p 24 Ag noteikšana</t>
    </r>
  </si>
  <si>
    <r>
      <t xml:space="preserve">Maksas pakalpojuma veids: </t>
    </r>
    <r>
      <rPr>
        <sz val="9"/>
        <rFont val="Times New Roman"/>
        <family val="1"/>
        <charset val="186"/>
      </rPr>
      <t>2.35. HBsAg noteikšana (kvalitatīvi, bez apstiprināšanas)</t>
    </r>
  </si>
  <si>
    <r>
      <t xml:space="preserve">Maksas pakalpojuma veids: </t>
    </r>
    <r>
      <rPr>
        <sz val="9"/>
        <rFont val="Times New Roman"/>
        <family val="1"/>
        <charset val="186"/>
      </rPr>
      <t>2.36.Anti-HCV noteikšana</t>
    </r>
  </si>
  <si>
    <r>
      <t xml:space="preserve">Maksas pakalpojuma veids: </t>
    </r>
    <r>
      <rPr>
        <sz val="9"/>
        <rFont val="Times New Roman"/>
        <family val="1"/>
        <charset val="186"/>
      </rPr>
      <t>2.37.Anti- Treponema pallidum antivielu IgG/IgM noteikšana</t>
    </r>
  </si>
  <si>
    <r>
      <t xml:space="preserve">Maksas pakalpojuma veids: </t>
    </r>
    <r>
      <rPr>
        <sz val="9"/>
        <rFont val="Times New Roman"/>
        <family val="1"/>
        <charset val="186"/>
      </rPr>
      <t>2.38.Vīrusu HCV-RNS, HBV-DNS un HIV-RNS noteikšana ar nukleīnskābju amplifikācijas testu (NAT)- skrīnings
BEZ izraisitāja atsīfrēšanas (Rezultāts NEG.)</t>
    </r>
  </si>
  <si>
    <r>
      <t xml:space="preserve">Maksas pakalpojuma veids: </t>
    </r>
    <r>
      <rPr>
        <sz val="9"/>
        <rFont val="Times New Roman"/>
        <family val="1"/>
        <charset val="186"/>
      </rPr>
      <t>2.40.HCV-RNS noteikšana ar nukleīnskābju amplifikācijas testu (NAT)</t>
    </r>
  </si>
  <si>
    <r>
      <t xml:space="preserve">Maksas pakalpojuma veids: </t>
    </r>
    <r>
      <rPr>
        <sz val="9"/>
        <rFont val="Times New Roman"/>
        <family val="1"/>
        <charset val="186"/>
      </rPr>
      <t>2.41.HIV-RNS noteikšana ar nukleīnskābju amplifikācijas testu (NAT)</t>
    </r>
  </si>
  <si>
    <r>
      <t xml:space="preserve">Maksas pakalpojuma veids: </t>
    </r>
    <r>
      <rPr>
        <sz val="9"/>
        <rFont val="Times New Roman"/>
        <family val="1"/>
        <charset val="186"/>
      </rPr>
      <t>2.42.HBV-DNS noteikšana ar nukleīnskābju amplifikācijas testu (NAT)</t>
    </r>
  </si>
  <si>
    <t xml:space="preserve">Kursi “Imūnhematoloģijas pamati” (70 akadēmiskās stundas,t.sk. 40 vebinārs un 30 praktiskās) </t>
  </si>
  <si>
    <t xml:space="preserve">Kursi “Imūnhematoloģija kvalifikācijas uzturēšanai” (16 akadēmiskās stundas) </t>
  </si>
  <si>
    <t>Lekcija Valsts asinsdonoru centrā (1 akadēmiskā stunda) 10 dalībnieki</t>
  </si>
  <si>
    <t xml:space="preserve">Lekcija Valsts asinsdonoru centrā  ar vieslektoru (1 akadēmiskā stunda) </t>
  </si>
  <si>
    <t>Izbraukuma kursi Rīgā “Transfuzioloģija un imūnhematoloģija” (12 akadēmiskās stundas)</t>
  </si>
  <si>
    <t>Izbraukuma kursi ārpus Rīgas “Transfuzioloģija un imūnhematoloģija” (12 akadēmiskās stundas)</t>
  </si>
  <si>
    <t>Vebinārs (1 akadēmiskā stunda)</t>
  </si>
  <si>
    <t>Vebinārs (12 akadēmiskās stundas)</t>
  </si>
  <si>
    <t>Vebinārs (12 akadēmiskās stundas) 10 dalībnieki</t>
  </si>
  <si>
    <r>
      <t xml:space="preserve">Maksas pakalpojuma veids: </t>
    </r>
    <r>
      <rPr>
        <sz val="9"/>
        <rFont val="Times New Roman"/>
        <family val="1"/>
        <charset val="186"/>
      </rPr>
      <t>2.39.NAT skrīnings ar atšifrēšanu</t>
    </r>
  </si>
  <si>
    <t>Viena izmeklējuma veikšanu nodrošina biomedicīnas laborants (mēnešalga- 1540 euro, piemaksa par darba stāžu- 46,20 euro, kopā- 1586,20 euro). Darba laika patēriņš 1 izmeklējuma veikšanai 10 minūtes. 1 minūtes darba izmaksas- 1586,20 euro : 165,58 stundas (vidējais darba stundu skaits mēnesī 2025.gadā)  : 60 minūtes ir 1586,20 : 165,58 : 60 = 0,16 euro. 1 izmeklējuma veikšanas darba izmaksas 0,16 euro * 10 minūtes = 1,60 euro.   Gadā plānots 60 *1,60 euro = 96,0 euro.</t>
  </si>
  <si>
    <t>1 izmeklējuma veikšanai nepieciešams 41,32 euro, tai skaitā reaģentu izmaksas no 2.40.līdz 2.43.=10,33*4=41,32 euro ar PVN.  Gadā plānots 60 *41,32 euro =22479,20 euro.</t>
  </si>
  <si>
    <t>Vidējais attālums līdz kursu vietai 135 km. Automašīnas vidējais degvielas izlietojums uz 100 km (norma) ir 7,7 litri. Vidējā 1 litra degvielas cena  ar PVN - 1,8719 euro. Aprēķins: 1,8719*7,7 litri/100km*135 km = 19,46 euro vienam braucienam, vienā virzienā.  Kopā: 19,46 euro *4 braucieni (2 reizes brauciens turp un atpakaļ) = 77,84 euro.</t>
  </si>
  <si>
    <t>2.pielikums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</si>
</sst>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"/>
    <numFmt numFmtId="166" formatCode="0.00000"/>
    <numFmt numFmtId="167" formatCode="0.000000"/>
  </numFmts>
  <fonts count="20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Arial"/>
      <family val="2"/>
      <charset val="186"/>
    </font>
    <font>
      <i/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charset val="186"/>
      <scheme val="minor"/>
    </font>
    <font>
      <sz val="8"/>
      <name val="Calibri"/>
      <family val="2"/>
      <scheme val="minor"/>
    </font>
    <font>
      <b/>
      <sz val="11"/>
      <name val="Calibri"/>
      <family val="2"/>
      <charset val="186"/>
      <scheme val="minor"/>
    </font>
    <font>
      <u/>
      <sz val="9"/>
      <name val="Times New Roman"/>
      <family val="1"/>
      <charset val="186"/>
    </font>
    <font>
      <b/>
      <sz val="14"/>
      <name val="Calibri"/>
      <family val="2"/>
      <charset val="186"/>
      <scheme val="minor"/>
    </font>
    <font>
      <vertAlign val="superscript"/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0">
    <xf numFmtId="0" fontId="0" fillId="0" borderId="0" xfId="0"/>
    <xf numFmtId="2" fontId="6" fillId="2" borderId="1" xfId="0" applyNumberFormat="1" applyFont="1" applyFill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top"/>
    </xf>
    <xf numFmtId="0" fontId="6" fillId="2" borderId="0" xfId="0" applyFont="1" applyFill="1"/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8" fillId="2" borderId="0" xfId="0" applyFont="1" applyFill="1"/>
    <xf numFmtId="0" fontId="6" fillId="2" borderId="0" xfId="0" applyFont="1" applyFill="1" applyAlignment="1">
      <alignment horizontal="left" vertical="center"/>
    </xf>
    <xf numFmtId="0" fontId="7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/>
    </xf>
    <xf numFmtId="2" fontId="7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top" wrapText="1"/>
    </xf>
    <xf numFmtId="0" fontId="6" fillId="2" borderId="1" xfId="0" applyFont="1" applyFill="1" applyBorder="1" applyAlignment="1">
      <alignment horizontal="left"/>
    </xf>
    <xf numFmtId="2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164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2" fontId="7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164" fontId="1" fillId="2" borderId="1" xfId="0" applyNumberFormat="1" applyFont="1" applyFill="1" applyBorder="1" applyAlignment="1">
      <alignment horizontal="center" vertical="top"/>
    </xf>
    <xf numFmtId="2" fontId="6" fillId="2" borderId="2" xfId="0" applyNumberFormat="1" applyFont="1" applyFill="1" applyBorder="1" applyAlignment="1">
      <alignment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2" fontId="7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2" fontId="7" fillId="2" borderId="0" xfId="0" applyNumberFormat="1" applyFont="1" applyFill="1" applyAlignment="1">
      <alignment horizontal="center" vertical="center"/>
    </xf>
    <xf numFmtId="0" fontId="6" fillId="2" borderId="1" xfId="1" applyFont="1" applyFill="1" applyBorder="1"/>
    <xf numFmtId="164" fontId="6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0" fontId="1" fillId="2" borderId="0" xfId="0" applyFont="1" applyFill="1"/>
    <xf numFmtId="0" fontId="5" fillId="2" borderId="0" xfId="0" applyFont="1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left"/>
    </xf>
    <xf numFmtId="0" fontId="3" fillId="2" borderId="0" xfId="0" applyFont="1" applyFill="1"/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/>
    <xf numFmtId="0" fontId="4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6" fillId="2" borderId="0" xfId="0" applyFont="1" applyFill="1" applyAlignment="1">
      <alignment vertical="center" wrapText="1"/>
    </xf>
    <xf numFmtId="2" fontId="7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justify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wrapText="1"/>
    </xf>
    <xf numFmtId="164" fontId="7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vertical="top" wrapText="1"/>
    </xf>
    <xf numFmtId="0" fontId="11" fillId="2" borderId="0" xfId="0" applyFont="1" applyFill="1" applyAlignment="1">
      <alignment wrapText="1"/>
    </xf>
    <xf numFmtId="0" fontId="6" fillId="2" borderId="1" xfId="0" applyFont="1" applyFill="1" applyBorder="1" applyAlignment="1">
      <alignment vertical="center" wrapText="1"/>
    </xf>
    <xf numFmtId="0" fontId="12" fillId="2" borderId="0" xfId="0" applyFont="1" applyFill="1"/>
    <xf numFmtId="0" fontId="13" fillId="2" borderId="0" xfId="0" applyFont="1" applyFill="1" applyAlignment="1">
      <alignment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wrapText="1"/>
    </xf>
    <xf numFmtId="0" fontId="4" fillId="2" borderId="7" xfId="0" applyFont="1" applyFill="1" applyBorder="1" applyAlignment="1">
      <alignment horizontal="left" vertical="top" wrapText="1"/>
    </xf>
    <xf numFmtId="0" fontId="11" fillId="2" borderId="0" xfId="0" applyFont="1" applyFill="1"/>
    <xf numFmtId="0" fontId="7" fillId="2" borderId="0" xfId="0" applyFont="1" applyFill="1" applyAlignment="1">
      <alignment horizontal="left" wrapText="1"/>
    </xf>
    <xf numFmtId="2" fontId="7" fillId="2" borderId="0" xfId="0" applyNumberFormat="1" applyFont="1" applyFill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right" vertical="top"/>
    </xf>
    <xf numFmtId="2" fontId="6" fillId="2" borderId="1" xfId="0" applyNumberFormat="1" applyFont="1" applyFill="1" applyBorder="1" applyAlignment="1">
      <alignment vertical="center"/>
    </xf>
    <xf numFmtId="1" fontId="6" fillId="2" borderId="1" xfId="0" applyNumberFormat="1" applyFont="1" applyFill="1" applyBorder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11" fillId="2" borderId="1" xfId="0" applyFont="1" applyFill="1" applyBorder="1"/>
    <xf numFmtId="2" fontId="7" fillId="2" borderId="0" xfId="0" applyNumberFormat="1" applyFont="1" applyFill="1" applyAlignment="1">
      <alignment horizontal="center" vertical="top"/>
    </xf>
    <xf numFmtId="0" fontId="7" fillId="2" borderId="1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6" fillId="2" borderId="0" xfId="1" applyFont="1" applyFill="1"/>
    <xf numFmtId="0" fontId="5" fillId="2" borderId="1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/>
    </xf>
    <xf numFmtId="0" fontId="14" fillId="2" borderId="0" xfId="0" applyFont="1" applyFill="1"/>
    <xf numFmtId="2" fontId="12" fillId="2" borderId="0" xfId="0" applyNumberFormat="1" applyFont="1" applyFill="1"/>
    <xf numFmtId="0" fontId="14" fillId="2" borderId="0" xfId="0" applyFont="1" applyFill="1" applyAlignment="1">
      <alignment vertical="center"/>
    </xf>
    <xf numFmtId="0" fontId="12" fillId="2" borderId="0" xfId="0" applyFont="1" applyFill="1" applyAlignment="1">
      <alignment horizontal="left"/>
    </xf>
    <xf numFmtId="2" fontId="12" fillId="2" borderId="0" xfId="0" applyNumberFormat="1" applyFont="1" applyFill="1" applyAlignment="1">
      <alignment horizontal="left"/>
    </xf>
    <xf numFmtId="0" fontId="12" fillId="2" borderId="0" xfId="0" applyFont="1" applyFill="1" applyAlignment="1">
      <alignment horizontal="left" vertical="center"/>
    </xf>
    <xf numFmtId="2" fontId="12" fillId="2" borderId="0" xfId="0" applyNumberFormat="1" applyFont="1" applyFill="1" applyAlignment="1">
      <alignment horizontal="left" vertical="center"/>
    </xf>
    <xf numFmtId="0" fontId="12" fillId="2" borderId="0" xfId="0" applyFont="1" applyFill="1" applyAlignment="1">
      <alignment horizontal="left" wrapText="1"/>
    </xf>
    <xf numFmtId="0" fontId="12" fillId="2" borderId="5" xfId="0" applyFont="1" applyFill="1" applyBorder="1" applyAlignment="1">
      <alignment horizontal="center" wrapText="1"/>
    </xf>
    <xf numFmtId="0" fontId="12" fillId="2" borderId="0" xfId="0" applyFont="1" applyFill="1" applyAlignment="1">
      <alignment horizontal="center" wrapText="1"/>
    </xf>
    <xf numFmtId="0" fontId="11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14" fillId="2" borderId="0" xfId="0" applyFont="1" applyFill="1" applyAlignment="1">
      <alignment horizontal="left" vertical="center"/>
    </xf>
    <xf numFmtId="0" fontId="11" fillId="2" borderId="5" xfId="0" applyFont="1" applyFill="1" applyBorder="1" applyAlignment="1">
      <alignment wrapText="1"/>
    </xf>
    <xf numFmtId="0" fontId="11" fillId="2" borderId="5" xfId="0" applyFont="1" applyFill="1" applyBorder="1" applyAlignment="1">
      <alignment horizontal="center" wrapText="1"/>
    </xf>
    <xf numFmtId="0" fontId="11" fillId="2" borderId="5" xfId="0" applyFont="1" applyFill="1" applyBorder="1" applyAlignment="1">
      <alignment horizontal="left" wrapText="1"/>
    </xf>
    <xf numFmtId="166" fontId="12" fillId="2" borderId="0" xfId="0" applyNumberFormat="1" applyFont="1" applyFill="1"/>
    <xf numFmtId="167" fontId="12" fillId="2" borderId="0" xfId="0" applyNumberFormat="1" applyFont="1" applyFill="1"/>
    <xf numFmtId="164" fontId="12" fillId="2" borderId="0" xfId="0" applyNumberFormat="1" applyFont="1" applyFill="1"/>
    <xf numFmtId="0" fontId="1" fillId="2" borderId="0" xfId="0" applyFont="1" applyFill="1" applyAlignment="1">
      <alignment wrapText="1"/>
    </xf>
    <xf numFmtId="0" fontId="13" fillId="2" borderId="0" xfId="0" applyFont="1" applyFill="1" applyAlignment="1">
      <alignment horizontal="left" wrapText="1"/>
    </xf>
    <xf numFmtId="0" fontId="16" fillId="2" borderId="0" xfId="0" applyFont="1" applyFill="1" applyAlignment="1">
      <alignment vertical="center"/>
    </xf>
    <xf numFmtId="0" fontId="13" fillId="2" borderId="0" xfId="0" applyFont="1" applyFill="1" applyAlignment="1">
      <alignment wrapText="1"/>
    </xf>
    <xf numFmtId="0" fontId="18" fillId="2" borderId="0" xfId="0" applyFont="1" applyFill="1"/>
    <xf numFmtId="0" fontId="11" fillId="2" borderId="0" xfId="0" applyFont="1" applyFill="1" applyAlignment="1">
      <alignment horizontal="left" wrapText="1"/>
    </xf>
    <xf numFmtId="0" fontId="11" fillId="2" borderId="0" xfId="0" applyFont="1" applyFill="1" applyAlignment="1">
      <alignment horizontal="left"/>
    </xf>
    <xf numFmtId="0" fontId="7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right"/>
    </xf>
    <xf numFmtId="0" fontId="6" fillId="2" borderId="0" xfId="0" applyFont="1" applyFill="1" applyAlignment="1">
      <alignment horizontal="right"/>
    </xf>
    <xf numFmtId="2" fontId="6" fillId="2" borderId="0" xfId="0" applyNumberFormat="1" applyFont="1" applyFill="1" applyAlignment="1">
      <alignment horizontal="center"/>
    </xf>
    <xf numFmtId="2" fontId="11" fillId="2" borderId="0" xfId="0" applyNumberFormat="1" applyFont="1" applyFill="1"/>
    <xf numFmtId="0" fontId="6" fillId="2" borderId="0" xfId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" fontId="4" fillId="2" borderId="0" xfId="0" applyNumberFormat="1" applyFont="1" applyFill="1" applyAlignment="1">
      <alignment horizontal="right"/>
    </xf>
    <xf numFmtId="0" fontId="5" fillId="2" borderId="1" xfId="0" applyFont="1" applyFill="1" applyBorder="1" applyAlignment="1">
      <alignment horizontal="left" vertical="top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16" fontId="4" fillId="2" borderId="1" xfId="0" applyNumberFormat="1" applyFont="1" applyFill="1" applyBorder="1" applyAlignment="1">
      <alignment vertical="center"/>
    </xf>
    <xf numFmtId="0" fontId="4" fillId="2" borderId="0" xfId="0" applyFont="1" applyFill="1" applyAlignment="1">
      <alignment horizontal="left"/>
    </xf>
    <xf numFmtId="0" fontId="6" fillId="2" borderId="0" xfId="1" applyFont="1" applyFill="1" applyAlignment="1">
      <alignment vertical="top" wrapText="1"/>
    </xf>
    <xf numFmtId="0" fontId="6" fillId="2" borderId="3" xfId="1" applyFont="1" applyFill="1" applyBorder="1" applyAlignment="1">
      <alignment vertical="top" wrapText="1"/>
    </xf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wrapText="1"/>
    </xf>
    <xf numFmtId="0" fontId="11" fillId="2" borderId="0" xfId="0" applyFont="1" applyFill="1" applyAlignment="1">
      <alignment wrapText="1"/>
    </xf>
    <xf numFmtId="0" fontId="7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/>
    </xf>
    <xf numFmtId="0" fontId="6" fillId="2" borderId="0" xfId="1" applyFont="1" applyFill="1" applyAlignment="1">
      <alignment vertical="center" wrapText="1"/>
    </xf>
    <xf numFmtId="0" fontId="6" fillId="2" borderId="3" xfId="1" applyFont="1" applyFill="1" applyBorder="1" applyAlignment="1">
      <alignment vertical="center" wrapText="1"/>
    </xf>
    <xf numFmtId="0" fontId="7" fillId="2" borderId="0" xfId="0" applyFont="1" applyFill="1" applyAlignment="1">
      <alignment horizontal="left" vertical="top" wrapText="1"/>
    </xf>
    <xf numFmtId="0" fontId="6" fillId="2" borderId="0" xfId="1" applyFont="1" applyFill="1" applyAlignment="1">
      <alignment wrapText="1"/>
    </xf>
    <xf numFmtId="0" fontId="6" fillId="2" borderId="3" xfId="1" applyFont="1" applyFill="1" applyBorder="1" applyAlignment="1">
      <alignment wrapText="1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 wrapText="1"/>
    </xf>
    <xf numFmtId="0" fontId="12" fillId="2" borderId="5" xfId="0" applyFont="1" applyFill="1" applyBorder="1" applyAlignment="1">
      <alignment horizontal="center" wrapText="1"/>
    </xf>
    <xf numFmtId="0" fontId="12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2" fillId="2" borderId="0" xfId="0" applyFont="1" applyFill="1" applyAlignment="1">
      <alignment wrapText="1"/>
    </xf>
    <xf numFmtId="0" fontId="6" fillId="2" borderId="0" xfId="1" applyFont="1" applyFill="1" applyAlignment="1">
      <alignment horizontal="left" vertical="top" wrapText="1"/>
    </xf>
    <xf numFmtId="0" fontId="6" fillId="2" borderId="3" xfId="1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5" xfId="0" applyFont="1" applyFill="1" applyBorder="1" applyAlignment="1">
      <alignment horizontal="left" wrapText="1"/>
    </xf>
    <xf numFmtId="0" fontId="12" fillId="2" borderId="0" xfId="0" applyFont="1" applyFill="1" applyAlignment="1">
      <alignment horizontal="left" wrapText="1"/>
    </xf>
    <xf numFmtId="0" fontId="12" fillId="2" borderId="5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4" fillId="2" borderId="5" xfId="0" applyFont="1" applyFill="1" applyBorder="1" applyAlignment="1">
      <alignment wrapText="1"/>
    </xf>
    <xf numFmtId="0" fontId="12" fillId="2" borderId="5" xfId="0" applyFont="1" applyFill="1" applyBorder="1" applyAlignment="1">
      <alignment wrapText="1"/>
    </xf>
    <xf numFmtId="0" fontId="14" fillId="2" borderId="5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calcChain" Target="calcChain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62"/>
  <sheetViews>
    <sheetView tabSelected="1" zoomScaleNormal="100" workbookViewId="0">
      <selection activeCell="B2" sqref="B2"/>
    </sheetView>
  </sheetViews>
  <sheetFormatPr defaultColWidth="9.140625" defaultRowHeight="12.75" x14ac:dyDescent="0.2"/>
  <cols>
    <col min="1" max="1" width="6.85546875" style="52" customWidth="1"/>
    <col min="2" max="2" width="77.7109375" style="52" customWidth="1"/>
    <col min="3" max="3" width="6.28515625" style="52" customWidth="1"/>
    <col min="4" max="4" width="10.7109375" style="52" customWidth="1"/>
    <col min="5" max="5" width="7.85546875" style="52" customWidth="1"/>
    <col min="6" max="6" width="7.140625" style="52" customWidth="1"/>
    <col min="7" max="16384" width="9.140625" style="52"/>
  </cols>
  <sheetData>
    <row r="2" spans="1:3" x14ac:dyDescent="0.2">
      <c r="B2" s="138" t="s">
        <v>1680</v>
      </c>
    </row>
    <row r="3" spans="1:3" x14ac:dyDescent="0.2">
      <c r="B3" s="139" t="s">
        <v>75</v>
      </c>
      <c r="C3" s="139"/>
    </row>
    <row r="4" spans="1:3" x14ac:dyDescent="0.2">
      <c r="B4" s="138" t="s">
        <v>76</v>
      </c>
      <c r="C4" s="138"/>
    </row>
    <row r="5" spans="1:3" x14ac:dyDescent="0.2">
      <c r="B5" s="138" t="s">
        <v>77</v>
      </c>
    </row>
    <row r="6" spans="1:3" x14ac:dyDescent="0.2">
      <c r="A6" s="138"/>
      <c r="B6" s="138"/>
    </row>
    <row r="7" spans="1:3" x14ac:dyDescent="0.2">
      <c r="A7" s="151" t="s">
        <v>0</v>
      </c>
      <c r="B7" s="151"/>
    </row>
    <row r="8" spans="1:3" x14ac:dyDescent="0.2">
      <c r="A8" s="53"/>
      <c r="B8" s="53"/>
    </row>
    <row r="9" spans="1:3" x14ac:dyDescent="0.2">
      <c r="A9" s="74" t="s">
        <v>1</v>
      </c>
      <c r="B9" s="140" t="s">
        <v>2</v>
      </c>
    </row>
    <row r="10" spans="1:3" ht="15" customHeight="1" x14ac:dyDescent="0.2">
      <c r="A10" s="141" t="s">
        <v>3</v>
      </c>
      <c r="B10" s="142" t="s">
        <v>1627</v>
      </c>
    </row>
    <row r="11" spans="1:3" ht="15.75" customHeight="1" x14ac:dyDescent="0.2">
      <c r="A11" s="143" t="s">
        <v>4</v>
      </c>
      <c r="B11" s="142" t="s">
        <v>1628</v>
      </c>
    </row>
    <row r="12" spans="1:3" ht="15.75" customHeight="1" x14ac:dyDescent="0.2">
      <c r="A12" s="143" t="s">
        <v>5</v>
      </c>
      <c r="B12" s="142" t="s">
        <v>1629</v>
      </c>
    </row>
    <row r="13" spans="1:3" ht="15.75" customHeight="1" x14ac:dyDescent="0.2">
      <c r="A13" s="143" t="s">
        <v>6</v>
      </c>
      <c r="B13" s="142" t="s">
        <v>1667</v>
      </c>
    </row>
    <row r="14" spans="1:3" ht="15.75" customHeight="1" x14ac:dyDescent="0.2">
      <c r="A14" s="143" t="s">
        <v>7</v>
      </c>
      <c r="B14" s="142" t="s">
        <v>1668</v>
      </c>
    </row>
    <row r="15" spans="1:3" ht="15.75" customHeight="1" x14ac:dyDescent="0.2">
      <c r="A15" s="143" t="s">
        <v>8</v>
      </c>
      <c r="B15" s="142" t="s">
        <v>1669</v>
      </c>
    </row>
    <row r="16" spans="1:3" ht="15.75" customHeight="1" x14ac:dyDescent="0.2">
      <c r="A16" s="143" t="s">
        <v>9</v>
      </c>
      <c r="B16" s="142" t="s">
        <v>1670</v>
      </c>
    </row>
    <row r="17" spans="1:2" ht="20.25" customHeight="1" x14ac:dyDescent="0.2">
      <c r="A17" s="142" t="s">
        <v>10</v>
      </c>
      <c r="B17" s="142" t="s">
        <v>1671</v>
      </c>
    </row>
    <row r="18" spans="1:2" ht="20.25" customHeight="1" x14ac:dyDescent="0.2">
      <c r="A18" s="142" t="s">
        <v>11</v>
      </c>
      <c r="B18" s="144" t="s">
        <v>1672</v>
      </c>
    </row>
    <row r="19" spans="1:2" ht="15.75" customHeight="1" x14ac:dyDescent="0.2">
      <c r="A19" s="141" t="s">
        <v>12</v>
      </c>
      <c r="B19" s="142" t="s">
        <v>1673</v>
      </c>
    </row>
    <row r="20" spans="1:2" ht="15.75" customHeight="1" x14ac:dyDescent="0.2">
      <c r="A20" s="141" t="s">
        <v>13</v>
      </c>
      <c r="B20" s="142" t="s">
        <v>1674</v>
      </c>
    </row>
    <row r="21" spans="1:2" ht="15.75" customHeight="1" x14ac:dyDescent="0.2">
      <c r="A21" s="141" t="s">
        <v>14</v>
      </c>
      <c r="B21" s="142" t="s">
        <v>1675</v>
      </c>
    </row>
    <row r="22" spans="1:2" ht="15" customHeight="1" x14ac:dyDescent="0.2">
      <c r="A22" s="74" t="s">
        <v>15</v>
      </c>
      <c r="B22" s="145" t="s">
        <v>381</v>
      </c>
    </row>
    <row r="23" spans="1:2" ht="15" customHeight="1" x14ac:dyDescent="0.2">
      <c r="A23" s="146" t="s">
        <v>16</v>
      </c>
      <c r="B23" s="147" t="s">
        <v>113</v>
      </c>
    </row>
    <row r="24" spans="1:2" ht="25.5" x14ac:dyDescent="0.2">
      <c r="A24" s="147" t="s">
        <v>18</v>
      </c>
      <c r="B24" s="147" t="s">
        <v>27</v>
      </c>
    </row>
    <row r="25" spans="1:2" x14ac:dyDescent="0.2">
      <c r="A25" s="143" t="s">
        <v>20</v>
      </c>
      <c r="B25" s="148" t="s">
        <v>34</v>
      </c>
    </row>
    <row r="26" spans="1:2" x14ac:dyDescent="0.2">
      <c r="A26" s="143" t="s">
        <v>22</v>
      </c>
      <c r="B26" s="147" t="s">
        <v>37</v>
      </c>
    </row>
    <row r="27" spans="1:2" ht="25.5" x14ac:dyDescent="0.2">
      <c r="A27" s="143" t="s">
        <v>23</v>
      </c>
      <c r="B27" s="147" t="s">
        <v>48</v>
      </c>
    </row>
    <row r="28" spans="1:2" ht="25.5" x14ac:dyDescent="0.2">
      <c r="A28" s="149" t="s">
        <v>24</v>
      </c>
      <c r="B28" s="147" t="s">
        <v>52</v>
      </c>
    </row>
    <row r="29" spans="1:2" ht="28.5" x14ac:dyDescent="0.2">
      <c r="A29" s="149" t="s">
        <v>26</v>
      </c>
      <c r="B29" s="147" t="s">
        <v>1616</v>
      </c>
    </row>
    <row r="30" spans="1:2" ht="25.5" x14ac:dyDescent="0.2">
      <c r="A30" s="146" t="s">
        <v>28</v>
      </c>
      <c r="B30" s="147" t="s">
        <v>57</v>
      </c>
    </row>
    <row r="31" spans="1:2" ht="25.5" x14ac:dyDescent="0.2">
      <c r="A31" s="146" t="s">
        <v>29</v>
      </c>
      <c r="B31" s="147" t="s">
        <v>60</v>
      </c>
    </row>
    <row r="32" spans="1:2" ht="25.5" x14ac:dyDescent="0.2">
      <c r="A32" s="146" t="s">
        <v>31</v>
      </c>
      <c r="B32" s="147" t="s">
        <v>63</v>
      </c>
    </row>
    <row r="33" spans="1:2" x14ac:dyDescent="0.2">
      <c r="A33" s="146" t="s">
        <v>33</v>
      </c>
      <c r="B33" s="147" t="s">
        <v>69</v>
      </c>
    </row>
    <row r="34" spans="1:2" x14ac:dyDescent="0.2">
      <c r="A34" s="146" t="s">
        <v>35</v>
      </c>
      <c r="B34" s="147" t="s">
        <v>379</v>
      </c>
    </row>
    <row r="35" spans="1:2" x14ac:dyDescent="0.2">
      <c r="A35" s="146" t="s">
        <v>36</v>
      </c>
      <c r="B35" s="147" t="s">
        <v>70</v>
      </c>
    </row>
    <row r="36" spans="1:2" x14ac:dyDescent="0.2">
      <c r="A36" s="146" t="s">
        <v>38</v>
      </c>
      <c r="B36" s="147" t="s">
        <v>17</v>
      </c>
    </row>
    <row r="37" spans="1:2" x14ac:dyDescent="0.2">
      <c r="A37" s="146" t="s">
        <v>39</v>
      </c>
      <c r="B37" s="147" t="s">
        <v>19</v>
      </c>
    </row>
    <row r="38" spans="1:2" x14ac:dyDescent="0.2">
      <c r="A38" s="146" t="s">
        <v>41</v>
      </c>
      <c r="B38" s="147" t="s">
        <v>21</v>
      </c>
    </row>
    <row r="39" spans="1:2" x14ac:dyDescent="0.2">
      <c r="A39" s="146" t="s">
        <v>43</v>
      </c>
      <c r="B39" s="147" t="s">
        <v>25</v>
      </c>
    </row>
    <row r="40" spans="1:2" x14ac:dyDescent="0.2">
      <c r="A40" s="146" t="s">
        <v>45</v>
      </c>
      <c r="B40" s="147" t="s">
        <v>30</v>
      </c>
    </row>
    <row r="41" spans="1:2" ht="25.5" x14ac:dyDescent="0.2">
      <c r="A41" s="146" t="s">
        <v>47</v>
      </c>
      <c r="B41" s="147" t="s">
        <v>32</v>
      </c>
    </row>
    <row r="42" spans="1:2" x14ac:dyDescent="0.2">
      <c r="A42" s="146" t="s">
        <v>49</v>
      </c>
      <c r="B42" s="147" t="s">
        <v>40</v>
      </c>
    </row>
    <row r="43" spans="1:2" ht="25.5" x14ac:dyDescent="0.2">
      <c r="A43" s="146" t="s">
        <v>50</v>
      </c>
      <c r="B43" s="147" t="s">
        <v>42</v>
      </c>
    </row>
    <row r="44" spans="1:2" x14ac:dyDescent="0.2">
      <c r="A44" s="146" t="s">
        <v>51</v>
      </c>
      <c r="B44" s="147" t="s">
        <v>44</v>
      </c>
    </row>
    <row r="45" spans="1:2" ht="25.5" x14ac:dyDescent="0.2">
      <c r="A45" s="146" t="s">
        <v>53</v>
      </c>
      <c r="B45" s="147" t="s">
        <v>46</v>
      </c>
    </row>
    <row r="46" spans="1:2" ht="28.5" x14ac:dyDescent="0.2">
      <c r="A46" s="146" t="s">
        <v>54</v>
      </c>
      <c r="B46" s="147" t="s">
        <v>1617</v>
      </c>
    </row>
    <row r="47" spans="1:2" x14ac:dyDescent="0.2">
      <c r="A47" s="146" t="s">
        <v>55</v>
      </c>
      <c r="B47" s="147" t="s">
        <v>66</v>
      </c>
    </row>
    <row r="48" spans="1:2" x14ac:dyDescent="0.2">
      <c r="A48" s="146" t="s">
        <v>56</v>
      </c>
      <c r="B48" s="147" t="s">
        <v>67</v>
      </c>
    </row>
    <row r="49" spans="1:2" x14ac:dyDescent="0.2">
      <c r="A49" s="146" t="s">
        <v>58</v>
      </c>
      <c r="B49" s="147" t="s">
        <v>68</v>
      </c>
    </row>
    <row r="50" spans="1:2" x14ac:dyDescent="0.2">
      <c r="A50" s="146" t="s">
        <v>59</v>
      </c>
      <c r="B50" s="147" t="s">
        <v>380</v>
      </c>
    </row>
    <row r="51" spans="1:2" x14ac:dyDescent="0.2">
      <c r="A51" s="150" t="s">
        <v>61</v>
      </c>
      <c r="B51" s="147" t="s">
        <v>71</v>
      </c>
    </row>
    <row r="52" spans="1:2" x14ac:dyDescent="0.2">
      <c r="A52" s="146" t="s">
        <v>62</v>
      </c>
      <c r="B52" s="147" t="s">
        <v>72</v>
      </c>
    </row>
    <row r="53" spans="1:2" x14ac:dyDescent="0.2">
      <c r="A53" s="146" t="s">
        <v>64</v>
      </c>
      <c r="B53" s="147" t="s">
        <v>73</v>
      </c>
    </row>
    <row r="54" spans="1:2" x14ac:dyDescent="0.2">
      <c r="A54" s="146" t="s">
        <v>65</v>
      </c>
      <c r="B54" s="147" t="s">
        <v>74</v>
      </c>
    </row>
    <row r="55" spans="1:2" ht="25.5" x14ac:dyDescent="0.2">
      <c r="A55" s="146" t="s">
        <v>1640</v>
      </c>
      <c r="B55" s="147" t="s">
        <v>1630</v>
      </c>
    </row>
    <row r="56" spans="1:2" x14ac:dyDescent="0.2">
      <c r="A56" s="146" t="s">
        <v>1641</v>
      </c>
      <c r="B56" s="147" t="s">
        <v>1631</v>
      </c>
    </row>
    <row r="57" spans="1:2" x14ac:dyDescent="0.2">
      <c r="A57" s="146" t="s">
        <v>1642</v>
      </c>
      <c r="B57" s="147" t="s">
        <v>1632</v>
      </c>
    </row>
    <row r="58" spans="1:2" x14ac:dyDescent="0.2">
      <c r="A58" s="146" t="s">
        <v>1643</v>
      </c>
      <c r="B58" s="147" t="s">
        <v>1633</v>
      </c>
    </row>
    <row r="59" spans="1:2" x14ac:dyDescent="0.2">
      <c r="A59" s="146" t="s">
        <v>1644</v>
      </c>
      <c r="B59" s="147" t="s">
        <v>1634</v>
      </c>
    </row>
    <row r="60" spans="1:2" ht="25.5" x14ac:dyDescent="0.2">
      <c r="A60" s="146" t="s">
        <v>1645</v>
      </c>
      <c r="B60" s="147" t="s">
        <v>1635</v>
      </c>
    </row>
    <row r="61" spans="1:2" x14ac:dyDescent="0.2">
      <c r="A61" s="146" t="s">
        <v>1646</v>
      </c>
      <c r="B61" s="147" t="s">
        <v>1636</v>
      </c>
    </row>
    <row r="62" spans="1:2" x14ac:dyDescent="0.2">
      <c r="A62" s="146" t="s">
        <v>1647</v>
      </c>
      <c r="B62" s="147" t="s">
        <v>1637</v>
      </c>
    </row>
    <row r="63" spans="1:2" x14ac:dyDescent="0.2">
      <c r="A63" s="146" t="s">
        <v>1648</v>
      </c>
      <c r="B63" s="147" t="s">
        <v>1638</v>
      </c>
    </row>
    <row r="64" spans="1:2" x14ac:dyDescent="0.2">
      <c r="A64" s="146" t="s">
        <v>1649</v>
      </c>
      <c r="B64" s="147" t="s">
        <v>1639</v>
      </c>
    </row>
    <row r="65" spans="1:2" ht="25.5" customHeight="1" x14ac:dyDescent="0.2">
      <c r="A65" s="74" t="s">
        <v>172</v>
      </c>
      <c r="B65" s="65" t="s">
        <v>173</v>
      </c>
    </row>
    <row r="66" spans="1:2" x14ac:dyDescent="0.2">
      <c r="A66" s="143" t="s">
        <v>174</v>
      </c>
      <c r="B66" s="147" t="s">
        <v>382</v>
      </c>
    </row>
    <row r="67" spans="1:2" ht="25.5" x14ac:dyDescent="0.2">
      <c r="A67" s="149" t="s">
        <v>175</v>
      </c>
      <c r="B67" s="147" t="s">
        <v>383</v>
      </c>
    </row>
    <row r="68" spans="1:2" x14ac:dyDescent="0.2">
      <c r="A68" s="146" t="s">
        <v>176</v>
      </c>
      <c r="B68" s="147" t="s">
        <v>384</v>
      </c>
    </row>
    <row r="69" spans="1:2" x14ac:dyDescent="0.2">
      <c r="A69" s="146" t="s">
        <v>177</v>
      </c>
      <c r="B69" s="147" t="s">
        <v>385</v>
      </c>
    </row>
    <row r="70" spans="1:2" ht="25.5" x14ac:dyDescent="0.2">
      <c r="A70" s="146" t="s">
        <v>178</v>
      </c>
      <c r="B70" s="147" t="s">
        <v>386</v>
      </c>
    </row>
    <row r="71" spans="1:2" ht="25.5" x14ac:dyDescent="0.2">
      <c r="A71" s="146" t="s">
        <v>179</v>
      </c>
      <c r="B71" s="147" t="s">
        <v>387</v>
      </c>
    </row>
    <row r="72" spans="1:2" ht="28.5" x14ac:dyDescent="0.2">
      <c r="A72" s="146" t="s">
        <v>180</v>
      </c>
      <c r="B72" s="147" t="s">
        <v>1618</v>
      </c>
    </row>
    <row r="73" spans="1:2" ht="25.5" x14ac:dyDescent="0.2">
      <c r="A73" s="146" t="s">
        <v>181</v>
      </c>
      <c r="B73" s="147" t="s">
        <v>388</v>
      </c>
    </row>
    <row r="74" spans="1:2" ht="25.5" x14ac:dyDescent="0.2">
      <c r="A74" s="146" t="s">
        <v>182</v>
      </c>
      <c r="B74" s="147" t="s">
        <v>389</v>
      </c>
    </row>
    <row r="75" spans="1:2" ht="25.5" x14ac:dyDescent="0.2">
      <c r="A75" s="146" t="s">
        <v>183</v>
      </c>
      <c r="B75" s="147" t="s">
        <v>390</v>
      </c>
    </row>
    <row r="76" spans="1:2" x14ac:dyDescent="0.2">
      <c r="A76" s="146" t="s">
        <v>184</v>
      </c>
      <c r="B76" s="147" t="s">
        <v>391</v>
      </c>
    </row>
    <row r="77" spans="1:2" x14ac:dyDescent="0.2">
      <c r="A77" s="146" t="s">
        <v>185</v>
      </c>
      <c r="B77" s="147" t="s">
        <v>392</v>
      </c>
    </row>
    <row r="78" spans="1:2" x14ac:dyDescent="0.2">
      <c r="A78" s="146" t="s">
        <v>186</v>
      </c>
      <c r="B78" s="147" t="s">
        <v>393</v>
      </c>
    </row>
    <row r="79" spans="1:2" ht="38.25" x14ac:dyDescent="0.2">
      <c r="A79" s="74" t="s">
        <v>187</v>
      </c>
      <c r="B79" s="65" t="s">
        <v>394</v>
      </c>
    </row>
    <row r="80" spans="1:2" x14ac:dyDescent="0.2">
      <c r="A80" s="143" t="s">
        <v>188</v>
      </c>
      <c r="B80" s="147" t="s">
        <v>395</v>
      </c>
    </row>
    <row r="81" spans="1:2" ht="25.5" x14ac:dyDescent="0.2">
      <c r="A81" s="149" t="s">
        <v>189</v>
      </c>
      <c r="B81" s="147" t="s">
        <v>396</v>
      </c>
    </row>
    <row r="82" spans="1:2" x14ac:dyDescent="0.2">
      <c r="A82" s="146" t="s">
        <v>190</v>
      </c>
      <c r="B82" s="147" t="s">
        <v>397</v>
      </c>
    </row>
    <row r="83" spans="1:2" x14ac:dyDescent="0.2">
      <c r="A83" s="146" t="s">
        <v>191</v>
      </c>
      <c r="B83" s="147" t="s">
        <v>398</v>
      </c>
    </row>
    <row r="84" spans="1:2" ht="25.5" x14ac:dyDescent="0.2">
      <c r="A84" s="146" t="s">
        <v>192</v>
      </c>
      <c r="B84" s="147" t="s">
        <v>399</v>
      </c>
    </row>
    <row r="85" spans="1:2" ht="25.5" x14ac:dyDescent="0.2">
      <c r="A85" s="146" t="s">
        <v>193</v>
      </c>
      <c r="B85" s="147" t="s">
        <v>400</v>
      </c>
    </row>
    <row r="86" spans="1:2" ht="28.5" x14ac:dyDescent="0.2">
      <c r="A86" s="146" t="s">
        <v>194</v>
      </c>
      <c r="B86" s="147" t="s">
        <v>1619</v>
      </c>
    </row>
    <row r="87" spans="1:2" ht="25.5" x14ac:dyDescent="0.2">
      <c r="A87" s="146" t="s">
        <v>195</v>
      </c>
      <c r="B87" s="147" t="s">
        <v>401</v>
      </c>
    </row>
    <row r="88" spans="1:2" ht="25.5" x14ac:dyDescent="0.2">
      <c r="A88" s="150" t="s">
        <v>196</v>
      </c>
      <c r="B88" s="147" t="s">
        <v>402</v>
      </c>
    </row>
    <row r="89" spans="1:2" ht="25.5" x14ac:dyDescent="0.2">
      <c r="A89" s="146" t="s">
        <v>197</v>
      </c>
      <c r="B89" s="147" t="s">
        <v>403</v>
      </c>
    </row>
    <row r="90" spans="1:2" x14ac:dyDescent="0.2">
      <c r="A90" s="146" t="s">
        <v>198</v>
      </c>
      <c r="B90" s="147" t="s">
        <v>404</v>
      </c>
    </row>
    <row r="91" spans="1:2" x14ac:dyDescent="0.2">
      <c r="A91" s="146" t="s">
        <v>199</v>
      </c>
      <c r="B91" s="147" t="s">
        <v>405</v>
      </c>
    </row>
    <row r="92" spans="1:2" x14ac:dyDescent="0.2">
      <c r="A92" s="146" t="s">
        <v>200</v>
      </c>
      <c r="B92" s="147" t="s">
        <v>406</v>
      </c>
    </row>
    <row r="93" spans="1:2" ht="38.25" x14ac:dyDescent="0.2">
      <c r="A93" s="74" t="s">
        <v>201</v>
      </c>
      <c r="B93" s="65" t="s">
        <v>407</v>
      </c>
    </row>
    <row r="94" spans="1:2" x14ac:dyDescent="0.2">
      <c r="A94" s="143" t="s">
        <v>202</v>
      </c>
      <c r="B94" s="147" t="s">
        <v>113</v>
      </c>
    </row>
    <row r="95" spans="1:2" ht="25.5" x14ac:dyDescent="0.2">
      <c r="A95" s="149" t="s">
        <v>203</v>
      </c>
      <c r="B95" s="147" t="s">
        <v>27</v>
      </c>
    </row>
    <row r="96" spans="1:2" x14ac:dyDescent="0.2">
      <c r="A96" s="146" t="s">
        <v>204</v>
      </c>
      <c r="B96" s="147" t="s">
        <v>34</v>
      </c>
    </row>
    <row r="97" spans="1:2" x14ac:dyDescent="0.2">
      <c r="A97" s="146" t="s">
        <v>205</v>
      </c>
      <c r="B97" s="147" t="s">
        <v>37</v>
      </c>
    </row>
    <row r="98" spans="1:2" ht="25.5" x14ac:dyDescent="0.2">
      <c r="A98" s="146" t="s">
        <v>206</v>
      </c>
      <c r="B98" s="147" t="s">
        <v>48</v>
      </c>
    </row>
    <row r="99" spans="1:2" ht="25.5" x14ac:dyDescent="0.2">
      <c r="A99" s="146" t="s">
        <v>207</v>
      </c>
      <c r="B99" s="147" t="s">
        <v>52</v>
      </c>
    </row>
    <row r="100" spans="1:2" ht="28.5" x14ac:dyDescent="0.2">
      <c r="A100" s="146" t="s">
        <v>208</v>
      </c>
      <c r="B100" s="147" t="s">
        <v>1616</v>
      </c>
    </row>
    <row r="101" spans="1:2" ht="25.5" x14ac:dyDescent="0.2">
      <c r="A101" s="146" t="s">
        <v>209</v>
      </c>
      <c r="B101" s="147" t="s">
        <v>57</v>
      </c>
    </row>
    <row r="102" spans="1:2" ht="25.5" x14ac:dyDescent="0.2">
      <c r="A102" s="150" t="s">
        <v>210</v>
      </c>
      <c r="B102" s="147" t="s">
        <v>60</v>
      </c>
    </row>
    <row r="103" spans="1:2" ht="25.5" x14ac:dyDescent="0.2">
      <c r="A103" s="146" t="s">
        <v>211</v>
      </c>
      <c r="B103" s="147" t="s">
        <v>408</v>
      </c>
    </row>
    <row r="104" spans="1:2" x14ac:dyDescent="0.2">
      <c r="A104" s="146" t="s">
        <v>212</v>
      </c>
      <c r="B104" s="147" t="s">
        <v>69</v>
      </c>
    </row>
    <row r="105" spans="1:2" x14ac:dyDescent="0.2">
      <c r="A105" s="146" t="s">
        <v>213</v>
      </c>
      <c r="B105" s="147" t="s">
        <v>379</v>
      </c>
    </row>
    <row r="106" spans="1:2" x14ac:dyDescent="0.2">
      <c r="A106" s="146" t="s">
        <v>214</v>
      </c>
      <c r="B106" s="147" t="s">
        <v>70</v>
      </c>
    </row>
    <row r="107" spans="1:2" ht="38.25" x14ac:dyDescent="0.2">
      <c r="A107" s="74" t="s">
        <v>215</v>
      </c>
      <c r="B107" s="65" t="s">
        <v>409</v>
      </c>
    </row>
    <row r="108" spans="1:2" x14ac:dyDescent="0.2">
      <c r="A108" s="143" t="s">
        <v>216</v>
      </c>
      <c r="B108" s="147" t="s">
        <v>113</v>
      </c>
    </row>
    <row r="109" spans="1:2" ht="25.5" x14ac:dyDescent="0.2">
      <c r="A109" s="149" t="s">
        <v>217</v>
      </c>
      <c r="B109" s="147" t="s">
        <v>27</v>
      </c>
    </row>
    <row r="110" spans="1:2" x14ac:dyDescent="0.2">
      <c r="A110" s="146" t="s">
        <v>218</v>
      </c>
      <c r="B110" s="147" t="s">
        <v>34</v>
      </c>
    </row>
    <row r="111" spans="1:2" x14ac:dyDescent="0.2">
      <c r="A111" s="146" t="s">
        <v>219</v>
      </c>
      <c r="B111" s="147" t="s">
        <v>37</v>
      </c>
    </row>
    <row r="112" spans="1:2" ht="25.5" x14ac:dyDescent="0.2">
      <c r="A112" s="146" t="s">
        <v>220</v>
      </c>
      <c r="B112" s="147" t="s">
        <v>48</v>
      </c>
    </row>
    <row r="113" spans="1:2" ht="25.5" x14ac:dyDescent="0.2">
      <c r="A113" s="146" t="s">
        <v>221</v>
      </c>
      <c r="B113" s="147" t="s">
        <v>52</v>
      </c>
    </row>
    <row r="114" spans="1:2" ht="28.5" x14ac:dyDescent="0.2">
      <c r="A114" s="146" t="s">
        <v>222</v>
      </c>
      <c r="B114" s="147" t="s">
        <v>1616</v>
      </c>
    </row>
    <row r="115" spans="1:2" ht="25.5" x14ac:dyDescent="0.2">
      <c r="A115" s="146" t="s">
        <v>223</v>
      </c>
      <c r="B115" s="147" t="s">
        <v>57</v>
      </c>
    </row>
    <row r="116" spans="1:2" ht="25.5" x14ac:dyDescent="0.2">
      <c r="A116" s="150" t="s">
        <v>224</v>
      </c>
      <c r="B116" s="147" t="s">
        <v>60</v>
      </c>
    </row>
    <row r="117" spans="1:2" ht="25.5" x14ac:dyDescent="0.2">
      <c r="A117" s="146" t="s">
        <v>225</v>
      </c>
      <c r="B117" s="147" t="s">
        <v>408</v>
      </c>
    </row>
    <row r="118" spans="1:2" x14ac:dyDescent="0.2">
      <c r="A118" s="146" t="s">
        <v>226</v>
      </c>
      <c r="B118" s="147" t="s">
        <v>69</v>
      </c>
    </row>
    <row r="119" spans="1:2" x14ac:dyDescent="0.2">
      <c r="A119" s="146" t="s">
        <v>227</v>
      </c>
      <c r="B119" s="147" t="s">
        <v>379</v>
      </c>
    </row>
    <row r="120" spans="1:2" x14ac:dyDescent="0.2">
      <c r="A120" s="146" t="s">
        <v>228</v>
      </c>
      <c r="B120" s="147" t="s">
        <v>70</v>
      </c>
    </row>
    <row r="121" spans="1:2" ht="38.25" x14ac:dyDescent="0.2">
      <c r="A121" s="74" t="s">
        <v>229</v>
      </c>
      <c r="B121" s="65" t="s">
        <v>410</v>
      </c>
    </row>
    <row r="122" spans="1:2" x14ac:dyDescent="0.2">
      <c r="A122" s="146" t="s">
        <v>230</v>
      </c>
      <c r="B122" s="147" t="s">
        <v>113</v>
      </c>
    </row>
    <row r="123" spans="1:2" ht="25.5" x14ac:dyDescent="0.2">
      <c r="A123" s="146" t="s">
        <v>231</v>
      </c>
      <c r="B123" s="147" t="s">
        <v>27</v>
      </c>
    </row>
    <row r="124" spans="1:2" x14ac:dyDescent="0.2">
      <c r="A124" s="146" t="s">
        <v>232</v>
      </c>
      <c r="B124" s="147" t="s">
        <v>34</v>
      </c>
    </row>
    <row r="125" spans="1:2" x14ac:dyDescent="0.2">
      <c r="A125" s="146" t="s">
        <v>233</v>
      </c>
      <c r="B125" s="147" t="s">
        <v>37</v>
      </c>
    </row>
    <row r="126" spans="1:2" ht="25.5" x14ac:dyDescent="0.2">
      <c r="A126" s="146" t="s">
        <v>234</v>
      </c>
      <c r="B126" s="147" t="s">
        <v>48</v>
      </c>
    </row>
    <row r="127" spans="1:2" ht="25.5" x14ac:dyDescent="0.2">
      <c r="A127" s="146" t="s">
        <v>235</v>
      </c>
      <c r="B127" s="147" t="s">
        <v>52</v>
      </c>
    </row>
    <row r="128" spans="1:2" ht="28.5" x14ac:dyDescent="0.2">
      <c r="A128" s="146" t="s">
        <v>236</v>
      </c>
      <c r="B128" s="147" t="s">
        <v>1616</v>
      </c>
    </row>
    <row r="129" spans="1:2" ht="25.5" x14ac:dyDescent="0.2">
      <c r="A129" s="146" t="s">
        <v>237</v>
      </c>
      <c r="B129" s="147" t="s">
        <v>57</v>
      </c>
    </row>
    <row r="130" spans="1:2" ht="25.5" x14ac:dyDescent="0.2">
      <c r="A130" s="146" t="s">
        <v>238</v>
      </c>
      <c r="B130" s="147" t="s">
        <v>60</v>
      </c>
    </row>
    <row r="131" spans="1:2" ht="25.5" x14ac:dyDescent="0.2">
      <c r="A131" s="146" t="s">
        <v>239</v>
      </c>
      <c r="B131" s="147" t="s">
        <v>408</v>
      </c>
    </row>
    <row r="132" spans="1:2" x14ac:dyDescent="0.2">
      <c r="A132" s="146" t="s">
        <v>240</v>
      </c>
      <c r="B132" s="147" t="s">
        <v>69</v>
      </c>
    </row>
    <row r="133" spans="1:2" x14ac:dyDescent="0.2">
      <c r="A133" s="146" t="s">
        <v>241</v>
      </c>
      <c r="B133" s="147" t="s">
        <v>379</v>
      </c>
    </row>
    <row r="134" spans="1:2" x14ac:dyDescent="0.2">
      <c r="A134" s="146" t="s">
        <v>242</v>
      </c>
      <c r="B134" s="147" t="s">
        <v>70</v>
      </c>
    </row>
    <row r="135" spans="1:2" ht="38.25" x14ac:dyDescent="0.2">
      <c r="A135" s="65" t="s">
        <v>411</v>
      </c>
      <c r="B135" s="65" t="s">
        <v>412</v>
      </c>
    </row>
    <row r="136" spans="1:2" x14ac:dyDescent="0.2">
      <c r="A136" s="146" t="s">
        <v>413</v>
      </c>
      <c r="B136" s="147" t="s">
        <v>113</v>
      </c>
    </row>
    <row r="137" spans="1:2" ht="25.5" x14ac:dyDescent="0.2">
      <c r="A137" s="146" t="s">
        <v>414</v>
      </c>
      <c r="B137" s="147" t="s">
        <v>27</v>
      </c>
    </row>
    <row r="138" spans="1:2" x14ac:dyDescent="0.2">
      <c r="A138" s="146" t="s">
        <v>415</v>
      </c>
      <c r="B138" s="147" t="s">
        <v>34</v>
      </c>
    </row>
    <row r="139" spans="1:2" x14ac:dyDescent="0.2">
      <c r="A139" s="146" t="s">
        <v>416</v>
      </c>
      <c r="B139" s="147" t="s">
        <v>37</v>
      </c>
    </row>
    <row r="140" spans="1:2" ht="25.5" x14ac:dyDescent="0.2">
      <c r="A140" s="146" t="s">
        <v>417</v>
      </c>
      <c r="B140" s="147" t="s">
        <v>48</v>
      </c>
    </row>
    <row r="141" spans="1:2" ht="25.5" x14ac:dyDescent="0.2">
      <c r="A141" s="146" t="s">
        <v>418</v>
      </c>
      <c r="B141" s="147" t="s">
        <v>52</v>
      </c>
    </row>
    <row r="142" spans="1:2" ht="28.5" x14ac:dyDescent="0.2">
      <c r="A142" s="146" t="s">
        <v>419</v>
      </c>
      <c r="B142" s="147" t="s">
        <v>1616</v>
      </c>
    </row>
    <row r="143" spans="1:2" ht="25.5" x14ac:dyDescent="0.2">
      <c r="A143" s="146" t="s">
        <v>420</v>
      </c>
      <c r="B143" s="147" t="s">
        <v>57</v>
      </c>
    </row>
    <row r="144" spans="1:2" ht="25.5" x14ac:dyDescent="0.2">
      <c r="A144" s="146" t="s">
        <v>421</v>
      </c>
      <c r="B144" s="147" t="s">
        <v>60</v>
      </c>
    </row>
    <row r="145" spans="1:2" ht="25.5" x14ac:dyDescent="0.2">
      <c r="A145" s="146" t="s">
        <v>422</v>
      </c>
      <c r="B145" s="147" t="s">
        <v>408</v>
      </c>
    </row>
    <row r="146" spans="1:2" x14ac:dyDescent="0.2">
      <c r="A146" s="146" t="s">
        <v>423</v>
      </c>
      <c r="B146" s="147" t="s">
        <v>69</v>
      </c>
    </row>
    <row r="147" spans="1:2" x14ac:dyDescent="0.2">
      <c r="A147" s="146" t="s">
        <v>424</v>
      </c>
      <c r="B147" s="147" t="s">
        <v>379</v>
      </c>
    </row>
    <row r="148" spans="1:2" x14ac:dyDescent="0.2">
      <c r="A148" s="149" t="s">
        <v>425</v>
      </c>
      <c r="B148" s="147" t="s">
        <v>70</v>
      </c>
    </row>
    <row r="149" spans="1:2" ht="38.25" x14ac:dyDescent="0.2">
      <c r="A149" s="65" t="s">
        <v>426</v>
      </c>
      <c r="B149" s="65" t="s">
        <v>427</v>
      </c>
    </row>
    <row r="150" spans="1:2" x14ac:dyDescent="0.2">
      <c r="A150" s="146" t="s">
        <v>428</v>
      </c>
      <c r="B150" s="147" t="s">
        <v>113</v>
      </c>
    </row>
    <row r="151" spans="1:2" ht="25.5" x14ac:dyDescent="0.2">
      <c r="A151" s="146" t="s">
        <v>429</v>
      </c>
      <c r="B151" s="147" t="s">
        <v>27</v>
      </c>
    </row>
    <row r="152" spans="1:2" x14ac:dyDescent="0.2">
      <c r="A152" s="146" t="s">
        <v>430</v>
      </c>
      <c r="B152" s="147" t="s">
        <v>34</v>
      </c>
    </row>
    <row r="153" spans="1:2" x14ac:dyDescent="0.2">
      <c r="A153" s="146" t="s">
        <v>431</v>
      </c>
      <c r="B153" s="147" t="s">
        <v>37</v>
      </c>
    </row>
    <row r="154" spans="1:2" ht="25.5" x14ac:dyDescent="0.2">
      <c r="A154" s="146" t="s">
        <v>432</v>
      </c>
      <c r="B154" s="147" t="s">
        <v>48</v>
      </c>
    </row>
    <row r="155" spans="1:2" ht="25.5" x14ac:dyDescent="0.2">
      <c r="A155" s="146" t="s">
        <v>433</v>
      </c>
      <c r="B155" s="147" t="s">
        <v>52</v>
      </c>
    </row>
    <row r="156" spans="1:2" ht="28.5" x14ac:dyDescent="0.2">
      <c r="A156" s="146" t="s">
        <v>434</v>
      </c>
      <c r="B156" s="147" t="s">
        <v>1616</v>
      </c>
    </row>
    <row r="157" spans="1:2" ht="25.5" x14ac:dyDescent="0.2">
      <c r="A157" s="146" t="s">
        <v>435</v>
      </c>
      <c r="B157" s="147" t="s">
        <v>57</v>
      </c>
    </row>
    <row r="158" spans="1:2" ht="25.5" x14ac:dyDescent="0.2">
      <c r="A158" s="146" t="s">
        <v>436</v>
      </c>
      <c r="B158" s="147" t="s">
        <v>60</v>
      </c>
    </row>
    <row r="159" spans="1:2" ht="25.5" x14ac:dyDescent="0.2">
      <c r="A159" s="146" t="s">
        <v>437</v>
      </c>
      <c r="B159" s="147" t="s">
        <v>408</v>
      </c>
    </row>
    <row r="160" spans="1:2" x14ac:dyDescent="0.2">
      <c r="A160" s="146" t="s">
        <v>438</v>
      </c>
      <c r="B160" s="147" t="s">
        <v>69</v>
      </c>
    </row>
    <row r="161" spans="1:2" x14ac:dyDescent="0.2">
      <c r="A161" s="146" t="s">
        <v>439</v>
      </c>
      <c r="B161" s="147" t="s">
        <v>379</v>
      </c>
    </row>
    <row r="162" spans="1:2" x14ac:dyDescent="0.2">
      <c r="A162" s="146" t="s">
        <v>440</v>
      </c>
      <c r="B162" s="147" t="s">
        <v>70</v>
      </c>
    </row>
  </sheetData>
  <mergeCells count="1">
    <mergeCell ref="A7:B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1414E-7229-4575-A87E-140EE3570FF8}">
  <dimension ref="A1:E85"/>
  <sheetViews>
    <sheetView view="pageBreakPreview" zoomScale="60" zoomScaleNormal="100" workbookViewId="0">
      <selection activeCell="F82" sqref="F82"/>
    </sheetView>
  </sheetViews>
  <sheetFormatPr defaultColWidth="9.140625" defaultRowHeight="12" x14ac:dyDescent="0.2"/>
  <cols>
    <col min="1" max="1" width="9.5703125" style="89" customWidth="1"/>
    <col min="2" max="2" width="59.140625" style="89" customWidth="1"/>
    <col min="3" max="3" width="10.42578125" style="89" customWidth="1"/>
    <col min="4" max="4" width="11.140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12" customHeight="1" x14ac:dyDescent="0.2">
      <c r="A5" s="157" t="s">
        <v>1650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105</v>
      </c>
      <c r="B9" s="160"/>
      <c r="C9" s="48"/>
      <c r="D9" s="44"/>
    </row>
    <row r="10" spans="1:4" ht="108" x14ac:dyDescent="0.2">
      <c r="A10" s="14" t="s">
        <v>80</v>
      </c>
      <c r="B10" s="14" t="s">
        <v>81</v>
      </c>
      <c r="C10" s="14" t="s">
        <v>136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61.25" customHeight="1" x14ac:dyDescent="0.2">
      <c r="A14" s="3"/>
      <c r="B14" s="81" t="s">
        <v>1622</v>
      </c>
      <c r="C14" s="1">
        <v>60.84</v>
      </c>
      <c r="D14" s="1">
        <f>C14*C84</f>
        <v>1825.2</v>
      </c>
    </row>
    <row r="15" spans="1:4" ht="24" customHeight="1" x14ac:dyDescent="0.2">
      <c r="A15" s="3">
        <v>1200</v>
      </c>
      <c r="B15" s="23" t="s">
        <v>1416</v>
      </c>
      <c r="C15" s="1">
        <f>ROUND(C14*0.2359,2)</f>
        <v>14.35</v>
      </c>
      <c r="D15" s="1">
        <f>C15*C84</f>
        <v>430.5</v>
      </c>
    </row>
    <row r="16" spans="1:4" x14ac:dyDescent="0.2">
      <c r="A16" s="3">
        <v>2341</v>
      </c>
      <c r="B16" s="3" t="s">
        <v>86</v>
      </c>
      <c r="C16" s="1">
        <v>0</v>
      </c>
      <c r="D16" s="1">
        <v>0</v>
      </c>
    </row>
    <row r="17" spans="1:4" x14ac:dyDescent="0.2">
      <c r="A17" s="3" t="s">
        <v>138</v>
      </c>
      <c r="B17" s="40" t="s">
        <v>87</v>
      </c>
      <c r="C17" s="32">
        <f>C14+C15</f>
        <v>75.19</v>
      </c>
      <c r="D17" s="32">
        <f>D14+D15</f>
        <v>2255.6999999999998</v>
      </c>
    </row>
    <row r="18" spans="1:4" x14ac:dyDescent="0.2">
      <c r="A18" s="3"/>
      <c r="B18" s="40" t="s">
        <v>245</v>
      </c>
      <c r="C18" s="24"/>
      <c r="D18" s="24"/>
    </row>
    <row r="19" spans="1:4" x14ac:dyDescent="0.2">
      <c r="A19" s="3">
        <v>2210</v>
      </c>
      <c r="B19" s="4" t="s">
        <v>125</v>
      </c>
      <c r="C19" s="24"/>
      <c r="D19" s="24"/>
    </row>
    <row r="20" spans="1:4" ht="82.5" customHeight="1" x14ac:dyDescent="0.2">
      <c r="A20" s="3"/>
      <c r="B20" s="4" t="s">
        <v>1417</v>
      </c>
      <c r="C20" s="1">
        <f>ROUND(4.47/10,2)</f>
        <v>0.45</v>
      </c>
      <c r="D20" s="1">
        <f>C20*C84</f>
        <v>13.5</v>
      </c>
    </row>
    <row r="21" spans="1:4" x14ac:dyDescent="0.2">
      <c r="A21" s="3">
        <v>2221</v>
      </c>
      <c r="B21" s="4" t="s">
        <v>89</v>
      </c>
      <c r="C21" s="24"/>
      <c r="D21" s="24"/>
    </row>
    <row r="22" spans="1:4" ht="84" customHeight="1" x14ac:dyDescent="0.2">
      <c r="A22" s="3"/>
      <c r="B22" s="4" t="s">
        <v>1418</v>
      </c>
      <c r="C22" s="1">
        <f>ROUND(10.94/10,2)</f>
        <v>1.0900000000000001</v>
      </c>
      <c r="D22" s="1">
        <f>C22*C84</f>
        <v>32.700000000000003</v>
      </c>
    </row>
    <row r="23" spans="1:4" x14ac:dyDescent="0.2">
      <c r="A23" s="3">
        <v>2222</v>
      </c>
      <c r="B23" s="4" t="s">
        <v>90</v>
      </c>
      <c r="C23" s="24"/>
      <c r="D23" s="24"/>
    </row>
    <row r="24" spans="1:4" ht="83.25" customHeight="1" x14ac:dyDescent="0.2">
      <c r="A24" s="3"/>
      <c r="B24" s="4" t="s">
        <v>1419</v>
      </c>
      <c r="C24" s="1">
        <f>ROUND(0.88/10,2)</f>
        <v>0.09</v>
      </c>
      <c r="D24" s="1">
        <f>C24*C84</f>
        <v>2.6999999999999997</v>
      </c>
    </row>
    <row r="25" spans="1:4" x14ac:dyDescent="0.2">
      <c r="A25" s="3">
        <v>2223</v>
      </c>
      <c r="B25" s="3" t="s">
        <v>91</v>
      </c>
      <c r="C25" s="24"/>
      <c r="D25" s="24"/>
    </row>
    <row r="26" spans="1:4" ht="82.5" customHeight="1" x14ac:dyDescent="0.2">
      <c r="A26" s="3"/>
      <c r="B26" s="4" t="s">
        <v>1420</v>
      </c>
      <c r="C26" s="1">
        <f>ROUND(20.01/10,2)</f>
        <v>2</v>
      </c>
      <c r="D26" s="1">
        <f>C26*C84</f>
        <v>60</v>
      </c>
    </row>
    <row r="27" spans="1:4" x14ac:dyDescent="0.2">
      <c r="A27" s="3">
        <v>2224</v>
      </c>
      <c r="B27" s="4" t="s">
        <v>126</v>
      </c>
      <c r="C27" s="24"/>
      <c r="D27" s="24"/>
    </row>
    <row r="28" spans="1:4" ht="82.5" customHeight="1" x14ac:dyDescent="0.2">
      <c r="A28" s="3"/>
      <c r="B28" s="4" t="s">
        <v>1421</v>
      </c>
      <c r="C28" s="1">
        <f>ROUND(3.11/10,2)</f>
        <v>0.31</v>
      </c>
      <c r="D28" s="1">
        <f>ROUND(C28*C84,2)</f>
        <v>9.3000000000000007</v>
      </c>
    </row>
    <row r="29" spans="1:4" x14ac:dyDescent="0.2">
      <c r="A29" s="3">
        <v>2231</v>
      </c>
      <c r="B29" s="4" t="s">
        <v>117</v>
      </c>
      <c r="C29" s="24"/>
      <c r="D29" s="24"/>
    </row>
    <row r="30" spans="1:4" ht="84" customHeight="1" x14ac:dyDescent="0.2">
      <c r="A30" s="3"/>
      <c r="B30" s="4" t="s">
        <v>1422</v>
      </c>
      <c r="C30" s="1">
        <f>ROUND(5.49/10,2)</f>
        <v>0.55000000000000004</v>
      </c>
      <c r="D30" s="1">
        <f>C30*C84</f>
        <v>16.5</v>
      </c>
    </row>
    <row r="31" spans="1:4" ht="12.75" customHeight="1" x14ac:dyDescent="0.2">
      <c r="A31" s="3">
        <v>2232</v>
      </c>
      <c r="B31" s="4" t="s">
        <v>453</v>
      </c>
      <c r="C31" s="1"/>
      <c r="D31" s="1"/>
    </row>
    <row r="32" spans="1:4" ht="84" customHeight="1" x14ac:dyDescent="0.2">
      <c r="A32" s="3"/>
      <c r="B32" s="4" t="s">
        <v>1423</v>
      </c>
      <c r="C32" s="1">
        <f>ROUND(1.46/10,2)</f>
        <v>0.15</v>
      </c>
      <c r="D32" s="1">
        <f>C32*C84</f>
        <v>4.5</v>
      </c>
    </row>
    <row r="33" spans="1:4" x14ac:dyDescent="0.2">
      <c r="A33" s="3">
        <v>2233</v>
      </c>
      <c r="B33" s="4" t="s">
        <v>127</v>
      </c>
      <c r="C33" s="1"/>
      <c r="D33" s="1"/>
    </row>
    <row r="34" spans="1:4" x14ac:dyDescent="0.2">
      <c r="A34" s="3"/>
      <c r="B34" s="4" t="s">
        <v>128</v>
      </c>
      <c r="C34" s="1">
        <v>0</v>
      </c>
      <c r="D34" s="1">
        <f>C34*C86</f>
        <v>0</v>
      </c>
    </row>
    <row r="35" spans="1:4" x14ac:dyDescent="0.2">
      <c r="A35" s="3">
        <v>2235</v>
      </c>
      <c r="B35" s="4" t="s">
        <v>355</v>
      </c>
      <c r="C35" s="1"/>
      <c r="D35" s="1"/>
    </row>
    <row r="36" spans="1:4" ht="84" x14ac:dyDescent="0.2">
      <c r="A36" s="3"/>
      <c r="B36" s="4" t="s">
        <v>1424</v>
      </c>
      <c r="C36" s="1">
        <f>ROUND(0.7/10,2)</f>
        <v>7.0000000000000007E-2</v>
      </c>
      <c r="D36" s="1">
        <f>C36*C84</f>
        <v>2.1</v>
      </c>
    </row>
    <row r="37" spans="1:4" x14ac:dyDescent="0.2">
      <c r="A37" s="3">
        <v>2239</v>
      </c>
      <c r="B37" s="4" t="s">
        <v>356</v>
      </c>
      <c r="C37" s="1"/>
      <c r="D37" s="1"/>
    </row>
    <row r="38" spans="1:4" ht="84" x14ac:dyDescent="0.2">
      <c r="A38" s="3"/>
      <c r="B38" s="4" t="s">
        <v>1425</v>
      </c>
      <c r="C38" s="1">
        <f>ROUND(10.37/10,2)</f>
        <v>1.04</v>
      </c>
      <c r="D38" s="1">
        <f>C38*C84</f>
        <v>31.200000000000003</v>
      </c>
    </row>
    <row r="39" spans="1:4" x14ac:dyDescent="0.2">
      <c r="A39" s="3">
        <v>2241</v>
      </c>
      <c r="B39" s="4" t="s">
        <v>460</v>
      </c>
      <c r="C39" s="1"/>
      <c r="D39" s="1"/>
    </row>
    <row r="40" spans="1:4" ht="84" x14ac:dyDescent="0.2">
      <c r="A40" s="3"/>
      <c r="B40" s="4" t="s">
        <v>1426</v>
      </c>
      <c r="C40" s="1">
        <f>ROUND(12.97/10,2)</f>
        <v>1.3</v>
      </c>
      <c r="D40" s="1">
        <f>C40*C84</f>
        <v>39</v>
      </c>
    </row>
    <row r="41" spans="1:4" x14ac:dyDescent="0.2">
      <c r="A41" s="3">
        <v>2243</v>
      </c>
      <c r="B41" s="4" t="s">
        <v>100</v>
      </c>
      <c r="C41" s="1"/>
      <c r="D41" s="1"/>
    </row>
    <row r="42" spans="1:4" ht="81.75" customHeight="1" x14ac:dyDescent="0.2">
      <c r="A42" s="3"/>
      <c r="B42" s="4" t="s">
        <v>1427</v>
      </c>
      <c r="C42" s="1">
        <f>ROUND(10.66/10,2)</f>
        <v>1.07</v>
      </c>
      <c r="D42" s="1">
        <f>C42*C84</f>
        <v>32.1</v>
      </c>
    </row>
    <row r="43" spans="1:4" x14ac:dyDescent="0.2">
      <c r="A43" s="3">
        <v>2244</v>
      </c>
      <c r="B43" s="4" t="s">
        <v>92</v>
      </c>
      <c r="C43" s="24"/>
      <c r="D43" s="24"/>
    </row>
    <row r="44" spans="1:4" ht="81.75" customHeight="1" x14ac:dyDescent="0.2">
      <c r="A44" s="95"/>
      <c r="B44" s="4" t="s">
        <v>1428</v>
      </c>
      <c r="C44" s="1">
        <f>ROUND(14.61/10,2)</f>
        <v>1.46</v>
      </c>
      <c r="D44" s="1">
        <f>C44*C84</f>
        <v>43.8</v>
      </c>
    </row>
    <row r="45" spans="1:4" ht="15.75" customHeight="1" x14ac:dyDescent="0.2">
      <c r="A45" s="96">
        <v>2247</v>
      </c>
      <c r="B45" s="4" t="s">
        <v>358</v>
      </c>
      <c r="C45" s="1"/>
      <c r="D45" s="1"/>
    </row>
    <row r="46" spans="1:4" ht="81.75" customHeight="1" x14ac:dyDescent="0.2">
      <c r="A46" s="96"/>
      <c r="B46" s="4" t="s">
        <v>1429</v>
      </c>
      <c r="C46" s="1">
        <f>ROUND(0.56/10,2)</f>
        <v>0.06</v>
      </c>
      <c r="D46" s="1">
        <f>C46*C84</f>
        <v>1.7999999999999998</v>
      </c>
    </row>
    <row r="47" spans="1:4" ht="13.5" customHeight="1" x14ac:dyDescent="0.2">
      <c r="A47" s="96">
        <v>2249</v>
      </c>
      <c r="B47" s="4" t="s">
        <v>1236</v>
      </c>
      <c r="C47" s="1"/>
      <c r="D47" s="1"/>
    </row>
    <row r="48" spans="1:4" ht="81.75" customHeight="1" x14ac:dyDescent="0.2">
      <c r="A48" s="95"/>
      <c r="B48" s="4" t="s">
        <v>1430</v>
      </c>
      <c r="C48" s="1">
        <f>ROUND(0.48/10,2)</f>
        <v>0.05</v>
      </c>
      <c r="D48" s="1">
        <f>C48*C84</f>
        <v>1.5</v>
      </c>
    </row>
    <row r="49" spans="1:4" x14ac:dyDescent="0.2">
      <c r="A49" s="3">
        <v>2250</v>
      </c>
      <c r="B49" s="4" t="s">
        <v>118</v>
      </c>
      <c r="C49" s="24"/>
      <c r="D49" s="1"/>
    </row>
    <row r="50" spans="1:4" ht="85.5" customHeight="1" x14ac:dyDescent="0.2">
      <c r="A50" s="3"/>
      <c r="B50" s="97" t="s">
        <v>1431</v>
      </c>
      <c r="C50" s="1">
        <f>ROUND(50.25/10,2)</f>
        <v>5.03</v>
      </c>
      <c r="D50" s="1">
        <f>C50*C84</f>
        <v>150.9</v>
      </c>
    </row>
    <row r="51" spans="1:4" x14ac:dyDescent="0.2">
      <c r="A51" s="3">
        <v>2261</v>
      </c>
      <c r="B51" s="97" t="s">
        <v>130</v>
      </c>
      <c r="C51" s="1"/>
      <c r="D51" s="1"/>
    </row>
    <row r="52" spans="1:4" ht="86.25" customHeight="1" x14ac:dyDescent="0.2">
      <c r="A52" s="3"/>
      <c r="B52" s="97" t="s">
        <v>1432</v>
      </c>
      <c r="C52" s="1">
        <f>ROUND(31.3/10,2)</f>
        <v>3.13</v>
      </c>
      <c r="D52" s="1">
        <f>C52*C84</f>
        <v>93.899999999999991</v>
      </c>
    </row>
    <row r="53" spans="1:4" ht="14.25" customHeight="1" x14ac:dyDescent="0.2">
      <c r="A53" s="3">
        <v>2263</v>
      </c>
      <c r="B53" s="97" t="s">
        <v>360</v>
      </c>
      <c r="C53" s="1"/>
      <c r="D53" s="1"/>
    </row>
    <row r="54" spans="1:4" ht="86.25" customHeight="1" x14ac:dyDescent="0.2">
      <c r="A54" s="3"/>
      <c r="B54" s="4" t="s">
        <v>1433</v>
      </c>
      <c r="C54" s="1">
        <f>ROUND(0.21/10,2)</f>
        <v>0.02</v>
      </c>
      <c r="D54" s="1">
        <f>C54*C84</f>
        <v>0.6</v>
      </c>
    </row>
    <row r="55" spans="1:4" ht="13.5" customHeight="1" x14ac:dyDescent="0.2">
      <c r="A55" s="3">
        <v>2264</v>
      </c>
      <c r="B55" s="4" t="s">
        <v>361</v>
      </c>
      <c r="C55" s="1"/>
      <c r="D55" s="1"/>
    </row>
    <row r="56" spans="1:4" ht="86.25" customHeight="1" x14ac:dyDescent="0.2">
      <c r="A56" s="3"/>
      <c r="B56" s="4" t="s">
        <v>1434</v>
      </c>
      <c r="C56" s="1">
        <f>ROUND(5.52/10,2)</f>
        <v>0.55000000000000004</v>
      </c>
      <c r="D56" s="1">
        <f>C56*C84</f>
        <v>16.5</v>
      </c>
    </row>
    <row r="57" spans="1:4" x14ac:dyDescent="0.2">
      <c r="A57" s="3">
        <v>2311</v>
      </c>
      <c r="B57" s="4" t="s">
        <v>93</v>
      </c>
      <c r="C57" s="24"/>
      <c r="D57" s="24"/>
    </row>
    <row r="58" spans="1:4" ht="82.5" customHeight="1" x14ac:dyDescent="0.2">
      <c r="A58" s="3"/>
      <c r="B58" s="4" t="s">
        <v>1435</v>
      </c>
      <c r="C58" s="1">
        <f>ROUND(2.02/10,2)</f>
        <v>0.2</v>
      </c>
      <c r="D58" s="1">
        <f>C58*C84</f>
        <v>6</v>
      </c>
    </row>
    <row r="59" spans="1:4" ht="14.25" customHeight="1" x14ac:dyDescent="0.2">
      <c r="A59" s="3">
        <v>2312</v>
      </c>
      <c r="B59" s="4" t="s">
        <v>120</v>
      </c>
      <c r="C59" s="1"/>
      <c r="D59" s="1"/>
    </row>
    <row r="60" spans="1:4" ht="82.5" customHeight="1" x14ac:dyDescent="0.2">
      <c r="A60" s="3"/>
      <c r="B60" s="4" t="s">
        <v>1436</v>
      </c>
      <c r="C60" s="1">
        <f>ROUND(2.32/10,2)</f>
        <v>0.23</v>
      </c>
      <c r="D60" s="1">
        <f>C60*C84</f>
        <v>6.9</v>
      </c>
    </row>
    <row r="61" spans="1:4" ht="15" customHeight="1" x14ac:dyDescent="0.2">
      <c r="A61" s="3">
        <v>2314</v>
      </c>
      <c r="B61" s="4" t="s">
        <v>1243</v>
      </c>
      <c r="C61" s="1"/>
      <c r="D61" s="1"/>
    </row>
    <row r="62" spans="1:4" ht="82.5" customHeight="1" x14ac:dyDescent="0.2">
      <c r="A62" s="3"/>
      <c r="B62" s="4" t="s">
        <v>1437</v>
      </c>
      <c r="C62" s="1">
        <f>ROUND(4.96/10,2)</f>
        <v>0.5</v>
      </c>
      <c r="D62" s="1">
        <f>C62*C84</f>
        <v>15</v>
      </c>
    </row>
    <row r="63" spans="1:4" x14ac:dyDescent="0.2">
      <c r="A63" s="3">
        <v>2350</v>
      </c>
      <c r="B63" s="4" t="s">
        <v>119</v>
      </c>
      <c r="C63" s="24"/>
      <c r="D63" s="24"/>
    </row>
    <row r="64" spans="1:4" ht="81.75" customHeight="1" x14ac:dyDescent="0.2">
      <c r="A64" s="3"/>
      <c r="B64" s="4" t="s">
        <v>1438</v>
      </c>
      <c r="C64" s="1">
        <f>ROUND(7.13/10,2)</f>
        <v>0.71</v>
      </c>
      <c r="D64" s="1">
        <f>C64*C84</f>
        <v>21.299999999999997</v>
      </c>
    </row>
    <row r="65" spans="1:4" ht="15.75" customHeight="1" x14ac:dyDescent="0.2">
      <c r="A65" s="3">
        <v>2361</v>
      </c>
      <c r="B65" s="4" t="s">
        <v>364</v>
      </c>
      <c r="C65" s="1"/>
      <c r="D65" s="1"/>
    </row>
    <row r="66" spans="1:4" ht="81.75" customHeight="1" x14ac:dyDescent="0.2">
      <c r="A66" s="3"/>
      <c r="B66" s="4" t="s">
        <v>1439</v>
      </c>
      <c r="C66" s="1">
        <f>ROUND(0.44/10,2)</f>
        <v>0.04</v>
      </c>
      <c r="D66" s="1">
        <f>C66*C84</f>
        <v>1.2</v>
      </c>
    </row>
    <row r="67" spans="1:4" ht="14.25" customHeight="1" x14ac:dyDescent="0.2">
      <c r="A67" s="3">
        <v>2513</v>
      </c>
      <c r="B67" s="4" t="s">
        <v>365</v>
      </c>
      <c r="C67" s="1"/>
      <c r="D67" s="1"/>
    </row>
    <row r="68" spans="1:4" ht="81.75" customHeight="1" x14ac:dyDescent="0.2">
      <c r="A68" s="3"/>
      <c r="B68" s="4" t="s">
        <v>1440</v>
      </c>
      <c r="C68" s="1">
        <f>ROUND(0.65/10,2)</f>
        <v>7.0000000000000007E-2</v>
      </c>
      <c r="D68" s="1">
        <f>C68*C84</f>
        <v>2.1</v>
      </c>
    </row>
    <row r="69" spans="1:4" ht="14.25" customHeight="1" x14ac:dyDescent="0.2">
      <c r="A69" s="3">
        <v>2519</v>
      </c>
      <c r="B69" s="4" t="s">
        <v>366</v>
      </c>
      <c r="C69" s="1"/>
      <c r="D69" s="1"/>
    </row>
    <row r="70" spans="1:4" ht="81.75" customHeight="1" x14ac:dyDescent="0.2">
      <c r="A70" s="3"/>
      <c r="B70" s="4" t="s">
        <v>1441</v>
      </c>
      <c r="C70" s="1">
        <f>ROUND(0.28/10,2)</f>
        <v>0.03</v>
      </c>
      <c r="D70" s="1">
        <f>C70*C84</f>
        <v>0.89999999999999991</v>
      </c>
    </row>
    <row r="71" spans="1:4" x14ac:dyDescent="0.2">
      <c r="A71" s="3">
        <v>5120</v>
      </c>
      <c r="B71" s="4" t="s">
        <v>101</v>
      </c>
      <c r="C71" s="24"/>
      <c r="D71" s="1"/>
    </row>
    <row r="72" spans="1:4" ht="81.75" customHeight="1" x14ac:dyDescent="0.2">
      <c r="A72" s="3"/>
      <c r="B72" s="4" t="s">
        <v>1442</v>
      </c>
      <c r="C72" s="1">
        <f>ROUND(0.8/10,2)</f>
        <v>0.08</v>
      </c>
      <c r="D72" s="1">
        <f>C72*C84</f>
        <v>2.4</v>
      </c>
    </row>
    <row r="73" spans="1:4" x14ac:dyDescent="0.2">
      <c r="A73" s="3">
        <v>5220</v>
      </c>
      <c r="B73" s="4" t="s">
        <v>131</v>
      </c>
      <c r="C73" s="1">
        <v>0</v>
      </c>
      <c r="D73" s="1">
        <v>0</v>
      </c>
    </row>
    <row r="74" spans="1:4" x14ac:dyDescent="0.2">
      <c r="A74" s="3">
        <v>5238</v>
      </c>
      <c r="B74" s="4" t="s">
        <v>115</v>
      </c>
      <c r="C74" s="30"/>
      <c r="D74" s="1"/>
    </row>
    <row r="75" spans="1:4" ht="81" customHeight="1" x14ac:dyDescent="0.2">
      <c r="A75" s="3"/>
      <c r="B75" s="4" t="s">
        <v>1443</v>
      </c>
      <c r="C75" s="1">
        <f>ROUND(4.55/10,2)</f>
        <v>0.46</v>
      </c>
      <c r="D75" s="1">
        <f>C75*C84</f>
        <v>13.8</v>
      </c>
    </row>
    <row r="76" spans="1:4" ht="15" customHeight="1" x14ac:dyDescent="0.2">
      <c r="A76" s="3">
        <v>5239</v>
      </c>
      <c r="B76" s="4" t="s">
        <v>369</v>
      </c>
      <c r="C76" s="1"/>
      <c r="D76" s="1"/>
    </row>
    <row r="77" spans="1:4" ht="81" customHeight="1" x14ac:dyDescent="0.2">
      <c r="A77" s="3"/>
      <c r="B77" s="4" t="s">
        <v>1444</v>
      </c>
      <c r="C77" s="1">
        <f>ROUND(8.04/10,2)</f>
        <v>0.8</v>
      </c>
      <c r="D77" s="1">
        <f>C77*C84</f>
        <v>24</v>
      </c>
    </row>
    <row r="78" spans="1:4" x14ac:dyDescent="0.2">
      <c r="A78" s="3"/>
      <c r="B78" s="31" t="s">
        <v>94</v>
      </c>
      <c r="C78" s="32">
        <f>SUM(C19:C77)</f>
        <v>21.540000000000003</v>
      </c>
      <c r="D78" s="32">
        <f>SUM(D19:D77)</f>
        <v>646.19999999999993</v>
      </c>
    </row>
    <row r="79" spans="1:4" x14ac:dyDescent="0.2">
      <c r="A79" s="33"/>
      <c r="B79" s="61" t="s">
        <v>133</v>
      </c>
      <c r="C79" s="32">
        <f>ROUND(C78+C17,4)</f>
        <v>96.73</v>
      </c>
      <c r="D79" s="32">
        <f>ROUND(D78+D17,4)</f>
        <v>2901.9</v>
      </c>
    </row>
    <row r="80" spans="1:4" x14ac:dyDescent="0.2">
      <c r="A80" s="33"/>
      <c r="B80" s="61" t="s">
        <v>134</v>
      </c>
      <c r="C80" s="26">
        <f>ROUND(C79*0.21,2)</f>
        <v>20.309999999999999</v>
      </c>
      <c r="D80" s="26">
        <f>ROUND(D79*0.21,2)</f>
        <v>609.4</v>
      </c>
    </row>
    <row r="81" spans="1:5" x14ac:dyDescent="0.2">
      <c r="A81" s="33"/>
      <c r="B81" s="100" t="s">
        <v>135</v>
      </c>
      <c r="C81" s="26">
        <f>ROUND(C79+C80,2)</f>
        <v>117.04</v>
      </c>
      <c r="D81" s="26">
        <f>ROUND(D79+D80,2)</f>
        <v>3511.3</v>
      </c>
      <c r="E81" s="136"/>
    </row>
    <row r="82" spans="1:5" x14ac:dyDescent="0.2">
      <c r="A82" s="35"/>
      <c r="B82" s="36"/>
      <c r="C82" s="37"/>
      <c r="D82" s="37"/>
    </row>
    <row r="83" spans="1:5" x14ac:dyDescent="0.2">
      <c r="A83" s="6"/>
      <c r="B83" s="13"/>
      <c r="C83" s="13"/>
      <c r="D83" s="10"/>
    </row>
    <row r="84" spans="1:5" ht="12" customHeight="1" x14ac:dyDescent="0.2">
      <c r="A84" s="161" t="s">
        <v>96</v>
      </c>
      <c r="B84" s="162"/>
      <c r="C84" s="41">
        <v>30</v>
      </c>
      <c r="D84" s="38"/>
    </row>
    <row r="85" spans="1:5" ht="29.25" customHeight="1" x14ac:dyDescent="0.2">
      <c r="A85" s="152" t="s">
        <v>112</v>
      </c>
      <c r="B85" s="153"/>
      <c r="C85" s="2">
        <f>D81/C84</f>
        <v>117.04333333333334</v>
      </c>
      <c r="D85" s="38"/>
    </row>
  </sheetData>
  <mergeCells count="7">
    <mergeCell ref="A85:B85"/>
    <mergeCell ref="A1:D1"/>
    <mergeCell ref="C2:D2"/>
    <mergeCell ref="A5:D5"/>
    <mergeCell ref="A7:B7"/>
    <mergeCell ref="A9:B9"/>
    <mergeCell ref="A84:B8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1CBA6-8969-40E9-BFF0-585C8392BD02}">
  <dimension ref="A1:E85"/>
  <sheetViews>
    <sheetView view="pageBreakPreview" topLeftCell="A30" zoomScale="60" zoomScaleNormal="100" workbookViewId="0">
      <selection activeCell="A6" sqref="A6"/>
    </sheetView>
  </sheetViews>
  <sheetFormatPr defaultColWidth="9.140625" defaultRowHeight="12" x14ac:dyDescent="0.2"/>
  <cols>
    <col min="1" max="1" width="9.5703125" style="89" customWidth="1"/>
    <col min="2" max="2" width="59.140625" style="89" customWidth="1"/>
    <col min="3" max="3" width="10.42578125" style="89" customWidth="1"/>
    <col min="4" max="4" width="11.140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12" customHeight="1" x14ac:dyDescent="0.2">
      <c r="A5" s="157" t="s">
        <v>1651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105</v>
      </c>
      <c r="B9" s="160"/>
      <c r="C9" s="48"/>
      <c r="D9" s="44"/>
    </row>
    <row r="10" spans="1:4" ht="108" x14ac:dyDescent="0.2">
      <c r="A10" s="14" t="s">
        <v>80</v>
      </c>
      <c r="B10" s="14" t="s">
        <v>81</v>
      </c>
      <c r="C10" s="14" t="s">
        <v>136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71.75" customHeight="1" x14ac:dyDescent="0.2">
      <c r="A14" s="3"/>
      <c r="B14" s="81" t="s">
        <v>1621</v>
      </c>
      <c r="C14" s="1">
        <v>30.42</v>
      </c>
      <c r="D14" s="1">
        <f>C14*C84</f>
        <v>912.6</v>
      </c>
    </row>
    <row r="15" spans="1:4" ht="24" customHeight="1" x14ac:dyDescent="0.2">
      <c r="A15" s="3">
        <v>1200</v>
      </c>
      <c r="B15" s="23" t="s">
        <v>1445</v>
      </c>
      <c r="C15" s="1">
        <f>ROUND(C14*0.2359,2)</f>
        <v>7.18</v>
      </c>
      <c r="D15" s="1">
        <f>C15*C84</f>
        <v>215.39999999999998</v>
      </c>
    </row>
    <row r="16" spans="1:4" x14ac:dyDescent="0.2">
      <c r="A16" s="3">
        <v>2341</v>
      </c>
      <c r="B16" s="3" t="s">
        <v>86</v>
      </c>
      <c r="C16" s="1">
        <v>0</v>
      </c>
      <c r="D16" s="1">
        <v>0</v>
      </c>
    </row>
    <row r="17" spans="1:4" x14ac:dyDescent="0.2">
      <c r="A17" s="3" t="s">
        <v>138</v>
      </c>
      <c r="B17" s="40" t="s">
        <v>87</v>
      </c>
      <c r="C17" s="32">
        <f>C14+C15</f>
        <v>37.6</v>
      </c>
      <c r="D17" s="32">
        <f>D14+D15</f>
        <v>1128</v>
      </c>
    </row>
    <row r="18" spans="1:4" x14ac:dyDescent="0.2">
      <c r="A18" s="3"/>
      <c r="B18" s="40" t="s">
        <v>245</v>
      </c>
      <c r="C18" s="24"/>
      <c r="D18" s="24"/>
    </row>
    <row r="19" spans="1:4" x14ac:dyDescent="0.2">
      <c r="A19" s="3">
        <v>2210</v>
      </c>
      <c r="B19" s="4" t="s">
        <v>125</v>
      </c>
      <c r="C19" s="24"/>
      <c r="D19" s="24"/>
    </row>
    <row r="20" spans="1:4" ht="82.5" customHeight="1" x14ac:dyDescent="0.2">
      <c r="A20" s="3"/>
      <c r="B20" s="4" t="s">
        <v>1446</v>
      </c>
      <c r="C20" s="1">
        <f>ROUND(2.24/10,2)</f>
        <v>0.22</v>
      </c>
      <c r="D20" s="1">
        <f>C20*C84</f>
        <v>6.6</v>
      </c>
    </row>
    <row r="21" spans="1:4" x14ac:dyDescent="0.2">
      <c r="A21" s="3">
        <v>2221</v>
      </c>
      <c r="B21" s="4" t="s">
        <v>89</v>
      </c>
      <c r="C21" s="24"/>
      <c r="D21" s="24"/>
    </row>
    <row r="22" spans="1:4" ht="84" customHeight="1" x14ac:dyDescent="0.2">
      <c r="A22" s="3"/>
      <c r="B22" s="4" t="s">
        <v>1447</v>
      </c>
      <c r="C22" s="1">
        <f>ROUND(5.47/10,2)</f>
        <v>0.55000000000000004</v>
      </c>
      <c r="D22" s="1">
        <f>C22*C84</f>
        <v>16.5</v>
      </c>
    </row>
    <row r="23" spans="1:4" x14ac:dyDescent="0.2">
      <c r="A23" s="3">
        <v>2222</v>
      </c>
      <c r="B23" s="4" t="s">
        <v>90</v>
      </c>
      <c r="C23" s="24"/>
      <c r="D23" s="24"/>
    </row>
    <row r="24" spans="1:4" ht="83.25" customHeight="1" x14ac:dyDescent="0.2">
      <c r="A24" s="3"/>
      <c r="B24" s="4" t="s">
        <v>1448</v>
      </c>
      <c r="C24" s="1">
        <f>ROUND(0.44/10,2)</f>
        <v>0.04</v>
      </c>
      <c r="D24" s="1">
        <f>C24*C84</f>
        <v>1.2</v>
      </c>
    </row>
    <row r="25" spans="1:4" x14ac:dyDescent="0.2">
      <c r="A25" s="3">
        <v>2223</v>
      </c>
      <c r="B25" s="3" t="s">
        <v>91</v>
      </c>
      <c r="C25" s="24"/>
      <c r="D25" s="24"/>
    </row>
    <row r="26" spans="1:4" ht="82.5" customHeight="1" x14ac:dyDescent="0.2">
      <c r="A26" s="3"/>
      <c r="B26" s="4" t="s">
        <v>1449</v>
      </c>
      <c r="C26" s="1">
        <f>ROUND(10/10,2)</f>
        <v>1</v>
      </c>
      <c r="D26" s="1">
        <f>C26*C84</f>
        <v>30</v>
      </c>
    </row>
    <row r="27" spans="1:4" x14ac:dyDescent="0.2">
      <c r="A27" s="3">
        <v>2224</v>
      </c>
      <c r="B27" s="4" t="s">
        <v>126</v>
      </c>
      <c r="C27" s="24"/>
      <c r="D27" s="24"/>
    </row>
    <row r="28" spans="1:4" ht="82.5" customHeight="1" x14ac:dyDescent="0.2">
      <c r="A28" s="3"/>
      <c r="B28" s="4" t="s">
        <v>1450</v>
      </c>
      <c r="C28" s="1">
        <f>ROUND(1.56/10,2)</f>
        <v>0.16</v>
      </c>
      <c r="D28" s="1">
        <f>ROUND(C28*C84,2)</f>
        <v>4.8</v>
      </c>
    </row>
    <row r="29" spans="1:4" x14ac:dyDescent="0.2">
      <c r="A29" s="3">
        <v>2231</v>
      </c>
      <c r="B29" s="4" t="s">
        <v>117</v>
      </c>
      <c r="C29" s="24"/>
      <c r="D29" s="24"/>
    </row>
    <row r="30" spans="1:4" ht="84" customHeight="1" x14ac:dyDescent="0.2">
      <c r="A30" s="3"/>
      <c r="B30" s="4" t="s">
        <v>1451</v>
      </c>
      <c r="C30" s="1">
        <f>ROUND(2.74/10,2)</f>
        <v>0.27</v>
      </c>
      <c r="D30" s="1">
        <f>C30*C84</f>
        <v>8.1000000000000014</v>
      </c>
    </row>
    <row r="31" spans="1:4" ht="12.75" customHeight="1" x14ac:dyDescent="0.2">
      <c r="A31" s="3">
        <v>2232</v>
      </c>
      <c r="B31" s="4" t="s">
        <v>453</v>
      </c>
      <c r="C31" s="1"/>
      <c r="D31" s="1"/>
    </row>
    <row r="32" spans="1:4" ht="84" customHeight="1" x14ac:dyDescent="0.2">
      <c r="A32" s="3"/>
      <c r="B32" s="4" t="s">
        <v>1452</v>
      </c>
      <c r="C32" s="1">
        <f>ROUND(0.73/10,2)</f>
        <v>7.0000000000000007E-2</v>
      </c>
      <c r="D32" s="1">
        <f>C32*C84</f>
        <v>2.1</v>
      </c>
    </row>
    <row r="33" spans="1:4" x14ac:dyDescent="0.2">
      <c r="A33" s="3">
        <v>2233</v>
      </c>
      <c r="B33" s="4" t="s">
        <v>127</v>
      </c>
      <c r="C33" s="1"/>
      <c r="D33" s="1"/>
    </row>
    <row r="34" spans="1:4" x14ac:dyDescent="0.2">
      <c r="A34" s="3"/>
      <c r="B34" s="4" t="s">
        <v>128</v>
      </c>
      <c r="C34" s="1">
        <v>0</v>
      </c>
      <c r="D34" s="1">
        <f>C34*C86</f>
        <v>0</v>
      </c>
    </row>
    <row r="35" spans="1:4" x14ac:dyDescent="0.2">
      <c r="A35" s="3">
        <v>2235</v>
      </c>
      <c r="B35" s="4" t="s">
        <v>355</v>
      </c>
      <c r="C35" s="1"/>
      <c r="D35" s="1"/>
    </row>
    <row r="36" spans="1:4" ht="84" x14ac:dyDescent="0.2">
      <c r="A36" s="3"/>
      <c r="B36" s="4" t="s">
        <v>1453</v>
      </c>
      <c r="C36" s="1">
        <f>ROUND(0.7/10,2)</f>
        <v>7.0000000000000007E-2</v>
      </c>
      <c r="D36" s="1">
        <f>C36*C84</f>
        <v>2.1</v>
      </c>
    </row>
    <row r="37" spans="1:4" x14ac:dyDescent="0.2">
      <c r="A37" s="3">
        <v>2239</v>
      </c>
      <c r="B37" s="4" t="s">
        <v>356</v>
      </c>
      <c r="C37" s="1"/>
      <c r="D37" s="1"/>
    </row>
    <row r="38" spans="1:4" ht="84" x14ac:dyDescent="0.2">
      <c r="A38" s="3"/>
      <c r="B38" s="4" t="s">
        <v>1454</v>
      </c>
      <c r="C38" s="1">
        <f>ROUND(5.19/10,2)</f>
        <v>0.52</v>
      </c>
      <c r="D38" s="1">
        <f>C38*C84</f>
        <v>15.600000000000001</v>
      </c>
    </row>
    <row r="39" spans="1:4" x14ac:dyDescent="0.2">
      <c r="A39" s="3">
        <v>2241</v>
      </c>
      <c r="B39" s="4" t="s">
        <v>460</v>
      </c>
      <c r="C39" s="1"/>
      <c r="D39" s="1"/>
    </row>
    <row r="40" spans="1:4" ht="84" x14ac:dyDescent="0.2">
      <c r="A40" s="3"/>
      <c r="B40" s="4" t="s">
        <v>1455</v>
      </c>
      <c r="C40" s="1">
        <f>ROUND(6.49/10,2)</f>
        <v>0.65</v>
      </c>
      <c r="D40" s="1">
        <f>C40*C84</f>
        <v>19.5</v>
      </c>
    </row>
    <row r="41" spans="1:4" x14ac:dyDescent="0.2">
      <c r="A41" s="3">
        <v>2243</v>
      </c>
      <c r="B41" s="4" t="s">
        <v>100</v>
      </c>
      <c r="C41" s="1"/>
      <c r="D41" s="1"/>
    </row>
    <row r="42" spans="1:4" ht="81.75" customHeight="1" x14ac:dyDescent="0.2">
      <c r="A42" s="3"/>
      <c r="B42" s="4" t="s">
        <v>1456</v>
      </c>
      <c r="C42" s="1">
        <f>ROUND(5.33/10,2)</f>
        <v>0.53</v>
      </c>
      <c r="D42" s="1">
        <f>C42*C84</f>
        <v>15.9</v>
      </c>
    </row>
    <row r="43" spans="1:4" x14ac:dyDescent="0.2">
      <c r="A43" s="3">
        <v>2244</v>
      </c>
      <c r="B43" s="4" t="s">
        <v>92</v>
      </c>
      <c r="C43" s="24"/>
      <c r="D43" s="24"/>
    </row>
    <row r="44" spans="1:4" ht="81.75" customHeight="1" x14ac:dyDescent="0.2">
      <c r="A44" s="95"/>
      <c r="B44" s="4" t="s">
        <v>1457</v>
      </c>
      <c r="C44" s="1">
        <f>ROUND(7.3/10,2)</f>
        <v>0.73</v>
      </c>
      <c r="D44" s="1">
        <f>C44*C84</f>
        <v>21.9</v>
      </c>
    </row>
    <row r="45" spans="1:4" ht="15.75" customHeight="1" x14ac:dyDescent="0.2">
      <c r="A45" s="96">
        <v>2247</v>
      </c>
      <c r="B45" s="4" t="s">
        <v>358</v>
      </c>
      <c r="C45" s="1"/>
      <c r="D45" s="1"/>
    </row>
    <row r="46" spans="1:4" ht="81.75" customHeight="1" x14ac:dyDescent="0.2">
      <c r="A46" s="96"/>
      <c r="B46" s="4" t="s">
        <v>1458</v>
      </c>
      <c r="C46" s="1">
        <f>ROUND(0.28/10,2)</f>
        <v>0.03</v>
      </c>
      <c r="D46" s="1">
        <f>C46*C84</f>
        <v>0.89999999999999991</v>
      </c>
    </row>
    <row r="47" spans="1:4" ht="13.5" customHeight="1" x14ac:dyDescent="0.2">
      <c r="A47" s="96">
        <v>2249</v>
      </c>
      <c r="B47" s="4" t="s">
        <v>1236</v>
      </c>
      <c r="C47" s="1"/>
      <c r="D47" s="1"/>
    </row>
    <row r="48" spans="1:4" ht="81.75" customHeight="1" x14ac:dyDescent="0.2">
      <c r="A48" s="95"/>
      <c r="B48" s="4" t="s">
        <v>1459</v>
      </c>
      <c r="C48" s="1">
        <f>ROUND(0.24/10,2)</f>
        <v>0.02</v>
      </c>
      <c r="D48" s="1">
        <f>C48*C84</f>
        <v>0.6</v>
      </c>
    </row>
    <row r="49" spans="1:4" x14ac:dyDescent="0.2">
      <c r="A49" s="3">
        <v>2250</v>
      </c>
      <c r="B49" s="4" t="s">
        <v>118</v>
      </c>
      <c r="C49" s="24"/>
      <c r="D49" s="1"/>
    </row>
    <row r="50" spans="1:4" ht="85.5" customHeight="1" x14ac:dyDescent="0.2">
      <c r="A50" s="3"/>
      <c r="B50" s="97" t="s">
        <v>1460</v>
      </c>
      <c r="C50" s="1">
        <f>ROUND(25.13/10,2)</f>
        <v>2.5099999999999998</v>
      </c>
      <c r="D50" s="1">
        <f>C50*C84</f>
        <v>75.3</v>
      </c>
    </row>
    <row r="51" spans="1:4" x14ac:dyDescent="0.2">
      <c r="A51" s="3">
        <v>2261</v>
      </c>
      <c r="B51" s="97" t="s">
        <v>130</v>
      </c>
      <c r="C51" s="1"/>
      <c r="D51" s="1"/>
    </row>
    <row r="52" spans="1:4" ht="86.25" customHeight="1" x14ac:dyDescent="0.2">
      <c r="A52" s="3"/>
      <c r="B52" s="97" t="s">
        <v>1461</v>
      </c>
      <c r="C52" s="1">
        <f>ROUND(31.3/10,2)</f>
        <v>3.13</v>
      </c>
      <c r="D52" s="1">
        <f>C52*C84</f>
        <v>93.899999999999991</v>
      </c>
    </row>
    <row r="53" spans="1:4" ht="14.25" customHeight="1" x14ac:dyDescent="0.2">
      <c r="A53" s="3">
        <v>2263</v>
      </c>
      <c r="B53" s="97" t="s">
        <v>360</v>
      </c>
      <c r="C53" s="1"/>
      <c r="D53" s="1"/>
    </row>
    <row r="54" spans="1:4" ht="86.25" customHeight="1" x14ac:dyDescent="0.2">
      <c r="A54" s="3"/>
      <c r="B54" s="4" t="s">
        <v>1462</v>
      </c>
      <c r="C54" s="1">
        <f>ROUND(0.11/10,2)</f>
        <v>0.01</v>
      </c>
      <c r="D54" s="1">
        <f>C54*C84</f>
        <v>0.3</v>
      </c>
    </row>
    <row r="55" spans="1:4" ht="13.5" customHeight="1" x14ac:dyDescent="0.2">
      <c r="A55" s="3">
        <v>2264</v>
      </c>
      <c r="B55" s="4" t="s">
        <v>361</v>
      </c>
      <c r="C55" s="1"/>
      <c r="D55" s="1"/>
    </row>
    <row r="56" spans="1:4" ht="86.25" customHeight="1" x14ac:dyDescent="0.2">
      <c r="A56" s="3"/>
      <c r="B56" s="4" t="s">
        <v>1463</v>
      </c>
      <c r="C56" s="1">
        <f>ROUND(2.76/10,2)</f>
        <v>0.28000000000000003</v>
      </c>
      <c r="D56" s="1">
        <f>C56*C84</f>
        <v>8.4</v>
      </c>
    </row>
    <row r="57" spans="1:4" x14ac:dyDescent="0.2">
      <c r="A57" s="3">
        <v>2311</v>
      </c>
      <c r="B57" s="4" t="s">
        <v>93</v>
      </c>
      <c r="C57" s="24"/>
      <c r="D57" s="24"/>
    </row>
    <row r="58" spans="1:4" ht="82.5" customHeight="1" x14ac:dyDescent="0.2">
      <c r="A58" s="3"/>
      <c r="B58" s="4" t="s">
        <v>1464</v>
      </c>
      <c r="C58" s="1">
        <f>ROUND(1.01/10,2)</f>
        <v>0.1</v>
      </c>
      <c r="D58" s="1">
        <f>C58*C84</f>
        <v>3</v>
      </c>
    </row>
    <row r="59" spans="1:4" ht="14.25" customHeight="1" x14ac:dyDescent="0.2">
      <c r="A59" s="3">
        <v>2312</v>
      </c>
      <c r="B59" s="4" t="s">
        <v>120</v>
      </c>
      <c r="C59" s="1"/>
      <c r="D59" s="1"/>
    </row>
    <row r="60" spans="1:4" ht="82.5" customHeight="1" x14ac:dyDescent="0.2">
      <c r="A60" s="3"/>
      <c r="B60" s="4" t="s">
        <v>1465</v>
      </c>
      <c r="C60" s="1">
        <f>ROUND(1.16/10,2)</f>
        <v>0.12</v>
      </c>
      <c r="D60" s="1">
        <f>C60*C84</f>
        <v>3.5999999999999996</v>
      </c>
    </row>
    <row r="61" spans="1:4" ht="15" customHeight="1" x14ac:dyDescent="0.2">
      <c r="A61" s="3">
        <v>2314</v>
      </c>
      <c r="B61" s="4" t="s">
        <v>1243</v>
      </c>
      <c r="C61" s="1"/>
      <c r="D61" s="1"/>
    </row>
    <row r="62" spans="1:4" ht="82.5" customHeight="1" x14ac:dyDescent="0.2">
      <c r="A62" s="3"/>
      <c r="B62" s="4" t="s">
        <v>1466</v>
      </c>
      <c r="C62" s="1">
        <f>ROUND(2.48/10,2)</f>
        <v>0.25</v>
      </c>
      <c r="D62" s="1">
        <f>C62*C84</f>
        <v>7.5</v>
      </c>
    </row>
    <row r="63" spans="1:4" x14ac:dyDescent="0.2">
      <c r="A63" s="3">
        <v>2350</v>
      </c>
      <c r="B63" s="4" t="s">
        <v>119</v>
      </c>
      <c r="C63" s="24"/>
      <c r="D63" s="24"/>
    </row>
    <row r="64" spans="1:4" ht="81.75" customHeight="1" x14ac:dyDescent="0.2">
      <c r="A64" s="3"/>
      <c r="B64" s="4" t="s">
        <v>1467</v>
      </c>
      <c r="C64" s="1">
        <f>ROUND(3.57/10,2)</f>
        <v>0.36</v>
      </c>
      <c r="D64" s="1">
        <f>C64*C84</f>
        <v>10.799999999999999</v>
      </c>
    </row>
    <row r="65" spans="1:4" ht="15.75" customHeight="1" x14ac:dyDescent="0.2">
      <c r="A65" s="3">
        <v>2361</v>
      </c>
      <c r="B65" s="4" t="s">
        <v>364</v>
      </c>
      <c r="C65" s="1"/>
      <c r="D65" s="1"/>
    </row>
    <row r="66" spans="1:4" ht="81.75" customHeight="1" x14ac:dyDescent="0.2">
      <c r="A66" s="3"/>
      <c r="B66" s="4" t="s">
        <v>1468</v>
      </c>
      <c r="C66" s="1">
        <f>ROUND(0.22/10,2)</f>
        <v>0.02</v>
      </c>
      <c r="D66" s="1">
        <f>C66*C84</f>
        <v>0.6</v>
      </c>
    </row>
    <row r="67" spans="1:4" ht="14.25" customHeight="1" x14ac:dyDescent="0.2">
      <c r="A67" s="3">
        <v>2513</v>
      </c>
      <c r="B67" s="4" t="s">
        <v>365</v>
      </c>
      <c r="C67" s="1"/>
      <c r="D67" s="1"/>
    </row>
    <row r="68" spans="1:4" ht="81.75" customHeight="1" x14ac:dyDescent="0.2">
      <c r="A68" s="3"/>
      <c r="B68" s="4" t="s">
        <v>1469</v>
      </c>
      <c r="C68" s="1">
        <f>ROUND(0.33/10,2)</f>
        <v>0.03</v>
      </c>
      <c r="D68" s="1">
        <f>C68*C84</f>
        <v>0.89999999999999991</v>
      </c>
    </row>
    <row r="69" spans="1:4" ht="14.25" customHeight="1" x14ac:dyDescent="0.2">
      <c r="A69" s="3">
        <v>2519</v>
      </c>
      <c r="B69" s="4" t="s">
        <v>366</v>
      </c>
      <c r="C69" s="1"/>
      <c r="D69" s="1"/>
    </row>
    <row r="70" spans="1:4" ht="81.75" customHeight="1" x14ac:dyDescent="0.2">
      <c r="A70" s="3"/>
      <c r="B70" s="4" t="s">
        <v>1470</v>
      </c>
      <c r="C70" s="1">
        <f>ROUND(0.14/10,2)</f>
        <v>0.01</v>
      </c>
      <c r="D70" s="1">
        <f>C70*C84</f>
        <v>0.3</v>
      </c>
    </row>
    <row r="71" spans="1:4" x14ac:dyDescent="0.2">
      <c r="A71" s="3">
        <v>5120</v>
      </c>
      <c r="B71" s="4" t="s">
        <v>101</v>
      </c>
      <c r="C71" s="24"/>
      <c r="D71" s="1"/>
    </row>
    <row r="72" spans="1:4" ht="81.75" customHeight="1" x14ac:dyDescent="0.2">
      <c r="A72" s="3"/>
      <c r="B72" s="4" t="s">
        <v>1471</v>
      </c>
      <c r="C72" s="1">
        <f>ROUND(0.4/10,2)</f>
        <v>0.04</v>
      </c>
      <c r="D72" s="1">
        <f>C72*C84</f>
        <v>1.2</v>
      </c>
    </row>
    <row r="73" spans="1:4" x14ac:dyDescent="0.2">
      <c r="A73" s="3">
        <v>5220</v>
      </c>
      <c r="B73" s="4" t="s">
        <v>131</v>
      </c>
      <c r="C73" s="1">
        <v>0</v>
      </c>
      <c r="D73" s="1">
        <v>0</v>
      </c>
    </row>
    <row r="74" spans="1:4" x14ac:dyDescent="0.2">
      <c r="A74" s="3">
        <v>5238</v>
      </c>
      <c r="B74" s="4" t="s">
        <v>115</v>
      </c>
      <c r="C74" s="30"/>
      <c r="D74" s="1"/>
    </row>
    <row r="75" spans="1:4" ht="81" customHeight="1" x14ac:dyDescent="0.2">
      <c r="A75" s="3"/>
      <c r="B75" s="4" t="s">
        <v>1472</v>
      </c>
      <c r="C75" s="1">
        <f>ROUND(2.27/10,2)</f>
        <v>0.23</v>
      </c>
      <c r="D75" s="1">
        <f>C75*C84</f>
        <v>6.9</v>
      </c>
    </row>
    <row r="76" spans="1:4" ht="15" customHeight="1" x14ac:dyDescent="0.2">
      <c r="A76" s="3">
        <v>5239</v>
      </c>
      <c r="B76" s="4" t="s">
        <v>369</v>
      </c>
      <c r="C76" s="1"/>
      <c r="D76" s="1"/>
    </row>
    <row r="77" spans="1:4" ht="81" customHeight="1" x14ac:dyDescent="0.2">
      <c r="A77" s="3"/>
      <c r="B77" s="4" t="s">
        <v>1473</v>
      </c>
      <c r="C77" s="1">
        <f>ROUND(4.02/10,2)</f>
        <v>0.4</v>
      </c>
      <c r="D77" s="1">
        <f>C77*C84</f>
        <v>12</v>
      </c>
    </row>
    <row r="78" spans="1:4" x14ac:dyDescent="0.2">
      <c r="A78" s="3"/>
      <c r="B78" s="31" t="s">
        <v>94</v>
      </c>
      <c r="C78" s="32">
        <f>SUM(C19:C77)</f>
        <v>12.349999999999996</v>
      </c>
      <c r="D78" s="32">
        <f>SUM(D19:D77)</f>
        <v>370.49999999999994</v>
      </c>
    </row>
    <row r="79" spans="1:4" x14ac:dyDescent="0.2">
      <c r="A79" s="33"/>
      <c r="B79" s="61" t="s">
        <v>133</v>
      </c>
      <c r="C79" s="32">
        <f>ROUND(C78+C17,4)</f>
        <v>49.95</v>
      </c>
      <c r="D79" s="32">
        <f>ROUND(D78+D17,4)</f>
        <v>1498.5</v>
      </c>
    </row>
    <row r="80" spans="1:4" x14ac:dyDescent="0.2">
      <c r="A80" s="33"/>
      <c r="B80" s="61" t="s">
        <v>134</v>
      </c>
      <c r="C80" s="26">
        <f>ROUND(C79*0.21,2)</f>
        <v>10.49</v>
      </c>
      <c r="D80" s="26">
        <f>ROUND(D79*0.21,2)</f>
        <v>314.69</v>
      </c>
    </row>
    <row r="81" spans="1:5" x14ac:dyDescent="0.2">
      <c r="A81" s="33"/>
      <c r="B81" s="100" t="s">
        <v>135</v>
      </c>
      <c r="C81" s="26">
        <f>ROUND(C79+C80,2)</f>
        <v>60.44</v>
      </c>
      <c r="D81" s="26">
        <f>ROUND(D79+D80,2)</f>
        <v>1813.19</v>
      </c>
      <c r="E81" s="136"/>
    </row>
    <row r="82" spans="1:5" x14ac:dyDescent="0.2">
      <c r="A82" s="35"/>
      <c r="B82" s="36"/>
      <c r="C82" s="37"/>
      <c r="D82" s="37"/>
    </row>
    <row r="83" spans="1:5" x14ac:dyDescent="0.2">
      <c r="A83" s="6"/>
      <c r="B83" s="13"/>
      <c r="C83" s="13"/>
      <c r="D83" s="10"/>
    </row>
    <row r="84" spans="1:5" ht="12" customHeight="1" x14ac:dyDescent="0.2">
      <c r="A84" s="161" t="s">
        <v>96</v>
      </c>
      <c r="B84" s="162"/>
      <c r="C84" s="41">
        <v>30</v>
      </c>
      <c r="D84" s="38"/>
    </row>
    <row r="85" spans="1:5" ht="29.25" customHeight="1" x14ac:dyDescent="0.2">
      <c r="A85" s="152" t="s">
        <v>112</v>
      </c>
      <c r="B85" s="153"/>
      <c r="C85" s="2">
        <f>D81/C84</f>
        <v>60.439666666666668</v>
      </c>
      <c r="D85" s="38"/>
    </row>
  </sheetData>
  <mergeCells count="7">
    <mergeCell ref="A85:B85"/>
    <mergeCell ref="A1:D1"/>
    <mergeCell ref="C2:D2"/>
    <mergeCell ref="A5:D5"/>
    <mergeCell ref="A7:B7"/>
    <mergeCell ref="A9:B9"/>
    <mergeCell ref="A84:B8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0185F-F359-4C34-8103-2E6CEA66443E}">
  <dimension ref="A1:H91"/>
  <sheetViews>
    <sheetView view="pageBreakPreview" topLeftCell="A72" zoomScale="60" zoomScaleNormal="100" workbookViewId="0">
      <selection activeCell="A6" sqref="A6"/>
    </sheetView>
  </sheetViews>
  <sheetFormatPr defaultColWidth="9.140625" defaultRowHeight="12" x14ac:dyDescent="0.2"/>
  <cols>
    <col min="1" max="1" width="9.140625" style="89"/>
    <col min="2" max="2" width="61.42578125" style="89" customWidth="1"/>
    <col min="3" max="3" width="10" style="89" customWidth="1"/>
    <col min="4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ht="12" customHeight="1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ht="12" customHeight="1" x14ac:dyDescent="0.2">
      <c r="A4" s="6"/>
      <c r="B4" s="9"/>
      <c r="C4" s="9"/>
      <c r="D4" s="10"/>
    </row>
    <row r="5" spans="1:4" ht="12" customHeight="1" x14ac:dyDescent="0.2">
      <c r="A5" s="157" t="s">
        <v>1652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106</v>
      </c>
      <c r="B9" s="160"/>
      <c r="C9" s="48" t="s">
        <v>1387</v>
      </c>
      <c r="D9" s="44"/>
    </row>
    <row r="10" spans="1:4" ht="120" x14ac:dyDescent="0.2">
      <c r="A10" s="14" t="s">
        <v>124</v>
      </c>
      <c r="B10" s="14" t="s">
        <v>81</v>
      </c>
      <c r="C10" s="14" t="s">
        <v>136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44.75" customHeight="1" x14ac:dyDescent="0.2">
      <c r="A14" s="3"/>
      <c r="B14" s="81" t="s">
        <v>1620</v>
      </c>
      <c r="C14" s="1">
        <v>18.61</v>
      </c>
      <c r="D14" s="1">
        <f>ROUND(C14*C88,2)</f>
        <v>186.1</v>
      </c>
    </row>
    <row r="15" spans="1:4" ht="27.75" customHeight="1" x14ac:dyDescent="0.2">
      <c r="A15" s="3">
        <v>1200</v>
      </c>
      <c r="B15" s="23" t="s">
        <v>1474</v>
      </c>
      <c r="C15" s="1">
        <f>ROUND(C14*0.2359,2)</f>
        <v>4.3899999999999997</v>
      </c>
      <c r="D15" s="1">
        <f>ROUND(C15*C88,2)</f>
        <v>43.9</v>
      </c>
    </row>
    <row r="16" spans="1:4" x14ac:dyDescent="0.2">
      <c r="A16" s="3">
        <v>2341</v>
      </c>
      <c r="B16" s="3" t="s">
        <v>86</v>
      </c>
      <c r="C16" s="24"/>
      <c r="D16" s="24"/>
    </row>
    <row r="17" spans="1:8" ht="18.75" customHeight="1" x14ac:dyDescent="0.2">
      <c r="A17" s="3"/>
      <c r="B17" s="23" t="s">
        <v>139</v>
      </c>
      <c r="C17" s="1">
        <v>0</v>
      </c>
      <c r="D17" s="1">
        <f>ROUND(C17*C88,2)</f>
        <v>0</v>
      </c>
    </row>
    <row r="18" spans="1:8" ht="18" customHeight="1" x14ac:dyDescent="0.2">
      <c r="A18" s="3"/>
      <c r="B18" s="40" t="s">
        <v>87</v>
      </c>
      <c r="C18" s="32">
        <f>C14+C15+C17</f>
        <v>23</v>
      </c>
      <c r="D18" s="32">
        <f>D14+D15+D17</f>
        <v>230</v>
      </c>
    </row>
    <row r="19" spans="1:8" ht="16.5" customHeight="1" x14ac:dyDescent="0.25">
      <c r="A19" s="3"/>
      <c r="B19" s="40" t="s">
        <v>245</v>
      </c>
      <c r="C19" s="24"/>
      <c r="D19" s="24"/>
      <c r="E19" s="84"/>
    </row>
    <row r="20" spans="1:8" ht="15" x14ac:dyDescent="0.25">
      <c r="A20" s="20">
        <v>1100</v>
      </c>
      <c r="B20" s="93" t="s">
        <v>85</v>
      </c>
      <c r="C20" s="24"/>
      <c r="D20" s="24"/>
      <c r="E20" s="84"/>
    </row>
    <row r="21" spans="1:8" ht="63" customHeight="1" x14ac:dyDescent="0.25">
      <c r="A21" s="5"/>
      <c r="B21" s="81" t="s">
        <v>1389</v>
      </c>
      <c r="C21" s="1">
        <f>ROUND(9.08/10,2)</f>
        <v>0.91</v>
      </c>
      <c r="D21" s="1">
        <f>ROUND(C21*C88,2)</f>
        <v>9.1</v>
      </c>
      <c r="E21" s="84"/>
      <c r="F21" s="78"/>
      <c r="G21" s="78"/>
      <c r="H21" s="78"/>
    </row>
    <row r="22" spans="1:8" ht="28.5" customHeight="1" x14ac:dyDescent="0.25">
      <c r="A22" s="94">
        <v>1200</v>
      </c>
      <c r="B22" s="23" t="s">
        <v>1390</v>
      </c>
      <c r="C22" s="1">
        <f>ROUND(C21*0.2359,2)</f>
        <v>0.21</v>
      </c>
      <c r="D22" s="1">
        <f>ROUND(C22*C88,2)</f>
        <v>2.1</v>
      </c>
      <c r="E22" s="84"/>
    </row>
    <row r="23" spans="1:8" ht="18" customHeight="1" x14ac:dyDescent="0.25">
      <c r="A23" s="3">
        <v>2210</v>
      </c>
      <c r="B23" s="4" t="s">
        <v>125</v>
      </c>
      <c r="C23" s="24"/>
      <c r="D23" s="24"/>
      <c r="E23" s="84"/>
    </row>
    <row r="24" spans="1:8" ht="80.25" customHeight="1" x14ac:dyDescent="0.25">
      <c r="A24" s="3"/>
      <c r="B24" s="4" t="s">
        <v>1475</v>
      </c>
      <c r="C24" s="1">
        <f>ROUND(0.96/10,2)</f>
        <v>0.1</v>
      </c>
      <c r="D24" s="1">
        <f>ROUND(C24*C88,2)</f>
        <v>1</v>
      </c>
      <c r="E24" s="84"/>
    </row>
    <row r="25" spans="1:8" ht="20.25" customHeight="1" x14ac:dyDescent="0.25">
      <c r="A25" s="3">
        <v>2221</v>
      </c>
      <c r="B25" s="4" t="s">
        <v>89</v>
      </c>
      <c r="C25" s="24"/>
      <c r="D25" s="24"/>
      <c r="E25" s="84"/>
    </row>
    <row r="26" spans="1:8" ht="79.5" customHeight="1" x14ac:dyDescent="0.25">
      <c r="A26" s="3"/>
      <c r="B26" s="4" t="s">
        <v>1476</v>
      </c>
      <c r="C26" s="1">
        <f>ROUND(2.34/10,2)</f>
        <v>0.23</v>
      </c>
      <c r="D26" s="1">
        <f>ROUND(C26*C88,2)</f>
        <v>2.2999999999999998</v>
      </c>
      <c r="E26" s="84"/>
    </row>
    <row r="27" spans="1:8" ht="22.5" customHeight="1" x14ac:dyDescent="0.25">
      <c r="A27" s="3">
        <v>2222</v>
      </c>
      <c r="B27" s="4" t="s">
        <v>90</v>
      </c>
      <c r="C27" s="24"/>
      <c r="D27" s="24"/>
      <c r="E27" s="84"/>
    </row>
    <row r="28" spans="1:8" ht="23.25" customHeight="1" x14ac:dyDescent="0.25">
      <c r="A28" s="3"/>
      <c r="B28" s="4" t="s">
        <v>444</v>
      </c>
      <c r="C28" s="1">
        <f>ROUND(0/10,2)</f>
        <v>0</v>
      </c>
      <c r="D28" s="1">
        <f>ROUND(C28*C88,2)</f>
        <v>0</v>
      </c>
      <c r="E28" s="84"/>
    </row>
    <row r="29" spans="1:8" ht="15" x14ac:dyDescent="0.25">
      <c r="A29" s="3">
        <v>2223</v>
      </c>
      <c r="B29" s="3" t="s">
        <v>91</v>
      </c>
      <c r="C29" s="24"/>
      <c r="D29" s="24"/>
      <c r="E29" s="84"/>
    </row>
    <row r="30" spans="1:8" ht="82.5" customHeight="1" x14ac:dyDescent="0.25">
      <c r="A30" s="3"/>
      <c r="B30" s="4" t="s">
        <v>1477</v>
      </c>
      <c r="C30" s="1">
        <f>ROUND(4.28/10,2)</f>
        <v>0.43</v>
      </c>
      <c r="D30" s="1">
        <f>ROUND(C30*C88,2)</f>
        <v>4.3</v>
      </c>
      <c r="E30" s="84"/>
    </row>
    <row r="31" spans="1:8" ht="18.75" customHeight="1" x14ac:dyDescent="0.25">
      <c r="A31" s="3">
        <v>2224</v>
      </c>
      <c r="B31" s="4" t="s">
        <v>126</v>
      </c>
      <c r="C31" s="24"/>
      <c r="D31" s="24"/>
      <c r="E31" s="84"/>
    </row>
    <row r="32" spans="1:8" ht="18" customHeight="1" x14ac:dyDescent="0.25">
      <c r="A32" s="3"/>
      <c r="B32" s="4" t="s">
        <v>444</v>
      </c>
      <c r="C32" s="1">
        <f>ROUND(0/10,2)</f>
        <v>0</v>
      </c>
      <c r="D32" s="1">
        <f>ROUND(C32*C88,2)</f>
        <v>0</v>
      </c>
      <c r="E32" s="84"/>
    </row>
    <row r="33" spans="1:5" ht="12" customHeight="1" x14ac:dyDescent="0.25">
      <c r="A33" s="3">
        <v>2231</v>
      </c>
      <c r="B33" s="4" t="s">
        <v>117</v>
      </c>
      <c r="C33" s="24"/>
      <c r="D33" s="24"/>
      <c r="E33" s="84"/>
    </row>
    <row r="34" spans="1:5" ht="82.5" customHeight="1" x14ac:dyDescent="0.25">
      <c r="A34" s="3"/>
      <c r="B34" s="4" t="s">
        <v>1478</v>
      </c>
      <c r="C34" s="1">
        <f>ROUND(1.17/10,2)</f>
        <v>0.12</v>
      </c>
      <c r="D34" s="1">
        <f>ROUND(C34*C88,2)</f>
        <v>1.2</v>
      </c>
      <c r="E34" s="84"/>
    </row>
    <row r="35" spans="1:5" ht="20.25" customHeight="1" x14ac:dyDescent="0.25">
      <c r="A35" s="3">
        <v>2232</v>
      </c>
      <c r="B35" s="4" t="s">
        <v>453</v>
      </c>
      <c r="C35" s="1"/>
      <c r="D35" s="1"/>
      <c r="E35" s="84"/>
    </row>
    <row r="36" spans="1:5" ht="82.5" customHeight="1" x14ac:dyDescent="0.25">
      <c r="A36" s="3"/>
      <c r="B36" s="4" t="s">
        <v>1479</v>
      </c>
      <c r="C36" s="1">
        <f>ROUND(0.31/10,2)</f>
        <v>0.03</v>
      </c>
      <c r="D36" s="1">
        <f>ROUND(C36*C88,2)</f>
        <v>0.3</v>
      </c>
      <c r="E36" s="84"/>
    </row>
    <row r="37" spans="1:5" ht="20.25" customHeight="1" x14ac:dyDescent="0.25">
      <c r="A37" s="3">
        <v>2233</v>
      </c>
      <c r="B37" s="4" t="s">
        <v>127</v>
      </c>
      <c r="C37" s="1"/>
      <c r="D37" s="1"/>
      <c r="E37" s="84"/>
    </row>
    <row r="38" spans="1:5" ht="19.5" customHeight="1" x14ac:dyDescent="0.25">
      <c r="A38" s="3"/>
      <c r="B38" s="4" t="s">
        <v>128</v>
      </c>
      <c r="C38" s="1">
        <v>0</v>
      </c>
      <c r="D38" s="1">
        <f>ROUND(C38*C88,2)</f>
        <v>0</v>
      </c>
      <c r="E38" s="84"/>
    </row>
    <row r="39" spans="1:5" ht="19.5" customHeight="1" x14ac:dyDescent="0.25">
      <c r="A39" s="3">
        <v>2235</v>
      </c>
      <c r="B39" s="4" t="s">
        <v>355</v>
      </c>
      <c r="C39" s="1"/>
      <c r="D39" s="1"/>
      <c r="E39" s="84"/>
    </row>
    <row r="40" spans="1:5" ht="74.25" customHeight="1" x14ac:dyDescent="0.25">
      <c r="A40" s="3"/>
      <c r="B40" s="4" t="s">
        <v>1480</v>
      </c>
      <c r="C40" s="1">
        <f>ROUND(0.3/10,2)</f>
        <v>0.03</v>
      </c>
      <c r="D40" s="1">
        <f>ROUND(C40*C88,2)</f>
        <v>0.3</v>
      </c>
      <c r="E40" s="84"/>
    </row>
    <row r="41" spans="1:5" ht="13.5" customHeight="1" x14ac:dyDescent="0.25">
      <c r="A41" s="3">
        <v>2239</v>
      </c>
      <c r="B41" s="4" t="s">
        <v>356</v>
      </c>
      <c r="C41" s="1"/>
      <c r="D41" s="1"/>
      <c r="E41" s="84"/>
    </row>
    <row r="42" spans="1:5" ht="87" customHeight="1" x14ac:dyDescent="0.25">
      <c r="A42" s="3"/>
      <c r="B42" s="4" t="s">
        <v>1481</v>
      </c>
      <c r="C42" s="1">
        <f>ROUND(2.22/10,2)</f>
        <v>0.22</v>
      </c>
      <c r="D42" s="1">
        <f>ROUND(C42*C88,2)</f>
        <v>2.2000000000000002</v>
      </c>
      <c r="E42" s="84"/>
    </row>
    <row r="43" spans="1:5" ht="19.5" customHeight="1" x14ac:dyDescent="0.25">
      <c r="A43" s="3">
        <v>2241</v>
      </c>
      <c r="B43" s="4" t="s">
        <v>460</v>
      </c>
      <c r="C43" s="1"/>
      <c r="D43" s="1"/>
      <c r="E43" s="84"/>
    </row>
    <row r="44" spans="1:5" ht="75" customHeight="1" x14ac:dyDescent="0.25">
      <c r="A44" s="3"/>
      <c r="B44" s="4" t="s">
        <v>1482</v>
      </c>
      <c r="C44" s="1">
        <f>ROUND(2.77/10,2)</f>
        <v>0.28000000000000003</v>
      </c>
      <c r="D44" s="1">
        <f>ROUND(C44*C88,2)</f>
        <v>2.8</v>
      </c>
      <c r="E44" s="84"/>
    </row>
    <row r="45" spans="1:5" ht="15" x14ac:dyDescent="0.25">
      <c r="A45" s="3">
        <v>2243</v>
      </c>
      <c r="B45" s="4" t="s">
        <v>100</v>
      </c>
      <c r="C45" s="1"/>
      <c r="D45" s="1"/>
      <c r="E45" s="84"/>
    </row>
    <row r="46" spans="1:5" ht="81.75" customHeight="1" x14ac:dyDescent="0.25">
      <c r="A46" s="3"/>
      <c r="B46" s="4" t="s">
        <v>1483</v>
      </c>
      <c r="C46" s="1">
        <f>ROUND(2.28/10,2)</f>
        <v>0.23</v>
      </c>
      <c r="D46" s="1">
        <f>ROUND(C46*C88,2)</f>
        <v>2.2999999999999998</v>
      </c>
      <c r="E46" s="84"/>
    </row>
    <row r="47" spans="1:5" ht="15" x14ac:dyDescent="0.25">
      <c r="A47" s="3">
        <v>2244</v>
      </c>
      <c r="B47" s="4" t="s">
        <v>92</v>
      </c>
      <c r="C47" s="24"/>
      <c r="D47" s="24"/>
      <c r="E47" s="84"/>
    </row>
    <row r="48" spans="1:5" ht="84" x14ac:dyDescent="0.25">
      <c r="A48" s="95"/>
      <c r="B48" s="4" t="s">
        <v>1484</v>
      </c>
      <c r="C48" s="1">
        <f>ROUND(3.12/10,2)</f>
        <v>0.31</v>
      </c>
      <c r="D48" s="1">
        <f>ROUND(C48*C88,2)</f>
        <v>3.1</v>
      </c>
      <c r="E48" s="84"/>
    </row>
    <row r="49" spans="1:5" ht="15" x14ac:dyDescent="0.25">
      <c r="A49" s="96">
        <v>2247</v>
      </c>
      <c r="B49" s="4" t="s">
        <v>358</v>
      </c>
      <c r="C49" s="1"/>
      <c r="D49" s="1"/>
      <c r="E49" s="84"/>
    </row>
    <row r="50" spans="1:5" ht="72" x14ac:dyDescent="0.25">
      <c r="A50" s="96"/>
      <c r="B50" s="4" t="s">
        <v>1485</v>
      </c>
      <c r="C50" s="1">
        <v>0.01</v>
      </c>
      <c r="D50" s="1">
        <f>ROUND(C50*C88,2)</f>
        <v>0.1</v>
      </c>
      <c r="E50" s="84"/>
    </row>
    <row r="51" spans="1:5" ht="15" x14ac:dyDescent="0.25">
      <c r="A51" s="96">
        <v>2249</v>
      </c>
      <c r="B51" s="4" t="s">
        <v>1236</v>
      </c>
      <c r="C51" s="1"/>
      <c r="D51" s="1"/>
      <c r="E51" s="84"/>
    </row>
    <row r="52" spans="1:5" ht="72" x14ac:dyDescent="0.25">
      <c r="A52" s="95"/>
      <c r="B52" s="4" t="s">
        <v>1486</v>
      </c>
      <c r="C52" s="1">
        <v>0.01</v>
      </c>
      <c r="D52" s="1">
        <f>ROUND(C52*C88,2)</f>
        <v>0.1</v>
      </c>
      <c r="E52" s="84"/>
    </row>
    <row r="53" spans="1:5" ht="15" x14ac:dyDescent="0.25">
      <c r="A53" s="3">
        <v>2250</v>
      </c>
      <c r="B53" s="4" t="s">
        <v>129</v>
      </c>
      <c r="C53" s="24"/>
      <c r="D53" s="1"/>
      <c r="E53" s="84"/>
    </row>
    <row r="54" spans="1:5" ht="84" x14ac:dyDescent="0.25">
      <c r="A54" s="3"/>
      <c r="B54" s="97" t="s">
        <v>1487</v>
      </c>
      <c r="C54" s="1">
        <f>ROUND(10.75/10,2)</f>
        <v>1.08</v>
      </c>
      <c r="D54" s="1">
        <f>ROUND(C54*C88,2)</f>
        <v>10.8</v>
      </c>
      <c r="E54" s="84"/>
    </row>
    <row r="55" spans="1:5" ht="15" x14ac:dyDescent="0.25">
      <c r="A55" s="3">
        <v>2261</v>
      </c>
      <c r="B55" s="97" t="s">
        <v>130</v>
      </c>
      <c r="C55" s="1"/>
      <c r="D55" s="1"/>
      <c r="E55" s="84"/>
    </row>
    <row r="56" spans="1:5" ht="84" x14ac:dyDescent="0.25">
      <c r="A56" s="3"/>
      <c r="B56" s="97" t="s">
        <v>1488</v>
      </c>
      <c r="C56" s="1">
        <f>ROUND(13.39/10,2)</f>
        <v>1.34</v>
      </c>
      <c r="D56" s="1">
        <f>ROUND(C56*C88,2)</f>
        <v>13.4</v>
      </c>
      <c r="E56" s="84"/>
    </row>
    <row r="57" spans="1:5" ht="15" x14ac:dyDescent="0.25">
      <c r="A57" s="3">
        <v>2263</v>
      </c>
      <c r="B57" s="97" t="s">
        <v>360</v>
      </c>
      <c r="C57" s="1"/>
      <c r="D57" s="1"/>
      <c r="E57" s="84"/>
    </row>
    <row r="58" spans="1:5" ht="72" x14ac:dyDescent="0.25">
      <c r="A58" s="3"/>
      <c r="B58" s="4" t="s">
        <v>1489</v>
      </c>
      <c r="C58" s="1">
        <v>0.01</v>
      </c>
      <c r="D58" s="1">
        <f>ROUND(C58*C88,2)</f>
        <v>0.1</v>
      </c>
      <c r="E58" s="84"/>
    </row>
    <row r="59" spans="1:5" ht="15" x14ac:dyDescent="0.25">
      <c r="A59" s="3">
        <v>2264</v>
      </c>
      <c r="B59" s="4" t="s">
        <v>361</v>
      </c>
      <c r="C59" s="1"/>
      <c r="D59" s="1"/>
      <c r="E59" s="84"/>
    </row>
    <row r="60" spans="1:5" ht="72" x14ac:dyDescent="0.25">
      <c r="A60" s="3"/>
      <c r="B60" s="4" t="s">
        <v>1490</v>
      </c>
      <c r="C60" s="1">
        <v>0.12</v>
      </c>
      <c r="D60" s="1">
        <f>ROUND(C60*C88,2)</f>
        <v>1.2</v>
      </c>
      <c r="E60" s="84"/>
    </row>
    <row r="61" spans="1:5" ht="15" x14ac:dyDescent="0.25">
      <c r="A61" s="3">
        <v>2311</v>
      </c>
      <c r="B61" s="4" t="s">
        <v>93</v>
      </c>
      <c r="C61" s="24"/>
      <c r="D61" s="24"/>
      <c r="E61" s="84"/>
    </row>
    <row r="62" spans="1:5" ht="19.5" customHeight="1" x14ac:dyDescent="0.25">
      <c r="A62" s="3"/>
      <c r="B62" s="4" t="s">
        <v>444</v>
      </c>
      <c r="C62" s="1">
        <f>ROUND(0/10,2)</f>
        <v>0</v>
      </c>
      <c r="D62" s="1">
        <f>ROUND(C62*C88,2)</f>
        <v>0</v>
      </c>
      <c r="E62" s="84"/>
    </row>
    <row r="63" spans="1:5" ht="15" x14ac:dyDescent="0.25">
      <c r="A63" s="3">
        <v>2312</v>
      </c>
      <c r="B63" s="4" t="s">
        <v>445</v>
      </c>
      <c r="C63" s="1"/>
      <c r="D63" s="1"/>
      <c r="E63" s="84"/>
    </row>
    <row r="64" spans="1:5" ht="72" x14ac:dyDescent="0.25">
      <c r="A64" s="3"/>
      <c r="B64" s="97" t="s">
        <v>1491</v>
      </c>
      <c r="C64" s="1">
        <f>ROUND(0.5/10,2)</f>
        <v>0.05</v>
      </c>
      <c r="D64" s="1">
        <f>ROUND(C64*C88,2)</f>
        <v>0.5</v>
      </c>
      <c r="E64" s="84"/>
    </row>
    <row r="65" spans="1:5" ht="15" x14ac:dyDescent="0.25">
      <c r="A65" s="3">
        <v>2314</v>
      </c>
      <c r="B65" s="4" t="s">
        <v>1243</v>
      </c>
      <c r="C65" s="1"/>
      <c r="D65" s="1"/>
      <c r="E65" s="84"/>
    </row>
    <row r="66" spans="1:5" ht="84" x14ac:dyDescent="0.25">
      <c r="A66" s="3"/>
      <c r="B66" s="4" t="s">
        <v>1492</v>
      </c>
      <c r="C66" s="1">
        <f>ROUND(1.06/10,2)</f>
        <v>0.11</v>
      </c>
      <c r="D66" s="1">
        <f>ROUND(C66*C88,2)</f>
        <v>1.1000000000000001</v>
      </c>
      <c r="E66" s="84"/>
    </row>
    <row r="67" spans="1:5" ht="15" x14ac:dyDescent="0.25">
      <c r="A67" s="3">
        <v>2350</v>
      </c>
      <c r="B67" s="4" t="s">
        <v>119</v>
      </c>
      <c r="C67" s="24"/>
      <c r="D67" s="24"/>
      <c r="E67" s="84"/>
    </row>
    <row r="68" spans="1:5" ht="84" x14ac:dyDescent="0.25">
      <c r="A68" s="3"/>
      <c r="B68" s="4" t="s">
        <v>1493</v>
      </c>
      <c r="C68" s="1">
        <f>ROUND(1.53/10,2)</f>
        <v>0.15</v>
      </c>
      <c r="D68" s="1">
        <f>ROUND(C68*C88,2)</f>
        <v>1.5</v>
      </c>
      <c r="E68" s="84"/>
    </row>
    <row r="69" spans="1:5" ht="15" x14ac:dyDescent="0.25">
      <c r="A69" s="3">
        <v>2361</v>
      </c>
      <c r="B69" s="4" t="s">
        <v>364</v>
      </c>
      <c r="C69" s="1"/>
      <c r="D69" s="1"/>
      <c r="E69" s="84"/>
    </row>
    <row r="70" spans="1:5" ht="84" x14ac:dyDescent="0.25">
      <c r="A70" s="3"/>
      <c r="B70" s="4" t="s">
        <v>1494</v>
      </c>
      <c r="C70" s="1">
        <f>ROUND(0.09/10,2)</f>
        <v>0.01</v>
      </c>
      <c r="D70" s="1">
        <f>ROUND(C70*C88,2)</f>
        <v>0.1</v>
      </c>
      <c r="E70" s="84"/>
    </row>
    <row r="71" spans="1:5" ht="15" x14ac:dyDescent="0.25">
      <c r="A71" s="3">
        <v>2513</v>
      </c>
      <c r="B71" s="4" t="s">
        <v>365</v>
      </c>
      <c r="C71" s="1"/>
      <c r="D71" s="1"/>
      <c r="E71" s="84"/>
    </row>
    <row r="72" spans="1:5" ht="84" x14ac:dyDescent="0.25">
      <c r="A72" s="3"/>
      <c r="B72" s="4" t="s">
        <v>1495</v>
      </c>
      <c r="C72" s="1">
        <f>ROUND(0.14/10,2)</f>
        <v>0.01</v>
      </c>
      <c r="D72" s="1">
        <f>ROUND(C72*C88,2)</f>
        <v>0.1</v>
      </c>
      <c r="E72" s="84"/>
    </row>
    <row r="73" spans="1:5" ht="15" x14ac:dyDescent="0.25">
      <c r="A73" s="3">
        <v>2519</v>
      </c>
      <c r="B73" s="4" t="s">
        <v>366</v>
      </c>
      <c r="C73" s="1"/>
      <c r="D73" s="1"/>
      <c r="E73" s="84"/>
    </row>
    <row r="74" spans="1:5" ht="84" x14ac:dyDescent="0.25">
      <c r="A74" s="3"/>
      <c r="B74" s="4" t="s">
        <v>1496</v>
      </c>
      <c r="C74" s="1">
        <f>ROUND(0.06/10,2)</f>
        <v>0.01</v>
      </c>
      <c r="D74" s="1">
        <f>ROUND(C74*C88,2)</f>
        <v>0.1</v>
      </c>
      <c r="E74" s="84"/>
    </row>
    <row r="75" spans="1:5" ht="15" x14ac:dyDescent="0.25">
      <c r="A75" s="3">
        <v>5120</v>
      </c>
      <c r="B75" s="4" t="s">
        <v>101</v>
      </c>
      <c r="C75" s="24"/>
      <c r="D75" s="1"/>
      <c r="E75" s="84"/>
    </row>
    <row r="76" spans="1:5" ht="72" x14ac:dyDescent="0.25">
      <c r="A76" s="3"/>
      <c r="B76" s="4" t="s">
        <v>1497</v>
      </c>
      <c r="C76" s="1">
        <f>ROUND(0.17/10,2)</f>
        <v>0.02</v>
      </c>
      <c r="D76" s="1">
        <f>ROUND(C76*C88,2)</f>
        <v>0.2</v>
      </c>
      <c r="E76" s="84"/>
    </row>
    <row r="77" spans="1:5" ht="15" x14ac:dyDescent="0.25">
      <c r="A77" s="3">
        <v>5220</v>
      </c>
      <c r="B77" s="4" t="s">
        <v>131</v>
      </c>
      <c r="C77" s="1">
        <v>0</v>
      </c>
      <c r="D77" s="1">
        <f>ROUND(C77*C88,2)</f>
        <v>0</v>
      </c>
      <c r="E77" s="84"/>
    </row>
    <row r="78" spans="1:5" ht="18" customHeight="1" x14ac:dyDescent="0.25">
      <c r="A78" s="3">
        <v>5238</v>
      </c>
      <c r="B78" s="4" t="s">
        <v>132</v>
      </c>
      <c r="C78" s="30"/>
      <c r="D78" s="1"/>
      <c r="E78" s="84"/>
    </row>
    <row r="79" spans="1:5" ht="84" x14ac:dyDescent="0.25">
      <c r="A79" s="3"/>
      <c r="B79" s="4" t="s">
        <v>1498</v>
      </c>
      <c r="C79" s="1">
        <f>ROUND(0.97/10,2)</f>
        <v>0.1</v>
      </c>
      <c r="D79" s="1">
        <f>ROUND(C79*C88,2)</f>
        <v>1</v>
      </c>
      <c r="E79" s="84"/>
    </row>
    <row r="80" spans="1:5" ht="15" x14ac:dyDescent="0.25">
      <c r="A80" s="3">
        <v>5239</v>
      </c>
      <c r="B80" s="4" t="s">
        <v>369</v>
      </c>
      <c r="C80" s="1"/>
      <c r="D80" s="1"/>
      <c r="E80" s="84"/>
    </row>
    <row r="81" spans="1:5" ht="84" x14ac:dyDescent="0.25">
      <c r="A81" s="3"/>
      <c r="B81" s="4" t="s">
        <v>1499</v>
      </c>
      <c r="C81" s="1">
        <f>ROUND(1.72/10,2)</f>
        <v>0.17</v>
      </c>
      <c r="D81" s="1">
        <f>ROUND(C81*C88,2)</f>
        <v>1.7</v>
      </c>
      <c r="E81" s="84"/>
    </row>
    <row r="82" spans="1:5" ht="18" customHeight="1" x14ac:dyDescent="0.25">
      <c r="A82" s="3"/>
      <c r="B82" s="31" t="s">
        <v>94</v>
      </c>
      <c r="C82" s="32">
        <f>SUM(C21:C81)</f>
        <v>6.299999999999998</v>
      </c>
      <c r="D82" s="32">
        <f>SUM(D21:D81)</f>
        <v>63.000000000000021</v>
      </c>
      <c r="E82" s="84"/>
    </row>
    <row r="83" spans="1:5" ht="15" x14ac:dyDescent="0.25">
      <c r="A83" s="33"/>
      <c r="B83" s="61" t="s">
        <v>133</v>
      </c>
      <c r="C83" s="32">
        <f>ROUND(C82+C18,4)</f>
        <v>29.3</v>
      </c>
      <c r="D83" s="32">
        <f>ROUND(D82+D18,4)</f>
        <v>293</v>
      </c>
      <c r="E83" s="84"/>
    </row>
    <row r="84" spans="1:5" ht="12.75" customHeight="1" x14ac:dyDescent="0.25">
      <c r="A84" s="33"/>
      <c r="B84" s="61" t="s">
        <v>134</v>
      </c>
      <c r="C84" s="26">
        <f>ROUND(C83*0.21,2)</f>
        <v>6.15</v>
      </c>
      <c r="D84" s="26">
        <f>ROUND(D83*0.21,2)</f>
        <v>61.53</v>
      </c>
      <c r="E84" s="84"/>
    </row>
    <row r="85" spans="1:5" ht="15" x14ac:dyDescent="0.25">
      <c r="A85" s="33"/>
      <c r="B85" s="100" t="s">
        <v>135</v>
      </c>
      <c r="C85" s="26">
        <f>ROUND(C83+C84,2)</f>
        <v>35.450000000000003</v>
      </c>
      <c r="D85" s="26">
        <f>ROUND(D83+D84,2)</f>
        <v>354.53</v>
      </c>
      <c r="E85" s="84"/>
    </row>
    <row r="86" spans="1:5" ht="19.5" customHeight="1" x14ac:dyDescent="0.25">
      <c r="A86" s="35"/>
      <c r="B86" s="36"/>
      <c r="C86" s="37"/>
      <c r="D86" s="37"/>
      <c r="E86" s="84"/>
    </row>
    <row r="87" spans="1:5" ht="15" x14ac:dyDescent="0.25">
      <c r="A87" s="6"/>
      <c r="B87" s="13"/>
      <c r="C87" s="13"/>
      <c r="D87" s="10"/>
      <c r="E87" s="84"/>
    </row>
    <row r="88" spans="1:5" ht="15" x14ac:dyDescent="0.25">
      <c r="A88" s="161" t="s">
        <v>96</v>
      </c>
      <c r="B88" s="162"/>
      <c r="C88" s="41">
        <v>10</v>
      </c>
      <c r="D88" s="38"/>
      <c r="E88" s="84"/>
    </row>
    <row r="89" spans="1:5" ht="15" x14ac:dyDescent="0.25">
      <c r="A89" s="152" t="s">
        <v>112</v>
      </c>
      <c r="B89" s="153"/>
      <c r="C89" s="2">
        <f>D85/C88</f>
        <v>35.452999999999996</v>
      </c>
      <c r="D89" s="38"/>
      <c r="E89" s="84"/>
    </row>
    <row r="90" spans="1:5" ht="15" x14ac:dyDescent="0.25">
      <c r="A90" s="84"/>
      <c r="B90" s="84"/>
      <c r="C90" s="84"/>
      <c r="D90" s="84"/>
      <c r="E90" s="84"/>
    </row>
    <row r="91" spans="1:5" ht="15" x14ac:dyDescent="0.25">
      <c r="A91" s="84"/>
      <c r="B91" s="84"/>
      <c r="C91" s="84"/>
      <c r="D91" s="84"/>
      <c r="E91" s="84"/>
    </row>
  </sheetData>
  <mergeCells count="7">
    <mergeCell ref="A89:B89"/>
    <mergeCell ref="A1:D1"/>
    <mergeCell ref="C2:D2"/>
    <mergeCell ref="A5:D5"/>
    <mergeCell ref="A7:B7"/>
    <mergeCell ref="A9:B9"/>
    <mergeCell ref="A88:B8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9F61F-6690-4DC4-86C9-4FCC3EE95277}">
  <dimension ref="A1:E103"/>
  <sheetViews>
    <sheetView view="pageBreakPreview" topLeftCell="A29" zoomScale="60" zoomScaleNormal="100" workbookViewId="0">
      <selection activeCell="B18" sqref="B18"/>
    </sheetView>
  </sheetViews>
  <sheetFormatPr defaultColWidth="9.140625" defaultRowHeight="12" x14ac:dyDescent="0.2"/>
  <cols>
    <col min="1" max="1" width="9.85546875" style="89" customWidth="1"/>
    <col min="2" max="2" width="59.140625" style="89" customWidth="1"/>
    <col min="3" max="3" width="12.85546875" style="89" customWidth="1"/>
    <col min="4" max="4" width="15" style="89" customWidth="1"/>
    <col min="5" max="5" width="7.85546875" style="89" customWidth="1"/>
    <col min="6" max="16384" width="9.140625" style="89"/>
  </cols>
  <sheetData>
    <row r="1" spans="1:5" ht="12" customHeight="1" x14ac:dyDescent="0.2">
      <c r="A1" s="154" t="s">
        <v>78</v>
      </c>
      <c r="B1" s="154"/>
      <c r="C1" s="154"/>
      <c r="D1" s="154"/>
      <c r="E1" s="8"/>
    </row>
    <row r="2" spans="1:5" x14ac:dyDescent="0.2">
      <c r="A2" s="6"/>
      <c r="B2" s="6"/>
      <c r="C2" s="155"/>
      <c r="D2" s="156"/>
      <c r="E2" s="82"/>
    </row>
    <row r="3" spans="1:5" x14ac:dyDescent="0.2">
      <c r="A3" s="7" t="s">
        <v>110</v>
      </c>
      <c r="B3" s="8"/>
      <c r="C3" s="8"/>
      <c r="D3" s="8"/>
      <c r="E3" s="8"/>
    </row>
    <row r="4" spans="1:5" x14ac:dyDescent="0.2">
      <c r="A4" s="6"/>
      <c r="B4" s="9"/>
      <c r="C4" s="9"/>
      <c r="D4" s="10"/>
      <c r="E4" s="10"/>
    </row>
    <row r="5" spans="1:5" ht="12" customHeight="1" x14ac:dyDescent="0.2">
      <c r="A5" s="157" t="s">
        <v>1518</v>
      </c>
      <c r="B5" s="157"/>
      <c r="C5" s="157"/>
      <c r="D5" s="157"/>
      <c r="E5" s="90"/>
    </row>
    <row r="6" spans="1:5" x14ac:dyDescent="0.2">
      <c r="A6" s="49"/>
      <c r="B6" s="11"/>
      <c r="C6" s="11"/>
      <c r="D6" s="10"/>
      <c r="E6" s="10"/>
    </row>
    <row r="7" spans="1:5" ht="12" customHeight="1" x14ac:dyDescent="0.2">
      <c r="A7" s="158" t="s">
        <v>111</v>
      </c>
      <c r="B7" s="159"/>
      <c r="C7" s="11"/>
      <c r="D7" s="10"/>
      <c r="E7" s="10"/>
    </row>
    <row r="8" spans="1:5" x14ac:dyDescent="0.2">
      <c r="A8" s="6"/>
      <c r="B8" s="12"/>
      <c r="C8" s="13"/>
      <c r="D8" s="10"/>
      <c r="E8" s="10"/>
    </row>
    <row r="9" spans="1:5" x14ac:dyDescent="0.2">
      <c r="A9" s="160" t="s">
        <v>106</v>
      </c>
      <c r="B9" s="160"/>
      <c r="C9" s="48"/>
      <c r="D9" s="44"/>
      <c r="E9" s="44"/>
    </row>
    <row r="10" spans="1:5" ht="97.5" customHeight="1" x14ac:dyDescent="0.2">
      <c r="A10" s="14" t="s">
        <v>80</v>
      </c>
      <c r="B10" s="14" t="s">
        <v>81</v>
      </c>
      <c r="C10" s="14" t="s">
        <v>136</v>
      </c>
      <c r="D10" s="14" t="s">
        <v>83</v>
      </c>
      <c r="E10" s="75"/>
    </row>
    <row r="11" spans="1:5" x14ac:dyDescent="0.2">
      <c r="A11" s="15">
        <v>1</v>
      </c>
      <c r="B11" s="16">
        <v>2</v>
      </c>
      <c r="C11" s="15">
        <v>3</v>
      </c>
      <c r="D11" s="15">
        <v>4</v>
      </c>
      <c r="E11" s="80"/>
    </row>
    <row r="12" spans="1:5" x14ac:dyDescent="0.2">
      <c r="A12" s="15"/>
      <c r="B12" s="31" t="s">
        <v>84</v>
      </c>
      <c r="C12" s="19"/>
      <c r="D12" s="19"/>
      <c r="E12" s="91"/>
    </row>
    <row r="13" spans="1:5" x14ac:dyDescent="0.2">
      <c r="A13" s="42">
        <v>1100</v>
      </c>
      <c r="B13" s="43" t="s">
        <v>85</v>
      </c>
      <c r="C13" s="22"/>
      <c r="D13" s="22"/>
      <c r="E13" s="92"/>
    </row>
    <row r="14" spans="1:5" ht="180" x14ac:dyDescent="0.2">
      <c r="A14" s="3"/>
      <c r="B14" s="81" t="s">
        <v>1500</v>
      </c>
      <c r="C14" s="1">
        <v>76.86</v>
      </c>
      <c r="D14" s="1">
        <f>ROUND(C14*C101,2)</f>
        <v>768.6</v>
      </c>
      <c r="E14" s="76"/>
    </row>
    <row r="15" spans="1:5" ht="24" x14ac:dyDescent="0.2">
      <c r="A15" s="3">
        <v>1200</v>
      </c>
      <c r="B15" s="23" t="s">
        <v>1220</v>
      </c>
      <c r="C15" s="1">
        <f>ROUND(C14*0.2359,2)</f>
        <v>18.13</v>
      </c>
      <c r="D15" s="1">
        <f>ROUND(C15*C101,2)</f>
        <v>181.3</v>
      </c>
      <c r="E15" s="76"/>
    </row>
    <row r="16" spans="1:5" x14ac:dyDescent="0.2">
      <c r="A16" s="3">
        <v>2341</v>
      </c>
      <c r="B16" s="3" t="s">
        <v>86</v>
      </c>
      <c r="C16" s="24"/>
      <c r="D16" s="24"/>
      <c r="E16" s="77"/>
    </row>
    <row r="17" spans="1:5" ht="112.5" customHeight="1" x14ac:dyDescent="0.2">
      <c r="A17" s="3"/>
      <c r="B17" s="23" t="s">
        <v>1501</v>
      </c>
      <c r="C17" s="1">
        <f>ROUND((33.18+11.16+16.01+30.4+8.66+5.25+2.88+7.08+10.19+9.1+21.16+3.24+0.08+17.16+17.87),2)</f>
        <v>193.42</v>
      </c>
      <c r="D17" s="1">
        <f>ROUND(C17*C101,2)</f>
        <v>1934.2</v>
      </c>
      <c r="E17" s="76"/>
    </row>
    <row r="18" spans="1:5" ht="89.25" customHeight="1" x14ac:dyDescent="0.2">
      <c r="A18" s="3"/>
      <c r="B18" s="23" t="s">
        <v>1502</v>
      </c>
      <c r="C18" s="24"/>
      <c r="D18" s="24"/>
      <c r="E18" s="77"/>
    </row>
    <row r="19" spans="1:5" ht="74.25" customHeight="1" x14ac:dyDescent="0.2">
      <c r="A19" s="3"/>
      <c r="B19" s="23" t="s">
        <v>1503</v>
      </c>
      <c r="C19" s="24"/>
      <c r="D19" s="24"/>
      <c r="E19" s="77"/>
    </row>
    <row r="20" spans="1:5" ht="87.75" customHeight="1" x14ac:dyDescent="0.2">
      <c r="A20" s="3"/>
      <c r="B20" s="23" t="s">
        <v>1504</v>
      </c>
      <c r="C20" s="24"/>
      <c r="D20" s="24"/>
      <c r="E20" s="77"/>
    </row>
    <row r="21" spans="1:5" ht="88.5" customHeight="1" x14ac:dyDescent="0.2">
      <c r="A21" s="3"/>
      <c r="B21" s="23" t="s">
        <v>1505</v>
      </c>
      <c r="C21" s="24"/>
      <c r="D21" s="24"/>
      <c r="E21" s="77"/>
    </row>
    <row r="22" spans="1:5" ht="75" customHeight="1" x14ac:dyDescent="0.2">
      <c r="A22" s="3"/>
      <c r="B22" s="23" t="s">
        <v>1506</v>
      </c>
      <c r="C22" s="24"/>
      <c r="D22" s="24"/>
      <c r="E22" s="77"/>
    </row>
    <row r="23" spans="1:5" ht="87.75" customHeight="1" x14ac:dyDescent="0.2">
      <c r="A23" s="3"/>
      <c r="B23" s="23" t="s">
        <v>1507</v>
      </c>
      <c r="C23" s="24"/>
      <c r="D23" s="24"/>
      <c r="E23" s="77"/>
    </row>
    <row r="24" spans="1:5" ht="110.25" customHeight="1" x14ac:dyDescent="0.2">
      <c r="A24" s="3"/>
      <c r="B24" s="23" t="s">
        <v>1508</v>
      </c>
      <c r="C24" s="24"/>
      <c r="D24" s="24"/>
      <c r="E24" s="77"/>
    </row>
    <row r="25" spans="1:5" ht="121.5" customHeight="1" x14ac:dyDescent="0.2">
      <c r="A25" s="3"/>
      <c r="B25" s="23" t="s">
        <v>1509</v>
      </c>
      <c r="C25" s="24"/>
      <c r="D25" s="24"/>
      <c r="E25" s="77"/>
    </row>
    <row r="26" spans="1:5" ht="87" customHeight="1" x14ac:dyDescent="0.2">
      <c r="A26" s="3"/>
      <c r="B26" s="23" t="s">
        <v>1510</v>
      </c>
      <c r="C26" s="24"/>
      <c r="D26" s="24"/>
      <c r="E26" s="77"/>
    </row>
    <row r="27" spans="1:5" ht="78.75" customHeight="1" x14ac:dyDescent="0.2">
      <c r="A27" s="3"/>
      <c r="B27" s="23" t="s">
        <v>1511</v>
      </c>
      <c r="C27" s="24"/>
      <c r="D27" s="24"/>
      <c r="E27" s="77"/>
    </row>
    <row r="28" spans="1:5" ht="87" customHeight="1" x14ac:dyDescent="0.2">
      <c r="A28" s="3"/>
      <c r="B28" s="23" t="s">
        <v>1512</v>
      </c>
      <c r="C28" s="24"/>
      <c r="D28" s="24"/>
      <c r="E28" s="77"/>
    </row>
    <row r="29" spans="1:5" ht="36.75" customHeight="1" x14ac:dyDescent="0.2">
      <c r="A29" s="3"/>
      <c r="B29" s="23" t="s">
        <v>1513</v>
      </c>
      <c r="C29" s="24"/>
      <c r="D29" s="24"/>
      <c r="E29" s="77"/>
    </row>
    <row r="30" spans="1:5" ht="74.25" customHeight="1" x14ac:dyDescent="0.2">
      <c r="A30" s="3"/>
      <c r="B30" s="23" t="s">
        <v>1514</v>
      </c>
      <c r="C30" s="24"/>
      <c r="D30" s="24"/>
      <c r="E30" s="77"/>
    </row>
    <row r="31" spans="1:5" ht="118.5" customHeight="1" x14ac:dyDescent="0.2">
      <c r="A31" s="3"/>
      <c r="B31" s="23" t="s">
        <v>1515</v>
      </c>
      <c r="C31" s="24"/>
      <c r="D31" s="24"/>
      <c r="E31" s="77"/>
    </row>
    <row r="32" spans="1:5" x14ac:dyDescent="0.2">
      <c r="A32" s="3"/>
      <c r="B32" s="40" t="s">
        <v>87</v>
      </c>
      <c r="C32" s="32">
        <f>C14+C15+C17</f>
        <v>288.40999999999997</v>
      </c>
      <c r="D32" s="32">
        <f>D14+D15+D17</f>
        <v>2884.1000000000004</v>
      </c>
      <c r="E32" s="37"/>
    </row>
    <row r="33" spans="1:5" ht="13.5" customHeight="1" x14ac:dyDescent="0.2">
      <c r="A33" s="3"/>
      <c r="B33" s="40" t="s">
        <v>245</v>
      </c>
      <c r="C33" s="24"/>
      <c r="D33" s="24"/>
      <c r="E33" s="77"/>
    </row>
    <row r="34" spans="1:5" ht="13.5" customHeight="1" x14ac:dyDescent="0.2">
      <c r="A34" s="20">
        <v>1100</v>
      </c>
      <c r="B34" s="93" t="s">
        <v>85</v>
      </c>
      <c r="C34" s="24"/>
      <c r="D34" s="24"/>
      <c r="E34" s="77"/>
    </row>
    <row r="35" spans="1:5" ht="61.5" customHeight="1" x14ac:dyDescent="0.2">
      <c r="A35" s="5"/>
      <c r="B35" s="81" t="s">
        <v>1221</v>
      </c>
      <c r="C35" s="1">
        <f>ROUND(18.16/10,2)</f>
        <v>1.82</v>
      </c>
      <c r="D35" s="1">
        <f>ROUND(C35*C101,2)</f>
        <v>18.2</v>
      </c>
      <c r="E35" s="76"/>
    </row>
    <row r="36" spans="1:5" ht="24.75" customHeight="1" x14ac:dyDescent="0.2">
      <c r="A36" s="94">
        <v>1200</v>
      </c>
      <c r="B36" s="23" t="s">
        <v>1222</v>
      </c>
      <c r="C36" s="1">
        <f>ROUND(C35*0.2359,2)</f>
        <v>0.43</v>
      </c>
      <c r="D36" s="1">
        <f>ROUND(C36*C101,2)</f>
        <v>4.3</v>
      </c>
      <c r="E36" s="76"/>
    </row>
    <row r="37" spans="1:5" x14ac:dyDescent="0.2">
      <c r="A37" s="3">
        <v>2210</v>
      </c>
      <c r="B37" s="4" t="s">
        <v>125</v>
      </c>
      <c r="C37" s="24"/>
      <c r="D37" s="24"/>
      <c r="E37" s="77"/>
    </row>
    <row r="38" spans="1:5" ht="90" customHeight="1" x14ac:dyDescent="0.2">
      <c r="A38" s="3"/>
      <c r="B38" s="4" t="s">
        <v>1223</v>
      </c>
      <c r="C38" s="1">
        <f>ROUND(2.39/10,2)</f>
        <v>0.24</v>
      </c>
      <c r="D38" s="1">
        <f>ROUND(C38*C101,2)</f>
        <v>2.4</v>
      </c>
      <c r="E38" s="76"/>
    </row>
    <row r="39" spans="1:5" x14ac:dyDescent="0.2">
      <c r="A39" s="3">
        <v>2221</v>
      </c>
      <c r="B39" s="4" t="s">
        <v>89</v>
      </c>
      <c r="C39" s="24"/>
      <c r="D39" s="24"/>
      <c r="E39" s="77"/>
    </row>
    <row r="40" spans="1:5" ht="90" customHeight="1" x14ac:dyDescent="0.2">
      <c r="A40" s="3"/>
      <c r="B40" s="4" t="s">
        <v>1224</v>
      </c>
      <c r="C40" s="1">
        <f>ROUND(5.85/10,2)</f>
        <v>0.59</v>
      </c>
      <c r="D40" s="1">
        <f>ROUND(C40*C101,2)</f>
        <v>5.9</v>
      </c>
      <c r="E40" s="76"/>
    </row>
    <row r="41" spans="1:5" x14ac:dyDescent="0.2">
      <c r="A41" s="3">
        <v>2222</v>
      </c>
      <c r="B41" s="4" t="s">
        <v>90</v>
      </c>
      <c r="C41" s="24"/>
      <c r="D41" s="24"/>
      <c r="E41" s="77"/>
    </row>
    <row r="42" spans="1:5" ht="92.25" customHeight="1" x14ac:dyDescent="0.2">
      <c r="A42" s="3"/>
      <c r="B42" s="4" t="s">
        <v>1225</v>
      </c>
      <c r="C42" s="1">
        <f>ROUND(0.47/10,2)</f>
        <v>0.05</v>
      </c>
      <c r="D42" s="1">
        <f>ROUND(C42*C101,2)</f>
        <v>0.5</v>
      </c>
      <c r="E42" s="76"/>
    </row>
    <row r="43" spans="1:5" x14ac:dyDescent="0.2">
      <c r="A43" s="3">
        <v>2223</v>
      </c>
      <c r="B43" s="3" t="s">
        <v>91</v>
      </c>
      <c r="C43" s="24"/>
      <c r="D43" s="24"/>
      <c r="E43" s="77"/>
    </row>
    <row r="44" spans="1:5" ht="91.5" customHeight="1" x14ac:dyDescent="0.2">
      <c r="A44" s="3"/>
      <c r="B44" s="4" t="s">
        <v>1226</v>
      </c>
      <c r="C44" s="1">
        <f>ROUND(10.7/10,2)</f>
        <v>1.07</v>
      </c>
      <c r="D44" s="1">
        <f>ROUND(C44*C101,2)</f>
        <v>10.7</v>
      </c>
      <c r="E44" s="76"/>
    </row>
    <row r="45" spans="1:5" x14ac:dyDescent="0.2">
      <c r="A45" s="3">
        <v>2224</v>
      </c>
      <c r="B45" s="4" t="s">
        <v>126</v>
      </c>
      <c r="C45" s="24"/>
      <c r="D45" s="24"/>
      <c r="E45" s="77"/>
    </row>
    <row r="46" spans="1:5" ht="93.75" customHeight="1" x14ac:dyDescent="0.2">
      <c r="A46" s="3"/>
      <c r="B46" s="4" t="s">
        <v>1227</v>
      </c>
      <c r="C46" s="1">
        <f>ROUND(1.67/10,2)</f>
        <v>0.17</v>
      </c>
      <c r="D46" s="1">
        <f>ROUND(C46*C101,2)</f>
        <v>1.7</v>
      </c>
      <c r="E46" s="76"/>
    </row>
    <row r="47" spans="1:5" x14ac:dyDescent="0.2">
      <c r="A47" s="3">
        <v>2231</v>
      </c>
      <c r="B47" s="4" t="s">
        <v>117</v>
      </c>
      <c r="C47" s="24"/>
      <c r="D47" s="24"/>
      <c r="E47" s="77"/>
    </row>
    <row r="48" spans="1:5" ht="94.5" customHeight="1" x14ac:dyDescent="0.2">
      <c r="A48" s="3"/>
      <c r="B48" s="4" t="s">
        <v>1228</v>
      </c>
      <c r="C48" s="1">
        <f>ROUND(2.93/10,2)</f>
        <v>0.28999999999999998</v>
      </c>
      <c r="D48" s="1">
        <f>ROUND(C48*C101,2)</f>
        <v>2.9</v>
      </c>
      <c r="E48" s="76"/>
    </row>
    <row r="49" spans="1:5" ht="15.75" customHeight="1" x14ac:dyDescent="0.2">
      <c r="A49" s="3">
        <v>2232</v>
      </c>
      <c r="B49" s="4" t="s">
        <v>453</v>
      </c>
      <c r="C49" s="1"/>
      <c r="D49" s="1"/>
      <c r="E49" s="76"/>
    </row>
    <row r="50" spans="1:5" ht="80.25" customHeight="1" x14ac:dyDescent="0.2">
      <c r="A50" s="3"/>
      <c r="B50" s="4" t="s">
        <v>1229</v>
      </c>
      <c r="C50" s="1">
        <f>ROUND(0.78/10,2)</f>
        <v>0.08</v>
      </c>
      <c r="D50" s="1">
        <f>ROUND(C50*C101,2)</f>
        <v>0.8</v>
      </c>
      <c r="E50" s="76"/>
    </row>
    <row r="51" spans="1:5" x14ac:dyDescent="0.2">
      <c r="A51" s="3">
        <v>2233</v>
      </c>
      <c r="B51" s="4" t="s">
        <v>127</v>
      </c>
      <c r="C51" s="1"/>
      <c r="D51" s="1"/>
      <c r="E51" s="76"/>
    </row>
    <row r="52" spans="1:5" x14ac:dyDescent="0.2">
      <c r="A52" s="3"/>
      <c r="B52" s="4" t="s">
        <v>128</v>
      </c>
      <c r="C52" s="1">
        <v>0</v>
      </c>
      <c r="D52" s="1">
        <f>ROUND(C52*C101,2)</f>
        <v>0</v>
      </c>
      <c r="E52" s="76"/>
    </row>
    <row r="53" spans="1:5" x14ac:dyDescent="0.2">
      <c r="A53" s="3">
        <v>2235</v>
      </c>
      <c r="B53" s="4" t="s">
        <v>355</v>
      </c>
      <c r="C53" s="1"/>
      <c r="D53" s="1"/>
      <c r="E53" s="76"/>
    </row>
    <row r="54" spans="1:5" ht="84" x14ac:dyDescent="0.2">
      <c r="A54" s="3"/>
      <c r="B54" s="4" t="s">
        <v>1230</v>
      </c>
      <c r="C54" s="1">
        <f>ROUND(0.74/10,2)</f>
        <v>7.0000000000000007E-2</v>
      </c>
      <c r="D54" s="1">
        <f>ROUND(C54*C101,2)</f>
        <v>0.7</v>
      </c>
      <c r="E54" s="76"/>
    </row>
    <row r="55" spans="1:5" x14ac:dyDescent="0.2">
      <c r="A55" s="3">
        <v>2239</v>
      </c>
      <c r="B55" s="4" t="s">
        <v>356</v>
      </c>
      <c r="C55" s="1"/>
      <c r="D55" s="1"/>
      <c r="E55" s="76"/>
    </row>
    <row r="56" spans="1:5" ht="88.5" customHeight="1" x14ac:dyDescent="0.2">
      <c r="A56" s="3"/>
      <c r="B56" s="4" t="s">
        <v>1231</v>
      </c>
      <c r="C56" s="1">
        <f>ROUND(5.55/10,2)</f>
        <v>0.56000000000000005</v>
      </c>
      <c r="D56" s="1">
        <f>ROUND(C56*C101,2)</f>
        <v>5.6</v>
      </c>
      <c r="E56" s="76"/>
    </row>
    <row r="57" spans="1:5" x14ac:dyDescent="0.2">
      <c r="A57" s="3">
        <v>2241</v>
      </c>
      <c r="B57" s="4" t="s">
        <v>460</v>
      </c>
      <c r="C57" s="1"/>
      <c r="D57" s="1"/>
      <c r="E57" s="77"/>
    </row>
    <row r="58" spans="1:5" ht="90" customHeight="1" x14ac:dyDescent="0.2">
      <c r="A58" s="3"/>
      <c r="B58" s="4" t="s">
        <v>1232</v>
      </c>
      <c r="C58" s="1">
        <f>ROUND(6.94/10,2)</f>
        <v>0.69</v>
      </c>
      <c r="D58" s="1">
        <f>ROUND(C58*C101,2)</f>
        <v>6.9</v>
      </c>
      <c r="E58" s="76"/>
    </row>
    <row r="59" spans="1:5" x14ac:dyDescent="0.2">
      <c r="A59" s="3">
        <v>2243</v>
      </c>
      <c r="B59" s="4" t="s">
        <v>100</v>
      </c>
      <c r="C59" s="1"/>
      <c r="D59" s="1"/>
      <c r="E59" s="76"/>
    </row>
    <row r="60" spans="1:5" ht="89.25" customHeight="1" x14ac:dyDescent="0.2">
      <c r="A60" s="3"/>
      <c r="B60" s="4" t="s">
        <v>1233</v>
      </c>
      <c r="C60" s="1">
        <f>ROUND(5.7/10,2)</f>
        <v>0.56999999999999995</v>
      </c>
      <c r="D60" s="1">
        <f>ROUND(C60*C101,2)</f>
        <v>5.7</v>
      </c>
      <c r="E60" s="76"/>
    </row>
    <row r="61" spans="1:5" x14ac:dyDescent="0.2">
      <c r="A61" s="3">
        <v>2244</v>
      </c>
      <c r="B61" s="4" t="s">
        <v>92</v>
      </c>
      <c r="C61" s="24"/>
      <c r="D61" s="24"/>
      <c r="E61" s="76"/>
    </row>
    <row r="62" spans="1:5" ht="88.5" customHeight="1" x14ac:dyDescent="0.2">
      <c r="A62" s="95"/>
      <c r="B62" s="4" t="s">
        <v>1234</v>
      </c>
      <c r="C62" s="1">
        <f>ROUND(7.81/10,2)</f>
        <v>0.78</v>
      </c>
      <c r="D62" s="1">
        <f>ROUND(C62*C101,2)</f>
        <v>7.8</v>
      </c>
      <c r="E62" s="76"/>
    </row>
    <row r="63" spans="1:5" ht="17.25" customHeight="1" x14ac:dyDescent="0.2">
      <c r="A63" s="96">
        <v>2247</v>
      </c>
      <c r="B63" s="4" t="s">
        <v>358</v>
      </c>
      <c r="C63" s="1"/>
      <c r="D63" s="1"/>
      <c r="E63" s="76"/>
    </row>
    <row r="64" spans="1:5" ht="78" customHeight="1" x14ac:dyDescent="0.2">
      <c r="A64" s="96"/>
      <c r="B64" s="4" t="s">
        <v>1235</v>
      </c>
      <c r="C64" s="1">
        <v>0.03</v>
      </c>
      <c r="D64" s="1">
        <f>ROUND(C64*C101,2)</f>
        <v>0.3</v>
      </c>
      <c r="E64" s="76"/>
    </row>
    <row r="65" spans="1:5" ht="18.75" customHeight="1" x14ac:dyDescent="0.2">
      <c r="A65" s="96">
        <v>2249</v>
      </c>
      <c r="B65" s="4" t="s">
        <v>1236</v>
      </c>
      <c r="C65" s="1"/>
      <c r="D65" s="1"/>
      <c r="E65" s="76"/>
    </row>
    <row r="66" spans="1:5" ht="77.25" customHeight="1" x14ac:dyDescent="0.2">
      <c r="A66" s="95"/>
      <c r="B66" s="4" t="s">
        <v>1237</v>
      </c>
      <c r="C66" s="1">
        <v>0.03</v>
      </c>
      <c r="D66" s="1">
        <f>ROUND(C66*C101,2)</f>
        <v>0.3</v>
      </c>
      <c r="E66" s="76"/>
    </row>
    <row r="67" spans="1:5" ht="15" customHeight="1" x14ac:dyDescent="0.2">
      <c r="A67" s="3">
        <v>2250</v>
      </c>
      <c r="B67" s="4" t="s">
        <v>129</v>
      </c>
      <c r="C67" s="1"/>
      <c r="D67" s="1"/>
      <c r="E67" s="77"/>
    </row>
    <row r="68" spans="1:5" ht="89.25" customHeight="1" x14ac:dyDescent="0.2">
      <c r="A68" s="3"/>
      <c r="B68" s="97" t="s">
        <v>1238</v>
      </c>
      <c r="C68" s="1">
        <f>ROUND(26.87/10,2)</f>
        <v>2.69</v>
      </c>
      <c r="D68" s="1">
        <f>ROUND(C68*C101,2)</f>
        <v>26.9</v>
      </c>
      <c r="E68" s="76"/>
    </row>
    <row r="69" spans="1:5" x14ac:dyDescent="0.2">
      <c r="A69" s="3">
        <v>2261</v>
      </c>
      <c r="B69" s="97" t="s">
        <v>130</v>
      </c>
      <c r="C69" s="1"/>
      <c r="D69" s="1"/>
      <c r="E69" s="77"/>
    </row>
    <row r="70" spans="1:5" ht="90.75" customHeight="1" x14ac:dyDescent="0.2">
      <c r="A70" s="3"/>
      <c r="B70" s="97" t="s">
        <v>1239</v>
      </c>
      <c r="C70" s="1">
        <f>ROUND(33.48/10,2)</f>
        <v>3.35</v>
      </c>
      <c r="D70" s="1">
        <f>ROUND(C70*C101,2)</f>
        <v>33.5</v>
      </c>
      <c r="E70" s="76"/>
    </row>
    <row r="71" spans="1:5" ht="18" customHeight="1" x14ac:dyDescent="0.2">
      <c r="A71" s="3">
        <v>2263</v>
      </c>
      <c r="B71" s="97" t="s">
        <v>360</v>
      </c>
      <c r="C71" s="1"/>
      <c r="D71" s="1"/>
      <c r="E71" s="76"/>
    </row>
    <row r="72" spans="1:5" ht="79.5" customHeight="1" x14ac:dyDescent="0.2">
      <c r="A72" s="3"/>
      <c r="B72" s="4" t="s">
        <v>1240</v>
      </c>
      <c r="C72" s="1">
        <v>0.01</v>
      </c>
      <c r="D72" s="1">
        <f>ROUND(C72*C101,2)</f>
        <v>0.1</v>
      </c>
      <c r="E72" s="76"/>
    </row>
    <row r="73" spans="1:5" ht="20.25" customHeight="1" x14ac:dyDescent="0.2">
      <c r="A73" s="3">
        <v>2264</v>
      </c>
      <c r="B73" s="4" t="s">
        <v>361</v>
      </c>
      <c r="C73" s="1"/>
      <c r="D73" s="1"/>
      <c r="E73" s="76"/>
    </row>
    <row r="74" spans="1:5" ht="72.75" customHeight="1" x14ac:dyDescent="0.2">
      <c r="A74" s="3"/>
      <c r="B74" s="4" t="s">
        <v>1241</v>
      </c>
      <c r="C74" s="1">
        <v>0.3</v>
      </c>
      <c r="D74" s="1">
        <f>ROUND(C74*C101,2)</f>
        <v>3</v>
      </c>
      <c r="E74" s="76"/>
    </row>
    <row r="75" spans="1:5" ht="19.5" customHeight="1" x14ac:dyDescent="0.2">
      <c r="A75" s="3">
        <v>2311</v>
      </c>
      <c r="B75" s="4" t="s">
        <v>93</v>
      </c>
      <c r="C75" s="24"/>
      <c r="D75" s="1"/>
      <c r="E75" s="76"/>
    </row>
    <row r="76" spans="1:5" ht="23.25" customHeight="1" x14ac:dyDescent="0.2">
      <c r="A76" s="3"/>
      <c r="B76" s="4" t="s">
        <v>444</v>
      </c>
      <c r="C76" s="1">
        <v>0</v>
      </c>
      <c r="D76" s="1">
        <f>ROUND(C76*C101,2)</f>
        <v>0</v>
      </c>
      <c r="E76" s="76"/>
    </row>
    <row r="77" spans="1:5" x14ac:dyDescent="0.2">
      <c r="A77" s="3">
        <v>2312</v>
      </c>
      <c r="B77" s="4" t="s">
        <v>445</v>
      </c>
      <c r="C77" s="1"/>
      <c r="D77" s="1"/>
      <c r="E77" s="76"/>
    </row>
    <row r="78" spans="1:5" ht="84" x14ac:dyDescent="0.2">
      <c r="A78" s="3"/>
      <c r="B78" s="97" t="s">
        <v>1242</v>
      </c>
      <c r="C78" s="1">
        <f>ROUND(1.24/10,2)</f>
        <v>0.12</v>
      </c>
      <c r="D78" s="1">
        <f>ROUND(C78*C101,2)</f>
        <v>1.2</v>
      </c>
      <c r="E78" s="76"/>
    </row>
    <row r="79" spans="1:5" ht="18" customHeight="1" x14ac:dyDescent="0.2">
      <c r="A79" s="3">
        <v>2314</v>
      </c>
      <c r="B79" s="4" t="s">
        <v>1243</v>
      </c>
      <c r="C79" s="1"/>
      <c r="D79" s="1"/>
      <c r="E79" s="76"/>
    </row>
    <row r="80" spans="1:5" ht="84.75" customHeight="1" x14ac:dyDescent="0.2">
      <c r="A80" s="3"/>
      <c r="B80" s="4" t="s">
        <v>1244</v>
      </c>
      <c r="C80" s="1">
        <f>ROUND(2.65/10,2)</f>
        <v>0.27</v>
      </c>
      <c r="D80" s="1">
        <f>ROUND(C80*C101,2)</f>
        <v>2.7</v>
      </c>
      <c r="E80" s="76"/>
    </row>
    <row r="81" spans="1:5" ht="20.25" customHeight="1" x14ac:dyDescent="0.2">
      <c r="A81" s="3">
        <v>2350</v>
      </c>
      <c r="B81" s="4" t="s">
        <v>119</v>
      </c>
      <c r="C81" s="1"/>
      <c r="D81" s="1"/>
      <c r="E81" s="76"/>
    </row>
    <row r="82" spans="1:5" ht="85.5" customHeight="1" x14ac:dyDescent="0.2">
      <c r="A82" s="3"/>
      <c r="B82" s="4" t="s">
        <v>1245</v>
      </c>
      <c r="C82" s="1">
        <f>ROUND(3.82/10,2)</f>
        <v>0.38</v>
      </c>
      <c r="D82" s="1">
        <f>ROUND(C82*C101,2)</f>
        <v>3.8</v>
      </c>
      <c r="E82" s="76"/>
    </row>
    <row r="83" spans="1:5" ht="15.75" customHeight="1" x14ac:dyDescent="0.2">
      <c r="A83" s="3">
        <v>2361</v>
      </c>
      <c r="B83" s="4" t="s">
        <v>364</v>
      </c>
      <c r="C83" s="24"/>
      <c r="D83" s="24"/>
      <c r="E83" s="76"/>
    </row>
    <row r="84" spans="1:5" ht="89.25" customHeight="1" x14ac:dyDescent="0.2">
      <c r="A84" s="3"/>
      <c r="B84" s="4" t="s">
        <v>1246</v>
      </c>
      <c r="C84" s="1">
        <f>ROUND(0.24/10,2)</f>
        <v>0.02</v>
      </c>
      <c r="D84" s="1">
        <f>ROUND(C84*C101,2)</f>
        <v>0.2</v>
      </c>
      <c r="E84" s="76"/>
    </row>
    <row r="85" spans="1:5" ht="22.5" customHeight="1" x14ac:dyDescent="0.2">
      <c r="A85" s="3">
        <v>2513</v>
      </c>
      <c r="B85" s="4" t="s">
        <v>365</v>
      </c>
      <c r="C85" s="1"/>
      <c r="D85" s="1"/>
      <c r="E85" s="76"/>
    </row>
    <row r="86" spans="1:5" ht="87" customHeight="1" x14ac:dyDescent="0.2">
      <c r="A86" s="3"/>
      <c r="B86" s="4" t="s">
        <v>1247</v>
      </c>
      <c r="C86" s="1">
        <f>ROUND(0.35/10,2)</f>
        <v>0.04</v>
      </c>
      <c r="D86" s="1">
        <f>ROUND(C86*C101,2)</f>
        <v>0.4</v>
      </c>
      <c r="E86" s="76"/>
    </row>
    <row r="87" spans="1:5" ht="19.5" customHeight="1" x14ac:dyDescent="0.2">
      <c r="A87" s="3">
        <v>2519</v>
      </c>
      <c r="B87" s="4" t="s">
        <v>366</v>
      </c>
      <c r="C87" s="1"/>
      <c r="D87" s="1"/>
      <c r="E87" s="76"/>
    </row>
    <row r="88" spans="1:5" ht="81.75" customHeight="1" x14ac:dyDescent="0.2">
      <c r="A88" s="3"/>
      <c r="B88" s="4" t="s">
        <v>1248</v>
      </c>
      <c r="C88" s="1">
        <f>ROUND(0.15/10,2)</f>
        <v>0.02</v>
      </c>
      <c r="D88" s="1">
        <f>ROUND(C88*C101,2)</f>
        <v>0.2</v>
      </c>
      <c r="E88" s="76"/>
    </row>
    <row r="89" spans="1:5" ht="21" customHeight="1" x14ac:dyDescent="0.2">
      <c r="A89" s="3">
        <v>5120</v>
      </c>
      <c r="B89" s="4" t="s">
        <v>101</v>
      </c>
      <c r="C89" s="24"/>
      <c r="D89" s="24"/>
      <c r="E89" s="76"/>
    </row>
    <row r="90" spans="1:5" ht="75" customHeight="1" x14ac:dyDescent="0.2">
      <c r="A90" s="3"/>
      <c r="B90" s="4" t="s">
        <v>1249</v>
      </c>
      <c r="C90" s="1">
        <f>ROUND(0.43/10,2)</f>
        <v>0.04</v>
      </c>
      <c r="D90" s="1">
        <f>ROUND(C90*C101,2)</f>
        <v>0.4</v>
      </c>
      <c r="E90" s="76"/>
    </row>
    <row r="91" spans="1:5" ht="16.5" customHeight="1" x14ac:dyDescent="0.2">
      <c r="A91" s="3">
        <v>5220</v>
      </c>
      <c r="B91" s="4" t="s">
        <v>131</v>
      </c>
      <c r="C91" s="1"/>
      <c r="D91" s="1"/>
      <c r="E91" s="76"/>
    </row>
    <row r="92" spans="1:5" ht="15.75" customHeight="1" x14ac:dyDescent="0.2">
      <c r="A92" s="3">
        <v>5238</v>
      </c>
      <c r="B92" s="4" t="s">
        <v>132</v>
      </c>
      <c r="C92" s="1"/>
      <c r="D92" s="1"/>
      <c r="E92" s="76"/>
    </row>
    <row r="93" spans="1:5" ht="81.75" customHeight="1" x14ac:dyDescent="0.2">
      <c r="A93" s="3"/>
      <c r="B93" s="4" t="s">
        <v>1250</v>
      </c>
      <c r="C93" s="1">
        <f>ROUND(2.43/10,2)</f>
        <v>0.24</v>
      </c>
      <c r="D93" s="1">
        <f>ROUND(C93*C101,2)</f>
        <v>2.4</v>
      </c>
      <c r="E93" s="76"/>
    </row>
    <row r="94" spans="1:5" ht="18.75" customHeight="1" x14ac:dyDescent="0.2">
      <c r="A94" s="3">
        <v>5239</v>
      </c>
      <c r="B94" s="4" t="s">
        <v>369</v>
      </c>
      <c r="C94" s="98"/>
      <c r="D94" s="98"/>
      <c r="E94" s="76"/>
    </row>
    <row r="95" spans="1:5" ht="89.25" customHeight="1" x14ac:dyDescent="0.2">
      <c r="A95" s="3"/>
      <c r="B95" s="4" t="s">
        <v>1251</v>
      </c>
      <c r="C95" s="1">
        <f>ROUND(4.3/10,2)</f>
        <v>0.43</v>
      </c>
      <c r="D95" s="1">
        <f>ROUND(C95*C101,2)</f>
        <v>4.3</v>
      </c>
      <c r="E95" s="76"/>
    </row>
    <row r="96" spans="1:5" x14ac:dyDescent="0.2">
      <c r="A96" s="3"/>
      <c r="B96" s="31" t="s">
        <v>94</v>
      </c>
      <c r="C96" s="32">
        <f>SUM(C34:C95)</f>
        <v>15.379999999999999</v>
      </c>
      <c r="D96" s="32">
        <f>SUM(D34:D95)</f>
        <v>153.79999999999998</v>
      </c>
      <c r="E96" s="37"/>
    </row>
    <row r="97" spans="1:5" x14ac:dyDescent="0.2">
      <c r="A97" s="33"/>
      <c r="B97" s="61" t="s">
        <v>133</v>
      </c>
      <c r="C97" s="32">
        <f>ROUND(C96+C32,4)</f>
        <v>303.79000000000002</v>
      </c>
      <c r="D97" s="32">
        <f>ROUND(D96+D32,4)</f>
        <v>3037.9</v>
      </c>
      <c r="E97" s="37"/>
    </row>
    <row r="98" spans="1:5" x14ac:dyDescent="0.2">
      <c r="A98" s="35"/>
      <c r="B98" s="61" t="s">
        <v>134</v>
      </c>
      <c r="C98" s="26">
        <f>ROUND(C97*0.21,2)</f>
        <v>63.8</v>
      </c>
      <c r="D98" s="26">
        <f>ROUND(D97*0.21,2)</f>
        <v>637.96</v>
      </c>
      <c r="E98" s="99"/>
    </row>
    <row r="99" spans="1:5" x14ac:dyDescent="0.2">
      <c r="A99" s="35"/>
      <c r="B99" s="100" t="s">
        <v>135</v>
      </c>
      <c r="C99" s="26">
        <f>ROUND(C97+C98,2)</f>
        <v>367.59</v>
      </c>
      <c r="D99" s="26">
        <f>ROUND(D97+D98,2)</f>
        <v>3675.86</v>
      </c>
      <c r="E99" s="37"/>
    </row>
    <row r="100" spans="1:5" x14ac:dyDescent="0.2">
      <c r="A100" s="35"/>
      <c r="B100" s="101"/>
      <c r="C100" s="26"/>
      <c r="D100" s="32"/>
      <c r="E100" s="37"/>
    </row>
    <row r="101" spans="1:5" x14ac:dyDescent="0.2">
      <c r="A101" s="161" t="s">
        <v>96</v>
      </c>
      <c r="B101" s="162"/>
      <c r="C101" s="41">
        <v>10</v>
      </c>
      <c r="D101" s="38"/>
      <c r="E101" s="102"/>
    </row>
    <row r="102" spans="1:5" ht="12" customHeight="1" x14ac:dyDescent="0.2">
      <c r="A102" s="152" t="s">
        <v>112</v>
      </c>
      <c r="B102" s="153"/>
      <c r="C102" s="2">
        <f>D99/C101</f>
        <v>367.58600000000001</v>
      </c>
      <c r="D102" s="38"/>
      <c r="E102" s="102"/>
    </row>
    <row r="103" spans="1:5" ht="27" customHeight="1" x14ac:dyDescent="0.2"/>
  </sheetData>
  <mergeCells count="7">
    <mergeCell ref="A102:B102"/>
    <mergeCell ref="A1:D1"/>
    <mergeCell ref="C2:D2"/>
    <mergeCell ref="A5:D5"/>
    <mergeCell ref="A7:B7"/>
    <mergeCell ref="A9:B9"/>
    <mergeCell ref="A101:B101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CC469-7FD7-4FD7-B20A-F819D07A2476}">
  <dimension ref="A1:E85"/>
  <sheetViews>
    <sheetView view="pageBreakPreview" topLeftCell="A70" zoomScale="60" zoomScaleNormal="100" workbookViewId="0">
      <selection activeCell="C81" sqref="C81"/>
    </sheetView>
  </sheetViews>
  <sheetFormatPr defaultColWidth="9.140625" defaultRowHeight="12" x14ac:dyDescent="0.2"/>
  <cols>
    <col min="1" max="1" width="9.5703125" style="89" customWidth="1"/>
    <col min="2" max="2" width="59.140625" style="89" customWidth="1"/>
    <col min="3" max="3" width="10.42578125" style="89" customWidth="1"/>
    <col min="4" max="4" width="11.140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12" customHeight="1" x14ac:dyDescent="0.2">
      <c r="A5" s="157" t="s">
        <v>1516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105</v>
      </c>
      <c r="B9" s="160"/>
      <c r="C9" s="48"/>
      <c r="D9" s="44"/>
    </row>
    <row r="10" spans="1:4" ht="108" x14ac:dyDescent="0.2">
      <c r="A10" s="14" t="s">
        <v>80</v>
      </c>
      <c r="B10" s="14" t="s">
        <v>81</v>
      </c>
      <c r="C10" s="14" t="s">
        <v>136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71.75" customHeight="1" x14ac:dyDescent="0.2">
      <c r="A14" s="3"/>
      <c r="B14" s="81" t="s">
        <v>1517</v>
      </c>
      <c r="C14" s="1">
        <v>39.04</v>
      </c>
      <c r="D14" s="1">
        <f>C14*C84</f>
        <v>1171.2</v>
      </c>
    </row>
    <row r="15" spans="1:4" ht="24" customHeight="1" x14ac:dyDescent="0.2">
      <c r="A15" s="3">
        <v>1200</v>
      </c>
      <c r="B15" s="23" t="s">
        <v>1252</v>
      </c>
      <c r="C15" s="1">
        <f>ROUND(C14*0.2359,2)</f>
        <v>9.2100000000000009</v>
      </c>
      <c r="D15" s="1">
        <f>C15*C84</f>
        <v>276.3</v>
      </c>
    </row>
    <row r="16" spans="1:4" x14ac:dyDescent="0.2">
      <c r="A16" s="3">
        <v>2341</v>
      </c>
      <c r="B16" s="3" t="s">
        <v>86</v>
      </c>
      <c r="C16" s="1">
        <v>0</v>
      </c>
      <c r="D16" s="1">
        <v>0</v>
      </c>
    </row>
    <row r="17" spans="1:4" x14ac:dyDescent="0.2">
      <c r="A17" s="3" t="s">
        <v>138</v>
      </c>
      <c r="B17" s="40" t="s">
        <v>87</v>
      </c>
      <c r="C17" s="32">
        <f>C14+C15</f>
        <v>48.25</v>
      </c>
      <c r="D17" s="32">
        <f>D14+D15</f>
        <v>1447.5</v>
      </c>
    </row>
    <row r="18" spans="1:4" x14ac:dyDescent="0.2">
      <c r="A18" s="3"/>
      <c r="B18" s="40" t="s">
        <v>245</v>
      </c>
      <c r="C18" s="24"/>
      <c r="D18" s="24"/>
    </row>
    <row r="19" spans="1:4" x14ac:dyDescent="0.2">
      <c r="A19" s="3">
        <v>2210</v>
      </c>
      <c r="B19" s="4" t="s">
        <v>125</v>
      </c>
      <c r="C19" s="24"/>
      <c r="D19" s="24"/>
    </row>
    <row r="20" spans="1:4" ht="82.5" customHeight="1" x14ac:dyDescent="0.2">
      <c r="A20" s="3"/>
      <c r="B20" s="4" t="s">
        <v>1253</v>
      </c>
      <c r="C20" s="1">
        <f>ROUND(2.98/10,2)</f>
        <v>0.3</v>
      </c>
      <c r="D20" s="1">
        <f>C20*C84</f>
        <v>9</v>
      </c>
    </row>
    <row r="21" spans="1:4" x14ac:dyDescent="0.2">
      <c r="A21" s="3">
        <v>2221</v>
      </c>
      <c r="B21" s="4" t="s">
        <v>89</v>
      </c>
      <c r="C21" s="24"/>
      <c r="D21" s="24"/>
    </row>
    <row r="22" spans="1:4" ht="84" customHeight="1" x14ac:dyDescent="0.2">
      <c r="A22" s="3"/>
      <c r="B22" s="4" t="s">
        <v>1254</v>
      </c>
      <c r="C22" s="1">
        <f>ROUND(7.29/10,2)</f>
        <v>0.73</v>
      </c>
      <c r="D22" s="1">
        <f>C22*C84</f>
        <v>21.9</v>
      </c>
    </row>
    <row r="23" spans="1:4" x14ac:dyDescent="0.2">
      <c r="A23" s="3">
        <v>2222</v>
      </c>
      <c r="B23" s="4" t="s">
        <v>90</v>
      </c>
      <c r="C23" s="24"/>
      <c r="D23" s="24"/>
    </row>
    <row r="24" spans="1:4" ht="83.25" customHeight="1" x14ac:dyDescent="0.2">
      <c r="A24" s="3"/>
      <c r="B24" s="4" t="s">
        <v>1255</v>
      </c>
      <c r="C24" s="1">
        <f>ROUND(0.59/10,2)</f>
        <v>0.06</v>
      </c>
      <c r="D24" s="1">
        <f>C24*C84</f>
        <v>1.7999999999999998</v>
      </c>
    </row>
    <row r="25" spans="1:4" x14ac:dyDescent="0.2">
      <c r="A25" s="3">
        <v>2223</v>
      </c>
      <c r="B25" s="3" t="s">
        <v>91</v>
      </c>
      <c r="C25" s="24"/>
      <c r="D25" s="24"/>
    </row>
    <row r="26" spans="1:4" ht="82.5" customHeight="1" x14ac:dyDescent="0.2">
      <c r="A26" s="3"/>
      <c r="B26" s="4" t="s">
        <v>1256</v>
      </c>
      <c r="C26" s="1">
        <f>ROUND(13.34/10,2)</f>
        <v>1.33</v>
      </c>
      <c r="D26" s="1">
        <f>C26*C84</f>
        <v>39.900000000000006</v>
      </c>
    </row>
    <row r="27" spans="1:4" x14ac:dyDescent="0.2">
      <c r="A27" s="3">
        <v>2224</v>
      </c>
      <c r="B27" s="4" t="s">
        <v>126</v>
      </c>
      <c r="C27" s="24"/>
      <c r="D27" s="24"/>
    </row>
    <row r="28" spans="1:4" ht="82.5" customHeight="1" x14ac:dyDescent="0.2">
      <c r="A28" s="3"/>
      <c r="B28" s="4" t="s">
        <v>1257</v>
      </c>
      <c r="C28" s="1">
        <f>ROUND(2.07/10,2)</f>
        <v>0.21</v>
      </c>
      <c r="D28" s="1">
        <f>ROUND(C28*C84,2)</f>
        <v>6.3</v>
      </c>
    </row>
    <row r="29" spans="1:4" x14ac:dyDescent="0.2">
      <c r="A29" s="3">
        <v>2231</v>
      </c>
      <c r="B29" s="4" t="s">
        <v>117</v>
      </c>
      <c r="C29" s="24"/>
      <c r="D29" s="24"/>
    </row>
    <row r="30" spans="1:4" ht="84" customHeight="1" x14ac:dyDescent="0.2">
      <c r="A30" s="3"/>
      <c r="B30" s="4" t="s">
        <v>1258</v>
      </c>
      <c r="C30" s="1">
        <f>ROUND(3.66/10,2)</f>
        <v>0.37</v>
      </c>
      <c r="D30" s="1">
        <f>C30*C84</f>
        <v>11.1</v>
      </c>
    </row>
    <row r="31" spans="1:4" ht="12.75" customHeight="1" x14ac:dyDescent="0.2">
      <c r="A31" s="3">
        <v>2232</v>
      </c>
      <c r="B31" s="4" t="s">
        <v>453</v>
      </c>
      <c r="C31" s="1"/>
      <c r="D31" s="1"/>
    </row>
    <row r="32" spans="1:4" ht="84" customHeight="1" x14ac:dyDescent="0.2">
      <c r="A32" s="3"/>
      <c r="B32" s="4" t="s">
        <v>1259</v>
      </c>
      <c r="C32" s="1">
        <f>ROUND(0.98/10,2)</f>
        <v>0.1</v>
      </c>
      <c r="D32" s="1">
        <f>C32*C84</f>
        <v>3</v>
      </c>
    </row>
    <row r="33" spans="1:4" x14ac:dyDescent="0.2">
      <c r="A33" s="3">
        <v>2233</v>
      </c>
      <c r="B33" s="4" t="s">
        <v>127</v>
      </c>
      <c r="C33" s="1"/>
      <c r="D33" s="1"/>
    </row>
    <row r="34" spans="1:4" x14ac:dyDescent="0.2">
      <c r="A34" s="3"/>
      <c r="B34" s="4" t="s">
        <v>128</v>
      </c>
      <c r="C34" s="1">
        <v>0</v>
      </c>
      <c r="D34" s="1">
        <f>C34*C86</f>
        <v>0</v>
      </c>
    </row>
    <row r="35" spans="1:4" x14ac:dyDescent="0.2">
      <c r="A35" s="3">
        <v>2235</v>
      </c>
      <c r="B35" s="4" t="s">
        <v>355</v>
      </c>
      <c r="C35" s="1"/>
      <c r="D35" s="1"/>
    </row>
    <row r="36" spans="1:4" ht="84" x14ac:dyDescent="0.2">
      <c r="A36" s="3"/>
      <c r="B36" s="4" t="s">
        <v>1260</v>
      </c>
      <c r="C36" s="1">
        <f>ROUND(0.93/10,2)</f>
        <v>0.09</v>
      </c>
      <c r="D36" s="1">
        <f>C36*C84</f>
        <v>2.6999999999999997</v>
      </c>
    </row>
    <row r="37" spans="1:4" x14ac:dyDescent="0.2">
      <c r="A37" s="3">
        <v>2239</v>
      </c>
      <c r="B37" s="4" t="s">
        <v>356</v>
      </c>
      <c r="C37" s="1"/>
      <c r="D37" s="1"/>
    </row>
    <row r="38" spans="1:4" ht="84" x14ac:dyDescent="0.2">
      <c r="A38" s="3"/>
      <c r="B38" s="4" t="s">
        <v>1261</v>
      </c>
      <c r="C38" s="1">
        <f>ROUND(6.92/10,2)</f>
        <v>0.69</v>
      </c>
      <c r="D38" s="1">
        <f>C38*C84</f>
        <v>20.7</v>
      </c>
    </row>
    <row r="39" spans="1:4" x14ac:dyDescent="0.2">
      <c r="A39" s="3">
        <v>2241</v>
      </c>
      <c r="B39" s="4" t="s">
        <v>460</v>
      </c>
      <c r="C39" s="1"/>
      <c r="D39" s="1"/>
    </row>
    <row r="40" spans="1:4" ht="84" x14ac:dyDescent="0.2">
      <c r="A40" s="3"/>
      <c r="B40" s="4" t="s">
        <v>1262</v>
      </c>
      <c r="C40" s="1">
        <f>ROUND(8.65/10,2)</f>
        <v>0.87</v>
      </c>
      <c r="D40" s="1">
        <f>C40*C84</f>
        <v>26.1</v>
      </c>
    </row>
    <row r="41" spans="1:4" x14ac:dyDescent="0.2">
      <c r="A41" s="3">
        <v>2243</v>
      </c>
      <c r="B41" s="4" t="s">
        <v>100</v>
      </c>
      <c r="C41" s="1"/>
      <c r="D41" s="1"/>
    </row>
    <row r="42" spans="1:4" ht="81.75" customHeight="1" x14ac:dyDescent="0.2">
      <c r="A42" s="3"/>
      <c r="B42" s="4" t="s">
        <v>1263</v>
      </c>
      <c r="C42" s="1">
        <f>ROUND(7.11/10,2)</f>
        <v>0.71</v>
      </c>
      <c r="D42" s="1">
        <f>C42*C84</f>
        <v>21.299999999999997</v>
      </c>
    </row>
    <row r="43" spans="1:4" x14ac:dyDescent="0.2">
      <c r="A43" s="3">
        <v>2244</v>
      </c>
      <c r="B43" s="4" t="s">
        <v>92</v>
      </c>
      <c r="C43" s="24"/>
      <c r="D43" s="24"/>
    </row>
    <row r="44" spans="1:4" ht="81.75" customHeight="1" x14ac:dyDescent="0.2">
      <c r="A44" s="95"/>
      <c r="B44" s="4" t="s">
        <v>1264</v>
      </c>
      <c r="C44" s="1">
        <f>ROUND(9.74/10,2)</f>
        <v>0.97</v>
      </c>
      <c r="D44" s="1">
        <f>C44*C84</f>
        <v>29.099999999999998</v>
      </c>
    </row>
    <row r="45" spans="1:4" ht="15.75" customHeight="1" x14ac:dyDescent="0.2">
      <c r="A45" s="96">
        <v>2247</v>
      </c>
      <c r="B45" s="4" t="s">
        <v>358</v>
      </c>
      <c r="C45" s="1"/>
      <c r="D45" s="1"/>
    </row>
    <row r="46" spans="1:4" ht="81.75" customHeight="1" x14ac:dyDescent="0.2">
      <c r="A46" s="96"/>
      <c r="B46" s="4" t="s">
        <v>1265</v>
      </c>
      <c r="C46" s="1">
        <f>ROUND(0.37/10,2)</f>
        <v>0.04</v>
      </c>
      <c r="D46" s="1">
        <f>C46*C84</f>
        <v>1.2</v>
      </c>
    </row>
    <row r="47" spans="1:4" ht="13.5" customHeight="1" x14ac:dyDescent="0.2">
      <c r="A47" s="96">
        <v>2249</v>
      </c>
      <c r="B47" s="4" t="s">
        <v>1236</v>
      </c>
      <c r="C47" s="1"/>
      <c r="D47" s="1"/>
    </row>
    <row r="48" spans="1:4" ht="81.75" customHeight="1" x14ac:dyDescent="0.2">
      <c r="A48" s="95"/>
      <c r="B48" s="4" t="s">
        <v>1266</v>
      </c>
      <c r="C48" s="1">
        <f>ROUND(0.32/10,2)</f>
        <v>0.03</v>
      </c>
      <c r="D48" s="1">
        <f>C48*C84</f>
        <v>0.89999999999999991</v>
      </c>
    </row>
    <row r="49" spans="1:4" x14ac:dyDescent="0.2">
      <c r="A49" s="3">
        <v>2250</v>
      </c>
      <c r="B49" s="4" t="s">
        <v>118</v>
      </c>
      <c r="C49" s="24"/>
      <c r="D49" s="1"/>
    </row>
    <row r="50" spans="1:4" ht="85.5" customHeight="1" x14ac:dyDescent="0.2">
      <c r="A50" s="3"/>
      <c r="B50" s="97" t="s">
        <v>1267</v>
      </c>
      <c r="C50" s="1">
        <f>ROUND(33.5/10,2)</f>
        <v>3.35</v>
      </c>
      <c r="D50" s="1">
        <f>C50*C84</f>
        <v>100.5</v>
      </c>
    </row>
    <row r="51" spans="1:4" x14ac:dyDescent="0.2">
      <c r="A51" s="3">
        <v>2261</v>
      </c>
      <c r="B51" s="97" t="s">
        <v>130</v>
      </c>
      <c r="C51" s="1"/>
      <c r="D51" s="1"/>
    </row>
    <row r="52" spans="1:4" ht="86.25" customHeight="1" x14ac:dyDescent="0.2">
      <c r="A52" s="3"/>
      <c r="B52" s="97" t="s">
        <v>1268</v>
      </c>
      <c r="C52" s="1">
        <f>ROUND(41.74/10,2)</f>
        <v>4.17</v>
      </c>
      <c r="D52" s="1">
        <f>C52*C84</f>
        <v>125.1</v>
      </c>
    </row>
    <row r="53" spans="1:4" ht="14.25" customHeight="1" x14ac:dyDescent="0.2">
      <c r="A53" s="3">
        <v>2263</v>
      </c>
      <c r="B53" s="97" t="s">
        <v>360</v>
      </c>
      <c r="C53" s="1"/>
      <c r="D53" s="1"/>
    </row>
    <row r="54" spans="1:4" ht="86.25" customHeight="1" x14ac:dyDescent="0.2">
      <c r="A54" s="3"/>
      <c r="B54" s="4" t="s">
        <v>1269</v>
      </c>
      <c r="C54" s="1">
        <f>ROUND(0.14/10,2)</f>
        <v>0.01</v>
      </c>
      <c r="D54" s="1">
        <f>C54*C84</f>
        <v>0.3</v>
      </c>
    </row>
    <row r="55" spans="1:4" ht="13.5" customHeight="1" x14ac:dyDescent="0.2">
      <c r="A55" s="3">
        <v>2264</v>
      </c>
      <c r="B55" s="4" t="s">
        <v>361</v>
      </c>
      <c r="C55" s="1"/>
      <c r="D55" s="1"/>
    </row>
    <row r="56" spans="1:4" ht="86.25" customHeight="1" x14ac:dyDescent="0.2">
      <c r="A56" s="3"/>
      <c r="B56" s="4" t="s">
        <v>1270</v>
      </c>
      <c r="C56" s="1">
        <f>ROUND(3.68/10,2)</f>
        <v>0.37</v>
      </c>
      <c r="D56" s="1">
        <f>C56*C84</f>
        <v>11.1</v>
      </c>
    </row>
    <row r="57" spans="1:4" x14ac:dyDescent="0.2">
      <c r="A57" s="3">
        <v>2311</v>
      </c>
      <c r="B57" s="4" t="s">
        <v>93</v>
      </c>
      <c r="C57" s="24"/>
      <c r="D57" s="24"/>
    </row>
    <row r="58" spans="1:4" ht="82.5" customHeight="1" x14ac:dyDescent="0.2">
      <c r="A58" s="3"/>
      <c r="B58" s="4" t="s">
        <v>1271</v>
      </c>
      <c r="C58" s="1">
        <f>ROUND(1.34/10,2)</f>
        <v>0.13</v>
      </c>
      <c r="D58" s="1">
        <f>C58*C84</f>
        <v>3.9000000000000004</v>
      </c>
    </row>
    <row r="59" spans="1:4" ht="14.25" customHeight="1" x14ac:dyDescent="0.2">
      <c r="A59" s="3">
        <v>2312</v>
      </c>
      <c r="B59" s="4" t="s">
        <v>120</v>
      </c>
      <c r="C59" s="1"/>
      <c r="D59" s="1"/>
    </row>
    <row r="60" spans="1:4" ht="82.5" customHeight="1" x14ac:dyDescent="0.2">
      <c r="A60" s="3"/>
      <c r="B60" s="4" t="s">
        <v>1272</v>
      </c>
      <c r="C60" s="1">
        <f>ROUND(1.55/10,2)</f>
        <v>0.16</v>
      </c>
      <c r="D60" s="1">
        <f>C60*C84</f>
        <v>4.8</v>
      </c>
    </row>
    <row r="61" spans="1:4" ht="15" customHeight="1" x14ac:dyDescent="0.2">
      <c r="A61" s="3">
        <v>2314</v>
      </c>
      <c r="B61" s="4" t="s">
        <v>1243</v>
      </c>
      <c r="C61" s="1"/>
      <c r="D61" s="1"/>
    </row>
    <row r="62" spans="1:4" ht="82.5" customHeight="1" x14ac:dyDescent="0.2">
      <c r="A62" s="3"/>
      <c r="B62" s="4" t="s">
        <v>1273</v>
      </c>
      <c r="C62" s="1">
        <f>ROUND(3.31/10,2)</f>
        <v>0.33</v>
      </c>
      <c r="D62" s="1">
        <f>C62*C84</f>
        <v>9.9</v>
      </c>
    </row>
    <row r="63" spans="1:4" x14ac:dyDescent="0.2">
      <c r="A63" s="3">
        <v>2350</v>
      </c>
      <c r="B63" s="4" t="s">
        <v>119</v>
      </c>
      <c r="C63" s="24"/>
      <c r="D63" s="24"/>
    </row>
    <row r="64" spans="1:4" ht="81.75" customHeight="1" x14ac:dyDescent="0.2">
      <c r="A64" s="3"/>
      <c r="B64" s="4" t="s">
        <v>1274</v>
      </c>
      <c r="C64" s="1">
        <f>ROUND(4.76/10,2)</f>
        <v>0.48</v>
      </c>
      <c r="D64" s="1">
        <f>C64*C84</f>
        <v>14.399999999999999</v>
      </c>
    </row>
    <row r="65" spans="1:4" ht="15.75" customHeight="1" x14ac:dyDescent="0.2">
      <c r="A65" s="3">
        <v>2361</v>
      </c>
      <c r="B65" s="4" t="s">
        <v>364</v>
      </c>
      <c r="C65" s="1"/>
      <c r="D65" s="1"/>
    </row>
    <row r="66" spans="1:4" ht="81.75" customHeight="1" x14ac:dyDescent="0.2">
      <c r="A66" s="3"/>
      <c r="B66" s="4" t="s">
        <v>1275</v>
      </c>
      <c r="C66" s="1">
        <f>ROUND(0.29/10,2)</f>
        <v>0.03</v>
      </c>
      <c r="D66" s="1">
        <f>C66*C84</f>
        <v>0.89999999999999991</v>
      </c>
    </row>
    <row r="67" spans="1:4" ht="14.25" customHeight="1" x14ac:dyDescent="0.2">
      <c r="A67" s="3">
        <v>2513</v>
      </c>
      <c r="B67" s="4" t="s">
        <v>365</v>
      </c>
      <c r="C67" s="1"/>
      <c r="D67" s="1"/>
    </row>
    <row r="68" spans="1:4" ht="81.75" customHeight="1" x14ac:dyDescent="0.2">
      <c r="A68" s="3"/>
      <c r="B68" s="4" t="s">
        <v>1276</v>
      </c>
      <c r="C68" s="1">
        <f>ROUND(0.44/10,2)</f>
        <v>0.04</v>
      </c>
      <c r="D68" s="1">
        <f>C68*C84</f>
        <v>1.2</v>
      </c>
    </row>
    <row r="69" spans="1:4" ht="14.25" customHeight="1" x14ac:dyDescent="0.2">
      <c r="A69" s="3">
        <v>2519</v>
      </c>
      <c r="B69" s="4" t="s">
        <v>366</v>
      </c>
      <c r="C69" s="1"/>
      <c r="D69" s="1"/>
    </row>
    <row r="70" spans="1:4" ht="81.75" customHeight="1" x14ac:dyDescent="0.2">
      <c r="A70" s="3"/>
      <c r="B70" s="4" t="s">
        <v>1277</v>
      </c>
      <c r="C70" s="1">
        <f>ROUND(0.18/10,2)</f>
        <v>0.02</v>
      </c>
      <c r="D70" s="1">
        <f>C70*C84</f>
        <v>0.6</v>
      </c>
    </row>
    <row r="71" spans="1:4" x14ac:dyDescent="0.2">
      <c r="A71" s="3">
        <v>5120</v>
      </c>
      <c r="B71" s="4" t="s">
        <v>101</v>
      </c>
      <c r="C71" s="24"/>
      <c r="D71" s="1"/>
    </row>
    <row r="72" spans="1:4" ht="81.75" customHeight="1" x14ac:dyDescent="0.2">
      <c r="A72" s="3"/>
      <c r="B72" s="4" t="s">
        <v>1278</v>
      </c>
      <c r="C72" s="1">
        <f>ROUND(0.53/10,2)</f>
        <v>0.05</v>
      </c>
      <c r="D72" s="1">
        <f>C72*C84</f>
        <v>1.5</v>
      </c>
    </row>
    <row r="73" spans="1:4" x14ac:dyDescent="0.2">
      <c r="A73" s="3">
        <v>5220</v>
      </c>
      <c r="B73" s="4" t="s">
        <v>131</v>
      </c>
      <c r="C73" s="1">
        <v>0</v>
      </c>
      <c r="D73" s="1">
        <v>0</v>
      </c>
    </row>
    <row r="74" spans="1:4" x14ac:dyDescent="0.2">
      <c r="A74" s="3">
        <v>5238</v>
      </c>
      <c r="B74" s="4" t="s">
        <v>115</v>
      </c>
      <c r="C74" s="30"/>
      <c r="D74" s="1"/>
    </row>
    <row r="75" spans="1:4" ht="81" customHeight="1" x14ac:dyDescent="0.2">
      <c r="A75" s="3"/>
      <c r="B75" s="4" t="s">
        <v>1279</v>
      </c>
      <c r="C75" s="1">
        <f>ROUND(3.03/10,2)</f>
        <v>0.3</v>
      </c>
      <c r="D75" s="1">
        <f>C75*C84</f>
        <v>9</v>
      </c>
    </row>
    <row r="76" spans="1:4" ht="15" customHeight="1" x14ac:dyDescent="0.2">
      <c r="A76" s="3">
        <v>5239</v>
      </c>
      <c r="B76" s="4" t="s">
        <v>369</v>
      </c>
      <c r="C76" s="1"/>
      <c r="D76" s="1"/>
    </row>
    <row r="77" spans="1:4" ht="81" customHeight="1" x14ac:dyDescent="0.2">
      <c r="A77" s="3"/>
      <c r="B77" s="4" t="s">
        <v>1280</v>
      </c>
      <c r="C77" s="1">
        <f>ROUND(5.36/10,2)</f>
        <v>0.54</v>
      </c>
      <c r="D77" s="1">
        <f>C77*C84</f>
        <v>16.200000000000003</v>
      </c>
    </row>
    <row r="78" spans="1:4" x14ac:dyDescent="0.2">
      <c r="A78" s="3"/>
      <c r="B78" s="31" t="s">
        <v>94</v>
      </c>
      <c r="C78" s="32">
        <f>SUM(C19:C77)</f>
        <v>16.48</v>
      </c>
      <c r="D78" s="32">
        <f>SUM(D19:D77)</f>
        <v>494.4</v>
      </c>
    </row>
    <row r="79" spans="1:4" x14ac:dyDescent="0.2">
      <c r="A79" s="33"/>
      <c r="B79" s="61" t="s">
        <v>133</v>
      </c>
      <c r="C79" s="32">
        <f>ROUND(C78+C17,2)</f>
        <v>64.73</v>
      </c>
      <c r="D79" s="32">
        <f>ROUND(D78+D17,2)</f>
        <v>1941.9</v>
      </c>
    </row>
    <row r="80" spans="1:4" x14ac:dyDescent="0.2">
      <c r="A80" s="33"/>
      <c r="B80" s="61" t="s">
        <v>134</v>
      </c>
      <c r="C80" s="26">
        <f>ROUND(C79*0.21,2)</f>
        <v>13.59</v>
      </c>
      <c r="D80" s="26">
        <f>ROUND(D79*0.21,2)</f>
        <v>407.8</v>
      </c>
    </row>
    <row r="81" spans="1:5" x14ac:dyDescent="0.2">
      <c r="A81" s="33"/>
      <c r="B81" s="100" t="s">
        <v>135</v>
      </c>
      <c r="C81" s="26">
        <f>ROUND(C79+C80,2)</f>
        <v>78.319999999999993</v>
      </c>
      <c r="D81" s="32">
        <f>D79+D80</f>
        <v>2349.7000000000003</v>
      </c>
      <c r="E81" s="136"/>
    </row>
    <row r="82" spans="1:5" x14ac:dyDescent="0.2">
      <c r="A82" s="35"/>
      <c r="B82" s="36"/>
      <c r="C82" s="37"/>
      <c r="D82" s="37"/>
    </row>
    <row r="83" spans="1:5" x14ac:dyDescent="0.2">
      <c r="A83" s="6"/>
      <c r="B83" s="13"/>
      <c r="C83" s="13"/>
      <c r="D83" s="10"/>
    </row>
    <row r="84" spans="1:5" ht="12" customHeight="1" x14ac:dyDescent="0.2">
      <c r="A84" s="161" t="s">
        <v>96</v>
      </c>
      <c r="B84" s="162"/>
      <c r="C84" s="41">
        <v>30</v>
      </c>
      <c r="D84" s="38"/>
    </row>
    <row r="85" spans="1:5" ht="29.25" customHeight="1" x14ac:dyDescent="0.2">
      <c r="A85" s="152" t="s">
        <v>112</v>
      </c>
      <c r="B85" s="153"/>
      <c r="C85" s="2">
        <f>D81/C84</f>
        <v>78.323333333333338</v>
      </c>
      <c r="D85" s="38"/>
    </row>
  </sheetData>
  <mergeCells count="7">
    <mergeCell ref="A85:B85"/>
    <mergeCell ref="A1:D1"/>
    <mergeCell ref="C2:D2"/>
    <mergeCell ref="A5:D5"/>
    <mergeCell ref="A7:B7"/>
    <mergeCell ref="A9:B9"/>
    <mergeCell ref="A84:B8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702C8-E425-4B20-BF53-F4009EA2E495}">
  <dimension ref="A1:E86"/>
  <sheetViews>
    <sheetView view="pageBreakPreview" topLeftCell="A25" zoomScale="60" zoomScaleNormal="100" workbookViewId="0">
      <selection sqref="A1:XFD3"/>
    </sheetView>
  </sheetViews>
  <sheetFormatPr defaultColWidth="9.140625" defaultRowHeight="12" x14ac:dyDescent="0.2"/>
  <cols>
    <col min="1" max="1" width="9.42578125" style="89" customWidth="1"/>
    <col min="2" max="2" width="59.42578125" style="89" customWidth="1"/>
    <col min="3" max="3" width="10" style="89" customWidth="1"/>
    <col min="4" max="4" width="11.28515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ht="12" customHeight="1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ht="12" customHeight="1" x14ac:dyDescent="0.2">
      <c r="A4" s="6"/>
      <c r="B4" s="9"/>
      <c r="C4" s="9"/>
      <c r="D4" s="10"/>
    </row>
    <row r="5" spans="1:4" x14ac:dyDescent="0.2">
      <c r="A5" s="157" t="s">
        <v>1615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105</v>
      </c>
      <c r="B9" s="160"/>
      <c r="C9" s="11" t="s">
        <v>1281</v>
      </c>
      <c r="D9" s="44"/>
    </row>
    <row r="10" spans="1:4" ht="108" x14ac:dyDescent="0.2">
      <c r="A10" s="14" t="s">
        <v>80</v>
      </c>
      <c r="B10" s="14" t="s">
        <v>81</v>
      </c>
      <c r="C10" s="14" t="s">
        <v>136</v>
      </c>
      <c r="D10" s="14" t="s">
        <v>83</v>
      </c>
    </row>
    <row r="11" spans="1:4" ht="16.5" customHeight="1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55.25" customHeight="1" x14ac:dyDescent="0.2">
      <c r="A14" s="3"/>
      <c r="B14" s="81" t="s">
        <v>1626</v>
      </c>
      <c r="C14" s="1">
        <v>3.04</v>
      </c>
      <c r="D14" s="1">
        <f>C14*C85</f>
        <v>91.2</v>
      </c>
    </row>
    <row r="15" spans="1:4" ht="24" x14ac:dyDescent="0.2">
      <c r="A15" s="3">
        <v>1200</v>
      </c>
      <c r="B15" s="23" t="s">
        <v>1282</v>
      </c>
      <c r="C15" s="1">
        <f>ROUND(C14*0.2359,2)</f>
        <v>0.72</v>
      </c>
      <c r="D15" s="1">
        <f>C15*C85</f>
        <v>21.599999999999998</v>
      </c>
    </row>
    <row r="16" spans="1:4" x14ac:dyDescent="0.2">
      <c r="A16" s="3">
        <v>2341</v>
      </c>
      <c r="B16" s="3" t="s">
        <v>86</v>
      </c>
      <c r="C16" s="24"/>
      <c r="D16" s="24"/>
    </row>
    <row r="17" spans="1:4" x14ac:dyDescent="0.2">
      <c r="A17" s="3"/>
      <c r="B17" s="23" t="s">
        <v>139</v>
      </c>
      <c r="C17" s="1">
        <v>0</v>
      </c>
      <c r="D17" s="1">
        <f>C17*C85</f>
        <v>0</v>
      </c>
    </row>
    <row r="18" spans="1:4" ht="15.75" customHeight="1" x14ac:dyDescent="0.2">
      <c r="A18" s="3"/>
      <c r="B18" s="40" t="s">
        <v>87</v>
      </c>
      <c r="C18" s="32">
        <f>C14+C15+C17</f>
        <v>3.76</v>
      </c>
      <c r="D18" s="32">
        <f>D14+D15+D17</f>
        <v>112.8</v>
      </c>
    </row>
    <row r="19" spans="1:4" x14ac:dyDescent="0.2">
      <c r="A19" s="3"/>
      <c r="B19" s="40" t="s">
        <v>245</v>
      </c>
      <c r="C19" s="24"/>
      <c r="D19" s="24"/>
    </row>
    <row r="20" spans="1:4" ht="16.5" customHeight="1" x14ac:dyDescent="0.2">
      <c r="A20" s="3">
        <v>2210</v>
      </c>
      <c r="B20" s="4" t="s">
        <v>125</v>
      </c>
      <c r="C20" s="24"/>
      <c r="D20" s="24"/>
    </row>
    <row r="21" spans="1:4" ht="84" x14ac:dyDescent="0.2">
      <c r="A21" s="3"/>
      <c r="B21" s="4" t="s">
        <v>1283</v>
      </c>
      <c r="C21" s="1">
        <f>ROUND(0.19/10,2)</f>
        <v>0.02</v>
      </c>
      <c r="D21" s="1">
        <f>C21*C85</f>
        <v>0.6</v>
      </c>
    </row>
    <row r="22" spans="1:4" x14ac:dyDescent="0.2">
      <c r="A22" s="3">
        <v>2221</v>
      </c>
      <c r="B22" s="4" t="s">
        <v>89</v>
      </c>
      <c r="C22" s="24"/>
      <c r="D22" s="24"/>
    </row>
    <row r="23" spans="1:4" ht="84" x14ac:dyDescent="0.2">
      <c r="A23" s="3"/>
      <c r="B23" s="4" t="s">
        <v>1284</v>
      </c>
      <c r="C23" s="1">
        <f>ROUND(0.46/10,2)</f>
        <v>0.05</v>
      </c>
      <c r="D23" s="1">
        <f>C23*C85</f>
        <v>1.5</v>
      </c>
    </row>
    <row r="24" spans="1:4" ht="19.5" customHeight="1" x14ac:dyDescent="0.2">
      <c r="A24" s="3">
        <v>2222</v>
      </c>
      <c r="B24" s="4" t="s">
        <v>90</v>
      </c>
      <c r="C24" s="24"/>
      <c r="D24" s="24"/>
    </row>
    <row r="25" spans="1:4" ht="84" x14ac:dyDescent="0.2">
      <c r="A25" s="3"/>
      <c r="B25" s="4" t="s">
        <v>1285</v>
      </c>
      <c r="C25" s="1">
        <f>ROUND(0.04/10,2)</f>
        <v>0</v>
      </c>
      <c r="D25" s="1">
        <f>C25*C85</f>
        <v>0</v>
      </c>
    </row>
    <row r="26" spans="1:4" ht="17.25" customHeight="1" x14ac:dyDescent="0.2">
      <c r="A26" s="3">
        <v>2223</v>
      </c>
      <c r="B26" s="3" t="s">
        <v>91</v>
      </c>
      <c r="C26" s="24"/>
      <c r="D26" s="24"/>
    </row>
    <row r="27" spans="1:4" ht="84" x14ac:dyDescent="0.2">
      <c r="A27" s="3"/>
      <c r="B27" s="4" t="s">
        <v>1286</v>
      </c>
      <c r="C27" s="1">
        <f>ROUND(0.83/10,2)</f>
        <v>0.08</v>
      </c>
      <c r="D27" s="1">
        <f>C27*C85</f>
        <v>2.4</v>
      </c>
    </row>
    <row r="28" spans="1:4" ht="19.5" customHeight="1" x14ac:dyDescent="0.2">
      <c r="A28" s="3">
        <v>2224</v>
      </c>
      <c r="B28" s="4" t="s">
        <v>126</v>
      </c>
      <c r="C28" s="24"/>
      <c r="D28" s="24"/>
    </row>
    <row r="29" spans="1:4" ht="84" x14ac:dyDescent="0.2">
      <c r="A29" s="3"/>
      <c r="B29" s="4" t="s">
        <v>1287</v>
      </c>
      <c r="C29" s="1">
        <f>ROUND(0.13/10,2)</f>
        <v>0.01</v>
      </c>
      <c r="D29" s="1">
        <f>ROUND(C29*C85,2)</f>
        <v>0.3</v>
      </c>
    </row>
    <row r="30" spans="1:4" x14ac:dyDescent="0.2">
      <c r="A30" s="3">
        <v>2231</v>
      </c>
      <c r="B30" s="4" t="s">
        <v>117</v>
      </c>
      <c r="C30" s="24"/>
      <c r="D30" s="24"/>
    </row>
    <row r="31" spans="1:4" ht="84" x14ac:dyDescent="0.2">
      <c r="A31" s="3"/>
      <c r="B31" s="4" t="s">
        <v>1288</v>
      </c>
      <c r="C31" s="1">
        <f>ROUND(0.23/10,2)</f>
        <v>0.02</v>
      </c>
      <c r="D31" s="1">
        <f>C31*C85</f>
        <v>0.6</v>
      </c>
    </row>
    <row r="32" spans="1:4" x14ac:dyDescent="0.2">
      <c r="A32" s="3">
        <v>2232</v>
      </c>
      <c r="B32" s="4" t="s">
        <v>453</v>
      </c>
      <c r="C32" s="1"/>
      <c r="D32" s="1"/>
    </row>
    <row r="33" spans="1:4" ht="84" x14ac:dyDescent="0.2">
      <c r="A33" s="3"/>
      <c r="B33" s="4" t="s">
        <v>1289</v>
      </c>
      <c r="C33" s="1">
        <f>ROUND(0.06/10,2)</f>
        <v>0.01</v>
      </c>
      <c r="D33" s="1">
        <f>C33*C85</f>
        <v>0.3</v>
      </c>
    </row>
    <row r="34" spans="1:4" x14ac:dyDescent="0.2">
      <c r="A34" s="3">
        <v>2233</v>
      </c>
      <c r="B34" s="4" t="s">
        <v>127</v>
      </c>
      <c r="C34" s="1"/>
      <c r="D34" s="1"/>
    </row>
    <row r="35" spans="1:4" x14ac:dyDescent="0.2">
      <c r="A35" s="3"/>
      <c r="B35" s="4" t="s">
        <v>128</v>
      </c>
      <c r="C35" s="1">
        <v>0</v>
      </c>
      <c r="D35" s="1">
        <f>C35*C89</f>
        <v>0</v>
      </c>
    </row>
    <row r="36" spans="1:4" x14ac:dyDescent="0.2">
      <c r="A36" s="3">
        <v>2235</v>
      </c>
      <c r="B36" s="4" t="s">
        <v>355</v>
      </c>
      <c r="C36" s="1"/>
      <c r="D36" s="1"/>
    </row>
    <row r="37" spans="1:4" ht="84" x14ac:dyDescent="0.2">
      <c r="A37" s="3"/>
      <c r="B37" s="4" t="s">
        <v>1290</v>
      </c>
      <c r="C37" s="1">
        <f>ROUND(0.06/10,2)</f>
        <v>0.01</v>
      </c>
      <c r="D37" s="1">
        <f>C37*C85</f>
        <v>0.3</v>
      </c>
    </row>
    <row r="38" spans="1:4" x14ac:dyDescent="0.2">
      <c r="A38" s="3">
        <v>2239</v>
      </c>
      <c r="B38" s="4" t="s">
        <v>356</v>
      </c>
      <c r="C38" s="1"/>
      <c r="D38" s="1"/>
    </row>
    <row r="39" spans="1:4" ht="84" x14ac:dyDescent="0.2">
      <c r="A39" s="3"/>
      <c r="B39" s="4" t="s">
        <v>1291</v>
      </c>
      <c r="C39" s="1">
        <f>ROUND(0.43/10,2)</f>
        <v>0.04</v>
      </c>
      <c r="D39" s="1">
        <f>C39*C85</f>
        <v>1.2</v>
      </c>
    </row>
    <row r="40" spans="1:4" x14ac:dyDescent="0.2">
      <c r="A40" s="3">
        <v>2241</v>
      </c>
      <c r="B40" s="4" t="s">
        <v>460</v>
      </c>
      <c r="C40" s="1"/>
      <c r="D40" s="1"/>
    </row>
    <row r="41" spans="1:4" ht="84" x14ac:dyDescent="0.2">
      <c r="A41" s="3"/>
      <c r="B41" s="4" t="s">
        <v>1292</v>
      </c>
      <c r="C41" s="1">
        <f>ROUND(0.54/10,2)</f>
        <v>0.05</v>
      </c>
      <c r="D41" s="1">
        <f>C41*C85</f>
        <v>1.5</v>
      </c>
    </row>
    <row r="42" spans="1:4" ht="16.5" customHeight="1" x14ac:dyDescent="0.2">
      <c r="A42" s="3">
        <v>2243</v>
      </c>
      <c r="B42" s="4" t="s">
        <v>100</v>
      </c>
      <c r="C42" s="1"/>
      <c r="D42" s="1"/>
    </row>
    <row r="43" spans="1:4" ht="84" x14ac:dyDescent="0.2">
      <c r="A43" s="3"/>
      <c r="B43" s="4" t="s">
        <v>1293</v>
      </c>
      <c r="C43" s="1">
        <f>ROUND(0.44/10,2)</f>
        <v>0.04</v>
      </c>
      <c r="D43" s="1">
        <f>C43*C85</f>
        <v>1.2</v>
      </c>
    </row>
    <row r="44" spans="1:4" ht="18.75" customHeight="1" x14ac:dyDescent="0.2">
      <c r="A44" s="3">
        <v>2244</v>
      </c>
      <c r="B44" s="4" t="s">
        <v>92</v>
      </c>
      <c r="C44" s="24"/>
      <c r="D44" s="24"/>
    </row>
    <row r="45" spans="1:4" ht="84" x14ac:dyDescent="0.2">
      <c r="A45" s="95"/>
      <c r="B45" s="4" t="s">
        <v>1294</v>
      </c>
      <c r="C45" s="1">
        <f>ROUND(0.61/10,2)</f>
        <v>0.06</v>
      </c>
      <c r="D45" s="1">
        <f>C45*C85</f>
        <v>1.7999999999999998</v>
      </c>
    </row>
    <row r="46" spans="1:4" x14ac:dyDescent="0.2">
      <c r="A46" s="96">
        <v>2247</v>
      </c>
      <c r="B46" s="4" t="s">
        <v>358</v>
      </c>
      <c r="C46" s="1"/>
      <c r="D46" s="1"/>
    </row>
    <row r="47" spans="1:4" ht="84" x14ac:dyDescent="0.2">
      <c r="A47" s="96"/>
      <c r="B47" s="4" t="s">
        <v>1295</v>
      </c>
      <c r="C47" s="1">
        <f>ROUND(0.02/10,2)</f>
        <v>0</v>
      </c>
      <c r="D47" s="1">
        <f>C47*C85</f>
        <v>0</v>
      </c>
    </row>
    <row r="48" spans="1:4" x14ac:dyDescent="0.2">
      <c r="A48" s="96">
        <v>2249</v>
      </c>
      <c r="B48" s="4" t="s">
        <v>1236</v>
      </c>
      <c r="C48" s="1"/>
      <c r="D48" s="1"/>
    </row>
    <row r="49" spans="1:4" ht="84" x14ac:dyDescent="0.2">
      <c r="A49" s="95"/>
      <c r="B49" s="4" t="s">
        <v>1296</v>
      </c>
      <c r="C49" s="1">
        <f>ROUND(0.02/10,2)</f>
        <v>0</v>
      </c>
      <c r="D49" s="1">
        <f>C49*C85</f>
        <v>0</v>
      </c>
    </row>
    <row r="50" spans="1:4" x14ac:dyDescent="0.2">
      <c r="A50" s="3">
        <v>2250</v>
      </c>
      <c r="B50" s="4" t="s">
        <v>129</v>
      </c>
      <c r="C50" s="24"/>
      <c r="D50" s="1"/>
    </row>
    <row r="51" spans="1:4" ht="84" x14ac:dyDescent="0.2">
      <c r="A51" s="3"/>
      <c r="B51" s="4" t="s">
        <v>1297</v>
      </c>
      <c r="C51" s="1">
        <f>ROUND(2.09/10,2)</f>
        <v>0.21</v>
      </c>
      <c r="D51" s="1">
        <f>C51*C85</f>
        <v>6.3</v>
      </c>
    </row>
    <row r="52" spans="1:4" ht="15" customHeight="1" x14ac:dyDescent="0.2">
      <c r="A52" s="3">
        <v>2261</v>
      </c>
      <c r="B52" s="97" t="s">
        <v>130</v>
      </c>
      <c r="C52" s="1"/>
      <c r="D52" s="1"/>
    </row>
    <row r="53" spans="1:4" ht="84" x14ac:dyDescent="0.2">
      <c r="A53" s="3"/>
      <c r="B53" s="97" t="s">
        <v>1298</v>
      </c>
      <c r="C53" s="1">
        <f>ROUND(2.61/10,2)</f>
        <v>0.26</v>
      </c>
      <c r="D53" s="1">
        <f>C53*C85</f>
        <v>7.8000000000000007</v>
      </c>
    </row>
    <row r="54" spans="1:4" x14ac:dyDescent="0.2">
      <c r="A54" s="3">
        <v>2263</v>
      </c>
      <c r="B54" s="97" t="s">
        <v>360</v>
      </c>
      <c r="C54" s="1"/>
      <c r="D54" s="1"/>
    </row>
    <row r="55" spans="1:4" ht="84" x14ac:dyDescent="0.2">
      <c r="A55" s="3"/>
      <c r="B55" s="4" t="s">
        <v>1299</v>
      </c>
      <c r="C55" s="1">
        <f>ROUND(0.01/10,2)</f>
        <v>0</v>
      </c>
      <c r="D55" s="1">
        <f>C55*C85</f>
        <v>0</v>
      </c>
    </row>
    <row r="56" spans="1:4" x14ac:dyDescent="0.2">
      <c r="A56" s="3">
        <v>2264</v>
      </c>
      <c r="B56" s="4" t="s">
        <v>361</v>
      </c>
      <c r="C56" s="1"/>
      <c r="D56" s="1"/>
    </row>
    <row r="57" spans="1:4" ht="84" x14ac:dyDescent="0.2">
      <c r="A57" s="3"/>
      <c r="B57" s="4" t="s">
        <v>1300</v>
      </c>
      <c r="C57" s="1">
        <f>ROUND(0.23/10,2)</f>
        <v>0.02</v>
      </c>
      <c r="D57" s="1">
        <f>C57*C85</f>
        <v>0.6</v>
      </c>
    </row>
    <row r="58" spans="1:4" ht="14.25" customHeight="1" x14ac:dyDescent="0.2">
      <c r="A58" s="3">
        <v>2311</v>
      </c>
      <c r="B58" s="4" t="s">
        <v>93</v>
      </c>
      <c r="C58" s="24"/>
      <c r="D58" s="24"/>
    </row>
    <row r="59" spans="1:4" ht="84" x14ac:dyDescent="0.2">
      <c r="A59" s="3"/>
      <c r="B59" s="4" t="s">
        <v>1301</v>
      </c>
      <c r="C59" s="1">
        <f>ROUND(0.08/10,2)</f>
        <v>0.01</v>
      </c>
      <c r="D59" s="1">
        <f>C59*C85</f>
        <v>0.3</v>
      </c>
    </row>
    <row r="60" spans="1:4" x14ac:dyDescent="0.2">
      <c r="A60" s="3">
        <v>2312</v>
      </c>
      <c r="B60" s="4" t="s">
        <v>120</v>
      </c>
      <c r="C60" s="1"/>
      <c r="D60" s="1"/>
    </row>
    <row r="61" spans="1:4" ht="84" x14ac:dyDescent="0.2">
      <c r="A61" s="3"/>
      <c r="B61" s="4" t="s">
        <v>1302</v>
      </c>
      <c r="C61" s="1">
        <f>ROUND(0.1/10,2)</f>
        <v>0.01</v>
      </c>
      <c r="D61" s="1">
        <f>C61*C85</f>
        <v>0.3</v>
      </c>
    </row>
    <row r="62" spans="1:4" x14ac:dyDescent="0.2">
      <c r="A62" s="3">
        <v>2314</v>
      </c>
      <c r="B62" s="4" t="s">
        <v>1243</v>
      </c>
      <c r="C62" s="1"/>
      <c r="D62" s="1"/>
    </row>
    <row r="63" spans="1:4" ht="84" x14ac:dyDescent="0.2">
      <c r="A63" s="3"/>
      <c r="B63" s="4" t="s">
        <v>1303</v>
      </c>
      <c r="C63" s="1">
        <f>ROUND(0.21/10,2)</f>
        <v>0.02</v>
      </c>
      <c r="D63" s="1">
        <f>C63*C85</f>
        <v>0.6</v>
      </c>
    </row>
    <row r="64" spans="1:4" ht="16.5" customHeight="1" x14ac:dyDescent="0.2">
      <c r="A64" s="3">
        <v>2350</v>
      </c>
      <c r="B64" s="4" t="s">
        <v>119</v>
      </c>
      <c r="C64" s="24"/>
      <c r="D64" s="24"/>
    </row>
    <row r="65" spans="1:4" ht="84" x14ac:dyDescent="0.2">
      <c r="A65" s="3"/>
      <c r="B65" s="4" t="s">
        <v>1304</v>
      </c>
      <c r="C65" s="1">
        <f>ROUND(0.3/10,2)</f>
        <v>0.03</v>
      </c>
      <c r="D65" s="1">
        <f>C65*C85</f>
        <v>0.89999999999999991</v>
      </c>
    </row>
    <row r="66" spans="1:4" x14ac:dyDescent="0.2">
      <c r="A66" s="3">
        <v>2361</v>
      </c>
      <c r="B66" s="4" t="s">
        <v>364</v>
      </c>
      <c r="C66" s="1"/>
      <c r="D66" s="1"/>
    </row>
    <row r="67" spans="1:4" ht="84" x14ac:dyDescent="0.2">
      <c r="A67" s="3"/>
      <c r="B67" s="4" t="s">
        <v>1305</v>
      </c>
      <c r="C67" s="1">
        <f>ROUND(0.02/10,2)</f>
        <v>0</v>
      </c>
      <c r="D67" s="1">
        <f>C67*C85</f>
        <v>0</v>
      </c>
    </row>
    <row r="68" spans="1:4" x14ac:dyDescent="0.2">
      <c r="A68" s="3">
        <v>2513</v>
      </c>
      <c r="B68" s="4" t="s">
        <v>365</v>
      </c>
      <c r="C68" s="1"/>
      <c r="D68" s="1"/>
    </row>
    <row r="69" spans="1:4" ht="84" x14ac:dyDescent="0.2">
      <c r="A69" s="3"/>
      <c r="B69" s="4" t="s">
        <v>1306</v>
      </c>
      <c r="C69" s="1">
        <f>ROUND(0.03/10,2)</f>
        <v>0</v>
      </c>
      <c r="D69" s="1">
        <f>C69*C85</f>
        <v>0</v>
      </c>
    </row>
    <row r="70" spans="1:4" x14ac:dyDescent="0.2">
      <c r="A70" s="3">
        <v>2519</v>
      </c>
      <c r="B70" s="4" t="s">
        <v>366</v>
      </c>
      <c r="C70" s="1"/>
      <c r="D70" s="1"/>
    </row>
    <row r="71" spans="1:4" ht="84" x14ac:dyDescent="0.2">
      <c r="A71" s="3"/>
      <c r="B71" s="4" t="s">
        <v>1307</v>
      </c>
      <c r="C71" s="1">
        <f>ROUND(0.01/10,2)</f>
        <v>0</v>
      </c>
      <c r="D71" s="1">
        <f>C71*C85</f>
        <v>0</v>
      </c>
    </row>
    <row r="72" spans="1:4" x14ac:dyDescent="0.2">
      <c r="A72" s="3">
        <v>5120</v>
      </c>
      <c r="B72" s="4" t="s">
        <v>101</v>
      </c>
      <c r="C72" s="24"/>
      <c r="D72" s="1"/>
    </row>
    <row r="73" spans="1:4" ht="83.25" customHeight="1" x14ac:dyDescent="0.2">
      <c r="A73" s="3"/>
      <c r="B73" s="4" t="s">
        <v>1308</v>
      </c>
      <c r="C73" s="1">
        <f>ROUND(0.03/10,2)</f>
        <v>0</v>
      </c>
      <c r="D73" s="1">
        <f>C73*C85</f>
        <v>0</v>
      </c>
    </row>
    <row r="74" spans="1:4" x14ac:dyDescent="0.2">
      <c r="A74" s="3">
        <v>5220</v>
      </c>
      <c r="B74" s="4" t="s">
        <v>137</v>
      </c>
      <c r="C74" s="1">
        <v>0</v>
      </c>
      <c r="D74" s="1">
        <v>0</v>
      </c>
    </row>
    <row r="75" spans="1:4" x14ac:dyDescent="0.2">
      <c r="A75" s="3">
        <v>5238</v>
      </c>
      <c r="B75" s="4" t="s">
        <v>132</v>
      </c>
      <c r="C75" s="30"/>
      <c r="D75" s="1"/>
    </row>
    <row r="76" spans="1:4" ht="84" x14ac:dyDescent="0.2">
      <c r="A76" s="3"/>
      <c r="B76" s="4" t="s">
        <v>1309</v>
      </c>
      <c r="C76" s="1">
        <f>ROUND(0.19/10,2)</f>
        <v>0.02</v>
      </c>
      <c r="D76" s="1">
        <f>C76*C85</f>
        <v>0.6</v>
      </c>
    </row>
    <row r="77" spans="1:4" x14ac:dyDescent="0.2">
      <c r="A77" s="3">
        <v>5239</v>
      </c>
      <c r="B77" s="4" t="s">
        <v>369</v>
      </c>
      <c r="C77" s="1"/>
      <c r="D77" s="1"/>
    </row>
    <row r="78" spans="1:4" ht="84" x14ac:dyDescent="0.2">
      <c r="A78" s="3"/>
      <c r="B78" s="4" t="s">
        <v>1310</v>
      </c>
      <c r="C78" s="1">
        <f>ROUND(0.34/10,2)</f>
        <v>0.03</v>
      </c>
      <c r="D78" s="1">
        <f>C78*C85</f>
        <v>0.89999999999999991</v>
      </c>
    </row>
    <row r="79" spans="1:4" x14ac:dyDescent="0.2">
      <c r="A79" s="3"/>
      <c r="B79" s="31" t="s">
        <v>94</v>
      </c>
      <c r="C79" s="32">
        <f>SUM(C20:C78)</f>
        <v>1</v>
      </c>
      <c r="D79" s="32">
        <f>SUM(D20:D78)</f>
        <v>30.000000000000004</v>
      </c>
    </row>
    <row r="80" spans="1:4" x14ac:dyDescent="0.2">
      <c r="A80" s="33"/>
      <c r="B80" s="61" t="s">
        <v>133</v>
      </c>
      <c r="C80" s="32">
        <f>ROUND(C79+C18,4)</f>
        <v>4.76</v>
      </c>
      <c r="D80" s="32">
        <f>ROUND(D79+D18,4)</f>
        <v>142.80000000000001</v>
      </c>
    </row>
    <row r="81" spans="1:5" x14ac:dyDescent="0.2">
      <c r="A81" s="33"/>
      <c r="B81" s="61" t="s">
        <v>134</v>
      </c>
      <c r="C81" s="26">
        <f>ROUND(C80*0.21,2)</f>
        <v>1</v>
      </c>
      <c r="D81" s="26">
        <f>ROUND(D80*0.21,2)</f>
        <v>29.99</v>
      </c>
    </row>
    <row r="82" spans="1:5" ht="12" customHeight="1" x14ac:dyDescent="0.2">
      <c r="A82" s="33"/>
      <c r="B82" s="100" t="s">
        <v>135</v>
      </c>
      <c r="C82" s="26">
        <f>ROUND(C80+C81,2)</f>
        <v>5.76</v>
      </c>
      <c r="D82" s="32">
        <f>D80+D81</f>
        <v>172.79000000000002</v>
      </c>
      <c r="E82" s="136"/>
    </row>
    <row r="83" spans="1:5" ht="10.5" customHeight="1" x14ac:dyDescent="0.2">
      <c r="A83" s="35"/>
      <c r="B83" s="36"/>
      <c r="C83" s="37"/>
      <c r="D83" s="37"/>
    </row>
    <row r="84" spans="1:5" x14ac:dyDescent="0.2">
      <c r="A84" s="6"/>
      <c r="B84" s="13"/>
      <c r="C84" s="13"/>
      <c r="D84" s="10"/>
    </row>
    <row r="85" spans="1:5" x14ac:dyDescent="0.2">
      <c r="A85" s="161" t="s">
        <v>96</v>
      </c>
      <c r="B85" s="162"/>
      <c r="C85" s="41">
        <v>30</v>
      </c>
      <c r="D85" s="38"/>
    </row>
    <row r="86" spans="1:5" x14ac:dyDescent="0.2">
      <c r="A86" s="152" t="s">
        <v>112</v>
      </c>
      <c r="B86" s="153"/>
      <c r="C86" s="2">
        <f>D82/C85</f>
        <v>5.7596666666666669</v>
      </c>
      <c r="D86" s="38"/>
    </row>
  </sheetData>
  <mergeCells count="7">
    <mergeCell ref="A9:B9"/>
    <mergeCell ref="A85:B85"/>
    <mergeCell ref="A86:B86"/>
    <mergeCell ref="A1:D1"/>
    <mergeCell ref="C2:D2"/>
    <mergeCell ref="A5:D5"/>
    <mergeCell ref="A7:B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1FC6D-9B8F-45BD-8007-B32908A5FD7C}">
  <dimension ref="A1:K89"/>
  <sheetViews>
    <sheetView view="pageBreakPreview" topLeftCell="A30" zoomScale="60" zoomScaleNormal="100" workbookViewId="0">
      <selection activeCell="B19" sqref="B19"/>
    </sheetView>
  </sheetViews>
  <sheetFormatPr defaultColWidth="9.140625" defaultRowHeight="12" x14ac:dyDescent="0.2"/>
  <cols>
    <col min="1" max="1" width="9.42578125" style="89" customWidth="1"/>
    <col min="2" max="2" width="59" style="89" customWidth="1"/>
    <col min="3" max="3" width="9.7109375" style="89" customWidth="1"/>
    <col min="4" max="4" width="11" style="89" customWidth="1"/>
    <col min="5" max="16384" width="9.140625" style="89"/>
  </cols>
  <sheetData>
    <row r="1" spans="1:11" x14ac:dyDescent="0.2">
      <c r="A1" s="154" t="s">
        <v>78</v>
      </c>
      <c r="B1" s="154"/>
      <c r="C1" s="154"/>
      <c r="D1" s="154"/>
    </row>
    <row r="2" spans="1:11" x14ac:dyDescent="0.2">
      <c r="A2" s="6"/>
      <c r="B2" s="6"/>
      <c r="C2" s="155"/>
      <c r="D2" s="156"/>
    </row>
    <row r="3" spans="1:11" x14ac:dyDescent="0.2">
      <c r="A3" s="7" t="s">
        <v>110</v>
      </c>
      <c r="B3" s="8"/>
      <c r="C3" s="8"/>
      <c r="D3" s="8"/>
    </row>
    <row r="4" spans="1:11" x14ac:dyDescent="0.2">
      <c r="A4" s="6"/>
      <c r="B4" s="9"/>
      <c r="C4" s="9"/>
      <c r="D4" s="10"/>
    </row>
    <row r="5" spans="1:11" ht="12" customHeight="1" x14ac:dyDescent="0.2">
      <c r="A5" s="157" t="s">
        <v>1614</v>
      </c>
      <c r="B5" s="157"/>
      <c r="C5" s="157"/>
      <c r="D5" s="157"/>
    </row>
    <row r="6" spans="1:11" x14ac:dyDescent="0.2">
      <c r="A6" s="49"/>
      <c r="B6" s="11"/>
      <c r="C6" s="11"/>
      <c r="D6" s="10"/>
    </row>
    <row r="7" spans="1:11" ht="12" customHeight="1" x14ac:dyDescent="0.2">
      <c r="A7" s="158" t="s">
        <v>111</v>
      </c>
      <c r="B7" s="159"/>
      <c r="C7" s="11"/>
      <c r="D7" s="10"/>
    </row>
    <row r="8" spans="1:11" x14ac:dyDescent="0.2">
      <c r="A8" s="6"/>
      <c r="B8" s="12"/>
      <c r="C8" s="13"/>
      <c r="D8" s="10"/>
    </row>
    <row r="9" spans="1:11" x14ac:dyDescent="0.2">
      <c r="A9" s="160" t="s">
        <v>105</v>
      </c>
      <c r="B9" s="160"/>
      <c r="C9" s="48" t="s">
        <v>1311</v>
      </c>
      <c r="D9" s="44"/>
    </row>
    <row r="10" spans="1:11" ht="113.25" customHeight="1" x14ac:dyDescent="0.2">
      <c r="A10" s="14" t="s">
        <v>80</v>
      </c>
      <c r="B10" s="14" t="s">
        <v>81</v>
      </c>
      <c r="C10" s="14" t="s">
        <v>136</v>
      </c>
      <c r="D10" s="14" t="s">
        <v>83</v>
      </c>
    </row>
    <row r="11" spans="1:11" x14ac:dyDescent="0.2">
      <c r="A11" s="15">
        <v>1</v>
      </c>
      <c r="B11" s="16">
        <v>2</v>
      </c>
      <c r="C11" s="15">
        <v>3</v>
      </c>
      <c r="D11" s="15">
        <v>4</v>
      </c>
    </row>
    <row r="12" spans="1:11" x14ac:dyDescent="0.2">
      <c r="A12" s="15"/>
      <c r="B12" s="31" t="s">
        <v>84</v>
      </c>
      <c r="C12" s="19"/>
      <c r="D12" s="19"/>
    </row>
    <row r="13" spans="1:11" x14ac:dyDescent="0.2">
      <c r="A13" s="42">
        <v>1100</v>
      </c>
      <c r="B13" s="43" t="s">
        <v>85</v>
      </c>
      <c r="C13" s="22"/>
      <c r="D13" s="22"/>
    </row>
    <row r="14" spans="1:11" ht="74.25" customHeight="1" x14ac:dyDescent="0.2">
      <c r="A14" s="3"/>
      <c r="B14" s="81" t="s">
        <v>441</v>
      </c>
      <c r="C14" s="1">
        <v>2.02</v>
      </c>
      <c r="D14" s="1">
        <f>C14*C88</f>
        <v>60.6</v>
      </c>
      <c r="E14" s="130"/>
    </row>
    <row r="15" spans="1:11" ht="39" customHeight="1" x14ac:dyDescent="0.2">
      <c r="A15" s="3">
        <v>1200</v>
      </c>
      <c r="B15" s="23" t="s">
        <v>442</v>
      </c>
      <c r="C15" s="1">
        <f>ROUND(0.79,2)</f>
        <v>0.79</v>
      </c>
      <c r="D15" s="1">
        <f>C15*C88</f>
        <v>23.700000000000003</v>
      </c>
      <c r="F15" s="82"/>
      <c r="G15" s="82"/>
      <c r="H15" s="82"/>
      <c r="I15" s="82"/>
      <c r="J15" s="82"/>
      <c r="K15" s="82"/>
    </row>
    <row r="16" spans="1:11" x14ac:dyDescent="0.2">
      <c r="A16" s="3">
        <v>2341</v>
      </c>
      <c r="B16" s="3" t="s">
        <v>86</v>
      </c>
      <c r="C16" s="24"/>
      <c r="D16" s="24"/>
    </row>
    <row r="17" spans="1:4" x14ac:dyDescent="0.2">
      <c r="A17" s="3"/>
      <c r="B17" s="23" t="s">
        <v>139</v>
      </c>
      <c r="C17" s="1">
        <v>0</v>
      </c>
      <c r="D17" s="1">
        <f>C17*C88</f>
        <v>0</v>
      </c>
    </row>
    <row r="18" spans="1:4" x14ac:dyDescent="0.2">
      <c r="A18" s="3"/>
      <c r="B18" s="40" t="s">
        <v>87</v>
      </c>
      <c r="C18" s="32">
        <f>C14+C15+C17</f>
        <v>2.81</v>
      </c>
      <c r="D18" s="32">
        <f>D14+D15+D17</f>
        <v>84.300000000000011</v>
      </c>
    </row>
    <row r="19" spans="1:4" x14ac:dyDescent="0.2">
      <c r="A19" s="3"/>
      <c r="B19" s="40" t="s">
        <v>245</v>
      </c>
      <c r="C19" s="24"/>
      <c r="D19" s="24"/>
    </row>
    <row r="20" spans="1:4" x14ac:dyDescent="0.2">
      <c r="A20" s="20">
        <v>1100</v>
      </c>
      <c r="B20" s="93" t="s">
        <v>85</v>
      </c>
      <c r="C20" s="24"/>
      <c r="D20" s="24"/>
    </row>
    <row r="21" spans="1:4" ht="48" x14ac:dyDescent="0.2">
      <c r="A21" s="5"/>
      <c r="B21" s="81" t="s">
        <v>1312</v>
      </c>
      <c r="C21" s="1">
        <v>2.27</v>
      </c>
      <c r="D21" s="1">
        <f>C21*C88</f>
        <v>68.099999999999994</v>
      </c>
    </row>
    <row r="22" spans="1:4" ht="24" x14ac:dyDescent="0.2">
      <c r="A22" s="94">
        <v>1200</v>
      </c>
      <c r="B22" s="23" t="s">
        <v>1313</v>
      </c>
      <c r="C22" s="1">
        <f>ROUND(C21*0.2359,2)</f>
        <v>0.54</v>
      </c>
      <c r="D22" s="1">
        <f>C22*C88</f>
        <v>16.200000000000003</v>
      </c>
    </row>
    <row r="23" spans="1:4" x14ac:dyDescent="0.2">
      <c r="A23" s="3">
        <v>2210</v>
      </c>
      <c r="B23" s="4" t="s">
        <v>125</v>
      </c>
      <c r="C23" s="24"/>
      <c r="D23" s="24"/>
    </row>
    <row r="24" spans="1:4" ht="84" customHeight="1" x14ac:dyDescent="0.2">
      <c r="A24" s="3"/>
      <c r="B24" s="4" t="s">
        <v>1283</v>
      </c>
      <c r="C24" s="1">
        <f>ROUND(0.19/10,2)</f>
        <v>0.02</v>
      </c>
      <c r="D24" s="1">
        <f>C24*C88</f>
        <v>0.6</v>
      </c>
    </row>
    <row r="25" spans="1:4" x14ac:dyDescent="0.2">
      <c r="A25" s="3">
        <v>2221</v>
      </c>
      <c r="B25" s="4" t="s">
        <v>89</v>
      </c>
      <c r="C25" s="24"/>
      <c r="D25" s="24"/>
    </row>
    <row r="26" spans="1:4" ht="85.5" customHeight="1" x14ac:dyDescent="0.2">
      <c r="A26" s="3"/>
      <c r="B26" s="4" t="s">
        <v>1284</v>
      </c>
      <c r="C26" s="1">
        <f>ROUND(0.46/10,2)</f>
        <v>0.05</v>
      </c>
      <c r="D26" s="1">
        <f>C26*C88</f>
        <v>1.5</v>
      </c>
    </row>
    <row r="27" spans="1:4" x14ac:dyDescent="0.2">
      <c r="A27" s="3">
        <v>2222</v>
      </c>
      <c r="B27" s="4" t="s">
        <v>90</v>
      </c>
      <c r="C27" s="24"/>
      <c r="D27" s="24"/>
    </row>
    <row r="28" spans="1:4" ht="81.75" customHeight="1" x14ac:dyDescent="0.2">
      <c r="A28" s="3"/>
      <c r="B28" s="4" t="s">
        <v>1285</v>
      </c>
      <c r="C28" s="1">
        <f>ROUND(0.04/10,2)</f>
        <v>0</v>
      </c>
      <c r="D28" s="1">
        <f>C28*C88</f>
        <v>0</v>
      </c>
    </row>
    <row r="29" spans="1:4" x14ac:dyDescent="0.2">
      <c r="A29" s="3">
        <v>2223</v>
      </c>
      <c r="B29" s="3" t="s">
        <v>91</v>
      </c>
      <c r="C29" s="24"/>
      <c r="D29" s="24"/>
    </row>
    <row r="30" spans="1:4" ht="82.5" customHeight="1" x14ac:dyDescent="0.2">
      <c r="A30" s="3"/>
      <c r="B30" s="4" t="s">
        <v>1314</v>
      </c>
      <c r="C30" s="1">
        <f>ROUND(0.83/10,2)</f>
        <v>0.08</v>
      </c>
      <c r="D30" s="1">
        <f>C30*C88</f>
        <v>2.4</v>
      </c>
    </row>
    <row r="31" spans="1:4" x14ac:dyDescent="0.2">
      <c r="A31" s="3">
        <v>2224</v>
      </c>
      <c r="B31" s="4" t="s">
        <v>126</v>
      </c>
      <c r="C31" s="24"/>
      <c r="D31" s="24"/>
    </row>
    <row r="32" spans="1:4" ht="84.75" customHeight="1" x14ac:dyDescent="0.2">
      <c r="A32" s="3"/>
      <c r="B32" s="4" t="s">
        <v>1287</v>
      </c>
      <c r="C32" s="1">
        <f>ROUND(0.13/10,2)</f>
        <v>0.01</v>
      </c>
      <c r="D32" s="1">
        <f>C32*C88</f>
        <v>0.3</v>
      </c>
    </row>
    <row r="33" spans="1:4" x14ac:dyDescent="0.2">
      <c r="A33" s="3">
        <v>2231</v>
      </c>
      <c r="B33" s="4" t="s">
        <v>117</v>
      </c>
      <c r="C33" s="24"/>
      <c r="D33" s="24"/>
    </row>
    <row r="34" spans="1:4" ht="79.5" customHeight="1" x14ac:dyDescent="0.2">
      <c r="A34" s="3"/>
      <c r="B34" s="4" t="s">
        <v>1288</v>
      </c>
      <c r="C34" s="1">
        <f>ROUND(0.23/10,2)</f>
        <v>0.02</v>
      </c>
      <c r="D34" s="1">
        <f>C34*C88</f>
        <v>0.6</v>
      </c>
    </row>
    <row r="35" spans="1:4" x14ac:dyDescent="0.2">
      <c r="A35" s="3">
        <v>2232</v>
      </c>
      <c r="B35" s="4" t="s">
        <v>453</v>
      </c>
      <c r="C35" s="1"/>
      <c r="D35" s="1"/>
    </row>
    <row r="36" spans="1:4" ht="84" x14ac:dyDescent="0.2">
      <c r="A36" s="3"/>
      <c r="B36" s="4" t="s">
        <v>1289</v>
      </c>
      <c r="C36" s="1">
        <f>ROUND(0.06/10,2)</f>
        <v>0.01</v>
      </c>
      <c r="D36" s="1">
        <f>C36*C88</f>
        <v>0.3</v>
      </c>
    </row>
    <row r="37" spans="1:4" x14ac:dyDescent="0.2">
      <c r="A37" s="3">
        <v>2233</v>
      </c>
      <c r="B37" s="4" t="s">
        <v>127</v>
      </c>
      <c r="C37" s="1"/>
      <c r="D37" s="1"/>
    </row>
    <row r="38" spans="1:4" ht="17.25" customHeight="1" x14ac:dyDescent="0.2">
      <c r="A38" s="3"/>
      <c r="B38" s="4" t="s">
        <v>128</v>
      </c>
      <c r="C38" s="1">
        <v>0</v>
      </c>
      <c r="D38" s="1">
        <f>C38*C95</f>
        <v>0</v>
      </c>
    </row>
    <row r="39" spans="1:4" x14ac:dyDescent="0.2">
      <c r="A39" s="3">
        <v>2235</v>
      </c>
      <c r="B39" s="4" t="s">
        <v>355</v>
      </c>
      <c r="C39" s="1"/>
      <c r="D39" s="1"/>
    </row>
    <row r="40" spans="1:4" ht="84" x14ac:dyDescent="0.2">
      <c r="A40" s="3"/>
      <c r="B40" s="4" t="s">
        <v>1290</v>
      </c>
      <c r="C40" s="1">
        <f>ROUND(0.06/10,2)</f>
        <v>0.01</v>
      </c>
      <c r="D40" s="1">
        <f>C40*C88</f>
        <v>0.3</v>
      </c>
    </row>
    <row r="41" spans="1:4" x14ac:dyDescent="0.2">
      <c r="A41" s="3">
        <v>2239</v>
      </c>
      <c r="B41" s="4" t="s">
        <v>356</v>
      </c>
      <c r="C41" s="1"/>
      <c r="D41" s="1"/>
    </row>
    <row r="42" spans="1:4" ht="82.5" customHeight="1" x14ac:dyDescent="0.2">
      <c r="A42" s="3"/>
      <c r="B42" s="4" t="s">
        <v>1291</v>
      </c>
      <c r="C42" s="1">
        <f>ROUND(0.43/10,2)</f>
        <v>0.04</v>
      </c>
      <c r="D42" s="1">
        <f>C42*C88</f>
        <v>1.2</v>
      </c>
    </row>
    <row r="43" spans="1:4" x14ac:dyDescent="0.2">
      <c r="A43" s="3">
        <v>2241</v>
      </c>
      <c r="B43" s="4" t="s">
        <v>460</v>
      </c>
      <c r="C43" s="1"/>
      <c r="D43" s="1"/>
    </row>
    <row r="44" spans="1:4" ht="83.25" customHeight="1" x14ac:dyDescent="0.2">
      <c r="A44" s="3"/>
      <c r="B44" s="4" t="s">
        <v>1292</v>
      </c>
      <c r="C44" s="1">
        <f>ROUND(0.54/10,2)</f>
        <v>0.05</v>
      </c>
      <c r="D44" s="1">
        <f>C44*C88</f>
        <v>1.5</v>
      </c>
    </row>
    <row r="45" spans="1:4" x14ac:dyDescent="0.2">
      <c r="A45" s="3">
        <v>2243</v>
      </c>
      <c r="B45" s="4" t="s">
        <v>100</v>
      </c>
      <c r="C45" s="1"/>
      <c r="D45" s="1"/>
    </row>
    <row r="46" spans="1:4" ht="86.25" customHeight="1" x14ac:dyDescent="0.2">
      <c r="A46" s="3"/>
      <c r="B46" s="4" t="s">
        <v>1293</v>
      </c>
      <c r="C46" s="1">
        <f>ROUND(0.44/10,2)</f>
        <v>0.04</v>
      </c>
      <c r="D46" s="1">
        <f>C46*C88</f>
        <v>1.2</v>
      </c>
    </row>
    <row r="47" spans="1:4" x14ac:dyDescent="0.2">
      <c r="A47" s="3">
        <v>2244</v>
      </c>
      <c r="B47" s="4" t="s">
        <v>92</v>
      </c>
      <c r="C47" s="24"/>
      <c r="D47" s="24"/>
    </row>
    <row r="48" spans="1:4" ht="86.25" customHeight="1" x14ac:dyDescent="0.2">
      <c r="A48" s="95"/>
      <c r="B48" s="4" t="s">
        <v>1294</v>
      </c>
      <c r="C48" s="1">
        <f>ROUND(0.61/10,2)</f>
        <v>0.06</v>
      </c>
      <c r="D48" s="1">
        <f>C48*C88</f>
        <v>1.7999999999999998</v>
      </c>
    </row>
    <row r="49" spans="1:4" x14ac:dyDescent="0.2">
      <c r="A49" s="96">
        <v>2247</v>
      </c>
      <c r="B49" s="4" t="s">
        <v>358</v>
      </c>
      <c r="C49" s="1"/>
      <c r="D49" s="1"/>
    </row>
    <row r="50" spans="1:4" ht="82.5" customHeight="1" x14ac:dyDescent="0.2">
      <c r="A50" s="96"/>
      <c r="B50" s="4" t="s">
        <v>1315</v>
      </c>
      <c r="C50" s="1">
        <f>ROUND(0.02/10,2)</f>
        <v>0</v>
      </c>
      <c r="D50" s="1">
        <f>C50*C88</f>
        <v>0</v>
      </c>
    </row>
    <row r="51" spans="1:4" x14ac:dyDescent="0.2">
      <c r="A51" s="96">
        <v>2249</v>
      </c>
      <c r="B51" s="4" t="s">
        <v>1236</v>
      </c>
      <c r="C51" s="1"/>
      <c r="D51" s="1"/>
    </row>
    <row r="52" spans="1:4" ht="84" x14ac:dyDescent="0.2">
      <c r="A52" s="95"/>
      <c r="B52" s="4" t="s">
        <v>1316</v>
      </c>
      <c r="C52" s="1">
        <f>ROUND(0.02/10,2)</f>
        <v>0</v>
      </c>
      <c r="D52" s="1">
        <f>C52*C88</f>
        <v>0</v>
      </c>
    </row>
    <row r="53" spans="1:4" ht="19.5" customHeight="1" x14ac:dyDescent="0.2">
      <c r="A53" s="3">
        <v>2250</v>
      </c>
      <c r="B53" s="4" t="s">
        <v>129</v>
      </c>
      <c r="C53" s="24"/>
      <c r="D53" s="1"/>
    </row>
    <row r="54" spans="1:4" ht="84.75" customHeight="1" x14ac:dyDescent="0.2">
      <c r="A54" s="3"/>
      <c r="B54" s="4" t="s">
        <v>1297</v>
      </c>
      <c r="C54" s="1">
        <f>ROUND(2.09/10,2)</f>
        <v>0.21</v>
      </c>
      <c r="D54" s="1">
        <f>C54*C88</f>
        <v>6.3</v>
      </c>
    </row>
    <row r="55" spans="1:4" ht="17.25" customHeight="1" x14ac:dyDescent="0.2">
      <c r="A55" s="3">
        <v>2261</v>
      </c>
      <c r="B55" s="97" t="s">
        <v>130</v>
      </c>
      <c r="C55" s="1"/>
      <c r="D55" s="1"/>
    </row>
    <row r="56" spans="1:4" ht="84.75" customHeight="1" x14ac:dyDescent="0.2">
      <c r="A56" s="3"/>
      <c r="B56" s="97" t="s">
        <v>1298</v>
      </c>
      <c r="C56" s="1">
        <f>ROUND(2.61/10,2)</f>
        <v>0.26</v>
      </c>
      <c r="D56" s="1">
        <f>C56*C88</f>
        <v>7.8000000000000007</v>
      </c>
    </row>
    <row r="57" spans="1:4" ht="16.5" customHeight="1" x14ac:dyDescent="0.2">
      <c r="A57" s="3">
        <v>2263</v>
      </c>
      <c r="B57" s="97" t="s">
        <v>360</v>
      </c>
      <c r="C57" s="1"/>
      <c r="D57" s="1"/>
    </row>
    <row r="58" spans="1:4" ht="84.75" customHeight="1" x14ac:dyDescent="0.2">
      <c r="A58" s="3"/>
      <c r="B58" s="4" t="s">
        <v>1317</v>
      </c>
      <c r="C58" s="1">
        <f>ROUND(0.01/10,2)</f>
        <v>0</v>
      </c>
      <c r="D58" s="1">
        <f>C58*C88</f>
        <v>0</v>
      </c>
    </row>
    <row r="59" spans="1:4" ht="16.5" customHeight="1" x14ac:dyDescent="0.2">
      <c r="A59" s="3">
        <v>2264</v>
      </c>
      <c r="B59" s="4" t="s">
        <v>361</v>
      </c>
      <c r="C59" s="1"/>
      <c r="D59" s="1"/>
    </row>
    <row r="60" spans="1:4" ht="84.75" customHeight="1" x14ac:dyDescent="0.2">
      <c r="A60" s="3"/>
      <c r="B60" s="4" t="s">
        <v>1300</v>
      </c>
      <c r="C60" s="1">
        <f>ROUND(0.23/10,2)</f>
        <v>0.02</v>
      </c>
      <c r="D60" s="1">
        <f>C60*C88</f>
        <v>0.6</v>
      </c>
    </row>
    <row r="61" spans="1:4" ht="18" customHeight="1" x14ac:dyDescent="0.2">
      <c r="A61" s="3">
        <v>2311</v>
      </c>
      <c r="B61" s="4" t="s">
        <v>93</v>
      </c>
      <c r="C61" s="24"/>
      <c r="D61" s="24"/>
    </row>
    <row r="62" spans="1:4" ht="84.75" customHeight="1" x14ac:dyDescent="0.2">
      <c r="A62" s="3"/>
      <c r="B62" s="4" t="s">
        <v>1301</v>
      </c>
      <c r="C62" s="1">
        <f>ROUND(0.08/10,2)</f>
        <v>0.01</v>
      </c>
      <c r="D62" s="1">
        <f>C62*C88</f>
        <v>0.3</v>
      </c>
    </row>
    <row r="63" spans="1:4" ht="20.25" customHeight="1" x14ac:dyDescent="0.2">
      <c r="A63" s="3">
        <v>2312</v>
      </c>
      <c r="B63" s="4" t="s">
        <v>120</v>
      </c>
      <c r="C63" s="1"/>
      <c r="D63" s="1"/>
    </row>
    <row r="64" spans="1:4" ht="84.75" customHeight="1" x14ac:dyDescent="0.2">
      <c r="A64" s="3"/>
      <c r="B64" s="4" t="s">
        <v>1302</v>
      </c>
      <c r="C64" s="1">
        <f>ROUND(0.1/10,2)</f>
        <v>0.01</v>
      </c>
      <c r="D64" s="1">
        <f>C64*C88</f>
        <v>0.3</v>
      </c>
    </row>
    <row r="65" spans="1:4" ht="18.75" customHeight="1" x14ac:dyDescent="0.2">
      <c r="A65" s="3">
        <v>2314</v>
      </c>
      <c r="B65" s="4" t="s">
        <v>1243</v>
      </c>
      <c r="C65" s="1"/>
      <c r="D65" s="1"/>
    </row>
    <row r="66" spans="1:4" ht="84.75" customHeight="1" x14ac:dyDescent="0.2">
      <c r="A66" s="3"/>
      <c r="B66" s="4" t="s">
        <v>1303</v>
      </c>
      <c r="C66" s="1">
        <f>ROUND(0.21/10,2)</f>
        <v>0.02</v>
      </c>
      <c r="D66" s="1">
        <f>C66*C88</f>
        <v>0.6</v>
      </c>
    </row>
    <row r="67" spans="1:4" ht="16.5" customHeight="1" x14ac:dyDescent="0.2">
      <c r="A67" s="3">
        <v>2350</v>
      </c>
      <c r="B67" s="4" t="s">
        <v>119</v>
      </c>
      <c r="C67" s="24"/>
      <c r="D67" s="24"/>
    </row>
    <row r="68" spans="1:4" ht="84.75" customHeight="1" x14ac:dyDescent="0.2">
      <c r="A68" s="3"/>
      <c r="B68" s="4" t="s">
        <v>1304</v>
      </c>
      <c r="C68" s="1">
        <f>ROUND(0.3/10,2)</f>
        <v>0.03</v>
      </c>
      <c r="D68" s="1">
        <f>C68*C88</f>
        <v>0.89999999999999991</v>
      </c>
    </row>
    <row r="69" spans="1:4" ht="15" customHeight="1" x14ac:dyDescent="0.2">
      <c r="A69" s="3">
        <v>2361</v>
      </c>
      <c r="B69" s="4" t="s">
        <v>364</v>
      </c>
      <c r="C69" s="1"/>
      <c r="D69" s="1"/>
    </row>
    <row r="70" spans="1:4" ht="84.75" customHeight="1" x14ac:dyDescent="0.2">
      <c r="A70" s="3"/>
      <c r="B70" s="4" t="s">
        <v>1318</v>
      </c>
      <c r="C70" s="1">
        <f>ROUND(0.02/10,2)</f>
        <v>0</v>
      </c>
      <c r="D70" s="1">
        <f>C70*C88</f>
        <v>0</v>
      </c>
    </row>
    <row r="71" spans="1:4" ht="21" customHeight="1" x14ac:dyDescent="0.2">
      <c r="A71" s="3">
        <v>2513</v>
      </c>
      <c r="B71" s="4" t="s">
        <v>365</v>
      </c>
      <c r="C71" s="1"/>
      <c r="D71" s="1"/>
    </row>
    <row r="72" spans="1:4" ht="84.75" customHeight="1" x14ac:dyDescent="0.2">
      <c r="A72" s="3"/>
      <c r="B72" s="4" t="s">
        <v>1319</v>
      </c>
      <c r="C72" s="1">
        <f>ROUND(0.03/10,2)</f>
        <v>0</v>
      </c>
      <c r="D72" s="1">
        <f>C72*C88</f>
        <v>0</v>
      </c>
    </row>
    <row r="73" spans="1:4" ht="18.75" customHeight="1" x14ac:dyDescent="0.2">
      <c r="A73" s="3">
        <v>2519</v>
      </c>
      <c r="B73" s="4" t="s">
        <v>366</v>
      </c>
      <c r="C73" s="1"/>
      <c r="D73" s="1"/>
    </row>
    <row r="74" spans="1:4" ht="84.75" customHeight="1" x14ac:dyDescent="0.2">
      <c r="A74" s="3"/>
      <c r="B74" s="4" t="s">
        <v>1320</v>
      </c>
      <c r="C74" s="1">
        <f>ROUND(0.01/10,2)</f>
        <v>0</v>
      </c>
      <c r="D74" s="1">
        <f>C74*C88</f>
        <v>0</v>
      </c>
    </row>
    <row r="75" spans="1:4" ht="18" customHeight="1" x14ac:dyDescent="0.2">
      <c r="A75" s="3">
        <v>5120</v>
      </c>
      <c r="B75" s="4" t="s">
        <v>101</v>
      </c>
      <c r="C75" s="24"/>
      <c r="D75" s="1"/>
    </row>
    <row r="76" spans="1:4" ht="84.75" customHeight="1" x14ac:dyDescent="0.2">
      <c r="A76" s="3"/>
      <c r="B76" s="4" t="s">
        <v>1321</v>
      </c>
      <c r="C76" s="1">
        <f>ROUND(0.03/10,2)</f>
        <v>0</v>
      </c>
      <c r="D76" s="1">
        <f>C76*C88</f>
        <v>0</v>
      </c>
    </row>
    <row r="77" spans="1:4" ht="17.25" customHeight="1" x14ac:dyDescent="0.2">
      <c r="A77" s="3">
        <v>5220</v>
      </c>
      <c r="B77" s="4" t="s">
        <v>137</v>
      </c>
      <c r="C77" s="1">
        <v>0</v>
      </c>
      <c r="D77" s="1">
        <v>0</v>
      </c>
    </row>
    <row r="78" spans="1:4" ht="15.75" customHeight="1" x14ac:dyDescent="0.2">
      <c r="A78" s="3">
        <v>5238</v>
      </c>
      <c r="B78" s="4" t="s">
        <v>132</v>
      </c>
      <c r="C78" s="30"/>
      <c r="D78" s="1"/>
    </row>
    <row r="79" spans="1:4" ht="84" x14ac:dyDescent="0.2">
      <c r="A79" s="3"/>
      <c r="B79" s="4" t="s">
        <v>1309</v>
      </c>
      <c r="C79" s="1">
        <f>ROUND(0.19/10,2)</f>
        <v>0.02</v>
      </c>
      <c r="D79" s="1">
        <f>C79*C88</f>
        <v>0.6</v>
      </c>
    </row>
    <row r="80" spans="1:4" x14ac:dyDescent="0.2">
      <c r="A80" s="3">
        <v>5239</v>
      </c>
      <c r="B80" s="4" t="s">
        <v>369</v>
      </c>
      <c r="C80" s="1"/>
      <c r="D80" s="1"/>
    </row>
    <row r="81" spans="1:4" ht="84" x14ac:dyDescent="0.2">
      <c r="A81" s="3"/>
      <c r="B81" s="4" t="s">
        <v>1310</v>
      </c>
      <c r="C81" s="1">
        <f>ROUND(0.34/10,2)</f>
        <v>0.03</v>
      </c>
      <c r="D81" s="1">
        <f>C81*C88</f>
        <v>0.89999999999999991</v>
      </c>
    </row>
    <row r="82" spans="1:4" x14ac:dyDescent="0.2">
      <c r="A82" s="3"/>
      <c r="B82" s="31" t="s">
        <v>94</v>
      </c>
      <c r="C82" s="32">
        <f>SUM(C20:C81)</f>
        <v>3.8099999999999983</v>
      </c>
      <c r="D82" s="32">
        <f>SUM(D20:D81)</f>
        <v>114.29999999999997</v>
      </c>
    </row>
    <row r="83" spans="1:4" x14ac:dyDescent="0.2">
      <c r="A83" s="33"/>
      <c r="B83" s="61" t="s">
        <v>133</v>
      </c>
      <c r="C83" s="32">
        <f>ROUND(C82+C18,4)</f>
        <v>6.62</v>
      </c>
      <c r="D83" s="32">
        <f>ROUND(D82+D18,4)</f>
        <v>198.6</v>
      </c>
    </row>
    <row r="84" spans="1:4" x14ac:dyDescent="0.2">
      <c r="A84" s="33"/>
      <c r="B84" s="61" t="s">
        <v>134</v>
      </c>
      <c r="C84" s="26">
        <f>ROUND(C83*0.21,2)</f>
        <v>1.39</v>
      </c>
      <c r="D84" s="26">
        <f>ROUND(D83*0.21,2)</f>
        <v>41.71</v>
      </c>
    </row>
    <row r="85" spans="1:4" x14ac:dyDescent="0.2">
      <c r="A85" s="33"/>
      <c r="B85" s="100" t="s">
        <v>135</v>
      </c>
      <c r="C85" s="26">
        <f>ROUND(C83+C84,2)</f>
        <v>8.01</v>
      </c>
      <c r="D85" s="26">
        <f>ROUND(D83+D84,2)</f>
        <v>240.31</v>
      </c>
    </row>
    <row r="86" spans="1:4" x14ac:dyDescent="0.2">
      <c r="A86" s="35"/>
      <c r="B86" s="36"/>
      <c r="C86" s="37"/>
      <c r="D86" s="37"/>
    </row>
    <row r="87" spans="1:4" x14ac:dyDescent="0.2">
      <c r="A87" s="6"/>
      <c r="B87" s="13"/>
      <c r="C87" s="13"/>
      <c r="D87" s="10"/>
    </row>
    <row r="88" spans="1:4" ht="12" customHeight="1" x14ac:dyDescent="0.2">
      <c r="A88" s="161" t="s">
        <v>96</v>
      </c>
      <c r="B88" s="162"/>
      <c r="C88" s="41">
        <v>30</v>
      </c>
      <c r="D88" s="38"/>
    </row>
    <row r="89" spans="1:4" ht="33.75" customHeight="1" x14ac:dyDescent="0.2">
      <c r="A89" s="152" t="s">
        <v>112</v>
      </c>
      <c r="B89" s="153"/>
      <c r="C89" s="2">
        <f>D85/C88</f>
        <v>8.0103333333333335</v>
      </c>
      <c r="D89" s="38"/>
    </row>
  </sheetData>
  <mergeCells count="7">
    <mergeCell ref="A89:B89"/>
    <mergeCell ref="A1:D1"/>
    <mergeCell ref="C2:D2"/>
    <mergeCell ref="A5:D5"/>
    <mergeCell ref="A7:B7"/>
    <mergeCell ref="A9:B9"/>
    <mergeCell ref="A88:B88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B1292-1053-4B98-9F71-3DA5C3CF9AC0}">
  <dimension ref="A1:V33"/>
  <sheetViews>
    <sheetView view="pageBreakPreview" zoomScale="60" zoomScaleNormal="100" workbookViewId="0">
      <selection activeCell="B15" sqref="B15"/>
    </sheetView>
  </sheetViews>
  <sheetFormatPr defaultColWidth="9.140625" defaultRowHeight="12" x14ac:dyDescent="0.2"/>
  <cols>
    <col min="1" max="1" width="9.5703125" style="89" customWidth="1"/>
    <col min="2" max="2" width="60.85546875" style="89" customWidth="1"/>
    <col min="3" max="3" width="9.140625" style="89"/>
    <col min="4" max="4" width="10.8554687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21" customHeight="1" x14ac:dyDescent="0.2">
      <c r="A5" s="163" t="s">
        <v>270</v>
      </c>
      <c r="B5" s="163"/>
      <c r="C5" s="163"/>
      <c r="D5" s="163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49"/>
      <c r="B8" s="79"/>
      <c r="C8" s="11"/>
      <c r="D8" s="10"/>
    </row>
    <row r="9" spans="1:4" x14ac:dyDescent="0.2">
      <c r="A9" s="160" t="s">
        <v>140</v>
      </c>
      <c r="B9" s="160"/>
      <c r="C9" s="11"/>
      <c r="D9" s="10"/>
    </row>
    <row r="10" spans="1:4" ht="108" x14ac:dyDescent="0.2">
      <c r="A10" s="14" t="s">
        <v>80</v>
      </c>
      <c r="B10" s="14" t="s">
        <v>81</v>
      </c>
      <c r="C10" s="14" t="s">
        <v>141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7"/>
      <c r="B12" s="18" t="s">
        <v>84</v>
      </c>
      <c r="C12" s="19"/>
      <c r="D12" s="19"/>
    </row>
    <row r="13" spans="1:4" x14ac:dyDescent="0.2">
      <c r="A13" s="20">
        <v>1100</v>
      </c>
      <c r="B13" s="21" t="s">
        <v>85</v>
      </c>
      <c r="C13" s="22"/>
      <c r="D13" s="22"/>
    </row>
    <row r="14" spans="1:4" ht="144.75" customHeight="1" x14ac:dyDescent="0.2">
      <c r="A14" s="5"/>
      <c r="B14" s="81" t="s">
        <v>1624</v>
      </c>
      <c r="C14" s="1">
        <v>139.55000000000001</v>
      </c>
      <c r="D14" s="1">
        <f>C14*C29</f>
        <v>418.65000000000003</v>
      </c>
    </row>
    <row r="15" spans="1:4" ht="24" x14ac:dyDescent="0.2">
      <c r="A15" s="94">
        <v>1200</v>
      </c>
      <c r="B15" s="23" t="s">
        <v>1322</v>
      </c>
      <c r="C15" s="1">
        <f>ROUND(C14*0.2359,2)</f>
        <v>32.92</v>
      </c>
      <c r="D15" s="1">
        <f>C15*C29</f>
        <v>98.76</v>
      </c>
    </row>
    <row r="16" spans="1:4" x14ac:dyDescent="0.2">
      <c r="A16" s="5"/>
      <c r="B16" s="25" t="s">
        <v>87</v>
      </c>
      <c r="C16" s="26">
        <f>SUM(C13:C15)</f>
        <v>172.47000000000003</v>
      </c>
      <c r="D16" s="26">
        <f>SUM(D13:D15)</f>
        <v>517.41000000000008</v>
      </c>
    </row>
    <row r="17" spans="1:22" x14ac:dyDescent="0.2">
      <c r="A17" s="5"/>
      <c r="B17" s="25" t="s">
        <v>88</v>
      </c>
      <c r="C17" s="39"/>
      <c r="D17" s="39"/>
    </row>
    <row r="18" spans="1:22" ht="15" customHeight="1" x14ac:dyDescent="0.2">
      <c r="A18" s="20">
        <v>1100</v>
      </c>
      <c r="B18" s="93" t="s">
        <v>85</v>
      </c>
      <c r="C18" s="24"/>
      <c r="D18" s="24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</row>
    <row r="19" spans="1:22" ht="24" x14ac:dyDescent="0.2">
      <c r="A19" s="5"/>
      <c r="B19" s="81" t="s">
        <v>1323</v>
      </c>
      <c r="C19" s="1">
        <v>53.92</v>
      </c>
      <c r="D19" s="1">
        <f>C19*C29</f>
        <v>161.76</v>
      </c>
    </row>
    <row r="20" spans="1:22" ht="24" x14ac:dyDescent="0.2">
      <c r="A20" s="94">
        <v>1200</v>
      </c>
      <c r="B20" s="23" t="s">
        <v>1324</v>
      </c>
      <c r="C20" s="1">
        <f>ROUND(C19*0.2359,2)</f>
        <v>12.72</v>
      </c>
      <c r="D20" s="1">
        <f>C20*C29</f>
        <v>38.160000000000004</v>
      </c>
    </row>
    <row r="21" spans="1:22" ht="24" x14ac:dyDescent="0.2">
      <c r="A21" s="94">
        <v>2112</v>
      </c>
      <c r="B21" s="23" t="s">
        <v>142</v>
      </c>
      <c r="C21" s="39"/>
      <c r="D21" s="39"/>
      <c r="E21" s="82"/>
    </row>
    <row r="22" spans="1:22" ht="24" x14ac:dyDescent="0.2">
      <c r="A22" s="5"/>
      <c r="B22" s="23" t="s">
        <v>1325</v>
      </c>
      <c r="C22" s="1">
        <v>24</v>
      </c>
      <c r="D22" s="1">
        <f>C22*C29</f>
        <v>72</v>
      </c>
    </row>
    <row r="23" spans="1:22" x14ac:dyDescent="0.2">
      <c r="A23" s="5"/>
      <c r="B23" s="132" t="s">
        <v>94</v>
      </c>
      <c r="C23" s="26">
        <f>SUM(C19:C22)</f>
        <v>90.64</v>
      </c>
      <c r="D23" s="26">
        <f>SUM(D19:D22)</f>
        <v>271.91999999999996</v>
      </c>
    </row>
    <row r="24" spans="1:22" x14ac:dyDescent="0.2">
      <c r="A24" s="133"/>
      <c r="B24" s="61" t="s">
        <v>133</v>
      </c>
      <c r="C24" s="32">
        <f>ROUND(C23+C16,4)</f>
        <v>263.11</v>
      </c>
      <c r="D24" s="32">
        <f>ROUND(D23+D16,4)</f>
        <v>789.33</v>
      </c>
    </row>
    <row r="25" spans="1:22" x14ac:dyDescent="0.2">
      <c r="A25" s="133"/>
      <c r="B25" s="61" t="s">
        <v>134</v>
      </c>
      <c r="C25" s="26">
        <f>ROUND(C24*0.21,2)</f>
        <v>55.25</v>
      </c>
      <c r="D25" s="26">
        <f>ROUND(D24*0.21,2)</f>
        <v>165.76</v>
      </c>
    </row>
    <row r="26" spans="1:22" ht="12" customHeight="1" x14ac:dyDescent="0.2">
      <c r="A26" s="133"/>
      <c r="B26" s="100" t="s">
        <v>1326</v>
      </c>
      <c r="C26" s="26">
        <f>ROUND(C24+C25,2)</f>
        <v>318.36</v>
      </c>
      <c r="D26" s="26">
        <f>D24+D25</f>
        <v>955.09</v>
      </c>
    </row>
    <row r="27" spans="1:22" ht="13.5" customHeight="1" x14ac:dyDescent="0.2">
      <c r="A27" s="134"/>
      <c r="B27" s="6"/>
      <c r="C27" s="135"/>
      <c r="D27" s="135"/>
    </row>
    <row r="28" spans="1:22" x14ac:dyDescent="0.2">
      <c r="A28" s="6"/>
      <c r="B28" s="13"/>
      <c r="C28" s="13"/>
      <c r="D28" s="10"/>
    </row>
    <row r="29" spans="1:22" x14ac:dyDescent="0.2">
      <c r="A29" s="164" t="s">
        <v>96</v>
      </c>
      <c r="B29" s="165"/>
      <c r="C29" s="41">
        <v>3</v>
      </c>
      <c r="D29" s="38"/>
    </row>
    <row r="30" spans="1:22" x14ac:dyDescent="0.2">
      <c r="A30" s="152" t="s">
        <v>112</v>
      </c>
      <c r="B30" s="153"/>
      <c r="C30" s="2">
        <f>D26/C29</f>
        <v>318.36333333333334</v>
      </c>
      <c r="D30" s="38"/>
      <c r="E30" s="136"/>
    </row>
    <row r="31" spans="1:22" x14ac:dyDescent="0.2">
      <c r="A31" s="102"/>
      <c r="B31" s="102"/>
      <c r="C31" s="102"/>
      <c r="D31" s="102"/>
    </row>
    <row r="32" spans="1:22" x14ac:dyDescent="0.2">
      <c r="A32" s="102"/>
      <c r="B32" s="102"/>
      <c r="C32" s="102"/>
      <c r="D32" s="137"/>
    </row>
    <row r="33" spans="1:4" x14ac:dyDescent="0.2">
      <c r="A33" s="102"/>
      <c r="B33" s="102"/>
      <c r="C33" s="102"/>
      <c r="D33" s="137"/>
    </row>
  </sheetData>
  <mergeCells count="7">
    <mergeCell ref="A30:B30"/>
    <mergeCell ref="A1:D1"/>
    <mergeCell ref="C2:D2"/>
    <mergeCell ref="A5:D5"/>
    <mergeCell ref="A7:B7"/>
    <mergeCell ref="A9:B9"/>
    <mergeCell ref="A29:B29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2FEF8-99FF-4745-AAAF-C5ADDB499043}">
  <dimension ref="A1:G30"/>
  <sheetViews>
    <sheetView zoomScaleNormal="100" workbookViewId="0">
      <selection activeCell="B14" sqref="B14"/>
    </sheetView>
  </sheetViews>
  <sheetFormatPr defaultColWidth="9.140625" defaultRowHeight="12" x14ac:dyDescent="0.2"/>
  <cols>
    <col min="1" max="1" width="9.42578125" style="89" customWidth="1"/>
    <col min="2" max="2" width="60.28515625" style="89" customWidth="1"/>
    <col min="3" max="3" width="9.140625" style="89"/>
    <col min="4" max="4" width="11.140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26.25" customHeight="1" x14ac:dyDescent="0.2">
      <c r="A5" s="163" t="s">
        <v>269</v>
      </c>
      <c r="B5" s="163"/>
      <c r="C5" s="163"/>
      <c r="D5" s="163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49"/>
      <c r="B8" s="79"/>
      <c r="C8" s="11"/>
      <c r="D8" s="10"/>
    </row>
    <row r="9" spans="1:4" x14ac:dyDescent="0.2">
      <c r="A9" s="160" t="s">
        <v>140</v>
      </c>
      <c r="B9" s="160"/>
      <c r="C9" s="11"/>
      <c r="D9" s="10"/>
    </row>
    <row r="10" spans="1:4" ht="108" x14ac:dyDescent="0.2">
      <c r="A10" s="14" t="s">
        <v>80</v>
      </c>
      <c r="B10" s="14" t="s">
        <v>81</v>
      </c>
      <c r="C10" s="14" t="s">
        <v>141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7"/>
      <c r="B12" s="18" t="s">
        <v>84</v>
      </c>
      <c r="C12" s="19"/>
      <c r="D12" s="19"/>
    </row>
    <row r="13" spans="1:4" x14ac:dyDescent="0.2">
      <c r="A13" s="20">
        <v>1100</v>
      </c>
      <c r="B13" s="21" t="s">
        <v>85</v>
      </c>
      <c r="C13" s="22"/>
      <c r="D13" s="22"/>
    </row>
    <row r="14" spans="1:4" ht="145.5" customHeight="1" x14ac:dyDescent="0.2">
      <c r="A14" s="5"/>
      <c r="B14" s="81" t="s">
        <v>1624</v>
      </c>
      <c r="C14" s="1">
        <v>139.55000000000001</v>
      </c>
      <c r="D14" s="1">
        <f>C14*C29</f>
        <v>418.65000000000003</v>
      </c>
    </row>
    <row r="15" spans="1:4" ht="24.75" customHeight="1" x14ac:dyDescent="0.2">
      <c r="A15" s="94">
        <v>1200</v>
      </c>
      <c r="B15" s="23" t="s">
        <v>1322</v>
      </c>
      <c r="C15" s="1">
        <f>ROUND(C14*0.2359,2)</f>
        <v>32.92</v>
      </c>
      <c r="D15" s="1">
        <f>C15*C29</f>
        <v>98.76</v>
      </c>
    </row>
    <row r="16" spans="1:4" x14ac:dyDescent="0.2">
      <c r="A16" s="5"/>
      <c r="B16" s="25" t="s">
        <v>87</v>
      </c>
      <c r="C16" s="26">
        <f>SUM(C13:C15)</f>
        <v>172.47000000000003</v>
      </c>
      <c r="D16" s="26">
        <f>SUM(D13:D15)</f>
        <v>517.41000000000008</v>
      </c>
    </row>
    <row r="17" spans="1:7" x14ac:dyDescent="0.2">
      <c r="A17" s="5"/>
      <c r="B17" s="25" t="s">
        <v>244</v>
      </c>
      <c r="C17" s="39"/>
      <c r="D17" s="39"/>
    </row>
    <row r="18" spans="1:7" x14ac:dyDescent="0.2">
      <c r="A18" s="20">
        <v>1100</v>
      </c>
      <c r="B18" s="21" t="s">
        <v>85</v>
      </c>
      <c r="C18" s="39"/>
      <c r="D18" s="39"/>
    </row>
    <row r="19" spans="1:7" ht="73.5" customHeight="1" x14ac:dyDescent="0.2">
      <c r="A19" s="5"/>
      <c r="B19" s="81" t="s">
        <v>1327</v>
      </c>
      <c r="C19" s="1">
        <v>200.72</v>
      </c>
      <c r="D19" s="1">
        <f>C19*C29</f>
        <v>602.16</v>
      </c>
    </row>
    <row r="20" spans="1:7" ht="24" customHeight="1" x14ac:dyDescent="0.2">
      <c r="A20" s="94">
        <v>1200</v>
      </c>
      <c r="B20" s="23" t="s">
        <v>1328</v>
      </c>
      <c r="C20" s="1">
        <f>ROUND(C19*0.2359,2)</f>
        <v>47.35</v>
      </c>
      <c r="D20" s="1">
        <f>C20*C29</f>
        <v>142.05000000000001</v>
      </c>
    </row>
    <row r="21" spans="1:7" x14ac:dyDescent="0.2">
      <c r="A21" s="94">
        <v>2322</v>
      </c>
      <c r="B21" s="23" t="s">
        <v>143</v>
      </c>
      <c r="C21" s="39"/>
      <c r="D21" s="39"/>
    </row>
    <row r="22" spans="1:7" ht="62.25" customHeight="1" x14ac:dyDescent="0.2">
      <c r="A22" s="5"/>
      <c r="B22" s="23" t="s">
        <v>1679</v>
      </c>
      <c r="C22" s="1">
        <v>77.84</v>
      </c>
      <c r="D22" s="1">
        <f>C22*C29</f>
        <v>233.52</v>
      </c>
      <c r="E22" s="120"/>
      <c r="F22" s="130"/>
      <c r="G22" s="131"/>
    </row>
    <row r="23" spans="1:7" x14ac:dyDescent="0.2">
      <c r="A23" s="5"/>
      <c r="B23" s="132" t="s">
        <v>94</v>
      </c>
      <c r="C23" s="26">
        <f>SUM(C19:C22)</f>
        <v>325.90999999999997</v>
      </c>
      <c r="D23" s="26">
        <f>SUM(D19:D22)</f>
        <v>977.73</v>
      </c>
    </row>
    <row r="24" spans="1:7" x14ac:dyDescent="0.2">
      <c r="A24" s="133"/>
      <c r="B24" s="61" t="s">
        <v>133</v>
      </c>
      <c r="C24" s="26">
        <f>C23+C16</f>
        <v>498.38</v>
      </c>
      <c r="D24" s="26">
        <f>D16+D23</f>
        <v>1495.14</v>
      </c>
    </row>
    <row r="25" spans="1:7" x14ac:dyDescent="0.2">
      <c r="A25" s="133"/>
      <c r="B25" s="61" t="s">
        <v>134</v>
      </c>
      <c r="C25" s="26">
        <f>ROUND(C24*0.21,2)</f>
        <v>104.66</v>
      </c>
      <c r="D25" s="26">
        <f>ROUND(D24*0.21,2)</f>
        <v>313.98</v>
      </c>
    </row>
    <row r="26" spans="1:7" x14ac:dyDescent="0.2">
      <c r="A26" s="133"/>
      <c r="B26" s="100" t="s">
        <v>1326</v>
      </c>
      <c r="C26" s="26">
        <f>ROUND(C24+C25,2)</f>
        <v>603.04</v>
      </c>
      <c r="D26" s="26">
        <f>D24+D25</f>
        <v>1809.1200000000001</v>
      </c>
    </row>
    <row r="27" spans="1:7" x14ac:dyDescent="0.2">
      <c r="A27" s="134"/>
      <c r="B27" s="6"/>
      <c r="C27" s="135"/>
      <c r="D27" s="135"/>
    </row>
    <row r="28" spans="1:7" x14ac:dyDescent="0.2">
      <c r="A28" s="6"/>
      <c r="B28" s="13"/>
      <c r="C28" s="13"/>
      <c r="D28" s="10"/>
    </row>
    <row r="29" spans="1:7" ht="12" customHeight="1" x14ac:dyDescent="0.2">
      <c r="A29" s="164" t="s">
        <v>96</v>
      </c>
      <c r="B29" s="165"/>
      <c r="C29" s="41">
        <v>3</v>
      </c>
      <c r="D29" s="38"/>
    </row>
    <row r="30" spans="1:7" ht="29.25" customHeight="1" x14ac:dyDescent="0.2">
      <c r="A30" s="152" t="s">
        <v>112</v>
      </c>
      <c r="B30" s="153"/>
      <c r="C30" s="2">
        <f>D26/C29</f>
        <v>603.04000000000008</v>
      </c>
      <c r="D30" s="38"/>
    </row>
  </sheetData>
  <mergeCells count="7">
    <mergeCell ref="A30:B30"/>
    <mergeCell ref="A1:D1"/>
    <mergeCell ref="C2:D2"/>
    <mergeCell ref="A5:D5"/>
    <mergeCell ref="A7:B7"/>
    <mergeCell ref="A9:B9"/>
    <mergeCell ref="A29:B29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B53C3-5B0F-45C0-B2B1-058435D1D0CB}">
  <dimension ref="A1:K111"/>
  <sheetViews>
    <sheetView view="pageBreakPreview" topLeftCell="A27" zoomScale="60" zoomScaleNormal="100" workbookViewId="0">
      <selection activeCell="A5" sqref="A5:D5"/>
    </sheetView>
  </sheetViews>
  <sheetFormatPr defaultColWidth="9.140625" defaultRowHeight="12" x14ac:dyDescent="0.2"/>
  <cols>
    <col min="1" max="1" width="9.42578125" style="89" customWidth="1"/>
    <col min="2" max="2" width="60.5703125" style="89" customWidth="1"/>
    <col min="3" max="3" width="9.140625" style="89"/>
    <col min="4" max="4" width="11.28515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12" customHeight="1" x14ac:dyDescent="0.2">
      <c r="A5" s="157" t="s">
        <v>1613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 t="s">
        <v>144</v>
      </c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145</v>
      </c>
      <c r="B9" s="160"/>
      <c r="C9" s="11" t="s">
        <v>1329</v>
      </c>
      <c r="D9" s="44"/>
    </row>
    <row r="10" spans="1:4" ht="112.5" customHeight="1" x14ac:dyDescent="0.2">
      <c r="A10" s="14" t="s">
        <v>80</v>
      </c>
      <c r="B10" s="14" t="s">
        <v>81</v>
      </c>
      <c r="C10" s="14" t="s">
        <v>443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39.5" customHeight="1" x14ac:dyDescent="0.2">
      <c r="A14" s="3"/>
      <c r="B14" s="81" t="s">
        <v>1625</v>
      </c>
      <c r="C14" s="1">
        <v>12.14</v>
      </c>
      <c r="D14" s="1">
        <f>ROUND(C14*C88,2)</f>
        <v>24.28</v>
      </c>
    </row>
    <row r="15" spans="1:4" ht="25.5" customHeight="1" x14ac:dyDescent="0.2">
      <c r="A15" s="3">
        <v>1200</v>
      </c>
      <c r="B15" s="23" t="s">
        <v>1330</v>
      </c>
      <c r="C15" s="1">
        <f>ROUND(C14*0.2359,2)</f>
        <v>2.86</v>
      </c>
      <c r="D15" s="1">
        <f>ROUND(C15*C88,2)</f>
        <v>5.72</v>
      </c>
    </row>
    <row r="16" spans="1:4" x14ac:dyDescent="0.2">
      <c r="A16" s="3">
        <v>2341</v>
      </c>
      <c r="B16" s="3" t="s">
        <v>86</v>
      </c>
      <c r="C16" s="24"/>
      <c r="D16" s="24"/>
    </row>
    <row r="17" spans="1:11" ht="15.75" customHeight="1" x14ac:dyDescent="0.2">
      <c r="A17" s="3"/>
      <c r="B17" s="23" t="s">
        <v>139</v>
      </c>
      <c r="C17" s="1">
        <v>0</v>
      </c>
      <c r="D17" s="1">
        <f>ROUND(C17*C88,2)</f>
        <v>0</v>
      </c>
    </row>
    <row r="18" spans="1:11" ht="17.25" customHeight="1" x14ac:dyDescent="0.2">
      <c r="A18" s="3"/>
      <c r="B18" s="40" t="s">
        <v>87</v>
      </c>
      <c r="C18" s="32">
        <f>C14+C15+C17</f>
        <v>15</v>
      </c>
      <c r="D18" s="32">
        <f>D14+D15+D17</f>
        <v>30</v>
      </c>
    </row>
    <row r="19" spans="1:11" ht="15.75" customHeight="1" x14ac:dyDescent="0.2">
      <c r="A19" s="3"/>
      <c r="B19" s="40" t="s">
        <v>245</v>
      </c>
      <c r="C19" s="24"/>
      <c r="D19" s="24"/>
    </row>
    <row r="20" spans="1:11" x14ac:dyDescent="0.2">
      <c r="A20" s="20">
        <v>1100</v>
      </c>
      <c r="B20" s="93" t="s">
        <v>85</v>
      </c>
      <c r="C20" s="24"/>
      <c r="D20" s="24"/>
    </row>
    <row r="21" spans="1:11" ht="53.25" customHeight="1" x14ac:dyDescent="0.2">
      <c r="A21" s="5"/>
      <c r="B21" s="81" t="s">
        <v>1331</v>
      </c>
      <c r="C21" s="1">
        <f>ROUND(4.54,2)</f>
        <v>4.54</v>
      </c>
      <c r="D21" s="1">
        <f>ROUND(C21*C88,2)</f>
        <v>9.08</v>
      </c>
      <c r="F21" s="82"/>
      <c r="G21" s="82"/>
      <c r="H21" s="82"/>
      <c r="I21" s="82"/>
      <c r="J21" s="82"/>
      <c r="K21" s="82"/>
    </row>
    <row r="22" spans="1:11" ht="25.5" customHeight="1" x14ac:dyDescent="0.2">
      <c r="A22" s="94">
        <v>1200</v>
      </c>
      <c r="B22" s="23" t="s">
        <v>1332</v>
      </c>
      <c r="C22" s="1">
        <f>ROUND(C21*0.2359,2)</f>
        <v>1.07</v>
      </c>
      <c r="D22" s="1">
        <f>ROUND(C22*C88,2)</f>
        <v>2.14</v>
      </c>
    </row>
    <row r="23" spans="1:11" ht="18.75" customHeight="1" x14ac:dyDescent="0.2">
      <c r="A23" s="3">
        <v>2210</v>
      </c>
      <c r="B23" s="4" t="s">
        <v>125</v>
      </c>
      <c r="C23" s="24"/>
      <c r="D23" s="24"/>
    </row>
    <row r="24" spans="1:11" ht="62.25" customHeight="1" x14ac:dyDescent="0.2">
      <c r="A24" s="3"/>
      <c r="B24" s="4" t="s">
        <v>1333</v>
      </c>
      <c r="C24" s="1">
        <v>0.06</v>
      </c>
      <c r="D24" s="1">
        <f>ROUND(C24*C88,2)</f>
        <v>0.12</v>
      </c>
    </row>
    <row r="25" spans="1:11" ht="17.25" customHeight="1" x14ac:dyDescent="0.2">
      <c r="A25" s="3">
        <v>2221</v>
      </c>
      <c r="B25" s="4" t="s">
        <v>89</v>
      </c>
      <c r="C25" s="24"/>
      <c r="D25" s="24"/>
    </row>
    <row r="26" spans="1:11" ht="61.5" customHeight="1" x14ac:dyDescent="0.2">
      <c r="A26" s="3"/>
      <c r="B26" s="4" t="s">
        <v>1334</v>
      </c>
      <c r="C26" s="1">
        <v>0.15</v>
      </c>
      <c r="D26" s="1">
        <f>ROUND(C26*C88,2)</f>
        <v>0.3</v>
      </c>
      <c r="F26" s="82"/>
      <c r="G26" s="82"/>
      <c r="H26" s="82"/>
    </row>
    <row r="27" spans="1:11" ht="19.5" customHeight="1" x14ac:dyDescent="0.2">
      <c r="A27" s="3">
        <v>2222</v>
      </c>
      <c r="B27" s="4" t="s">
        <v>90</v>
      </c>
      <c r="C27" s="24"/>
      <c r="D27" s="24"/>
    </row>
    <row r="28" spans="1:11" ht="18" customHeight="1" x14ac:dyDescent="0.2">
      <c r="A28" s="3"/>
      <c r="B28" s="4" t="s">
        <v>444</v>
      </c>
      <c r="C28" s="1">
        <f>ROUND(0/10,2)</f>
        <v>0</v>
      </c>
      <c r="D28" s="1">
        <f>ROUND(C28*C88,2)</f>
        <v>0</v>
      </c>
    </row>
    <row r="29" spans="1:11" x14ac:dyDescent="0.2">
      <c r="A29" s="3">
        <v>2223</v>
      </c>
      <c r="B29" s="3" t="s">
        <v>91</v>
      </c>
      <c r="C29" s="24"/>
      <c r="D29" s="24"/>
    </row>
    <row r="30" spans="1:11" ht="66.75" customHeight="1" x14ac:dyDescent="0.2">
      <c r="A30" s="3"/>
      <c r="B30" s="4" t="s">
        <v>1335</v>
      </c>
      <c r="C30" s="1">
        <v>0.27</v>
      </c>
      <c r="D30" s="1">
        <f>ROUND(C30*C88,2)</f>
        <v>0.54</v>
      </c>
    </row>
    <row r="31" spans="1:11" x14ac:dyDescent="0.2">
      <c r="A31" s="3">
        <v>2224</v>
      </c>
      <c r="B31" s="4" t="s">
        <v>126</v>
      </c>
      <c r="C31" s="24"/>
      <c r="D31" s="24"/>
    </row>
    <row r="32" spans="1:11" ht="18.75" customHeight="1" x14ac:dyDescent="0.2">
      <c r="A32" s="3"/>
      <c r="B32" s="4" t="s">
        <v>444</v>
      </c>
      <c r="C32" s="1">
        <f>ROUND(0/10,2)</f>
        <v>0</v>
      </c>
      <c r="D32" s="1">
        <f>ROUND(C32*C88,2)</f>
        <v>0</v>
      </c>
    </row>
    <row r="33" spans="1:4" ht="12" customHeight="1" x14ac:dyDescent="0.2">
      <c r="A33" s="3">
        <v>2231</v>
      </c>
      <c r="B33" s="4" t="s">
        <v>117</v>
      </c>
      <c r="C33" s="24"/>
      <c r="D33" s="24"/>
    </row>
    <row r="34" spans="1:4" ht="69" customHeight="1" x14ac:dyDescent="0.2">
      <c r="A34" s="3"/>
      <c r="B34" s="4" t="s">
        <v>1336</v>
      </c>
      <c r="C34" s="1">
        <v>7.0000000000000007E-2</v>
      </c>
      <c r="D34" s="1">
        <f>ROUND(C34*C88,2)</f>
        <v>0.14000000000000001</v>
      </c>
    </row>
    <row r="35" spans="1:4" ht="16.5" customHeight="1" x14ac:dyDescent="0.2">
      <c r="A35" s="3">
        <v>2232</v>
      </c>
      <c r="B35" s="4" t="s">
        <v>453</v>
      </c>
      <c r="C35" s="1"/>
      <c r="D35" s="1"/>
    </row>
    <row r="36" spans="1:4" ht="59.25" customHeight="1" x14ac:dyDescent="0.2">
      <c r="A36" s="3"/>
      <c r="B36" s="4" t="s">
        <v>1337</v>
      </c>
      <c r="C36" s="1">
        <v>0.02</v>
      </c>
      <c r="D36" s="1">
        <f>ROUND(C36*C88,2)</f>
        <v>0.04</v>
      </c>
    </row>
    <row r="37" spans="1:4" ht="19.5" customHeight="1" x14ac:dyDescent="0.2">
      <c r="A37" s="3">
        <v>2233</v>
      </c>
      <c r="B37" s="4" t="s">
        <v>127</v>
      </c>
      <c r="C37" s="1"/>
      <c r="D37" s="1"/>
    </row>
    <row r="38" spans="1:4" ht="23.25" customHeight="1" x14ac:dyDescent="0.2">
      <c r="A38" s="3"/>
      <c r="B38" s="4" t="s">
        <v>128</v>
      </c>
      <c r="C38" s="1">
        <v>0</v>
      </c>
      <c r="D38" s="1">
        <f>ROUND(C38*C88,2)</f>
        <v>0</v>
      </c>
    </row>
    <row r="39" spans="1:4" ht="23.25" customHeight="1" x14ac:dyDescent="0.2">
      <c r="A39" s="3">
        <v>2235</v>
      </c>
      <c r="B39" s="4" t="s">
        <v>355</v>
      </c>
      <c r="C39" s="1"/>
      <c r="D39" s="1"/>
    </row>
    <row r="40" spans="1:4" ht="67.5" customHeight="1" x14ac:dyDescent="0.2">
      <c r="A40" s="3"/>
      <c r="B40" s="4" t="s">
        <v>1338</v>
      </c>
      <c r="C40" s="1">
        <v>0.02</v>
      </c>
      <c r="D40" s="1">
        <f>ROUND(C40*C88,2)</f>
        <v>0.04</v>
      </c>
    </row>
    <row r="41" spans="1:4" ht="24.75" customHeight="1" x14ac:dyDescent="0.2">
      <c r="A41" s="3">
        <v>2239</v>
      </c>
      <c r="B41" s="4" t="s">
        <v>356</v>
      </c>
      <c r="C41" s="1"/>
      <c r="D41" s="1"/>
    </row>
    <row r="42" spans="1:4" ht="67.5" customHeight="1" x14ac:dyDescent="0.2">
      <c r="A42" s="3"/>
      <c r="B42" s="4" t="s">
        <v>1339</v>
      </c>
      <c r="C42" s="1">
        <v>0.14000000000000001</v>
      </c>
      <c r="D42" s="1">
        <f>ROUND(C42*C88,2)</f>
        <v>0.28000000000000003</v>
      </c>
    </row>
    <row r="43" spans="1:4" ht="19.5" customHeight="1" x14ac:dyDescent="0.2">
      <c r="A43" s="3">
        <v>2241</v>
      </c>
      <c r="B43" s="4" t="s">
        <v>460</v>
      </c>
      <c r="C43" s="1"/>
      <c r="D43" s="1"/>
    </row>
    <row r="44" spans="1:4" ht="67.5" customHeight="1" x14ac:dyDescent="0.2">
      <c r="A44" s="3"/>
      <c r="B44" s="4" t="s">
        <v>1340</v>
      </c>
      <c r="C44" s="1">
        <v>0.17</v>
      </c>
      <c r="D44" s="1">
        <f>ROUND(C44*C88,2)</f>
        <v>0.34</v>
      </c>
    </row>
    <row r="45" spans="1:4" ht="23.25" customHeight="1" x14ac:dyDescent="0.2">
      <c r="A45" s="3">
        <v>2243</v>
      </c>
      <c r="B45" s="4" t="s">
        <v>100</v>
      </c>
      <c r="C45" s="1"/>
      <c r="D45" s="1"/>
    </row>
    <row r="46" spans="1:4" ht="60" x14ac:dyDescent="0.2">
      <c r="A46" s="3"/>
      <c r="B46" s="4" t="s">
        <v>1341</v>
      </c>
      <c r="C46" s="1">
        <v>0.14000000000000001</v>
      </c>
      <c r="D46" s="1">
        <f>ROUND(C46*C88,2)</f>
        <v>0.28000000000000003</v>
      </c>
    </row>
    <row r="47" spans="1:4" ht="21.75" customHeight="1" x14ac:dyDescent="0.2">
      <c r="A47" s="3">
        <v>2244</v>
      </c>
      <c r="B47" s="4" t="s">
        <v>92</v>
      </c>
      <c r="C47" s="24"/>
      <c r="D47" s="24"/>
    </row>
    <row r="48" spans="1:4" ht="69" customHeight="1" x14ac:dyDescent="0.2">
      <c r="A48" s="95"/>
      <c r="B48" s="4" t="s">
        <v>1342</v>
      </c>
      <c r="C48" s="1">
        <v>0.2</v>
      </c>
      <c r="D48" s="1">
        <f>ROUND(C48*C88,2)</f>
        <v>0.4</v>
      </c>
    </row>
    <row r="49" spans="1:4" ht="21.75" customHeight="1" x14ac:dyDescent="0.2">
      <c r="A49" s="96">
        <v>2247</v>
      </c>
      <c r="B49" s="4" t="s">
        <v>358</v>
      </c>
      <c r="C49" s="1"/>
      <c r="D49" s="1"/>
    </row>
    <row r="50" spans="1:4" ht="69" customHeight="1" x14ac:dyDescent="0.2">
      <c r="A50" s="96"/>
      <c r="B50" s="4" t="s">
        <v>1343</v>
      </c>
      <c r="C50" s="1">
        <v>0.01</v>
      </c>
      <c r="D50" s="1">
        <f>ROUND(C50*C88,2)</f>
        <v>0.02</v>
      </c>
    </row>
    <row r="51" spans="1:4" ht="21.75" customHeight="1" x14ac:dyDescent="0.2">
      <c r="A51" s="96">
        <v>2249</v>
      </c>
      <c r="B51" s="4" t="s">
        <v>1236</v>
      </c>
      <c r="C51" s="1"/>
      <c r="D51" s="1"/>
    </row>
    <row r="52" spans="1:4" ht="69" customHeight="1" x14ac:dyDescent="0.2">
      <c r="A52" s="95"/>
      <c r="B52" s="4" t="s">
        <v>1344</v>
      </c>
      <c r="C52" s="1">
        <v>0.01</v>
      </c>
      <c r="D52" s="1">
        <f>ROUND(C52*C88,2)</f>
        <v>0.02</v>
      </c>
    </row>
    <row r="53" spans="1:4" ht="26.25" customHeight="1" x14ac:dyDescent="0.2">
      <c r="A53" s="3">
        <v>2250</v>
      </c>
      <c r="B53" s="4" t="s">
        <v>129</v>
      </c>
      <c r="C53" s="24"/>
      <c r="D53" s="1"/>
    </row>
    <row r="54" spans="1:4" ht="68.25" customHeight="1" x14ac:dyDescent="0.2">
      <c r="A54" s="3"/>
      <c r="B54" s="97" t="s">
        <v>1345</v>
      </c>
      <c r="C54" s="1">
        <v>0.67</v>
      </c>
      <c r="D54" s="1">
        <f>ROUND(C54*C88,2)</f>
        <v>1.34</v>
      </c>
    </row>
    <row r="55" spans="1:4" ht="21" customHeight="1" x14ac:dyDescent="0.2">
      <c r="A55" s="3">
        <v>2261</v>
      </c>
      <c r="B55" s="97" t="s">
        <v>130</v>
      </c>
      <c r="C55" s="1"/>
      <c r="D55" s="1"/>
    </row>
    <row r="56" spans="1:4" ht="63" customHeight="1" x14ac:dyDescent="0.2">
      <c r="A56" s="3"/>
      <c r="B56" s="97" t="s">
        <v>1346</v>
      </c>
      <c r="C56" s="1">
        <v>0.84</v>
      </c>
      <c r="D56" s="1">
        <f>ROUND(C56*C88,2)</f>
        <v>1.68</v>
      </c>
    </row>
    <row r="57" spans="1:4" ht="18" customHeight="1" x14ac:dyDescent="0.2">
      <c r="A57" s="3">
        <v>2263</v>
      </c>
      <c r="B57" s="97" t="s">
        <v>360</v>
      </c>
      <c r="C57" s="1"/>
      <c r="D57" s="1"/>
    </row>
    <row r="58" spans="1:4" ht="63" customHeight="1" x14ac:dyDescent="0.2">
      <c r="A58" s="3"/>
      <c r="B58" s="4" t="s">
        <v>1347</v>
      </c>
      <c r="C58" s="1">
        <v>0</v>
      </c>
      <c r="D58" s="1">
        <f>ROUND(C58*C88,2)</f>
        <v>0</v>
      </c>
    </row>
    <row r="59" spans="1:4" ht="21.75" customHeight="1" x14ac:dyDescent="0.2">
      <c r="A59" s="3">
        <v>2264</v>
      </c>
      <c r="B59" s="4" t="s">
        <v>361</v>
      </c>
      <c r="C59" s="1"/>
      <c r="D59" s="1"/>
    </row>
    <row r="60" spans="1:4" ht="63" customHeight="1" x14ac:dyDescent="0.2">
      <c r="A60" s="3"/>
      <c r="B60" s="4" t="s">
        <v>1348</v>
      </c>
      <c r="C60" s="1">
        <v>7.0000000000000007E-2</v>
      </c>
      <c r="D60" s="1">
        <f>ROUND(C60*C88,2)</f>
        <v>0.14000000000000001</v>
      </c>
    </row>
    <row r="61" spans="1:4" ht="16.5" customHeight="1" x14ac:dyDescent="0.2">
      <c r="A61" s="3">
        <v>2311</v>
      </c>
      <c r="B61" s="4" t="s">
        <v>93</v>
      </c>
      <c r="C61" s="24"/>
      <c r="D61" s="24"/>
    </row>
    <row r="62" spans="1:4" ht="22.5" customHeight="1" x14ac:dyDescent="0.2">
      <c r="A62" s="3"/>
      <c r="B62" s="4" t="s">
        <v>444</v>
      </c>
      <c r="C62" s="1">
        <f>ROUND(0/10,2)</f>
        <v>0</v>
      </c>
      <c r="D62" s="1">
        <f>ROUND(C62*C88,2)</f>
        <v>0</v>
      </c>
    </row>
    <row r="63" spans="1:4" ht="20.25" customHeight="1" x14ac:dyDescent="0.2">
      <c r="A63" s="3">
        <v>2312</v>
      </c>
      <c r="B63" s="4" t="s">
        <v>445</v>
      </c>
      <c r="C63" s="1"/>
      <c r="D63" s="1"/>
    </row>
    <row r="64" spans="1:4" ht="66.75" customHeight="1" x14ac:dyDescent="0.2">
      <c r="A64" s="3"/>
      <c r="B64" s="97" t="s">
        <v>1349</v>
      </c>
      <c r="C64" s="1">
        <v>0.03</v>
      </c>
      <c r="D64" s="1">
        <f>ROUND(C64*C88,2)</f>
        <v>0.06</v>
      </c>
    </row>
    <row r="65" spans="1:4" ht="24" customHeight="1" x14ac:dyDescent="0.2">
      <c r="A65" s="3">
        <v>2314</v>
      </c>
      <c r="B65" s="4" t="s">
        <v>1243</v>
      </c>
      <c r="C65" s="1"/>
      <c r="D65" s="1"/>
    </row>
    <row r="66" spans="1:4" ht="66.75" customHeight="1" x14ac:dyDescent="0.2">
      <c r="A66" s="3"/>
      <c r="B66" s="4" t="s">
        <v>1350</v>
      </c>
      <c r="C66" s="1">
        <v>7.0000000000000007E-2</v>
      </c>
      <c r="D66" s="1">
        <f>ROUND(C66*C88,2)</f>
        <v>0.14000000000000001</v>
      </c>
    </row>
    <row r="67" spans="1:4" ht="24.75" customHeight="1" x14ac:dyDescent="0.2">
      <c r="A67" s="3">
        <v>2350</v>
      </c>
      <c r="B67" s="4" t="s">
        <v>119</v>
      </c>
      <c r="C67" s="24"/>
      <c r="D67" s="24"/>
    </row>
    <row r="68" spans="1:4" ht="66.75" customHeight="1" x14ac:dyDescent="0.2">
      <c r="A68" s="3"/>
      <c r="B68" s="4" t="s">
        <v>1351</v>
      </c>
      <c r="C68" s="1">
        <v>0.1</v>
      </c>
      <c r="D68" s="1">
        <f>ROUND(C68*C88,2)</f>
        <v>0.2</v>
      </c>
    </row>
    <row r="69" spans="1:4" ht="16.5" customHeight="1" x14ac:dyDescent="0.2">
      <c r="A69" s="3">
        <v>2361</v>
      </c>
      <c r="B69" s="4" t="s">
        <v>364</v>
      </c>
      <c r="C69" s="1"/>
      <c r="D69" s="1"/>
    </row>
    <row r="70" spans="1:4" ht="66.75" customHeight="1" x14ac:dyDescent="0.2">
      <c r="A70" s="3"/>
      <c r="B70" s="4" t="s">
        <v>1352</v>
      </c>
      <c r="C70" s="1">
        <v>0.01</v>
      </c>
      <c r="D70" s="1">
        <f>ROUND(C70*C88,2)</f>
        <v>0.02</v>
      </c>
    </row>
    <row r="71" spans="1:4" ht="19.5" customHeight="1" x14ac:dyDescent="0.2">
      <c r="A71" s="3">
        <v>2513</v>
      </c>
      <c r="B71" s="4" t="s">
        <v>365</v>
      </c>
      <c r="C71" s="1"/>
      <c r="D71" s="1"/>
    </row>
    <row r="72" spans="1:4" ht="66.75" customHeight="1" x14ac:dyDescent="0.2">
      <c r="A72" s="3"/>
      <c r="B72" s="4" t="s">
        <v>1353</v>
      </c>
      <c r="C72" s="1">
        <v>0.01</v>
      </c>
      <c r="D72" s="1">
        <f>ROUND(C72*C88,2)</f>
        <v>0.02</v>
      </c>
    </row>
    <row r="73" spans="1:4" ht="16.5" customHeight="1" x14ac:dyDescent="0.2">
      <c r="A73" s="3">
        <v>2519</v>
      </c>
      <c r="B73" s="4" t="s">
        <v>366</v>
      </c>
      <c r="C73" s="1"/>
      <c r="D73" s="1"/>
    </row>
    <row r="74" spans="1:4" ht="66.75" customHeight="1" x14ac:dyDescent="0.2">
      <c r="A74" s="3"/>
      <c r="B74" s="4" t="s">
        <v>1354</v>
      </c>
      <c r="C74" s="1">
        <v>0</v>
      </c>
      <c r="D74" s="1">
        <f>ROUND(C74*C88,2)</f>
        <v>0</v>
      </c>
    </row>
    <row r="75" spans="1:4" ht="22.5" customHeight="1" x14ac:dyDescent="0.2">
      <c r="A75" s="3">
        <v>5120</v>
      </c>
      <c r="B75" s="4" t="s">
        <v>101</v>
      </c>
      <c r="C75" s="24"/>
      <c r="D75" s="1"/>
    </row>
    <row r="76" spans="1:4" ht="64.5" customHeight="1" x14ac:dyDescent="0.2">
      <c r="A76" s="3"/>
      <c r="B76" s="4" t="s">
        <v>1355</v>
      </c>
      <c r="C76" s="1">
        <v>0.01</v>
      </c>
      <c r="D76" s="1">
        <f>ROUND(C76*C88,2)</f>
        <v>0.02</v>
      </c>
    </row>
    <row r="77" spans="1:4" ht="24.75" customHeight="1" x14ac:dyDescent="0.2">
      <c r="A77" s="3">
        <v>5220</v>
      </c>
      <c r="B77" s="4" t="s">
        <v>131</v>
      </c>
      <c r="C77" s="1">
        <v>0</v>
      </c>
      <c r="D77" s="1">
        <f>ROUND(C77*C88,2)</f>
        <v>0</v>
      </c>
    </row>
    <row r="78" spans="1:4" ht="18" customHeight="1" x14ac:dyDescent="0.2">
      <c r="A78" s="3">
        <v>5238</v>
      </c>
      <c r="B78" s="4" t="s">
        <v>132</v>
      </c>
      <c r="C78" s="30"/>
      <c r="D78" s="1"/>
    </row>
    <row r="79" spans="1:4" ht="60" x14ac:dyDescent="0.2">
      <c r="A79" s="3"/>
      <c r="B79" s="4" t="s">
        <v>1356</v>
      </c>
      <c r="C79" s="1">
        <v>0.06</v>
      </c>
      <c r="D79" s="1">
        <f>ROUND(C79*C88,2)</f>
        <v>0.12</v>
      </c>
    </row>
    <row r="80" spans="1:4" ht="19.5" customHeight="1" x14ac:dyDescent="0.2">
      <c r="A80" s="3">
        <v>5239</v>
      </c>
      <c r="B80" s="4" t="s">
        <v>369</v>
      </c>
      <c r="C80" s="1"/>
      <c r="D80" s="1"/>
    </row>
    <row r="81" spans="1:4" ht="60" x14ac:dyDescent="0.2">
      <c r="A81" s="3"/>
      <c r="B81" s="4" t="s">
        <v>1357</v>
      </c>
      <c r="C81" s="1">
        <v>0.11</v>
      </c>
      <c r="D81" s="1">
        <f>ROUND(C81*C88,2)</f>
        <v>0.22</v>
      </c>
    </row>
    <row r="82" spans="1:4" ht="20.25" customHeight="1" x14ac:dyDescent="0.2">
      <c r="A82" s="3"/>
      <c r="B82" s="31" t="s">
        <v>94</v>
      </c>
      <c r="C82" s="32">
        <f>SUM(C21:C81)</f>
        <v>8.8499999999999979</v>
      </c>
      <c r="D82" s="32">
        <f>SUM(D21:D81)</f>
        <v>17.699999999999996</v>
      </c>
    </row>
    <row r="83" spans="1:4" x14ac:dyDescent="0.2">
      <c r="A83" s="33"/>
      <c r="B83" s="61" t="s">
        <v>133</v>
      </c>
      <c r="C83" s="32">
        <f>ROUND(C82+C18,4)</f>
        <v>23.85</v>
      </c>
      <c r="D83" s="32">
        <f>ROUND(D82+D18,4)</f>
        <v>47.7</v>
      </c>
    </row>
    <row r="84" spans="1:4" ht="15" customHeight="1" x14ac:dyDescent="0.2">
      <c r="A84" s="33"/>
      <c r="B84" s="61" t="s">
        <v>134</v>
      </c>
      <c r="C84" s="26">
        <f>ROUND(C83*0.21,2)</f>
        <v>5.01</v>
      </c>
      <c r="D84" s="26">
        <f>ROUND(D83*0.21,2)</f>
        <v>10.02</v>
      </c>
    </row>
    <row r="85" spans="1:4" ht="28.5" customHeight="1" x14ac:dyDescent="0.2">
      <c r="A85" s="33"/>
      <c r="B85" s="100" t="s">
        <v>1358</v>
      </c>
      <c r="C85" s="32">
        <f>ROUND(C83+C84,2)</f>
        <v>28.86</v>
      </c>
      <c r="D85" s="32">
        <f>D83+D84</f>
        <v>57.72</v>
      </c>
    </row>
    <row r="86" spans="1:4" ht="23.25" customHeight="1" x14ac:dyDescent="0.2">
      <c r="A86" s="35"/>
      <c r="B86" s="36"/>
      <c r="C86" s="37"/>
      <c r="D86" s="37"/>
    </row>
    <row r="87" spans="1:4" x14ac:dyDescent="0.2">
      <c r="A87" s="6"/>
      <c r="B87" s="13"/>
      <c r="C87" s="13"/>
      <c r="D87" s="10"/>
    </row>
    <row r="88" spans="1:4" ht="23.25" customHeight="1" x14ac:dyDescent="0.2">
      <c r="A88" s="161" t="s">
        <v>96</v>
      </c>
      <c r="B88" s="162"/>
      <c r="C88" s="41">
        <v>2</v>
      </c>
      <c r="D88" s="38"/>
    </row>
    <row r="89" spans="1:4" ht="28.5" customHeight="1" x14ac:dyDescent="0.2">
      <c r="A89" s="152" t="s">
        <v>112</v>
      </c>
      <c r="B89" s="153"/>
      <c r="C89" s="2">
        <f>D85/C88</f>
        <v>28.86</v>
      </c>
      <c r="D89" s="38"/>
    </row>
    <row r="90" spans="1:4" ht="67.5" customHeight="1" x14ac:dyDescent="0.25">
      <c r="A90" s="84"/>
      <c r="B90" s="84"/>
      <c r="C90" s="84"/>
      <c r="D90" s="84"/>
    </row>
    <row r="91" spans="1:4" ht="24" customHeight="1" x14ac:dyDescent="0.2"/>
    <row r="92" spans="1:4" ht="74.25" customHeight="1" x14ac:dyDescent="0.2"/>
    <row r="93" spans="1:4" ht="23.25" customHeight="1" x14ac:dyDescent="0.2"/>
    <row r="94" spans="1:4" ht="63.75" customHeight="1" x14ac:dyDescent="0.2"/>
    <row r="96" spans="1:4" ht="66.75" customHeight="1" x14ac:dyDescent="0.2"/>
    <row r="97" s="89" customFormat="1" ht="24.75" customHeight="1" x14ac:dyDescent="0.2"/>
    <row r="98" s="89" customFormat="1" ht="73.5" customHeight="1" x14ac:dyDescent="0.2"/>
    <row r="99" s="89" customFormat="1" ht="28.5" customHeight="1" x14ac:dyDescent="0.2"/>
    <row r="100" s="89" customFormat="1" ht="70.5" customHeight="1" x14ac:dyDescent="0.2"/>
    <row r="101" s="89" customFormat="1" ht="18.75" customHeight="1" x14ac:dyDescent="0.2"/>
    <row r="102" s="89" customFormat="1" ht="58.5" customHeight="1" x14ac:dyDescent="0.2"/>
    <row r="103" s="89" customFormat="1" ht="24.75" customHeight="1" x14ac:dyDescent="0.2"/>
    <row r="104" s="89" customFormat="1" ht="21.75" customHeight="1" x14ac:dyDescent="0.2"/>
    <row r="105" s="89" customFormat="1" ht="57.75" customHeight="1" x14ac:dyDescent="0.2"/>
    <row r="106" s="89" customFormat="1" ht="21" customHeight="1" x14ac:dyDescent="0.2"/>
    <row r="107" s="89" customFormat="1" ht="63.75" customHeight="1" x14ac:dyDescent="0.2"/>
    <row r="111" s="89" customFormat="1" ht="23.25" customHeight="1" x14ac:dyDescent="0.2"/>
  </sheetData>
  <mergeCells count="7">
    <mergeCell ref="A89:B89"/>
    <mergeCell ref="A1:D1"/>
    <mergeCell ref="C2:D2"/>
    <mergeCell ref="A5:D5"/>
    <mergeCell ref="A7:B7"/>
    <mergeCell ref="A9:B9"/>
    <mergeCell ref="A88:B88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11EB4-99CB-4275-B18E-7C9913B80C15}">
  <dimension ref="A1:G90"/>
  <sheetViews>
    <sheetView view="pageBreakPreview" zoomScale="60" zoomScaleNormal="100" workbookViewId="0">
      <selection activeCell="A5" sqref="A5:D5"/>
    </sheetView>
  </sheetViews>
  <sheetFormatPr defaultColWidth="9.140625" defaultRowHeight="12" x14ac:dyDescent="0.2"/>
  <cols>
    <col min="1" max="1" width="9.5703125" style="89" customWidth="1"/>
    <col min="2" max="2" width="60.28515625" style="89" customWidth="1"/>
    <col min="3" max="3" width="9.140625" style="89"/>
    <col min="4" max="4" width="11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12" customHeight="1" x14ac:dyDescent="0.2">
      <c r="A5" s="157" t="s">
        <v>1612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 t="s">
        <v>146</v>
      </c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145</v>
      </c>
      <c r="B9" s="160"/>
      <c r="C9" s="48" t="s">
        <v>1359</v>
      </c>
      <c r="D9" s="44"/>
    </row>
    <row r="10" spans="1:4" ht="108" x14ac:dyDescent="0.2">
      <c r="A10" s="14" t="s">
        <v>80</v>
      </c>
      <c r="B10" s="14" t="s">
        <v>81</v>
      </c>
      <c r="C10" s="14" t="s">
        <v>443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44" customHeight="1" x14ac:dyDescent="0.2">
      <c r="A14" s="3"/>
      <c r="B14" s="81" t="s">
        <v>1624</v>
      </c>
      <c r="C14" s="1">
        <v>139.55000000000001</v>
      </c>
      <c r="D14" s="1">
        <f>ROUND(C14*C88,2)</f>
        <v>279.10000000000002</v>
      </c>
    </row>
    <row r="15" spans="1:4" ht="28.5" customHeight="1" x14ac:dyDescent="0.2">
      <c r="A15" s="3">
        <v>1200</v>
      </c>
      <c r="B15" s="23" t="s">
        <v>1322</v>
      </c>
      <c r="C15" s="1">
        <f>ROUND(C14*0.2359,2)</f>
        <v>32.92</v>
      </c>
      <c r="D15" s="1">
        <f>ROUND(C15*C88,2)</f>
        <v>65.84</v>
      </c>
    </row>
    <row r="16" spans="1:4" x14ac:dyDescent="0.2">
      <c r="A16" s="3">
        <v>2341</v>
      </c>
      <c r="B16" s="3" t="s">
        <v>86</v>
      </c>
      <c r="C16" s="24"/>
      <c r="D16" s="24"/>
    </row>
    <row r="17" spans="1:7" ht="12" customHeight="1" x14ac:dyDescent="0.2">
      <c r="A17" s="3"/>
      <c r="B17" s="23" t="s">
        <v>139</v>
      </c>
      <c r="C17" s="1">
        <v>0</v>
      </c>
      <c r="D17" s="1">
        <f>ROUND(C17*C88,2)</f>
        <v>0</v>
      </c>
    </row>
    <row r="18" spans="1:7" ht="17.25" customHeight="1" x14ac:dyDescent="0.2">
      <c r="A18" s="3"/>
      <c r="B18" s="40" t="s">
        <v>87</v>
      </c>
      <c r="C18" s="32">
        <f>C14+C15+C17</f>
        <v>172.47000000000003</v>
      </c>
      <c r="D18" s="32">
        <f>D14+D15+D17</f>
        <v>344.94000000000005</v>
      </c>
    </row>
    <row r="19" spans="1:7" ht="18.75" customHeight="1" x14ac:dyDescent="0.2">
      <c r="A19" s="3"/>
      <c r="B19" s="40" t="s">
        <v>245</v>
      </c>
      <c r="C19" s="24"/>
      <c r="D19" s="24"/>
    </row>
    <row r="20" spans="1:7" x14ac:dyDescent="0.2">
      <c r="A20" s="20">
        <v>1100</v>
      </c>
      <c r="B20" s="93" t="s">
        <v>85</v>
      </c>
      <c r="C20" s="24"/>
      <c r="D20" s="24"/>
    </row>
    <row r="21" spans="1:7" ht="67.5" customHeight="1" x14ac:dyDescent="0.2">
      <c r="A21" s="5"/>
      <c r="B21" s="81" t="s">
        <v>1360</v>
      </c>
      <c r="C21" s="1">
        <f>ROUND(9.08,2)</f>
        <v>9.08</v>
      </c>
      <c r="D21" s="1">
        <f>ROUND(C21*C88,2)</f>
        <v>18.16</v>
      </c>
      <c r="E21" s="82"/>
      <c r="F21" s="78"/>
      <c r="G21" s="78"/>
    </row>
    <row r="22" spans="1:7" ht="24" customHeight="1" x14ac:dyDescent="0.2">
      <c r="A22" s="94">
        <v>1200</v>
      </c>
      <c r="B22" s="23" t="s">
        <v>1361</v>
      </c>
      <c r="C22" s="1">
        <f>ROUND(C21*0.2359,2)</f>
        <v>2.14</v>
      </c>
      <c r="D22" s="1">
        <f>ROUND(C22*C88,2)</f>
        <v>4.28</v>
      </c>
    </row>
    <row r="23" spans="1:7" ht="23.25" customHeight="1" x14ac:dyDescent="0.2">
      <c r="A23" s="3">
        <v>2210</v>
      </c>
      <c r="B23" s="4" t="s">
        <v>125</v>
      </c>
      <c r="C23" s="24"/>
      <c r="D23" s="24"/>
    </row>
    <row r="24" spans="1:7" ht="69" customHeight="1" x14ac:dyDescent="0.2">
      <c r="A24" s="3"/>
      <c r="B24" s="4" t="s">
        <v>1362</v>
      </c>
      <c r="C24" s="1">
        <v>0.72</v>
      </c>
      <c r="D24" s="1">
        <f>ROUND(C24*C88,2)</f>
        <v>1.44</v>
      </c>
    </row>
    <row r="25" spans="1:7" ht="19.5" customHeight="1" x14ac:dyDescent="0.2">
      <c r="A25" s="3">
        <v>2221</v>
      </c>
      <c r="B25" s="4" t="s">
        <v>89</v>
      </c>
      <c r="C25" s="24"/>
      <c r="D25" s="24"/>
    </row>
    <row r="26" spans="1:7" ht="62.25" customHeight="1" x14ac:dyDescent="0.2">
      <c r="A26" s="3"/>
      <c r="B26" s="4" t="s">
        <v>1363</v>
      </c>
      <c r="C26" s="1">
        <v>1.75</v>
      </c>
      <c r="D26" s="1">
        <f>ROUND(C26*C88,2)</f>
        <v>3.5</v>
      </c>
      <c r="E26" s="82"/>
    </row>
    <row r="27" spans="1:7" ht="17.25" customHeight="1" x14ac:dyDescent="0.2">
      <c r="A27" s="3">
        <v>2222</v>
      </c>
      <c r="B27" s="4" t="s">
        <v>90</v>
      </c>
      <c r="C27" s="24"/>
      <c r="D27" s="24"/>
      <c r="E27" s="82"/>
    </row>
    <row r="28" spans="1:7" ht="15" customHeight="1" x14ac:dyDescent="0.2">
      <c r="A28" s="3"/>
      <c r="B28" s="4" t="s">
        <v>444</v>
      </c>
      <c r="C28" s="1">
        <f>ROUND(0/10,2)</f>
        <v>0</v>
      </c>
      <c r="D28" s="1">
        <f>ROUND(C28*C88,2)</f>
        <v>0</v>
      </c>
      <c r="E28" s="82"/>
    </row>
    <row r="29" spans="1:7" x14ac:dyDescent="0.2">
      <c r="A29" s="3">
        <v>2223</v>
      </c>
      <c r="B29" s="3" t="s">
        <v>91</v>
      </c>
      <c r="C29" s="24"/>
      <c r="D29" s="24"/>
    </row>
    <row r="30" spans="1:7" ht="63" customHeight="1" x14ac:dyDescent="0.2">
      <c r="A30" s="3"/>
      <c r="B30" s="4" t="s">
        <v>1364</v>
      </c>
      <c r="C30" s="1">
        <v>3.21</v>
      </c>
      <c r="D30" s="1">
        <f>ROUND(C30*C88,2)</f>
        <v>6.42</v>
      </c>
    </row>
    <row r="31" spans="1:7" ht="19.5" customHeight="1" x14ac:dyDescent="0.2">
      <c r="A31" s="3">
        <v>2224</v>
      </c>
      <c r="B31" s="4" t="s">
        <v>126</v>
      </c>
      <c r="C31" s="24"/>
      <c r="D31" s="24"/>
    </row>
    <row r="32" spans="1:7" ht="15" customHeight="1" x14ac:dyDescent="0.2">
      <c r="A32" s="3"/>
      <c r="B32" s="4" t="s">
        <v>444</v>
      </c>
      <c r="C32" s="1">
        <f>ROUND(0/10,2)</f>
        <v>0</v>
      </c>
      <c r="D32" s="1">
        <f>ROUND(C32*C88,2)</f>
        <v>0</v>
      </c>
    </row>
    <row r="33" spans="1:4" ht="12" customHeight="1" x14ac:dyDescent="0.2">
      <c r="A33" s="3">
        <v>2231</v>
      </c>
      <c r="B33" s="4" t="s">
        <v>117</v>
      </c>
      <c r="C33" s="24"/>
      <c r="D33" s="24"/>
    </row>
    <row r="34" spans="1:4" ht="67.5" customHeight="1" x14ac:dyDescent="0.2">
      <c r="A34" s="3"/>
      <c r="B34" s="4" t="s">
        <v>1365</v>
      </c>
      <c r="C34" s="1">
        <v>0.88</v>
      </c>
      <c r="D34" s="1">
        <f>ROUND(C34*C88,2)</f>
        <v>1.76</v>
      </c>
    </row>
    <row r="35" spans="1:4" ht="18.75" customHeight="1" x14ac:dyDescent="0.2">
      <c r="A35" s="3">
        <v>2232</v>
      </c>
      <c r="B35" s="4" t="s">
        <v>453</v>
      </c>
      <c r="C35" s="1"/>
      <c r="D35" s="1"/>
    </row>
    <row r="36" spans="1:4" ht="67.5" customHeight="1" x14ac:dyDescent="0.2">
      <c r="A36" s="3"/>
      <c r="B36" s="4" t="s">
        <v>1366</v>
      </c>
      <c r="C36" s="1">
        <v>0.23</v>
      </c>
      <c r="D36" s="1">
        <f>ROUND(C36*C88,2)</f>
        <v>0.46</v>
      </c>
    </row>
    <row r="37" spans="1:4" ht="18.75" customHeight="1" x14ac:dyDescent="0.2">
      <c r="A37" s="3">
        <v>2233</v>
      </c>
      <c r="B37" s="4" t="s">
        <v>127</v>
      </c>
      <c r="C37" s="1"/>
      <c r="D37" s="1"/>
    </row>
    <row r="38" spans="1:4" ht="21.75" customHeight="1" x14ac:dyDescent="0.2">
      <c r="A38" s="3"/>
      <c r="B38" s="4" t="s">
        <v>128</v>
      </c>
      <c r="C38" s="1">
        <v>0</v>
      </c>
      <c r="D38" s="1">
        <f>ROUND(C38*C88,2)</f>
        <v>0</v>
      </c>
    </row>
    <row r="39" spans="1:4" ht="21.75" customHeight="1" x14ac:dyDescent="0.2">
      <c r="A39" s="3">
        <v>2235</v>
      </c>
      <c r="B39" s="4" t="s">
        <v>355</v>
      </c>
      <c r="C39" s="1"/>
      <c r="D39" s="1"/>
    </row>
    <row r="40" spans="1:4" ht="67.5" customHeight="1" x14ac:dyDescent="0.2">
      <c r="A40" s="3"/>
      <c r="B40" s="4" t="s">
        <v>1367</v>
      </c>
      <c r="C40" s="1">
        <v>0.22</v>
      </c>
      <c r="D40" s="1">
        <f>ROUND(C40*C88,2)</f>
        <v>0.44</v>
      </c>
    </row>
    <row r="41" spans="1:4" ht="20.25" customHeight="1" x14ac:dyDescent="0.2">
      <c r="A41" s="3">
        <v>2239</v>
      </c>
      <c r="B41" s="4" t="s">
        <v>356</v>
      </c>
      <c r="C41" s="1"/>
      <c r="D41" s="1"/>
    </row>
    <row r="42" spans="1:4" ht="67.5" customHeight="1" x14ac:dyDescent="0.2">
      <c r="A42" s="3"/>
      <c r="B42" s="4" t="s">
        <v>1368</v>
      </c>
      <c r="C42" s="1">
        <v>1.66</v>
      </c>
      <c r="D42" s="1">
        <f>ROUND(C42*C88,2)</f>
        <v>3.32</v>
      </c>
    </row>
    <row r="43" spans="1:4" ht="17.25" customHeight="1" x14ac:dyDescent="0.2">
      <c r="A43" s="3">
        <v>2241</v>
      </c>
      <c r="B43" s="4" t="s">
        <v>460</v>
      </c>
      <c r="C43" s="1"/>
      <c r="D43" s="1"/>
    </row>
    <row r="44" spans="1:4" ht="67.5" customHeight="1" x14ac:dyDescent="0.2">
      <c r="A44" s="3"/>
      <c r="B44" s="4" t="s">
        <v>1369</v>
      </c>
      <c r="C44" s="1">
        <v>2.08</v>
      </c>
      <c r="D44" s="1">
        <f>ROUND(C44*C88,2)</f>
        <v>4.16</v>
      </c>
    </row>
    <row r="45" spans="1:4" ht="21.75" customHeight="1" x14ac:dyDescent="0.2">
      <c r="A45" s="3">
        <v>2243</v>
      </c>
      <c r="B45" s="4" t="s">
        <v>100</v>
      </c>
      <c r="C45" s="1"/>
      <c r="D45" s="1"/>
    </row>
    <row r="46" spans="1:4" ht="60" x14ac:dyDescent="0.2">
      <c r="A46" s="3"/>
      <c r="B46" s="4" t="s">
        <v>1370</v>
      </c>
      <c r="C46" s="1">
        <v>1.71</v>
      </c>
      <c r="D46" s="1">
        <f>ROUND(C46*C88,2)</f>
        <v>3.42</v>
      </c>
    </row>
    <row r="47" spans="1:4" ht="19.5" customHeight="1" x14ac:dyDescent="0.2">
      <c r="A47" s="3">
        <v>2244</v>
      </c>
      <c r="B47" s="4" t="s">
        <v>92</v>
      </c>
      <c r="C47" s="24"/>
      <c r="D47" s="24"/>
    </row>
    <row r="48" spans="1:4" ht="65.25" customHeight="1" x14ac:dyDescent="0.2">
      <c r="A48" s="95"/>
      <c r="B48" s="4" t="s">
        <v>1371</v>
      </c>
      <c r="C48" s="1">
        <v>2.34</v>
      </c>
      <c r="D48" s="1">
        <f>ROUND(C48*C88,2)</f>
        <v>4.68</v>
      </c>
    </row>
    <row r="49" spans="1:4" ht="17.25" customHeight="1" x14ac:dyDescent="0.2">
      <c r="A49" s="96">
        <v>2247</v>
      </c>
      <c r="B49" s="4" t="s">
        <v>358</v>
      </c>
      <c r="C49" s="1"/>
      <c r="D49" s="1"/>
    </row>
    <row r="50" spans="1:4" ht="65.25" customHeight="1" x14ac:dyDescent="0.2">
      <c r="A50" s="96"/>
      <c r="B50" s="4" t="s">
        <v>1372</v>
      </c>
      <c r="C50" s="1">
        <v>0.09</v>
      </c>
      <c r="D50" s="1">
        <f>ROUND(C50*C88,2)</f>
        <v>0.18</v>
      </c>
    </row>
    <row r="51" spans="1:4" ht="18" customHeight="1" x14ac:dyDescent="0.2">
      <c r="A51" s="96">
        <v>2249</v>
      </c>
      <c r="B51" s="4" t="s">
        <v>1236</v>
      </c>
      <c r="C51" s="1"/>
      <c r="D51" s="1"/>
    </row>
    <row r="52" spans="1:4" ht="65.25" customHeight="1" x14ac:dyDescent="0.2">
      <c r="A52" s="95"/>
      <c r="B52" s="4" t="s">
        <v>1373</v>
      </c>
      <c r="C52" s="1">
        <v>0.08</v>
      </c>
      <c r="D52" s="1">
        <f>ROUND(C52*C88,2)</f>
        <v>0.16</v>
      </c>
    </row>
    <row r="53" spans="1:4" ht="17.25" customHeight="1" x14ac:dyDescent="0.2">
      <c r="A53" s="3">
        <v>2250</v>
      </c>
      <c r="B53" s="4" t="s">
        <v>129</v>
      </c>
      <c r="C53" s="24"/>
      <c r="D53" s="1"/>
    </row>
    <row r="54" spans="1:4" ht="74.25" customHeight="1" x14ac:dyDescent="0.2">
      <c r="A54" s="3"/>
      <c r="B54" s="97" t="s">
        <v>1374</v>
      </c>
      <c r="C54" s="1">
        <v>8.06</v>
      </c>
      <c r="D54" s="1">
        <f>ROUND(C54*C88,2)</f>
        <v>16.12</v>
      </c>
    </row>
    <row r="55" spans="1:4" ht="19.5" customHeight="1" x14ac:dyDescent="0.2">
      <c r="A55" s="3">
        <v>2261</v>
      </c>
      <c r="B55" s="97" t="s">
        <v>130</v>
      </c>
      <c r="C55" s="1"/>
      <c r="D55" s="1"/>
    </row>
    <row r="56" spans="1:4" ht="67.5" customHeight="1" x14ac:dyDescent="0.2">
      <c r="A56" s="3"/>
      <c r="B56" s="97" t="s">
        <v>1375</v>
      </c>
      <c r="C56" s="1">
        <v>10.039999999999999</v>
      </c>
      <c r="D56" s="1">
        <f>ROUND(C56*C88,2)</f>
        <v>20.079999999999998</v>
      </c>
    </row>
    <row r="57" spans="1:4" ht="18" customHeight="1" x14ac:dyDescent="0.2">
      <c r="A57" s="3">
        <v>2263</v>
      </c>
      <c r="B57" s="97" t="s">
        <v>360</v>
      </c>
      <c r="C57" s="1"/>
      <c r="D57" s="1"/>
    </row>
    <row r="58" spans="1:4" ht="65.25" customHeight="1" x14ac:dyDescent="0.2">
      <c r="A58" s="3"/>
      <c r="B58" s="4" t="s">
        <v>1376</v>
      </c>
      <c r="C58" s="1">
        <v>0.03</v>
      </c>
      <c r="D58" s="1">
        <f>ROUND(C58*C88,2)</f>
        <v>0.06</v>
      </c>
    </row>
    <row r="59" spans="1:4" ht="17.25" customHeight="1" x14ac:dyDescent="0.2">
      <c r="A59" s="3">
        <v>2264</v>
      </c>
      <c r="B59" s="4" t="s">
        <v>361</v>
      </c>
      <c r="C59" s="1"/>
      <c r="D59" s="1"/>
    </row>
    <row r="60" spans="1:4" ht="66.75" customHeight="1" x14ac:dyDescent="0.2">
      <c r="A60" s="3"/>
      <c r="B60" s="4" t="s">
        <v>1377</v>
      </c>
      <c r="C60" s="1">
        <v>0.89</v>
      </c>
      <c r="D60" s="1">
        <f>ROUND(C60*C88,2)</f>
        <v>1.78</v>
      </c>
    </row>
    <row r="61" spans="1:4" ht="17.25" customHeight="1" x14ac:dyDescent="0.2">
      <c r="A61" s="3">
        <v>2311</v>
      </c>
      <c r="B61" s="4" t="s">
        <v>93</v>
      </c>
      <c r="C61" s="24"/>
      <c r="D61" s="24"/>
    </row>
    <row r="62" spans="1:4" ht="21" customHeight="1" x14ac:dyDescent="0.2">
      <c r="A62" s="3"/>
      <c r="B62" s="4" t="s">
        <v>444</v>
      </c>
      <c r="C62" s="1">
        <f>ROUND(0/10,2)</f>
        <v>0</v>
      </c>
      <c r="D62" s="1">
        <f>ROUND(C62*C88,2)</f>
        <v>0</v>
      </c>
    </row>
    <row r="63" spans="1:4" ht="19.5" customHeight="1" x14ac:dyDescent="0.2">
      <c r="A63" s="3">
        <v>2312</v>
      </c>
      <c r="B63" s="4" t="s">
        <v>445</v>
      </c>
      <c r="C63" s="1"/>
      <c r="D63" s="1"/>
    </row>
    <row r="64" spans="1:4" ht="66.75" customHeight="1" x14ac:dyDescent="0.2">
      <c r="A64" s="3"/>
      <c r="B64" s="97" t="s">
        <v>1378</v>
      </c>
      <c r="C64" s="1">
        <v>0.37</v>
      </c>
      <c r="D64" s="1">
        <f>ROUND(C64*C88,2)</f>
        <v>0.74</v>
      </c>
    </row>
    <row r="65" spans="1:4" ht="18" customHeight="1" x14ac:dyDescent="0.2">
      <c r="A65" s="3">
        <v>2314</v>
      </c>
      <c r="B65" s="4" t="s">
        <v>1243</v>
      </c>
      <c r="C65" s="1"/>
      <c r="D65" s="1"/>
    </row>
    <row r="66" spans="1:4" ht="66.75" customHeight="1" x14ac:dyDescent="0.2">
      <c r="A66" s="3"/>
      <c r="B66" s="4" t="s">
        <v>1379</v>
      </c>
      <c r="C66" s="1">
        <v>0.8</v>
      </c>
      <c r="D66" s="1">
        <f>ROUND(C66*C88,2)</f>
        <v>1.6</v>
      </c>
    </row>
    <row r="67" spans="1:4" x14ac:dyDescent="0.2">
      <c r="A67" s="3">
        <v>2350</v>
      </c>
      <c r="B67" s="4" t="s">
        <v>119</v>
      </c>
      <c r="C67" s="24"/>
      <c r="D67" s="24"/>
    </row>
    <row r="68" spans="1:4" ht="69" customHeight="1" x14ac:dyDescent="0.2">
      <c r="A68" s="3"/>
      <c r="B68" s="4" t="s">
        <v>1380</v>
      </c>
      <c r="C68" s="1">
        <v>1.1399999999999999</v>
      </c>
      <c r="D68" s="1">
        <f>ROUND(C68*C88,2)</f>
        <v>2.2799999999999998</v>
      </c>
    </row>
    <row r="69" spans="1:4" ht="19.5" customHeight="1" x14ac:dyDescent="0.2">
      <c r="A69" s="3">
        <v>2361</v>
      </c>
      <c r="B69" s="4" t="s">
        <v>364</v>
      </c>
      <c r="C69" s="1"/>
      <c r="D69" s="1"/>
    </row>
    <row r="70" spans="1:4" ht="69" customHeight="1" x14ac:dyDescent="0.2">
      <c r="A70" s="3"/>
      <c r="B70" s="4" t="s">
        <v>1381</v>
      </c>
      <c r="C70" s="1">
        <v>7.0000000000000007E-2</v>
      </c>
      <c r="D70" s="1">
        <f>ROUND(C70*C88,2)</f>
        <v>0.14000000000000001</v>
      </c>
    </row>
    <row r="71" spans="1:4" ht="18" customHeight="1" x14ac:dyDescent="0.2">
      <c r="A71" s="3">
        <v>2513</v>
      </c>
      <c r="B71" s="4" t="s">
        <v>365</v>
      </c>
      <c r="C71" s="1"/>
      <c r="D71" s="1"/>
    </row>
    <row r="72" spans="1:4" ht="69" customHeight="1" x14ac:dyDescent="0.2">
      <c r="A72" s="3"/>
      <c r="B72" s="4" t="s">
        <v>1382</v>
      </c>
      <c r="C72" s="1">
        <v>0.11</v>
      </c>
      <c r="D72" s="1">
        <f>ROUND(C72*C88,2)</f>
        <v>0.22</v>
      </c>
    </row>
    <row r="73" spans="1:4" ht="16.5" customHeight="1" x14ac:dyDescent="0.2">
      <c r="A73" s="3">
        <v>2519</v>
      </c>
      <c r="B73" s="4" t="s">
        <v>366</v>
      </c>
      <c r="C73" s="1"/>
      <c r="D73" s="1"/>
    </row>
    <row r="74" spans="1:4" ht="69" customHeight="1" x14ac:dyDescent="0.2">
      <c r="A74" s="3"/>
      <c r="B74" s="4" t="s">
        <v>1383</v>
      </c>
      <c r="C74" s="1">
        <v>0.04</v>
      </c>
      <c r="D74" s="1">
        <f>ROUND(C74*C88,2)</f>
        <v>0.08</v>
      </c>
    </row>
    <row r="75" spans="1:4" x14ac:dyDescent="0.2">
      <c r="A75" s="3">
        <v>5120</v>
      </c>
      <c r="B75" s="4" t="s">
        <v>101</v>
      </c>
      <c r="C75" s="24"/>
      <c r="D75" s="1"/>
    </row>
    <row r="76" spans="1:4" ht="60" x14ac:dyDescent="0.2">
      <c r="A76" s="3"/>
      <c r="B76" s="4" t="s">
        <v>1384</v>
      </c>
      <c r="C76" s="1">
        <v>0.13</v>
      </c>
      <c r="D76" s="1">
        <f>ROUND(C76*C88,2)</f>
        <v>0.26</v>
      </c>
    </row>
    <row r="77" spans="1:4" x14ac:dyDescent="0.2">
      <c r="A77" s="3">
        <v>5220</v>
      </c>
      <c r="B77" s="4" t="s">
        <v>131</v>
      </c>
      <c r="C77" s="1">
        <v>0</v>
      </c>
      <c r="D77" s="1">
        <f>ROUND(C77*C88,2)</f>
        <v>0</v>
      </c>
    </row>
    <row r="78" spans="1:4" ht="21" customHeight="1" x14ac:dyDescent="0.2">
      <c r="A78" s="3">
        <v>5238</v>
      </c>
      <c r="B78" s="4" t="s">
        <v>132</v>
      </c>
      <c r="C78" s="30"/>
      <c r="D78" s="1"/>
    </row>
    <row r="79" spans="1:4" ht="60" x14ac:dyDescent="0.2">
      <c r="A79" s="3"/>
      <c r="B79" s="4" t="s">
        <v>1385</v>
      </c>
      <c r="C79" s="1">
        <v>0.73</v>
      </c>
      <c r="D79" s="1">
        <f>ROUND(C79*C88,2)</f>
        <v>1.46</v>
      </c>
    </row>
    <row r="80" spans="1:4" x14ac:dyDescent="0.2">
      <c r="A80" s="3">
        <v>5239</v>
      </c>
      <c r="B80" s="4" t="s">
        <v>369</v>
      </c>
      <c r="C80" s="1"/>
      <c r="D80" s="1"/>
    </row>
    <row r="81" spans="1:4" ht="60" x14ac:dyDescent="0.2">
      <c r="A81" s="3"/>
      <c r="B81" s="4" t="s">
        <v>1386</v>
      </c>
      <c r="C81" s="1">
        <v>1.29</v>
      </c>
      <c r="D81" s="1">
        <f>ROUND(C81*C88,2)</f>
        <v>2.58</v>
      </c>
    </row>
    <row r="82" spans="1:4" ht="19.5" customHeight="1" x14ac:dyDescent="0.2">
      <c r="A82" s="3"/>
      <c r="B82" s="31" t="s">
        <v>94</v>
      </c>
      <c r="C82" s="32">
        <f>SUM(C21:C81)</f>
        <v>49.889999999999993</v>
      </c>
      <c r="D82" s="32">
        <f>SUM(D21:D81)</f>
        <v>99.779999999999987</v>
      </c>
    </row>
    <row r="83" spans="1:4" x14ac:dyDescent="0.2">
      <c r="A83" s="33"/>
      <c r="B83" s="61" t="s">
        <v>133</v>
      </c>
      <c r="C83" s="32">
        <f>ROUND(C82+C18,4)</f>
        <v>222.36</v>
      </c>
      <c r="D83" s="32">
        <f>ROUND(D82+D18,4)</f>
        <v>444.72</v>
      </c>
    </row>
    <row r="84" spans="1:4" ht="16.5" customHeight="1" x14ac:dyDescent="0.2">
      <c r="A84" s="33"/>
      <c r="B84" s="61" t="s">
        <v>134</v>
      </c>
      <c r="C84" s="26">
        <f>ROUND(C83*0.21,2)</f>
        <v>46.7</v>
      </c>
      <c r="D84" s="26">
        <f>ROUND(D83*0.21,2)</f>
        <v>93.39</v>
      </c>
    </row>
    <row r="85" spans="1:4" x14ac:dyDescent="0.2">
      <c r="A85" s="33"/>
      <c r="B85" s="100" t="s">
        <v>135</v>
      </c>
      <c r="C85" s="26">
        <f>ROUND(C83+C84,2)</f>
        <v>269.06</v>
      </c>
      <c r="D85" s="32">
        <f>D83+D84</f>
        <v>538.11</v>
      </c>
    </row>
    <row r="86" spans="1:4" ht="15" customHeight="1" x14ac:dyDescent="0.2">
      <c r="A86" s="35"/>
      <c r="B86" s="36"/>
      <c r="C86" s="37"/>
      <c r="D86" s="37"/>
    </row>
    <row r="87" spans="1:4" x14ac:dyDescent="0.2">
      <c r="A87" s="6"/>
      <c r="B87" s="13"/>
      <c r="C87" s="13"/>
      <c r="D87" s="10"/>
    </row>
    <row r="88" spans="1:4" x14ac:dyDescent="0.2">
      <c r="A88" s="161" t="s">
        <v>96</v>
      </c>
      <c r="B88" s="162"/>
      <c r="C88" s="41">
        <v>2</v>
      </c>
      <c r="D88" s="38"/>
    </row>
    <row r="89" spans="1:4" x14ac:dyDescent="0.2">
      <c r="A89" s="152" t="s">
        <v>112</v>
      </c>
      <c r="B89" s="153"/>
      <c r="C89" s="2">
        <f>D85/C88</f>
        <v>269.05500000000001</v>
      </c>
      <c r="D89" s="38"/>
    </row>
    <row r="90" spans="1:4" ht="15" x14ac:dyDescent="0.25">
      <c r="A90" s="84"/>
      <c r="B90" s="84"/>
      <c r="C90" s="84"/>
      <c r="D90" s="84"/>
    </row>
  </sheetData>
  <mergeCells count="7">
    <mergeCell ref="A89:B89"/>
    <mergeCell ref="A1:D1"/>
    <mergeCell ref="C2:D2"/>
    <mergeCell ref="A5:D5"/>
    <mergeCell ref="A7:B7"/>
    <mergeCell ref="A9:B9"/>
    <mergeCell ref="A88:B88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F72B1-7210-41D0-A1C9-BF40D251D583}">
  <dimension ref="A1:I91"/>
  <sheetViews>
    <sheetView view="pageBreakPreview" zoomScale="60" zoomScaleNormal="100" workbookViewId="0">
      <selection activeCell="A5" sqref="A5:D5"/>
    </sheetView>
  </sheetViews>
  <sheetFormatPr defaultColWidth="9.140625" defaultRowHeight="12" x14ac:dyDescent="0.2"/>
  <cols>
    <col min="1" max="1" width="9.140625" style="89"/>
    <col min="2" max="2" width="61.42578125" style="89" customWidth="1"/>
    <col min="3" max="3" width="10" style="89" customWidth="1"/>
    <col min="4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ht="12" customHeight="1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ht="12" customHeight="1" x14ac:dyDescent="0.2">
      <c r="A4" s="6"/>
      <c r="B4" s="9"/>
      <c r="C4" s="9"/>
      <c r="D4" s="10"/>
    </row>
    <row r="5" spans="1:4" ht="12" customHeight="1" x14ac:dyDescent="0.2">
      <c r="A5" s="157" t="s">
        <v>1611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106</v>
      </c>
      <c r="B9" s="160"/>
      <c r="C9" s="48" t="s">
        <v>1387</v>
      </c>
      <c r="D9" s="44"/>
    </row>
    <row r="10" spans="1:4" ht="120" x14ac:dyDescent="0.2">
      <c r="A10" s="14" t="s">
        <v>124</v>
      </c>
      <c r="B10" s="14" t="s">
        <v>81</v>
      </c>
      <c r="C10" s="14" t="s">
        <v>136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44.75" customHeight="1" x14ac:dyDescent="0.2">
      <c r="A14" s="3"/>
      <c r="B14" s="81" t="s">
        <v>1623</v>
      </c>
      <c r="C14" s="1">
        <v>13.96</v>
      </c>
      <c r="D14" s="1">
        <f>ROUND(C14*C88,2)</f>
        <v>139.6</v>
      </c>
    </row>
    <row r="15" spans="1:4" ht="27.75" customHeight="1" x14ac:dyDescent="0.2">
      <c r="A15" s="3">
        <v>1200</v>
      </c>
      <c r="B15" s="23" t="s">
        <v>1388</v>
      </c>
      <c r="C15" s="1">
        <f>ROUND(C14*0.2359,2)</f>
        <v>3.29</v>
      </c>
      <c r="D15" s="1">
        <f>ROUND(C15*C88,2)</f>
        <v>32.9</v>
      </c>
    </row>
    <row r="16" spans="1:4" x14ac:dyDescent="0.2">
      <c r="A16" s="3">
        <v>2341</v>
      </c>
      <c r="B16" s="3" t="s">
        <v>86</v>
      </c>
      <c r="C16" s="24"/>
      <c r="D16" s="24"/>
    </row>
    <row r="17" spans="1:9" ht="18.75" customHeight="1" x14ac:dyDescent="0.2">
      <c r="A17" s="3"/>
      <c r="B17" s="23" t="s">
        <v>139</v>
      </c>
      <c r="C17" s="1">
        <v>0</v>
      </c>
      <c r="D17" s="1">
        <f>ROUND(C17*C88,2)</f>
        <v>0</v>
      </c>
    </row>
    <row r="18" spans="1:9" ht="15.75" customHeight="1" x14ac:dyDescent="0.2">
      <c r="A18" s="3"/>
      <c r="B18" s="40" t="s">
        <v>87</v>
      </c>
      <c r="C18" s="32">
        <f>C14+C15+C17</f>
        <v>17.25</v>
      </c>
      <c r="D18" s="32">
        <f>D14+D15+D17</f>
        <v>172.5</v>
      </c>
    </row>
    <row r="19" spans="1:9" ht="16.5" customHeight="1" x14ac:dyDescent="0.25">
      <c r="A19" s="3"/>
      <c r="B19" s="40" t="s">
        <v>245</v>
      </c>
      <c r="C19" s="24"/>
      <c r="D19" s="24"/>
      <c r="E19" s="84"/>
    </row>
    <row r="20" spans="1:9" ht="15" x14ac:dyDescent="0.25">
      <c r="A20" s="20">
        <v>1100</v>
      </c>
      <c r="B20" s="93" t="s">
        <v>85</v>
      </c>
      <c r="C20" s="24"/>
      <c r="D20" s="24"/>
      <c r="E20" s="84"/>
    </row>
    <row r="21" spans="1:9" ht="63" customHeight="1" x14ac:dyDescent="0.25">
      <c r="A21" s="5"/>
      <c r="B21" s="81" t="s">
        <v>1389</v>
      </c>
      <c r="C21" s="1">
        <f>ROUND(9.08/10,2)</f>
        <v>0.91</v>
      </c>
      <c r="D21" s="1">
        <f>ROUND(C21*C88,2)</f>
        <v>9.1</v>
      </c>
      <c r="E21" s="84"/>
      <c r="F21" s="78"/>
      <c r="G21" s="78"/>
      <c r="H21" s="78"/>
      <c r="I21" s="78"/>
    </row>
    <row r="22" spans="1:9" ht="28.5" customHeight="1" x14ac:dyDescent="0.25">
      <c r="A22" s="94">
        <v>1200</v>
      </c>
      <c r="B22" s="23" t="s">
        <v>1390</v>
      </c>
      <c r="C22" s="1">
        <f>ROUND(C21*0.2359,2)</f>
        <v>0.21</v>
      </c>
      <c r="D22" s="1">
        <f>ROUND(C22*C88,2)</f>
        <v>2.1</v>
      </c>
      <c r="E22" s="84"/>
    </row>
    <row r="23" spans="1:9" ht="18" customHeight="1" x14ac:dyDescent="0.25">
      <c r="A23" s="3">
        <v>2210</v>
      </c>
      <c r="B23" s="4" t="s">
        <v>125</v>
      </c>
      <c r="C23" s="24"/>
      <c r="D23" s="24"/>
      <c r="E23" s="84"/>
    </row>
    <row r="24" spans="1:9" ht="80.25" customHeight="1" x14ac:dyDescent="0.25">
      <c r="A24" s="3"/>
      <c r="B24" s="4" t="s">
        <v>1391</v>
      </c>
      <c r="C24" s="1">
        <f>ROUND(0.72/10,2)</f>
        <v>7.0000000000000007E-2</v>
      </c>
      <c r="D24" s="1">
        <f>ROUND(C24*C88,2)</f>
        <v>0.7</v>
      </c>
      <c r="E24" s="84"/>
    </row>
    <row r="25" spans="1:9" ht="20.25" customHeight="1" x14ac:dyDescent="0.25">
      <c r="A25" s="3">
        <v>2221</v>
      </c>
      <c r="B25" s="4" t="s">
        <v>89</v>
      </c>
      <c r="C25" s="24"/>
      <c r="D25" s="24"/>
      <c r="E25" s="84"/>
    </row>
    <row r="26" spans="1:9" ht="79.5" customHeight="1" x14ac:dyDescent="0.25">
      <c r="A26" s="3"/>
      <c r="B26" s="4" t="s">
        <v>1392</v>
      </c>
      <c r="C26" s="1">
        <f>ROUND(1.76/10,2)</f>
        <v>0.18</v>
      </c>
      <c r="D26" s="1">
        <f>ROUND(C26*C88,2)</f>
        <v>1.8</v>
      </c>
      <c r="E26" s="84"/>
    </row>
    <row r="27" spans="1:9" ht="22.5" customHeight="1" x14ac:dyDescent="0.25">
      <c r="A27" s="3">
        <v>2222</v>
      </c>
      <c r="B27" s="4" t="s">
        <v>90</v>
      </c>
      <c r="C27" s="24"/>
      <c r="D27" s="24"/>
      <c r="E27" s="84"/>
    </row>
    <row r="28" spans="1:9" ht="23.25" customHeight="1" x14ac:dyDescent="0.25">
      <c r="A28" s="3"/>
      <c r="B28" s="4" t="s">
        <v>444</v>
      </c>
      <c r="C28" s="1">
        <f>ROUND(0/10,2)</f>
        <v>0</v>
      </c>
      <c r="D28" s="1">
        <f>ROUND(C28*C88,2)</f>
        <v>0</v>
      </c>
      <c r="E28" s="84"/>
    </row>
    <row r="29" spans="1:9" ht="15" x14ac:dyDescent="0.25">
      <c r="A29" s="3">
        <v>2223</v>
      </c>
      <c r="B29" s="3" t="s">
        <v>91</v>
      </c>
      <c r="C29" s="24"/>
      <c r="D29" s="24"/>
      <c r="E29" s="84"/>
    </row>
    <row r="30" spans="1:9" ht="82.5" customHeight="1" x14ac:dyDescent="0.25">
      <c r="A30" s="3"/>
      <c r="B30" s="4" t="s">
        <v>1393</v>
      </c>
      <c r="C30" s="1">
        <f>ROUND(3.21/10,2)</f>
        <v>0.32</v>
      </c>
      <c r="D30" s="1">
        <f>ROUND(C30*C88,2)</f>
        <v>3.2</v>
      </c>
      <c r="E30" s="84"/>
    </row>
    <row r="31" spans="1:9" ht="18.75" customHeight="1" x14ac:dyDescent="0.25">
      <c r="A31" s="3">
        <v>2224</v>
      </c>
      <c r="B31" s="4" t="s">
        <v>126</v>
      </c>
      <c r="C31" s="24"/>
      <c r="D31" s="24"/>
      <c r="E31" s="84"/>
    </row>
    <row r="32" spans="1:9" ht="18" customHeight="1" x14ac:dyDescent="0.25">
      <c r="A32" s="3"/>
      <c r="B32" s="4" t="s">
        <v>444</v>
      </c>
      <c r="C32" s="1">
        <f>ROUND(0/10,2)</f>
        <v>0</v>
      </c>
      <c r="D32" s="1">
        <f>ROUND(C32*C88,2)</f>
        <v>0</v>
      </c>
      <c r="E32" s="84"/>
    </row>
    <row r="33" spans="1:5" ht="12" customHeight="1" x14ac:dyDescent="0.25">
      <c r="A33" s="3">
        <v>2231</v>
      </c>
      <c r="B33" s="4" t="s">
        <v>117</v>
      </c>
      <c r="C33" s="24"/>
      <c r="D33" s="24"/>
      <c r="E33" s="84"/>
    </row>
    <row r="34" spans="1:5" ht="82.5" customHeight="1" x14ac:dyDescent="0.25">
      <c r="A34" s="3"/>
      <c r="B34" s="4" t="s">
        <v>1394</v>
      </c>
      <c r="C34" s="1">
        <f>ROUND(0.88/10,2)</f>
        <v>0.09</v>
      </c>
      <c r="D34" s="1">
        <f>ROUND(C34*C88,2)</f>
        <v>0.9</v>
      </c>
      <c r="E34" s="84"/>
    </row>
    <row r="35" spans="1:5" ht="20.25" customHeight="1" x14ac:dyDescent="0.25">
      <c r="A35" s="3">
        <v>2232</v>
      </c>
      <c r="B35" s="4" t="s">
        <v>453</v>
      </c>
      <c r="C35" s="1"/>
      <c r="D35" s="1"/>
      <c r="E35" s="84"/>
    </row>
    <row r="36" spans="1:5" ht="82.5" customHeight="1" x14ac:dyDescent="0.25">
      <c r="A36" s="3"/>
      <c r="B36" s="4" t="s">
        <v>1395</v>
      </c>
      <c r="C36" s="1">
        <f>ROUND(0.23/10,2)</f>
        <v>0.02</v>
      </c>
      <c r="D36" s="1">
        <f>ROUND(C36*C88,2)</f>
        <v>0.2</v>
      </c>
      <c r="E36" s="84"/>
    </row>
    <row r="37" spans="1:5" ht="20.25" customHeight="1" x14ac:dyDescent="0.25">
      <c r="A37" s="3">
        <v>2233</v>
      </c>
      <c r="B37" s="4" t="s">
        <v>127</v>
      </c>
      <c r="C37" s="1"/>
      <c r="D37" s="1"/>
      <c r="E37" s="84"/>
    </row>
    <row r="38" spans="1:5" ht="19.5" customHeight="1" x14ac:dyDescent="0.25">
      <c r="A38" s="3"/>
      <c r="B38" s="4" t="s">
        <v>128</v>
      </c>
      <c r="C38" s="1">
        <v>0</v>
      </c>
      <c r="D38" s="1">
        <f>ROUND(C38*C88,2)</f>
        <v>0</v>
      </c>
      <c r="E38" s="84"/>
    </row>
    <row r="39" spans="1:5" ht="19.5" customHeight="1" x14ac:dyDescent="0.25">
      <c r="A39" s="3">
        <v>2235</v>
      </c>
      <c r="B39" s="4" t="s">
        <v>355</v>
      </c>
      <c r="C39" s="1"/>
      <c r="D39" s="1"/>
      <c r="E39" s="84"/>
    </row>
    <row r="40" spans="1:5" ht="74.25" customHeight="1" x14ac:dyDescent="0.25">
      <c r="A40" s="3"/>
      <c r="B40" s="4" t="s">
        <v>1396</v>
      </c>
      <c r="C40" s="1">
        <f>ROUND(0.22/10,2)</f>
        <v>0.02</v>
      </c>
      <c r="D40" s="1">
        <f>ROUND(C40*C88,2)</f>
        <v>0.2</v>
      </c>
      <c r="E40" s="84"/>
    </row>
    <row r="41" spans="1:5" ht="13.5" customHeight="1" x14ac:dyDescent="0.25">
      <c r="A41" s="3">
        <v>2239</v>
      </c>
      <c r="B41" s="4" t="s">
        <v>356</v>
      </c>
      <c r="C41" s="1"/>
      <c r="D41" s="1"/>
      <c r="E41" s="84"/>
    </row>
    <row r="42" spans="1:5" ht="87" customHeight="1" x14ac:dyDescent="0.25">
      <c r="A42" s="3"/>
      <c r="B42" s="4" t="s">
        <v>1397</v>
      </c>
      <c r="C42" s="1">
        <f>ROUND(1.66/10,2)</f>
        <v>0.17</v>
      </c>
      <c r="D42" s="1">
        <f>ROUND(C42*C88,2)</f>
        <v>1.7</v>
      </c>
      <c r="E42" s="84"/>
    </row>
    <row r="43" spans="1:5" ht="19.5" customHeight="1" x14ac:dyDescent="0.25">
      <c r="A43" s="3">
        <v>2241</v>
      </c>
      <c r="B43" s="4" t="s">
        <v>460</v>
      </c>
      <c r="C43" s="1"/>
      <c r="D43" s="1"/>
      <c r="E43" s="84"/>
    </row>
    <row r="44" spans="1:5" ht="75" customHeight="1" x14ac:dyDescent="0.25">
      <c r="A44" s="3"/>
      <c r="B44" s="4" t="s">
        <v>1398</v>
      </c>
      <c r="C44" s="1">
        <f>ROUND(2.08/10,2)</f>
        <v>0.21</v>
      </c>
      <c r="D44" s="1">
        <f>ROUND(C44*C88,2)</f>
        <v>2.1</v>
      </c>
      <c r="E44" s="84"/>
    </row>
    <row r="45" spans="1:5" ht="15" x14ac:dyDescent="0.25">
      <c r="A45" s="3">
        <v>2243</v>
      </c>
      <c r="B45" s="4" t="s">
        <v>100</v>
      </c>
      <c r="C45" s="1"/>
      <c r="D45" s="1"/>
      <c r="E45" s="84"/>
    </row>
    <row r="46" spans="1:5" ht="81.75" customHeight="1" x14ac:dyDescent="0.25">
      <c r="A46" s="3"/>
      <c r="B46" s="4" t="s">
        <v>1399</v>
      </c>
      <c r="C46" s="1">
        <f>ROUND(1.71/10,2)</f>
        <v>0.17</v>
      </c>
      <c r="D46" s="1">
        <f>ROUND(C46*C88,2)</f>
        <v>1.7</v>
      </c>
      <c r="E46" s="84"/>
    </row>
    <row r="47" spans="1:5" ht="15" x14ac:dyDescent="0.25">
      <c r="A47" s="3">
        <v>2244</v>
      </c>
      <c r="B47" s="4" t="s">
        <v>92</v>
      </c>
      <c r="C47" s="24"/>
      <c r="D47" s="24"/>
      <c r="E47" s="84"/>
    </row>
    <row r="48" spans="1:5" ht="84" x14ac:dyDescent="0.25">
      <c r="A48" s="95"/>
      <c r="B48" s="4" t="s">
        <v>1400</v>
      </c>
      <c r="C48" s="1">
        <f>ROUND(2.34/10,2)</f>
        <v>0.23</v>
      </c>
      <c r="D48" s="1">
        <f>ROUND(C48*C88,2)</f>
        <v>2.2999999999999998</v>
      </c>
      <c r="E48" s="84"/>
    </row>
    <row r="49" spans="1:5" ht="15" x14ac:dyDescent="0.25">
      <c r="A49" s="96">
        <v>2247</v>
      </c>
      <c r="B49" s="4" t="s">
        <v>358</v>
      </c>
      <c r="C49" s="1"/>
      <c r="D49" s="1"/>
      <c r="E49" s="84"/>
    </row>
    <row r="50" spans="1:5" ht="72" x14ac:dyDescent="0.25">
      <c r="A50" s="96"/>
      <c r="B50" s="4" t="s">
        <v>1401</v>
      </c>
      <c r="C50" s="1">
        <v>0.01</v>
      </c>
      <c r="D50" s="1">
        <f>ROUND(C50*C88,2)</f>
        <v>0.1</v>
      </c>
      <c r="E50" s="84"/>
    </row>
    <row r="51" spans="1:5" ht="15" x14ac:dyDescent="0.25">
      <c r="A51" s="96">
        <v>2249</v>
      </c>
      <c r="B51" s="4" t="s">
        <v>1236</v>
      </c>
      <c r="C51" s="1"/>
      <c r="D51" s="1"/>
      <c r="E51" s="84"/>
    </row>
    <row r="52" spans="1:5" ht="72" customHeight="1" x14ac:dyDescent="0.25">
      <c r="A52" s="95"/>
      <c r="B52" s="4" t="s">
        <v>1402</v>
      </c>
      <c r="C52" s="1">
        <v>0.01</v>
      </c>
      <c r="D52" s="1">
        <f>ROUND(C52*C88,2)</f>
        <v>0.1</v>
      </c>
      <c r="E52" s="84"/>
    </row>
    <row r="53" spans="1:5" ht="15" x14ac:dyDescent="0.25">
      <c r="A53" s="3">
        <v>2250</v>
      </c>
      <c r="B53" s="4" t="s">
        <v>129</v>
      </c>
      <c r="C53" s="24"/>
      <c r="D53" s="1"/>
      <c r="E53" s="84"/>
    </row>
    <row r="54" spans="1:5" ht="84" x14ac:dyDescent="0.25">
      <c r="A54" s="3"/>
      <c r="B54" s="97" t="s">
        <v>1403</v>
      </c>
      <c r="C54" s="1">
        <f>ROUND(8.06/10,2)</f>
        <v>0.81</v>
      </c>
      <c r="D54" s="1">
        <f>ROUND(C54*C88,2)</f>
        <v>8.1</v>
      </c>
      <c r="E54" s="84"/>
    </row>
    <row r="55" spans="1:5" ht="15" x14ac:dyDescent="0.25">
      <c r="A55" s="3">
        <v>2261</v>
      </c>
      <c r="B55" s="97" t="s">
        <v>130</v>
      </c>
      <c r="C55" s="1"/>
      <c r="D55" s="1"/>
      <c r="E55" s="84"/>
    </row>
    <row r="56" spans="1:5" ht="84" x14ac:dyDescent="0.25">
      <c r="A56" s="3"/>
      <c r="B56" s="97" t="s">
        <v>1404</v>
      </c>
      <c r="C56" s="1">
        <f>ROUND(10.04/10,2)</f>
        <v>1</v>
      </c>
      <c r="D56" s="1">
        <f>ROUND(C56*C88,2)</f>
        <v>10</v>
      </c>
      <c r="E56" s="84"/>
    </row>
    <row r="57" spans="1:5" ht="15" x14ac:dyDescent="0.25">
      <c r="A57" s="3">
        <v>2263</v>
      </c>
      <c r="B57" s="97" t="s">
        <v>360</v>
      </c>
      <c r="C57" s="1"/>
      <c r="D57" s="1"/>
      <c r="E57" s="84"/>
    </row>
    <row r="58" spans="1:5" ht="72" x14ac:dyDescent="0.25">
      <c r="A58" s="3"/>
      <c r="B58" s="4" t="s">
        <v>1405</v>
      </c>
      <c r="C58" s="1">
        <v>0</v>
      </c>
      <c r="D58" s="1">
        <f>ROUND(C58*C88,2)</f>
        <v>0</v>
      </c>
      <c r="E58" s="84"/>
    </row>
    <row r="59" spans="1:5" ht="15" x14ac:dyDescent="0.25">
      <c r="A59" s="3">
        <v>2264</v>
      </c>
      <c r="B59" s="4" t="s">
        <v>361</v>
      </c>
      <c r="C59" s="1"/>
      <c r="D59" s="1"/>
      <c r="E59" s="84"/>
    </row>
    <row r="60" spans="1:5" ht="72" x14ac:dyDescent="0.25">
      <c r="A60" s="3"/>
      <c r="B60" s="4" t="s">
        <v>1406</v>
      </c>
      <c r="C60" s="1">
        <v>0.09</v>
      </c>
      <c r="D60" s="1">
        <f>ROUND(C60*C88,2)</f>
        <v>0.9</v>
      </c>
      <c r="E60" s="84"/>
    </row>
    <row r="61" spans="1:5" ht="15" x14ac:dyDescent="0.25">
      <c r="A61" s="3">
        <v>2311</v>
      </c>
      <c r="B61" s="4" t="s">
        <v>93</v>
      </c>
      <c r="C61" s="24"/>
      <c r="D61" s="24"/>
      <c r="E61" s="84"/>
    </row>
    <row r="62" spans="1:5" ht="19.5" customHeight="1" x14ac:dyDescent="0.25">
      <c r="A62" s="3"/>
      <c r="B62" s="4" t="s">
        <v>444</v>
      </c>
      <c r="C62" s="1">
        <f>ROUND(0/10,2)</f>
        <v>0</v>
      </c>
      <c r="D62" s="1">
        <f>ROUND(C62*C88,2)</f>
        <v>0</v>
      </c>
      <c r="E62" s="84"/>
    </row>
    <row r="63" spans="1:5" ht="15" x14ac:dyDescent="0.25">
      <c r="A63" s="3">
        <v>2312</v>
      </c>
      <c r="B63" s="4" t="s">
        <v>445</v>
      </c>
      <c r="C63" s="1"/>
      <c r="D63" s="1"/>
      <c r="E63" s="84"/>
    </row>
    <row r="64" spans="1:5" ht="72" x14ac:dyDescent="0.25">
      <c r="A64" s="3"/>
      <c r="B64" s="97" t="s">
        <v>1407</v>
      </c>
      <c r="C64" s="1">
        <f>ROUND(0.37/10,2)</f>
        <v>0.04</v>
      </c>
      <c r="D64" s="1">
        <f>ROUND(C64*C88,2)</f>
        <v>0.4</v>
      </c>
      <c r="E64" s="84"/>
    </row>
    <row r="65" spans="1:5" ht="15" x14ac:dyDescent="0.25">
      <c r="A65" s="3">
        <v>2314</v>
      </c>
      <c r="B65" s="4" t="s">
        <v>1243</v>
      </c>
      <c r="C65" s="1"/>
      <c r="D65" s="1"/>
      <c r="E65" s="84"/>
    </row>
    <row r="66" spans="1:5" ht="72" x14ac:dyDescent="0.25">
      <c r="A66" s="3"/>
      <c r="B66" s="4" t="s">
        <v>1408</v>
      </c>
      <c r="C66" s="1">
        <f>ROUND(0.8/10,2)</f>
        <v>0.08</v>
      </c>
      <c r="D66" s="1">
        <f>ROUND(C66*C88,2)</f>
        <v>0.8</v>
      </c>
      <c r="E66" s="84"/>
    </row>
    <row r="67" spans="1:5" ht="15" x14ac:dyDescent="0.25">
      <c r="A67" s="3">
        <v>2350</v>
      </c>
      <c r="B67" s="4" t="s">
        <v>119</v>
      </c>
      <c r="C67" s="24"/>
      <c r="D67" s="24"/>
      <c r="E67" s="84"/>
    </row>
    <row r="68" spans="1:5" ht="72" x14ac:dyDescent="0.25">
      <c r="A68" s="3"/>
      <c r="B68" s="4" t="s">
        <v>1409</v>
      </c>
      <c r="C68" s="1">
        <f>ROUND(1.14/10,2)</f>
        <v>0.11</v>
      </c>
      <c r="D68" s="1">
        <f>ROUND(C68*C88,2)</f>
        <v>1.1000000000000001</v>
      </c>
      <c r="E68" s="84"/>
    </row>
    <row r="69" spans="1:5" ht="15" x14ac:dyDescent="0.25">
      <c r="A69" s="3">
        <v>2361</v>
      </c>
      <c r="B69" s="4" t="s">
        <v>364</v>
      </c>
      <c r="C69" s="1"/>
      <c r="D69" s="1"/>
      <c r="E69" s="84"/>
    </row>
    <row r="70" spans="1:5" ht="72" x14ac:dyDescent="0.25">
      <c r="A70" s="3"/>
      <c r="B70" s="4" t="s">
        <v>1410</v>
      </c>
      <c r="C70" s="1">
        <f>ROUND(0.07/10,2)</f>
        <v>0.01</v>
      </c>
      <c r="D70" s="1">
        <f>ROUND(C70*C88,2)</f>
        <v>0.1</v>
      </c>
      <c r="E70" s="84"/>
    </row>
    <row r="71" spans="1:5" ht="15" x14ac:dyDescent="0.25">
      <c r="A71" s="3">
        <v>2513</v>
      </c>
      <c r="B71" s="4" t="s">
        <v>365</v>
      </c>
      <c r="C71" s="1"/>
      <c r="D71" s="1"/>
      <c r="E71" s="84"/>
    </row>
    <row r="72" spans="1:5" ht="72" x14ac:dyDescent="0.25">
      <c r="A72" s="3"/>
      <c r="B72" s="4" t="s">
        <v>1411</v>
      </c>
      <c r="C72" s="1">
        <f>ROUND(0.11/10,2)</f>
        <v>0.01</v>
      </c>
      <c r="D72" s="1">
        <f>ROUND(C72*C88,2)</f>
        <v>0.1</v>
      </c>
      <c r="E72" s="84"/>
    </row>
    <row r="73" spans="1:5" ht="15" x14ac:dyDescent="0.25">
      <c r="A73" s="3">
        <v>2519</v>
      </c>
      <c r="B73" s="4" t="s">
        <v>366</v>
      </c>
      <c r="C73" s="1"/>
      <c r="D73" s="1"/>
      <c r="E73" s="84"/>
    </row>
    <row r="74" spans="1:5" ht="72" x14ac:dyDescent="0.25">
      <c r="A74" s="3"/>
      <c r="B74" s="4" t="s">
        <v>1412</v>
      </c>
      <c r="C74" s="1">
        <f>ROUND(0.04/10,2)</f>
        <v>0</v>
      </c>
      <c r="D74" s="1">
        <f>ROUND(C74*C88,2)</f>
        <v>0</v>
      </c>
      <c r="E74" s="84"/>
    </row>
    <row r="75" spans="1:5" ht="15" x14ac:dyDescent="0.25">
      <c r="A75" s="3">
        <v>5120</v>
      </c>
      <c r="B75" s="4" t="s">
        <v>101</v>
      </c>
      <c r="C75" s="24"/>
      <c r="D75" s="1"/>
      <c r="E75" s="84"/>
    </row>
    <row r="76" spans="1:5" ht="72" x14ac:dyDescent="0.25">
      <c r="A76" s="3"/>
      <c r="B76" s="4" t="s">
        <v>1413</v>
      </c>
      <c r="C76" s="1">
        <f>ROUND(0.13/10,2)</f>
        <v>0.01</v>
      </c>
      <c r="D76" s="1">
        <f>ROUND(C76*C88,2)</f>
        <v>0.1</v>
      </c>
      <c r="E76" s="84"/>
    </row>
    <row r="77" spans="1:5" ht="15" x14ac:dyDescent="0.25">
      <c r="A77" s="3">
        <v>5220</v>
      </c>
      <c r="B77" s="4" t="s">
        <v>131</v>
      </c>
      <c r="C77" s="1">
        <v>0</v>
      </c>
      <c r="D77" s="1">
        <f>ROUND(C77*C88,2)</f>
        <v>0</v>
      </c>
      <c r="E77" s="84"/>
    </row>
    <row r="78" spans="1:5" ht="18" customHeight="1" x14ac:dyDescent="0.25">
      <c r="A78" s="3">
        <v>5238</v>
      </c>
      <c r="B78" s="4" t="s">
        <v>132</v>
      </c>
      <c r="C78" s="30"/>
      <c r="D78" s="1"/>
      <c r="E78" s="84"/>
    </row>
    <row r="79" spans="1:5" ht="72" x14ac:dyDescent="0.25">
      <c r="A79" s="3"/>
      <c r="B79" s="4" t="s">
        <v>1414</v>
      </c>
      <c r="C79" s="1">
        <f>ROUND(0.73/10,2)</f>
        <v>7.0000000000000007E-2</v>
      </c>
      <c r="D79" s="1">
        <f>ROUND(C79*C88,2)</f>
        <v>0.7</v>
      </c>
      <c r="E79" s="84"/>
    </row>
    <row r="80" spans="1:5" ht="15" x14ac:dyDescent="0.25">
      <c r="A80" s="3">
        <v>5239</v>
      </c>
      <c r="B80" s="4" t="s">
        <v>369</v>
      </c>
      <c r="C80" s="1"/>
      <c r="D80" s="1"/>
      <c r="E80" s="84"/>
    </row>
    <row r="81" spans="1:5" ht="72" x14ac:dyDescent="0.25">
      <c r="A81" s="3"/>
      <c r="B81" s="4" t="s">
        <v>1415</v>
      </c>
      <c r="C81" s="1">
        <f>ROUND(1.29/10,2)</f>
        <v>0.13</v>
      </c>
      <c r="D81" s="1">
        <f>ROUND(C81*C88,2)</f>
        <v>1.3</v>
      </c>
      <c r="E81" s="84"/>
    </row>
    <row r="82" spans="1:5" ht="18" customHeight="1" x14ac:dyDescent="0.25">
      <c r="A82" s="3"/>
      <c r="B82" s="31" t="s">
        <v>94</v>
      </c>
      <c r="C82" s="32">
        <f>SUM(C21:C81)</f>
        <v>4.9799999999999995</v>
      </c>
      <c r="D82" s="32">
        <f>SUM(D21:D81)</f>
        <v>49.8</v>
      </c>
      <c r="E82" s="84"/>
    </row>
    <row r="83" spans="1:5" ht="15" x14ac:dyDescent="0.25">
      <c r="A83" s="33"/>
      <c r="B83" s="61" t="s">
        <v>133</v>
      </c>
      <c r="C83" s="32">
        <f>ROUND(C82+C18,4)</f>
        <v>22.23</v>
      </c>
      <c r="D83" s="32">
        <f>ROUND(D82+D18,4)</f>
        <v>222.3</v>
      </c>
      <c r="E83" s="84"/>
    </row>
    <row r="84" spans="1:5" ht="12.75" customHeight="1" x14ac:dyDescent="0.25">
      <c r="A84" s="33"/>
      <c r="B84" s="61" t="s">
        <v>134</v>
      </c>
      <c r="C84" s="26">
        <f>ROUND(C83*0.21,2)</f>
        <v>4.67</v>
      </c>
      <c r="D84" s="26">
        <f>ROUND(D83*0.21,2)</f>
        <v>46.68</v>
      </c>
      <c r="E84" s="84"/>
    </row>
    <row r="85" spans="1:5" ht="15" x14ac:dyDescent="0.25">
      <c r="A85" s="33"/>
      <c r="B85" s="100" t="s">
        <v>135</v>
      </c>
      <c r="C85" s="26">
        <f>ROUND(C83+C84,2)</f>
        <v>26.9</v>
      </c>
      <c r="D85" s="32">
        <f>D83+D84</f>
        <v>268.98</v>
      </c>
      <c r="E85" s="84"/>
    </row>
    <row r="86" spans="1:5" ht="19.5" customHeight="1" x14ac:dyDescent="0.25">
      <c r="A86" s="35"/>
      <c r="B86" s="36"/>
      <c r="C86" s="37"/>
      <c r="D86" s="37"/>
      <c r="E86" s="84"/>
    </row>
    <row r="87" spans="1:5" ht="15" x14ac:dyDescent="0.25">
      <c r="A87" s="6"/>
      <c r="B87" s="13"/>
      <c r="C87" s="13"/>
      <c r="D87" s="10"/>
      <c r="E87" s="84"/>
    </row>
    <row r="88" spans="1:5" ht="15" x14ac:dyDescent="0.25">
      <c r="A88" s="161" t="s">
        <v>96</v>
      </c>
      <c r="B88" s="162"/>
      <c r="C88" s="41">
        <v>10</v>
      </c>
      <c r="D88" s="38"/>
      <c r="E88" s="84"/>
    </row>
    <row r="89" spans="1:5" ht="15" x14ac:dyDescent="0.25">
      <c r="A89" s="152" t="s">
        <v>112</v>
      </c>
      <c r="B89" s="153"/>
      <c r="C89" s="2">
        <f>D85/C88</f>
        <v>26.898000000000003</v>
      </c>
      <c r="D89" s="38"/>
      <c r="E89" s="84"/>
    </row>
    <row r="90" spans="1:5" ht="15" x14ac:dyDescent="0.25">
      <c r="A90" s="84"/>
      <c r="B90" s="84"/>
      <c r="C90" s="84"/>
      <c r="D90" s="84"/>
      <c r="E90" s="84"/>
    </row>
    <row r="91" spans="1:5" ht="15" x14ac:dyDescent="0.25">
      <c r="A91" s="84"/>
      <c r="B91" s="84"/>
      <c r="C91" s="84"/>
      <c r="D91" s="84"/>
      <c r="E91" s="84"/>
    </row>
  </sheetData>
  <mergeCells count="7">
    <mergeCell ref="A89:B89"/>
    <mergeCell ref="A1:D1"/>
    <mergeCell ref="C2:D2"/>
    <mergeCell ref="A5:D5"/>
    <mergeCell ref="A7:B7"/>
    <mergeCell ref="A9:B9"/>
    <mergeCell ref="A88:B88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C8296-6906-415D-A74C-0F32DF17BF86}">
  <dimension ref="A1:D90"/>
  <sheetViews>
    <sheetView view="pageBreakPreview" topLeftCell="A52" zoomScale="60" zoomScaleNormal="73" workbookViewId="0">
      <selection activeCell="D83" sqref="D83"/>
    </sheetView>
  </sheetViews>
  <sheetFormatPr defaultRowHeight="15" x14ac:dyDescent="0.25"/>
  <cols>
    <col min="1" max="1" width="6.28515625" style="84" customWidth="1"/>
    <col min="2" max="2" width="57.5703125" style="84" customWidth="1"/>
    <col min="3" max="3" width="13.5703125" style="84" customWidth="1"/>
    <col min="4" max="4" width="13.7109375" style="84" customWidth="1"/>
    <col min="5" max="5" width="9.140625" style="84" customWidth="1"/>
    <col min="6" max="9" width="9.140625" style="84"/>
    <col min="10" max="10" width="39.85546875" style="84" customWidth="1"/>
    <col min="11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6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7.5" customHeight="1" x14ac:dyDescent="0.25">
      <c r="A4" s="6"/>
      <c r="B4" s="9"/>
      <c r="C4" s="9"/>
      <c r="D4" s="10"/>
    </row>
    <row r="5" spans="1:4" ht="15" customHeight="1" x14ac:dyDescent="0.25">
      <c r="A5" s="166" t="s">
        <v>268</v>
      </c>
      <c r="B5" s="166"/>
      <c r="C5" s="166"/>
      <c r="D5" s="166"/>
    </row>
    <row r="6" spans="1:4" ht="11.2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8"/>
      <c r="C7" s="11"/>
      <c r="D7" s="10"/>
    </row>
    <row r="8" spans="1:4" x14ac:dyDescent="0.25">
      <c r="A8" s="160" t="s">
        <v>166</v>
      </c>
      <c r="B8" s="160"/>
      <c r="C8" s="13"/>
      <c r="D8" s="10"/>
    </row>
    <row r="9" spans="1:4" ht="78" customHeight="1" x14ac:dyDescent="0.25">
      <c r="A9" s="14" t="s">
        <v>80</v>
      </c>
      <c r="B9" s="14" t="s">
        <v>81</v>
      </c>
      <c r="C9" s="14" t="s">
        <v>82</v>
      </c>
      <c r="D9" s="14" t="s">
        <v>83</v>
      </c>
    </row>
    <row r="10" spans="1:4" x14ac:dyDescent="0.25">
      <c r="A10" s="15">
        <v>1</v>
      </c>
      <c r="B10" s="16">
        <v>2</v>
      </c>
      <c r="C10" s="15">
        <v>3</v>
      </c>
      <c r="D10" s="15">
        <v>4</v>
      </c>
    </row>
    <row r="11" spans="1:4" x14ac:dyDescent="0.25">
      <c r="A11" s="17"/>
      <c r="B11" s="18" t="s">
        <v>84</v>
      </c>
      <c r="C11" s="19"/>
      <c r="D11" s="19"/>
    </row>
    <row r="12" spans="1:4" x14ac:dyDescent="0.25">
      <c r="A12" s="20">
        <v>1100</v>
      </c>
      <c r="B12" s="21" t="s">
        <v>85</v>
      </c>
      <c r="C12" s="22"/>
      <c r="D12" s="22"/>
    </row>
    <row r="13" spans="1:4" ht="89.25" x14ac:dyDescent="0.25">
      <c r="A13" s="5"/>
      <c r="B13" s="88" t="s">
        <v>1609</v>
      </c>
      <c r="C13" s="1">
        <v>1.2</v>
      </c>
      <c r="D13" s="1">
        <f>C13*269</f>
        <v>322.8</v>
      </c>
    </row>
    <row r="14" spans="1:4" ht="39" customHeight="1" x14ac:dyDescent="0.25">
      <c r="A14" s="5">
        <v>1200</v>
      </c>
      <c r="B14" s="23" t="s">
        <v>446</v>
      </c>
      <c r="C14" s="1">
        <f>ROUND(C13*0.2359,2)</f>
        <v>0.28000000000000003</v>
      </c>
      <c r="D14" s="1">
        <f>C14*269</f>
        <v>75.320000000000007</v>
      </c>
    </row>
    <row r="15" spans="1:4" x14ac:dyDescent="0.25">
      <c r="A15" s="3">
        <v>2341</v>
      </c>
      <c r="B15" s="3" t="s">
        <v>97</v>
      </c>
      <c r="C15" s="1"/>
      <c r="D15" s="24"/>
    </row>
    <row r="16" spans="1:4" ht="97.5" customHeight="1" x14ac:dyDescent="0.25">
      <c r="A16" s="5"/>
      <c r="B16" s="23" t="s">
        <v>1610</v>
      </c>
      <c r="C16" s="1">
        <v>1.94</v>
      </c>
      <c r="D16" s="1">
        <f>C16*269</f>
        <v>521.86</v>
      </c>
    </row>
    <row r="17" spans="1:4" x14ac:dyDescent="0.25">
      <c r="A17" s="5"/>
      <c r="B17" s="25" t="s">
        <v>87</v>
      </c>
      <c r="C17" s="32">
        <f>SUM(C12:C16)</f>
        <v>3.42</v>
      </c>
      <c r="D17" s="32">
        <f>SUM(D12:D16)</f>
        <v>919.98</v>
      </c>
    </row>
    <row r="18" spans="1:4" x14ac:dyDescent="0.25">
      <c r="A18" s="27"/>
      <c r="B18" s="40" t="s">
        <v>88</v>
      </c>
      <c r="C18" s="28"/>
      <c r="D18" s="28"/>
    </row>
    <row r="19" spans="1:4" ht="15" customHeight="1" x14ac:dyDescent="0.25">
      <c r="A19" s="3">
        <v>2100</v>
      </c>
      <c r="B19" s="69" t="s">
        <v>370</v>
      </c>
      <c r="C19" s="28"/>
      <c r="D19" s="28"/>
    </row>
    <row r="20" spans="1:4" ht="63" customHeight="1" x14ac:dyDescent="0.25">
      <c r="A20" s="27"/>
      <c r="B20" s="4" t="s">
        <v>447</v>
      </c>
      <c r="C20" s="24">
        <v>2.1000000000000001E-2</v>
      </c>
      <c r="D20" s="1">
        <f>C20*269</f>
        <v>5.649</v>
      </c>
    </row>
    <row r="21" spans="1:4" x14ac:dyDescent="0.25">
      <c r="A21" s="3">
        <v>2210</v>
      </c>
      <c r="B21" s="4" t="s">
        <v>354</v>
      </c>
      <c r="C21" s="24"/>
      <c r="D21" s="24"/>
    </row>
    <row r="22" spans="1:4" ht="63.75" customHeight="1" x14ac:dyDescent="0.25">
      <c r="A22" s="3"/>
      <c r="B22" s="4" t="s">
        <v>465</v>
      </c>
      <c r="C22" s="24">
        <v>2.1000000000000001E-2</v>
      </c>
      <c r="D22" s="1">
        <f>C22*269</f>
        <v>5.649</v>
      </c>
    </row>
    <row r="23" spans="1:4" x14ac:dyDescent="0.25">
      <c r="A23" s="3">
        <v>2221</v>
      </c>
      <c r="B23" s="4" t="s">
        <v>89</v>
      </c>
      <c r="C23" s="1"/>
      <c r="D23" s="1"/>
    </row>
    <row r="24" spans="1:4" ht="60" x14ac:dyDescent="0.25">
      <c r="A24" s="3"/>
      <c r="B24" s="4" t="s">
        <v>448</v>
      </c>
      <c r="C24" s="24">
        <v>5.1999999999999998E-2</v>
      </c>
      <c r="D24" s="1">
        <f t="shared" ref="D24:D83" si="0">C24*269</f>
        <v>13.988</v>
      </c>
    </row>
    <row r="25" spans="1:4" x14ac:dyDescent="0.25">
      <c r="A25" s="3">
        <v>2222</v>
      </c>
      <c r="B25" s="67" t="s">
        <v>90</v>
      </c>
      <c r="C25" s="1"/>
      <c r="D25" s="1"/>
    </row>
    <row r="26" spans="1:4" ht="69.75" customHeight="1" x14ac:dyDescent="0.25">
      <c r="A26" s="3"/>
      <c r="B26" s="4" t="s">
        <v>449</v>
      </c>
      <c r="C26" s="24">
        <f>ROUND(38.69/9509,4)</f>
        <v>4.1000000000000003E-3</v>
      </c>
      <c r="D26" s="1">
        <f t="shared" ref="D26" si="1">C26*269</f>
        <v>1.1029</v>
      </c>
    </row>
    <row r="27" spans="1:4" x14ac:dyDescent="0.25">
      <c r="A27" s="3">
        <v>2223</v>
      </c>
      <c r="B27" s="3" t="s">
        <v>91</v>
      </c>
      <c r="C27" s="24"/>
      <c r="D27" s="1"/>
    </row>
    <row r="28" spans="1:4" ht="60" x14ac:dyDescent="0.25">
      <c r="A28" s="3"/>
      <c r="B28" s="4" t="s">
        <v>450</v>
      </c>
      <c r="C28" s="24">
        <v>9.4E-2</v>
      </c>
      <c r="D28" s="1">
        <f>C28*269</f>
        <v>25.286000000000001</v>
      </c>
    </row>
    <row r="29" spans="1:4" ht="25.5" customHeight="1" x14ac:dyDescent="0.25">
      <c r="A29" s="3">
        <v>2224</v>
      </c>
      <c r="B29" s="4" t="s">
        <v>114</v>
      </c>
      <c r="C29" s="24"/>
      <c r="D29" s="1"/>
    </row>
    <row r="30" spans="1:4" ht="62.25" customHeight="1" x14ac:dyDescent="0.25">
      <c r="A30" s="3"/>
      <c r="B30" s="4" t="s">
        <v>451</v>
      </c>
      <c r="C30" s="24">
        <v>1.4999999999999999E-2</v>
      </c>
      <c r="D30" s="1">
        <f t="shared" si="0"/>
        <v>4.0350000000000001</v>
      </c>
    </row>
    <row r="31" spans="1:4" x14ac:dyDescent="0.25">
      <c r="A31" s="3">
        <v>2231</v>
      </c>
      <c r="B31" s="4" t="s">
        <v>117</v>
      </c>
      <c r="C31" s="24"/>
      <c r="D31" s="1"/>
    </row>
    <row r="32" spans="1:4" ht="63" customHeight="1" x14ac:dyDescent="0.25">
      <c r="A32" s="3"/>
      <c r="B32" s="4" t="s">
        <v>452</v>
      </c>
      <c r="C32" s="24">
        <v>2.5999999999999999E-2</v>
      </c>
      <c r="D32" s="1">
        <f>C32*269</f>
        <v>6.9939999999999998</v>
      </c>
    </row>
    <row r="33" spans="1:4" x14ac:dyDescent="0.25">
      <c r="A33" s="3">
        <v>2232</v>
      </c>
      <c r="B33" s="4" t="s">
        <v>453</v>
      </c>
      <c r="C33" s="1"/>
      <c r="D33" s="1"/>
    </row>
    <row r="34" spans="1:4" ht="63" customHeight="1" x14ac:dyDescent="0.25">
      <c r="A34" s="3"/>
      <c r="B34" s="4" t="s">
        <v>454</v>
      </c>
      <c r="C34" s="24">
        <v>7.0000000000000001E-3</v>
      </c>
      <c r="D34" s="1">
        <f>C34*269</f>
        <v>1.883</v>
      </c>
    </row>
    <row r="35" spans="1:4" ht="14.25" customHeight="1" x14ac:dyDescent="0.25">
      <c r="A35" s="3">
        <v>2233</v>
      </c>
      <c r="B35" s="67" t="s">
        <v>127</v>
      </c>
      <c r="C35" s="1"/>
      <c r="D35" s="1"/>
    </row>
    <row r="36" spans="1:4" ht="63" customHeight="1" x14ac:dyDescent="0.25">
      <c r="A36" s="3"/>
      <c r="B36" s="4" t="s">
        <v>455</v>
      </c>
      <c r="C36" s="24">
        <v>0.01</v>
      </c>
      <c r="D36" s="1">
        <f t="shared" ref="D36" si="2">C36*269</f>
        <v>2.69</v>
      </c>
    </row>
    <row r="37" spans="1:4" ht="17.25" customHeight="1" x14ac:dyDescent="0.25">
      <c r="A37" s="3">
        <v>2235</v>
      </c>
      <c r="B37" s="67" t="s">
        <v>355</v>
      </c>
      <c r="C37" s="24"/>
      <c r="D37" s="1"/>
    </row>
    <row r="38" spans="1:4" ht="63" customHeight="1" x14ac:dyDescent="0.25">
      <c r="A38" s="3"/>
      <c r="B38" s="4" t="s">
        <v>456</v>
      </c>
      <c r="C38" s="24">
        <v>7.0000000000000001E-3</v>
      </c>
      <c r="D38" s="1">
        <f t="shared" ref="D38" si="3">C38*269</f>
        <v>1.883</v>
      </c>
    </row>
    <row r="39" spans="1:4" ht="15" customHeight="1" x14ac:dyDescent="0.25">
      <c r="A39" s="3">
        <v>2239</v>
      </c>
      <c r="B39" s="67" t="s">
        <v>356</v>
      </c>
      <c r="C39" s="24"/>
      <c r="D39" s="1"/>
    </row>
    <row r="40" spans="1:4" ht="63" customHeight="1" x14ac:dyDescent="0.25">
      <c r="A40" s="3"/>
      <c r="B40" s="4" t="s">
        <v>457</v>
      </c>
      <c r="C40" s="24">
        <v>4.9000000000000002E-2</v>
      </c>
      <c r="D40" s="1">
        <f t="shared" ref="D40:D42" si="4">C40*269</f>
        <v>13.181000000000001</v>
      </c>
    </row>
    <row r="41" spans="1:4" x14ac:dyDescent="0.25">
      <c r="A41" s="3">
        <v>2241</v>
      </c>
      <c r="B41" s="67" t="s">
        <v>460</v>
      </c>
      <c r="C41" s="24"/>
      <c r="D41" s="1"/>
    </row>
    <row r="42" spans="1:4" ht="63" customHeight="1" x14ac:dyDescent="0.25">
      <c r="A42" s="3"/>
      <c r="B42" s="4" t="s">
        <v>458</v>
      </c>
      <c r="C42" s="24">
        <v>6.0999999999999999E-2</v>
      </c>
      <c r="D42" s="1">
        <f t="shared" si="4"/>
        <v>16.408999999999999</v>
      </c>
    </row>
    <row r="43" spans="1:4" ht="14.25" customHeight="1" x14ac:dyDescent="0.25">
      <c r="A43" s="3">
        <v>2242</v>
      </c>
      <c r="B43" s="67" t="s">
        <v>357</v>
      </c>
      <c r="C43" s="24"/>
      <c r="D43" s="1"/>
    </row>
    <row r="44" spans="1:4" ht="63" customHeight="1" x14ac:dyDescent="0.25">
      <c r="A44" s="3"/>
      <c r="B44" s="4" t="s">
        <v>459</v>
      </c>
      <c r="C44" s="24">
        <v>0.09</v>
      </c>
      <c r="D44" s="1">
        <f t="shared" ref="D44" si="5">C44*269</f>
        <v>24.21</v>
      </c>
    </row>
    <row r="45" spans="1:4" x14ac:dyDescent="0.25">
      <c r="A45" s="3">
        <v>2243</v>
      </c>
      <c r="B45" s="4" t="s">
        <v>100</v>
      </c>
      <c r="C45" s="1"/>
      <c r="D45" s="1"/>
    </row>
    <row r="46" spans="1:4" ht="74.25" customHeight="1" x14ac:dyDescent="0.25">
      <c r="A46" s="3"/>
      <c r="B46" s="4" t="s">
        <v>461</v>
      </c>
      <c r="C46" s="24">
        <v>0.05</v>
      </c>
      <c r="D46" s="1">
        <f t="shared" si="0"/>
        <v>13.450000000000001</v>
      </c>
    </row>
    <row r="47" spans="1:4" x14ac:dyDescent="0.25">
      <c r="A47" s="3">
        <v>2244</v>
      </c>
      <c r="B47" s="4" t="s">
        <v>92</v>
      </c>
      <c r="C47" s="1"/>
      <c r="D47" s="1"/>
    </row>
    <row r="48" spans="1:4" ht="60" x14ac:dyDescent="0.25">
      <c r="A48" s="29"/>
      <c r="B48" s="4" t="s">
        <v>462</v>
      </c>
      <c r="C48" s="24">
        <v>6.9000000000000006E-2</v>
      </c>
      <c r="D48" s="1">
        <f t="shared" ref="D48" si="6">C48*269</f>
        <v>18.561</v>
      </c>
    </row>
    <row r="49" spans="1:4" x14ac:dyDescent="0.25">
      <c r="A49" s="3">
        <v>2247</v>
      </c>
      <c r="B49" s="67" t="s">
        <v>358</v>
      </c>
      <c r="C49" s="1"/>
      <c r="D49" s="1"/>
    </row>
    <row r="50" spans="1:4" ht="58.5" customHeight="1" x14ac:dyDescent="0.25">
      <c r="A50" s="29"/>
      <c r="B50" s="4" t="s">
        <v>463</v>
      </c>
      <c r="C50" s="24">
        <v>3.0000000000000001E-3</v>
      </c>
      <c r="D50" s="1">
        <f t="shared" ref="D50" si="7">C50*269</f>
        <v>0.80700000000000005</v>
      </c>
    </row>
    <row r="51" spans="1:4" ht="14.25" customHeight="1" x14ac:dyDescent="0.25">
      <c r="A51" s="3">
        <v>2249</v>
      </c>
      <c r="B51" s="67" t="s">
        <v>359</v>
      </c>
      <c r="C51" s="1"/>
      <c r="D51" s="1"/>
    </row>
    <row r="52" spans="1:4" ht="66.75" customHeight="1" x14ac:dyDescent="0.25">
      <c r="A52" s="29"/>
      <c r="B52" s="4" t="s">
        <v>464</v>
      </c>
      <c r="C52" s="24">
        <v>2E-3</v>
      </c>
      <c r="D52" s="1">
        <f t="shared" ref="D52" si="8">C52*269</f>
        <v>0.53800000000000003</v>
      </c>
    </row>
    <row r="53" spans="1:4" x14ac:dyDescent="0.25">
      <c r="A53" s="3">
        <v>2250</v>
      </c>
      <c r="B53" s="4" t="s">
        <v>118</v>
      </c>
      <c r="C53" s="24"/>
      <c r="D53" s="1"/>
    </row>
    <row r="54" spans="1:4" ht="60" x14ac:dyDescent="0.25">
      <c r="A54" s="3"/>
      <c r="B54" s="4" t="s">
        <v>466</v>
      </c>
      <c r="C54" s="24">
        <v>0.23699999999999999</v>
      </c>
      <c r="D54" s="1">
        <f t="shared" si="0"/>
        <v>63.753</v>
      </c>
    </row>
    <row r="55" spans="1:4" x14ac:dyDescent="0.25">
      <c r="A55" s="3">
        <v>2261</v>
      </c>
      <c r="B55" s="67" t="s">
        <v>130</v>
      </c>
      <c r="C55" s="1"/>
      <c r="D55" s="1"/>
    </row>
    <row r="56" spans="1:4" ht="65.25" customHeight="1" x14ac:dyDescent="0.25">
      <c r="A56" s="3"/>
      <c r="B56" s="4" t="s">
        <v>938</v>
      </c>
      <c r="C56" s="24">
        <v>0.29599999999999999</v>
      </c>
      <c r="D56" s="1">
        <f t="shared" ref="D56" si="9">C56*269</f>
        <v>79.623999999999995</v>
      </c>
    </row>
    <row r="57" spans="1:4" ht="17.25" customHeight="1" x14ac:dyDescent="0.25">
      <c r="A57" s="3">
        <v>2263</v>
      </c>
      <c r="B57" s="67" t="s">
        <v>360</v>
      </c>
      <c r="C57" s="1"/>
      <c r="D57" s="1"/>
    </row>
    <row r="58" spans="1:4" ht="65.25" customHeight="1" x14ac:dyDescent="0.25">
      <c r="A58" s="3"/>
      <c r="B58" s="4" t="s">
        <v>937</v>
      </c>
      <c r="C58" s="24">
        <v>1E-3</v>
      </c>
      <c r="D58" s="1">
        <f t="shared" ref="D58" si="10">C58*269</f>
        <v>0.26900000000000002</v>
      </c>
    </row>
    <row r="59" spans="1:4" ht="15" customHeight="1" x14ac:dyDescent="0.25">
      <c r="A59" s="3">
        <v>2264</v>
      </c>
      <c r="B59" s="67" t="s">
        <v>361</v>
      </c>
      <c r="C59" s="1"/>
      <c r="D59" s="1"/>
    </row>
    <row r="60" spans="1:4" ht="65.25" customHeight="1" x14ac:dyDescent="0.25">
      <c r="A60" s="3"/>
      <c r="B60" s="4" t="s">
        <v>467</v>
      </c>
      <c r="C60" s="24">
        <v>2.5999999999999999E-2</v>
      </c>
      <c r="D60" s="1">
        <f t="shared" ref="D60" si="11">C60*269</f>
        <v>6.9939999999999998</v>
      </c>
    </row>
    <row r="61" spans="1:4" x14ac:dyDescent="0.25">
      <c r="A61" s="3">
        <v>2311</v>
      </c>
      <c r="B61" s="4" t="s">
        <v>93</v>
      </c>
      <c r="C61" s="24"/>
      <c r="D61" s="1"/>
    </row>
    <row r="62" spans="1:4" ht="60" x14ac:dyDescent="0.25">
      <c r="A62" s="3"/>
      <c r="B62" s="4" t="s">
        <v>468</v>
      </c>
      <c r="C62" s="24">
        <v>8.9999999999999993E-3</v>
      </c>
      <c r="D62" s="1">
        <f t="shared" si="0"/>
        <v>2.4209999999999998</v>
      </c>
    </row>
    <row r="63" spans="1:4" x14ac:dyDescent="0.25">
      <c r="A63" s="3">
        <v>2312</v>
      </c>
      <c r="B63" s="4" t="s">
        <v>120</v>
      </c>
      <c r="C63" s="1"/>
      <c r="D63" s="1"/>
    </row>
    <row r="64" spans="1:4" ht="60" x14ac:dyDescent="0.25">
      <c r="A64" s="3"/>
      <c r="B64" s="4" t="s">
        <v>469</v>
      </c>
      <c r="C64" s="24">
        <v>1.0999999999999999E-2</v>
      </c>
      <c r="D64" s="1">
        <f t="shared" si="0"/>
        <v>2.9589999999999996</v>
      </c>
    </row>
    <row r="65" spans="1:4" x14ac:dyDescent="0.25">
      <c r="A65" s="3">
        <v>2314</v>
      </c>
      <c r="B65" s="67" t="s">
        <v>362</v>
      </c>
      <c r="C65" s="1"/>
      <c r="D65" s="1"/>
    </row>
    <row r="66" spans="1:4" ht="63.75" customHeight="1" x14ac:dyDescent="0.25">
      <c r="A66" s="3"/>
      <c r="B66" s="4" t="s">
        <v>470</v>
      </c>
      <c r="C66" s="24">
        <v>2.3E-2</v>
      </c>
      <c r="D66" s="1">
        <f>C66*269</f>
        <v>6.1870000000000003</v>
      </c>
    </row>
    <row r="67" spans="1:4" ht="13.5" customHeight="1" x14ac:dyDescent="0.25">
      <c r="A67" s="3">
        <v>2322</v>
      </c>
      <c r="B67" s="68" t="s">
        <v>363</v>
      </c>
      <c r="C67" s="1"/>
      <c r="D67" s="1"/>
    </row>
    <row r="68" spans="1:4" ht="60" x14ac:dyDescent="0.25">
      <c r="A68" s="3"/>
      <c r="B68" s="4" t="s">
        <v>471</v>
      </c>
      <c r="C68" s="24">
        <v>2.1999999999999999E-2</v>
      </c>
      <c r="D68" s="1">
        <f t="shared" ref="D68" si="12">C68*269</f>
        <v>5.9179999999999993</v>
      </c>
    </row>
    <row r="69" spans="1:4" x14ac:dyDescent="0.25">
      <c r="A69" s="3">
        <v>2350</v>
      </c>
      <c r="B69" s="4" t="s">
        <v>119</v>
      </c>
      <c r="C69" s="24"/>
      <c r="D69" s="1"/>
    </row>
    <row r="70" spans="1:4" ht="60" x14ac:dyDescent="0.25">
      <c r="A70" s="3"/>
      <c r="B70" s="4" t="s">
        <v>472</v>
      </c>
      <c r="C70" s="30">
        <v>3.4000000000000002E-2</v>
      </c>
      <c r="D70" s="1">
        <f t="shared" si="0"/>
        <v>9.1460000000000008</v>
      </c>
    </row>
    <row r="71" spans="1:4" x14ac:dyDescent="0.25">
      <c r="A71" s="3">
        <v>2361</v>
      </c>
      <c r="B71" s="67" t="s">
        <v>364</v>
      </c>
      <c r="C71" s="1"/>
      <c r="D71" s="1"/>
    </row>
    <row r="72" spans="1:4" ht="60" x14ac:dyDescent="0.25">
      <c r="A72" s="3"/>
      <c r="B72" s="4" t="s">
        <v>473</v>
      </c>
      <c r="C72" s="24">
        <v>2E-3</v>
      </c>
      <c r="D72" s="1">
        <f t="shared" ref="D72" si="13">C72*269</f>
        <v>0.53800000000000003</v>
      </c>
    </row>
    <row r="73" spans="1:4" ht="19.5" customHeight="1" x14ac:dyDescent="0.25">
      <c r="A73" s="3">
        <v>2513</v>
      </c>
      <c r="B73" s="67" t="s">
        <v>365</v>
      </c>
      <c r="C73" s="1"/>
      <c r="D73" s="1"/>
    </row>
    <row r="74" spans="1:4" ht="65.25" customHeight="1" x14ac:dyDescent="0.25">
      <c r="A74" s="3"/>
      <c r="B74" s="4" t="s">
        <v>474</v>
      </c>
      <c r="C74" s="24">
        <v>3.0000000000000001E-3</v>
      </c>
      <c r="D74" s="1">
        <f t="shared" ref="D74" si="14">C74*269</f>
        <v>0.80700000000000005</v>
      </c>
    </row>
    <row r="75" spans="1:4" ht="17.25" customHeight="1" x14ac:dyDescent="0.25">
      <c r="A75" s="3">
        <v>2519</v>
      </c>
      <c r="B75" s="67" t="s">
        <v>366</v>
      </c>
      <c r="C75" s="24"/>
      <c r="D75" s="1"/>
    </row>
    <row r="76" spans="1:4" ht="65.25" customHeight="1" x14ac:dyDescent="0.25">
      <c r="A76" s="3"/>
      <c r="B76" s="4" t="s">
        <v>475</v>
      </c>
      <c r="C76" s="24">
        <v>1E-3</v>
      </c>
      <c r="D76" s="1">
        <f t="shared" ref="D76:D78" si="15">C76*269</f>
        <v>0.26900000000000002</v>
      </c>
    </row>
    <row r="77" spans="1:4" x14ac:dyDescent="0.25">
      <c r="A77" s="3">
        <v>5120</v>
      </c>
      <c r="B77" s="4" t="s">
        <v>101</v>
      </c>
      <c r="C77" s="24"/>
      <c r="D77" s="1"/>
    </row>
    <row r="78" spans="1:4" ht="60" x14ac:dyDescent="0.25">
      <c r="A78" s="3"/>
      <c r="B78" s="4" t="s">
        <v>476</v>
      </c>
      <c r="C78" s="24">
        <v>4.0000000000000001E-3</v>
      </c>
      <c r="D78" s="1">
        <f t="shared" si="15"/>
        <v>1.0760000000000001</v>
      </c>
    </row>
    <row r="79" spans="1:4" ht="16.5" customHeight="1" x14ac:dyDescent="0.25">
      <c r="A79" s="3">
        <v>5210</v>
      </c>
      <c r="B79" s="68" t="s">
        <v>367</v>
      </c>
      <c r="C79" s="24"/>
      <c r="D79" s="1"/>
    </row>
    <row r="80" spans="1:4" ht="18.75" customHeight="1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477</v>
      </c>
      <c r="C81" s="24">
        <v>7.0999999999999994E-2</v>
      </c>
      <c r="D81" s="1">
        <f t="shared" ref="D81" si="16">C81*269</f>
        <v>19.098999999999997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478</v>
      </c>
      <c r="C83" s="24">
        <v>2.1000000000000001E-2</v>
      </c>
      <c r="D83" s="1">
        <f t="shared" si="0"/>
        <v>5.649</v>
      </c>
    </row>
    <row r="84" spans="1:4" ht="21" customHeight="1" x14ac:dyDescent="0.25">
      <c r="A84" s="3">
        <v>5239</v>
      </c>
      <c r="B84" s="68" t="s">
        <v>369</v>
      </c>
      <c r="C84" s="24"/>
      <c r="D84" s="1"/>
    </row>
    <row r="85" spans="1:4" ht="70.5" customHeight="1" x14ac:dyDescent="0.25">
      <c r="A85" s="3"/>
      <c r="B85" s="4" t="s">
        <v>479</v>
      </c>
      <c r="C85" s="24">
        <v>3.7999999999999999E-2</v>
      </c>
      <c r="D85" s="1">
        <f>C85*269</f>
        <v>10.222</v>
      </c>
    </row>
    <row r="86" spans="1:4" x14ac:dyDescent="0.25">
      <c r="A86" s="3"/>
      <c r="B86" s="31" t="s">
        <v>94</v>
      </c>
      <c r="C86" s="70">
        <f>SUM(C20:C85)</f>
        <v>1.3800999999999994</v>
      </c>
      <c r="D86" s="32">
        <f>SUM(D20:D85)</f>
        <v>371.2469000000001</v>
      </c>
    </row>
    <row r="87" spans="1:4" x14ac:dyDescent="0.25">
      <c r="A87" s="33"/>
      <c r="B87" s="34" t="s">
        <v>95</v>
      </c>
      <c r="C87" s="32">
        <f>ROUND(C86+C17,4)</f>
        <v>4.8000999999999996</v>
      </c>
      <c r="D87" s="32">
        <f>ROUND(D86+D17,3)</f>
        <v>1291.2270000000001</v>
      </c>
    </row>
    <row r="88" spans="1:4" x14ac:dyDescent="0.25">
      <c r="A88" s="35"/>
      <c r="B88" s="36"/>
      <c r="C88" s="37"/>
      <c r="D88" s="37"/>
    </row>
    <row r="89" spans="1:4" ht="21.75" customHeight="1" x14ac:dyDescent="0.25">
      <c r="A89" s="161" t="s">
        <v>96</v>
      </c>
      <c r="B89" s="162"/>
      <c r="C89" s="41">
        <v>269</v>
      </c>
      <c r="D89" s="38"/>
    </row>
    <row r="90" spans="1:4" ht="32.25" customHeight="1" x14ac:dyDescent="0.25">
      <c r="A90" s="161" t="s">
        <v>112</v>
      </c>
      <c r="B90" s="162"/>
      <c r="C90" s="2">
        <f>D87/C89</f>
        <v>4.8001003717472122</v>
      </c>
      <c r="D90" s="38"/>
    </row>
  </sheetData>
  <mergeCells count="7">
    <mergeCell ref="A90:B90"/>
    <mergeCell ref="A1:D1"/>
    <mergeCell ref="C2:D2"/>
    <mergeCell ref="A5:D5"/>
    <mergeCell ref="A7:B7"/>
    <mergeCell ref="A8:B8"/>
    <mergeCell ref="A89:B8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F55A7-A212-4BD8-90F5-D5F4A5927A0F}">
  <dimension ref="A1:E93"/>
  <sheetViews>
    <sheetView view="pageBreakPreview" topLeftCell="A70" zoomScale="60" zoomScaleNormal="80" workbookViewId="0">
      <selection activeCell="D84" sqref="D84"/>
    </sheetView>
  </sheetViews>
  <sheetFormatPr defaultRowHeight="15" x14ac:dyDescent="0.25"/>
  <cols>
    <col min="1" max="1" width="6.5703125" style="84" customWidth="1"/>
    <col min="2" max="2" width="61.5703125" style="84" customWidth="1"/>
    <col min="3" max="3" width="14.140625" style="84" customWidth="1"/>
    <col min="4" max="4" width="11.85546875" style="84" customWidth="1"/>
    <col min="5" max="5" width="9.140625" style="84" customWidth="1"/>
    <col min="6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8.25" customHeight="1" x14ac:dyDescent="0.25">
      <c r="A4" s="6"/>
      <c r="B4" s="9"/>
      <c r="C4" s="9"/>
      <c r="D4" s="10"/>
    </row>
    <row r="5" spans="1:4" ht="34.5" customHeight="1" x14ac:dyDescent="0.25">
      <c r="A5" s="166" t="s">
        <v>267</v>
      </c>
      <c r="B5" s="166"/>
      <c r="C5" s="166"/>
      <c r="D5" s="166"/>
    </row>
    <row r="6" spans="1:4" ht="4.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167</v>
      </c>
      <c r="B9" s="160"/>
      <c r="C9" s="13"/>
      <c r="D9" s="10"/>
    </row>
    <row r="10" spans="1:4" ht="11.25" customHeight="1" x14ac:dyDescent="0.25">
      <c r="A10" s="160"/>
      <c r="B10" s="160"/>
      <c r="C10" s="13"/>
      <c r="D10" s="10"/>
    </row>
    <row r="11" spans="1:4" ht="108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4" x14ac:dyDescent="0.25">
      <c r="A12" s="15">
        <v>1</v>
      </c>
      <c r="B12" s="16">
        <v>2</v>
      </c>
      <c r="C12" s="15">
        <v>3</v>
      </c>
      <c r="D12" s="15">
        <v>4</v>
      </c>
    </row>
    <row r="13" spans="1:4" x14ac:dyDescent="0.25">
      <c r="A13" s="17"/>
      <c r="B13" s="18" t="s">
        <v>84</v>
      </c>
      <c r="C13" s="19"/>
      <c r="D13" s="19"/>
    </row>
    <row r="14" spans="1:4" x14ac:dyDescent="0.25">
      <c r="A14" s="20">
        <v>1100</v>
      </c>
      <c r="B14" s="21" t="s">
        <v>85</v>
      </c>
      <c r="C14" s="22"/>
      <c r="D14" s="22"/>
    </row>
    <row r="15" spans="1:4" ht="74.25" customHeight="1" x14ac:dyDescent="0.25">
      <c r="A15" s="5"/>
      <c r="B15" s="81" t="s">
        <v>900</v>
      </c>
      <c r="C15" s="1">
        <v>4</v>
      </c>
      <c r="D15" s="1">
        <f>C15*895</f>
        <v>3580</v>
      </c>
    </row>
    <row r="16" spans="1:4" ht="24" x14ac:dyDescent="0.25">
      <c r="A16" s="5">
        <v>1200</v>
      </c>
      <c r="B16" s="23" t="s">
        <v>901</v>
      </c>
      <c r="C16" s="1">
        <f>ROUND(C15*0.2359,2)</f>
        <v>0.94</v>
      </c>
      <c r="D16" s="1">
        <f>C16*895</f>
        <v>841.3</v>
      </c>
    </row>
    <row r="17" spans="1:4" x14ac:dyDescent="0.25">
      <c r="A17" s="5">
        <v>2341</v>
      </c>
      <c r="B17" s="5" t="s">
        <v>97</v>
      </c>
      <c r="C17" s="39"/>
      <c r="D17" s="39"/>
    </row>
    <row r="18" spans="1:4" ht="108" x14ac:dyDescent="0.25">
      <c r="A18" s="5"/>
      <c r="B18" s="23" t="s">
        <v>1608</v>
      </c>
      <c r="C18" s="1">
        <v>5.04</v>
      </c>
      <c r="D18" s="1">
        <f>C18*895</f>
        <v>4510.8</v>
      </c>
    </row>
    <row r="19" spans="1:4" x14ac:dyDescent="0.25">
      <c r="A19" s="3"/>
      <c r="B19" s="40" t="s">
        <v>87</v>
      </c>
      <c r="C19" s="32">
        <f>SUM(C14:C18)</f>
        <v>9.98</v>
      </c>
      <c r="D19" s="32">
        <f>SUM(D14:D18)</f>
        <v>8932.1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480</v>
      </c>
      <c r="C22" s="24">
        <v>2.1000000000000001E-2</v>
      </c>
      <c r="D22" s="1">
        <f>C22*895</f>
        <v>18.795000000000002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481</v>
      </c>
      <c r="C24" s="24">
        <v>2.1000000000000001E-2</v>
      </c>
      <c r="D24" s="1">
        <f t="shared" ref="D24:D86" si="0">C24*895</f>
        <v>18.795000000000002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482</v>
      </c>
      <c r="C26" s="24">
        <v>5.1999999999999998E-2</v>
      </c>
      <c r="D26" s="1">
        <f>C26*895</f>
        <v>46.54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483</v>
      </c>
      <c r="C28" s="24">
        <f>ROUND(38.69/9509,4)</f>
        <v>4.1000000000000003E-3</v>
      </c>
      <c r="D28" s="1">
        <f t="shared" si="0"/>
        <v>3.6695000000000002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484</v>
      </c>
      <c r="C30" s="24">
        <v>9.4E-2</v>
      </c>
      <c r="D30" s="1">
        <f t="shared" si="0"/>
        <v>84.13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485</v>
      </c>
      <c r="C32" s="24">
        <v>1.4999999999999999E-2</v>
      </c>
      <c r="D32" s="1">
        <f t="shared" si="0"/>
        <v>13.424999999999999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486</v>
      </c>
      <c r="C34" s="24">
        <v>2.5999999999999999E-2</v>
      </c>
      <c r="D34" s="1">
        <f t="shared" si="0"/>
        <v>23.27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487</v>
      </c>
      <c r="C36" s="24">
        <v>7.0000000000000001E-3</v>
      </c>
      <c r="D36" s="1">
        <f t="shared" si="0"/>
        <v>6.2650000000000006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488</v>
      </c>
      <c r="C38" s="24">
        <v>0.01</v>
      </c>
      <c r="D38" s="1">
        <f t="shared" si="0"/>
        <v>8.9500000000000011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489</v>
      </c>
      <c r="C40" s="24">
        <v>7.0000000000000001E-3</v>
      </c>
      <c r="D40" s="1">
        <f t="shared" si="0"/>
        <v>6.2650000000000006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490</v>
      </c>
      <c r="C42" s="24">
        <v>4.9000000000000002E-2</v>
      </c>
      <c r="D42" s="1">
        <f t="shared" si="0"/>
        <v>43.855000000000004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491</v>
      </c>
      <c r="C44" s="24">
        <v>6.0999999999999999E-2</v>
      </c>
      <c r="D44" s="1">
        <f t="shared" si="0"/>
        <v>54.594999999999999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492</v>
      </c>
      <c r="C46" s="24">
        <v>0.09</v>
      </c>
      <c r="D46" s="1">
        <f t="shared" si="0"/>
        <v>80.55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493</v>
      </c>
      <c r="C48" s="24">
        <v>0.05</v>
      </c>
      <c r="D48" s="1">
        <f t="shared" si="0"/>
        <v>44.75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494</v>
      </c>
      <c r="C50" s="24">
        <v>6.9000000000000006E-2</v>
      </c>
      <c r="D50" s="1">
        <f t="shared" si="0"/>
        <v>61.755000000000003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495</v>
      </c>
      <c r="C52" s="24">
        <v>3.0000000000000001E-3</v>
      </c>
      <c r="D52" s="1">
        <f t="shared" si="0"/>
        <v>2.6850000000000001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496</v>
      </c>
      <c r="C54" s="24">
        <v>2E-3</v>
      </c>
      <c r="D54" s="1">
        <f t="shared" si="0"/>
        <v>1.79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497</v>
      </c>
      <c r="C56" s="24">
        <v>0.23699999999999999</v>
      </c>
      <c r="D56" s="1">
        <f t="shared" si="0"/>
        <v>212.11499999999998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941</v>
      </c>
      <c r="C58" s="24">
        <v>0.29599999999999999</v>
      </c>
      <c r="D58" s="1">
        <f t="shared" si="0"/>
        <v>264.91999999999996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942</v>
      </c>
      <c r="C60" s="24">
        <v>1E-3</v>
      </c>
      <c r="D60" s="1">
        <f t="shared" si="0"/>
        <v>0.89500000000000002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498</v>
      </c>
      <c r="C62" s="24">
        <v>2.5999999999999999E-2</v>
      </c>
      <c r="D62" s="1">
        <f t="shared" si="0"/>
        <v>23.27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499</v>
      </c>
      <c r="C64" s="24">
        <v>8.9999999999999993E-3</v>
      </c>
      <c r="D64" s="1">
        <f t="shared" si="0"/>
        <v>8.0549999999999997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500</v>
      </c>
      <c r="C66" s="24">
        <v>1.0999999999999999E-2</v>
      </c>
      <c r="D66" s="1">
        <f t="shared" si="0"/>
        <v>9.8449999999999989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501</v>
      </c>
      <c r="C68" s="24">
        <v>2.3E-2</v>
      </c>
      <c r="D68" s="1">
        <f t="shared" si="0"/>
        <v>20.585000000000001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502</v>
      </c>
      <c r="C70" s="24">
        <v>2.1999999999999999E-2</v>
      </c>
      <c r="D70" s="1">
        <f t="shared" si="0"/>
        <v>19.689999999999998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503</v>
      </c>
      <c r="C72" s="30">
        <v>3.4000000000000002E-2</v>
      </c>
      <c r="D72" s="1">
        <f t="shared" si="0"/>
        <v>30.430000000000003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504</v>
      </c>
      <c r="C74" s="24">
        <v>2E-3</v>
      </c>
      <c r="D74" s="1">
        <f t="shared" si="0"/>
        <v>1.79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505</v>
      </c>
      <c r="C76" s="24">
        <v>3.0000000000000001E-3</v>
      </c>
      <c r="D76" s="1">
        <f t="shared" si="0"/>
        <v>2.6850000000000001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506</v>
      </c>
      <c r="C78" s="24">
        <v>1E-3</v>
      </c>
      <c r="D78" s="1">
        <f t="shared" si="0"/>
        <v>0.89500000000000002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507</v>
      </c>
      <c r="C80" s="24">
        <v>4.0000000000000001E-3</v>
      </c>
      <c r="D80" s="1">
        <f t="shared" si="0"/>
        <v>3.58</v>
      </c>
    </row>
    <row r="81" spans="1:5" hidden="1" x14ac:dyDescent="0.25">
      <c r="A81" s="3">
        <v>5210</v>
      </c>
      <c r="B81" s="68" t="s">
        <v>367</v>
      </c>
      <c r="C81" s="24"/>
      <c r="D81" s="1">
        <f t="shared" si="0"/>
        <v>0</v>
      </c>
    </row>
    <row r="82" spans="1:5" hidden="1" x14ac:dyDescent="0.25">
      <c r="A82" s="3"/>
      <c r="B82" s="4"/>
      <c r="C82" s="24"/>
      <c r="D82" s="1">
        <f t="shared" si="0"/>
        <v>0</v>
      </c>
    </row>
    <row r="83" spans="1:5" x14ac:dyDescent="0.25">
      <c r="A83" s="3">
        <v>5231</v>
      </c>
      <c r="B83" s="68" t="s">
        <v>368</v>
      </c>
      <c r="C83" s="1"/>
      <c r="D83" s="1"/>
    </row>
    <row r="84" spans="1:5" ht="48" x14ac:dyDescent="0.25">
      <c r="A84" s="3"/>
      <c r="B84" s="4" t="s">
        <v>508</v>
      </c>
      <c r="C84" s="24">
        <v>7.0999999999999994E-2</v>
      </c>
      <c r="D84" s="1">
        <f t="shared" si="0"/>
        <v>63.544999999999995</v>
      </c>
    </row>
    <row r="85" spans="1:5" ht="18" customHeight="1" x14ac:dyDescent="0.25">
      <c r="A85" s="3">
        <v>5238</v>
      </c>
      <c r="B85" s="4" t="s">
        <v>115</v>
      </c>
      <c r="C85" s="30"/>
      <c r="D85" s="1"/>
    </row>
    <row r="86" spans="1:5" ht="52.9" customHeight="1" x14ac:dyDescent="0.25">
      <c r="A86" s="3"/>
      <c r="B86" s="4" t="s">
        <v>509</v>
      </c>
      <c r="C86" s="24">
        <v>2.1000000000000001E-2</v>
      </c>
      <c r="D86" s="1">
        <f t="shared" si="0"/>
        <v>18.795000000000002</v>
      </c>
      <c r="E86" s="107"/>
    </row>
    <row r="87" spans="1:5" x14ac:dyDescent="0.25">
      <c r="A87" s="3">
        <v>5239</v>
      </c>
      <c r="B87" s="68" t="s">
        <v>369</v>
      </c>
      <c r="C87" s="24"/>
      <c r="D87" s="1"/>
    </row>
    <row r="88" spans="1:5" ht="58.15" customHeight="1" x14ac:dyDescent="0.25">
      <c r="A88" s="3"/>
      <c r="B88" s="4" t="s">
        <v>510</v>
      </c>
      <c r="C88" s="24">
        <v>3.7999999999999999E-2</v>
      </c>
      <c r="D88" s="1">
        <f t="shared" ref="D88" si="1">C88*895</f>
        <v>34.01</v>
      </c>
    </row>
    <row r="89" spans="1:5" ht="27.75" customHeight="1" x14ac:dyDescent="0.25">
      <c r="A89" s="3"/>
      <c r="B89" s="31" t="s">
        <v>94</v>
      </c>
      <c r="C89" s="70">
        <f>SUM(C22:C88)</f>
        <v>1.3800999999999994</v>
      </c>
      <c r="D89" s="32">
        <f>SUM(D22:D88)</f>
        <v>1235.1895</v>
      </c>
    </row>
    <row r="90" spans="1:5" x14ac:dyDescent="0.25">
      <c r="A90" s="33"/>
      <c r="B90" s="34" t="s">
        <v>95</v>
      </c>
      <c r="C90" s="32">
        <f>ROUND(C89+C19,4)</f>
        <v>11.360099999999999</v>
      </c>
      <c r="D90" s="32">
        <f>ROUND(D89+D19,3)</f>
        <v>10167.290000000001</v>
      </c>
    </row>
    <row r="91" spans="1:5" x14ac:dyDescent="0.25">
      <c r="A91" s="35"/>
      <c r="B91" s="36"/>
      <c r="C91" s="37"/>
      <c r="D91" s="37"/>
    </row>
    <row r="92" spans="1:5" x14ac:dyDescent="0.25">
      <c r="A92" s="161" t="s">
        <v>96</v>
      </c>
      <c r="B92" s="162"/>
      <c r="C92" s="41">
        <v>895</v>
      </c>
      <c r="D92" s="38"/>
    </row>
    <row r="93" spans="1:5" x14ac:dyDescent="0.25">
      <c r="A93" s="161" t="s">
        <v>112</v>
      </c>
      <c r="B93" s="162"/>
      <c r="C93" s="2">
        <f>D90/C92</f>
        <v>11.360100558659219</v>
      </c>
      <c r="D93" s="38"/>
    </row>
  </sheetData>
  <mergeCells count="8">
    <mergeCell ref="A92:B92"/>
    <mergeCell ref="A93:B93"/>
    <mergeCell ref="A1:D1"/>
    <mergeCell ref="C2:D2"/>
    <mergeCell ref="A5:D5"/>
    <mergeCell ref="A7:B7"/>
    <mergeCell ref="A9:B9"/>
    <mergeCell ref="A10:B10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E342-698F-4ABE-A1D4-16B170380AAE}">
  <dimension ref="A1:E93"/>
  <sheetViews>
    <sheetView view="pageBreakPreview" topLeftCell="A71" zoomScale="60" zoomScaleNormal="89" workbookViewId="0">
      <selection activeCell="D75" sqref="D75"/>
    </sheetView>
  </sheetViews>
  <sheetFormatPr defaultRowHeight="15" x14ac:dyDescent="0.25"/>
  <cols>
    <col min="1" max="1" width="10.140625" style="84" customWidth="1"/>
    <col min="2" max="2" width="58.5703125" style="84" customWidth="1"/>
    <col min="3" max="3" width="11.42578125" style="84" customWidth="1"/>
    <col min="4" max="4" width="11.140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ht="15" customHeight="1" x14ac:dyDescent="0.25">
      <c r="A5" s="166" t="s">
        <v>266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ht="15" customHeight="1" x14ac:dyDescent="0.25">
      <c r="A7" s="158" t="s">
        <v>111</v>
      </c>
      <c r="B7" s="159"/>
      <c r="C7" s="11"/>
      <c r="D7" s="10"/>
    </row>
    <row r="8" spans="1:4" ht="7.5" customHeight="1" x14ac:dyDescent="0.25">
      <c r="A8" s="49"/>
      <c r="B8" s="79"/>
      <c r="C8" s="11"/>
      <c r="D8" s="10"/>
    </row>
    <row r="9" spans="1:4" x14ac:dyDescent="0.25">
      <c r="A9" s="160" t="s">
        <v>166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9.5" customHeight="1" x14ac:dyDescent="0.25">
      <c r="A14" s="5"/>
      <c r="B14" s="81" t="s">
        <v>902</v>
      </c>
      <c r="C14" s="1">
        <v>4</v>
      </c>
      <c r="D14" s="1">
        <f>C14*269</f>
        <v>1076</v>
      </c>
    </row>
    <row r="15" spans="1:4" ht="24" x14ac:dyDescent="0.25">
      <c r="A15" s="5">
        <v>1200</v>
      </c>
      <c r="B15" s="23" t="s">
        <v>903</v>
      </c>
      <c r="C15" s="1">
        <f>ROUND(C14*0.2359,2)</f>
        <v>0.94</v>
      </c>
      <c r="D15" s="1">
        <f>C15*269</f>
        <v>252.85999999999999</v>
      </c>
    </row>
    <row r="16" spans="1:4" x14ac:dyDescent="0.25">
      <c r="A16" s="5">
        <v>2341</v>
      </c>
      <c r="B16" s="5" t="s">
        <v>116</v>
      </c>
      <c r="C16" s="39"/>
      <c r="D16" s="39"/>
    </row>
    <row r="17" spans="1:5" ht="84" x14ac:dyDescent="0.25">
      <c r="A17" s="5"/>
      <c r="B17" s="23" t="s">
        <v>1607</v>
      </c>
      <c r="C17" s="1">
        <v>0.66</v>
      </c>
      <c r="D17" s="1">
        <f>C17*269</f>
        <v>177.54000000000002</v>
      </c>
    </row>
    <row r="18" spans="1:5" x14ac:dyDescent="0.25">
      <c r="A18" s="5"/>
      <c r="B18" s="40" t="s">
        <v>87</v>
      </c>
      <c r="C18" s="32">
        <f>SUM(C13:C17)</f>
        <v>5.6</v>
      </c>
      <c r="D18" s="32">
        <f>SUM(D13:D17)</f>
        <v>1506.3999999999999</v>
      </c>
      <c r="E18" s="107"/>
    </row>
    <row r="19" spans="1:5" x14ac:dyDescent="0.25">
      <c r="A19" s="27"/>
      <c r="B19" s="40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447</v>
      </c>
      <c r="C21" s="24">
        <v>2.1000000000000001E-2</v>
      </c>
      <c r="D21" s="1">
        <f>C21*269</f>
        <v>5.649</v>
      </c>
    </row>
    <row r="22" spans="1:5" x14ac:dyDescent="0.25">
      <c r="A22" s="3">
        <v>2210</v>
      </c>
      <c r="B22" s="4" t="s">
        <v>354</v>
      </c>
      <c r="C22" s="24"/>
      <c r="D22" s="24"/>
    </row>
    <row r="23" spans="1:5" ht="60" x14ac:dyDescent="0.25">
      <c r="A23" s="3"/>
      <c r="B23" s="4" t="s">
        <v>465</v>
      </c>
      <c r="C23" s="24">
        <v>2.1000000000000001E-2</v>
      </c>
      <c r="D23" s="1">
        <f>C23*269</f>
        <v>5.649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448</v>
      </c>
      <c r="C25" s="24">
        <v>5.1999999999999998E-2</v>
      </c>
      <c r="D25" s="1">
        <f t="shared" ref="D25:D83" si="0">C25*269</f>
        <v>13.988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449</v>
      </c>
      <c r="C27" s="24">
        <f>ROUND(38.69/9509,4)</f>
        <v>4.1000000000000003E-3</v>
      </c>
      <c r="D27" s="1">
        <f t="shared" ref="D27" si="1">C27*269</f>
        <v>1.1029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450</v>
      </c>
      <c r="C29" s="24">
        <v>9.4E-2</v>
      </c>
      <c r="D29" s="1">
        <f>C29*269</f>
        <v>25.286000000000001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451</v>
      </c>
      <c r="C31" s="24">
        <v>1.4999999999999999E-2</v>
      </c>
      <c r="D31" s="1">
        <f t="shared" si="0"/>
        <v>4.0350000000000001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452</v>
      </c>
      <c r="C33" s="24">
        <v>2.5999999999999999E-2</v>
      </c>
      <c r="D33" s="1">
        <f>C33*269</f>
        <v>6.9939999999999998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454</v>
      </c>
      <c r="C35" s="24">
        <v>7.0000000000000001E-3</v>
      </c>
      <c r="D35" s="1">
        <f>C35*269</f>
        <v>1.883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455</v>
      </c>
      <c r="C37" s="24">
        <v>0.01</v>
      </c>
      <c r="D37" s="1">
        <f t="shared" ref="D37" si="2">C37*269</f>
        <v>2.69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456</v>
      </c>
      <c r="C39" s="24">
        <v>7.0000000000000001E-3</v>
      </c>
      <c r="D39" s="1">
        <f t="shared" ref="D39" si="3">C39*269</f>
        <v>1.883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457</v>
      </c>
      <c r="C41" s="24">
        <v>4.9000000000000002E-2</v>
      </c>
      <c r="D41" s="1">
        <f t="shared" ref="D41:D43" si="4">C41*269</f>
        <v>13.181000000000001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458</v>
      </c>
      <c r="C43" s="24">
        <v>6.0999999999999999E-2</v>
      </c>
      <c r="D43" s="1">
        <f t="shared" si="4"/>
        <v>16.408999999999999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459</v>
      </c>
      <c r="C45" s="24">
        <v>0.09</v>
      </c>
      <c r="D45" s="1">
        <f t="shared" ref="D45" si="5">C45*269</f>
        <v>24.21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461</v>
      </c>
      <c r="C47" s="24">
        <v>0.05</v>
      </c>
      <c r="D47" s="1">
        <f t="shared" si="0"/>
        <v>13.450000000000001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462</v>
      </c>
      <c r="C49" s="24">
        <v>6.9000000000000006E-2</v>
      </c>
      <c r="D49" s="1">
        <f t="shared" ref="D49" si="6">C49*269</f>
        <v>18.561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463</v>
      </c>
      <c r="C51" s="24">
        <v>3.0000000000000001E-3</v>
      </c>
      <c r="D51" s="1">
        <f t="shared" ref="D51" si="7">C51*269</f>
        <v>0.80700000000000005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464</v>
      </c>
      <c r="C53" s="24">
        <v>2E-3</v>
      </c>
      <c r="D53" s="1">
        <f t="shared" ref="D53" si="8">C53*269</f>
        <v>0.53800000000000003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466</v>
      </c>
      <c r="C55" s="24">
        <v>0.23699999999999999</v>
      </c>
      <c r="D55" s="1">
        <f t="shared" si="0"/>
        <v>63.753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938</v>
      </c>
      <c r="C57" s="24">
        <v>0.29599999999999999</v>
      </c>
      <c r="D57" s="1">
        <f t="shared" ref="D57" si="9">C57*269</f>
        <v>79.623999999999995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937</v>
      </c>
      <c r="C59" s="24">
        <v>1E-3</v>
      </c>
      <c r="D59" s="1">
        <f t="shared" ref="D59" si="10">C59*269</f>
        <v>0.26900000000000002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467</v>
      </c>
      <c r="C61" s="24">
        <v>2.5999999999999999E-2</v>
      </c>
      <c r="D61" s="1">
        <f t="shared" ref="D61" si="11">C61*269</f>
        <v>6.9939999999999998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468</v>
      </c>
      <c r="C63" s="24">
        <v>8.9999999999999993E-3</v>
      </c>
      <c r="D63" s="1">
        <f t="shared" si="0"/>
        <v>2.4209999999999998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469</v>
      </c>
      <c r="C65" s="24">
        <v>1.0999999999999999E-2</v>
      </c>
      <c r="D65" s="1">
        <f t="shared" si="0"/>
        <v>2.9589999999999996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470</v>
      </c>
      <c r="C67" s="24">
        <v>2.3E-2</v>
      </c>
      <c r="D67" s="1">
        <f>C67*269</f>
        <v>6.1870000000000003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471</v>
      </c>
      <c r="C69" s="24">
        <v>2.1999999999999999E-2</v>
      </c>
      <c r="D69" s="1">
        <f t="shared" ref="D69" si="12">C69*269</f>
        <v>5.9179999999999993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472</v>
      </c>
      <c r="C71" s="30">
        <v>3.4000000000000002E-2</v>
      </c>
      <c r="D71" s="1">
        <f t="shared" si="0"/>
        <v>9.1460000000000008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473</v>
      </c>
      <c r="C73" s="24">
        <v>2E-3</v>
      </c>
      <c r="D73" s="1">
        <f t="shared" ref="D73" si="13">C73*269</f>
        <v>0.53800000000000003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474</v>
      </c>
      <c r="C75" s="24">
        <v>3.0000000000000001E-3</v>
      </c>
      <c r="D75" s="1">
        <f t="shared" ref="D75" si="14">C75*269</f>
        <v>0.80700000000000005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475</v>
      </c>
      <c r="C77" s="24">
        <v>1E-3</v>
      </c>
      <c r="D77" s="1">
        <f t="shared" ref="D77:D79" si="15">C77*269</f>
        <v>0.26900000000000002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476</v>
      </c>
      <c r="C79" s="24">
        <v>4.0000000000000001E-3</v>
      </c>
      <c r="D79" s="1">
        <f t="shared" si="15"/>
        <v>1.0760000000000001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477</v>
      </c>
      <c r="C81" s="24">
        <v>7.0999999999999994E-2</v>
      </c>
      <c r="D81" s="1">
        <f t="shared" ref="D81" si="16">C81*269</f>
        <v>19.098999999999997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478</v>
      </c>
      <c r="C83" s="24">
        <v>2.1000000000000001E-2</v>
      </c>
      <c r="D83" s="1">
        <f t="shared" si="0"/>
        <v>5.649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55.9" customHeight="1" x14ac:dyDescent="0.25">
      <c r="A85" s="3"/>
      <c r="B85" s="4" t="s">
        <v>479</v>
      </c>
      <c r="C85" s="24">
        <v>3.7999999999999999E-2</v>
      </c>
      <c r="D85" s="1">
        <f t="shared" ref="D85" si="17">C85*269</f>
        <v>10.222</v>
      </c>
    </row>
    <row r="86" spans="1:4" ht="27" customHeight="1" x14ac:dyDescent="0.25">
      <c r="A86" s="3"/>
      <c r="B86" s="31" t="s">
        <v>94</v>
      </c>
      <c r="C86" s="70">
        <f>SUM(C21:C85)</f>
        <v>1.3800999999999994</v>
      </c>
      <c r="D86" s="32">
        <f>SUM(D21:D85)</f>
        <v>371.2469000000001</v>
      </c>
    </row>
    <row r="87" spans="1:4" x14ac:dyDescent="0.25">
      <c r="A87" s="33"/>
      <c r="B87" s="34" t="s">
        <v>95</v>
      </c>
      <c r="C87" s="32">
        <f>ROUND(C86+C18,4)</f>
        <v>6.9801000000000002</v>
      </c>
      <c r="D87" s="32">
        <f>ROUND(D86+D18,3)</f>
        <v>1877.6469999999999</v>
      </c>
    </row>
    <row r="88" spans="1:4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269</v>
      </c>
      <c r="D89" s="38"/>
    </row>
    <row r="90" spans="1:4" ht="34.15" customHeight="1" x14ac:dyDescent="0.25">
      <c r="A90" s="161" t="s">
        <v>112</v>
      </c>
      <c r="B90" s="162"/>
      <c r="C90" s="2">
        <f>D87/C89</f>
        <v>6.9801003717472119</v>
      </c>
      <c r="D90" s="38"/>
    </row>
    <row r="92" spans="1:4" ht="14.45" customHeight="1" x14ac:dyDescent="0.25"/>
    <row r="93" spans="1:4" ht="14.45" customHeight="1" x14ac:dyDescent="0.25"/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rowBreaks count="2" manualBreakCount="2">
    <brk id="66" max="3" man="1"/>
    <brk id="90" max="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B3298-8805-4EEF-A68E-A666BAC4DE58}">
  <dimension ref="A1:E90"/>
  <sheetViews>
    <sheetView view="pageBreakPreview" topLeftCell="A51" zoomScale="60" zoomScaleNormal="84" workbookViewId="0">
      <selection activeCell="C90" sqref="C90"/>
    </sheetView>
  </sheetViews>
  <sheetFormatPr defaultRowHeight="15" x14ac:dyDescent="0.25"/>
  <cols>
    <col min="1" max="1" width="9.7109375" style="84" customWidth="1"/>
    <col min="2" max="2" width="57.140625" style="84" customWidth="1"/>
    <col min="3" max="4" width="11.7109375" style="84" customWidth="1"/>
    <col min="5" max="5" width="9.5703125" style="84" customWidth="1"/>
    <col min="6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0.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12" customHeight="1" x14ac:dyDescent="0.25">
      <c r="A4" s="6"/>
      <c r="B4" s="9"/>
      <c r="C4" s="9"/>
      <c r="D4" s="10"/>
    </row>
    <row r="5" spans="1:4" ht="21" customHeight="1" x14ac:dyDescent="0.25">
      <c r="A5" s="166" t="s">
        <v>265</v>
      </c>
      <c r="B5" s="166"/>
      <c r="C5" s="166"/>
      <c r="D5" s="166"/>
    </row>
    <row r="6" spans="1:4" ht="11.2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168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6.5" customHeight="1" x14ac:dyDescent="0.25">
      <c r="A14" s="3"/>
      <c r="B14" s="81" t="s">
        <v>904</v>
      </c>
      <c r="C14" s="1">
        <v>4</v>
      </c>
      <c r="D14" s="1">
        <f>C14*626</f>
        <v>2504</v>
      </c>
    </row>
    <row r="15" spans="1:4" ht="24" x14ac:dyDescent="0.25">
      <c r="A15" s="3">
        <v>1200</v>
      </c>
      <c r="B15" s="4" t="s">
        <v>903</v>
      </c>
      <c r="C15" s="1">
        <f>ROUND(C14*0.2359,2)</f>
        <v>0.94</v>
      </c>
      <c r="D15" s="1">
        <f>C15*626</f>
        <v>588.43999999999994</v>
      </c>
    </row>
    <row r="16" spans="1:4" x14ac:dyDescent="0.25">
      <c r="A16" s="3">
        <v>2341</v>
      </c>
      <c r="B16" s="3" t="s">
        <v>97</v>
      </c>
      <c r="C16" s="39"/>
      <c r="D16" s="39"/>
    </row>
    <row r="17" spans="1:5" ht="96" x14ac:dyDescent="0.25">
      <c r="A17" s="3"/>
      <c r="B17" s="23" t="s">
        <v>1606</v>
      </c>
      <c r="C17" s="1">
        <v>5.5</v>
      </c>
      <c r="D17" s="1">
        <f>C17*626</f>
        <v>3443</v>
      </c>
    </row>
    <row r="18" spans="1:5" x14ac:dyDescent="0.25">
      <c r="A18" s="5"/>
      <c r="B18" s="40" t="s">
        <v>87</v>
      </c>
      <c r="C18" s="32">
        <f>SUM(C13:C17)</f>
        <v>10.44</v>
      </c>
      <c r="D18" s="32">
        <f>SUM(D13:D17)</f>
        <v>6535.4400000000005</v>
      </c>
      <c r="E18" s="107"/>
    </row>
    <row r="19" spans="1:5" x14ac:dyDescent="0.25">
      <c r="A19" s="27"/>
      <c r="B19" s="40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511</v>
      </c>
      <c r="C21" s="24">
        <v>2.1000000000000001E-2</v>
      </c>
      <c r="D21" s="1">
        <f>C21*626</f>
        <v>13.146000000000001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512</v>
      </c>
      <c r="C23" s="24">
        <v>2.1000000000000001E-2</v>
      </c>
      <c r="D23" s="1">
        <f t="shared" ref="D23:D85" si="0">C23*626</f>
        <v>13.146000000000001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513</v>
      </c>
      <c r="C25" s="24">
        <v>5.1999999999999998E-2</v>
      </c>
      <c r="D25" s="1">
        <f t="shared" si="0"/>
        <v>32.552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514</v>
      </c>
      <c r="C27" s="24">
        <f>ROUND(38.69/9509,4)</f>
        <v>4.1000000000000003E-3</v>
      </c>
      <c r="D27" s="1">
        <f t="shared" si="0"/>
        <v>2.5666000000000002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515</v>
      </c>
      <c r="C29" s="24">
        <v>9.4E-2</v>
      </c>
      <c r="D29" s="1">
        <f t="shared" si="0"/>
        <v>58.844000000000001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516</v>
      </c>
      <c r="C31" s="24">
        <v>1.4999999999999999E-2</v>
      </c>
      <c r="D31" s="1">
        <f t="shared" si="0"/>
        <v>9.3899999999999988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517</v>
      </c>
      <c r="C33" s="24">
        <v>2.5999999999999999E-2</v>
      </c>
      <c r="D33" s="1">
        <f t="shared" si="0"/>
        <v>16.276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518</v>
      </c>
      <c r="C35" s="24">
        <v>7.0000000000000001E-3</v>
      </c>
      <c r="D35" s="1">
        <f t="shared" si="0"/>
        <v>4.3819999999999997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519</v>
      </c>
      <c r="C37" s="24">
        <v>0.01</v>
      </c>
      <c r="D37" s="1">
        <f t="shared" si="0"/>
        <v>6.26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520</v>
      </c>
      <c r="C39" s="24">
        <v>7.0000000000000001E-3</v>
      </c>
      <c r="D39" s="1">
        <f t="shared" si="0"/>
        <v>4.3819999999999997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521</v>
      </c>
      <c r="C41" s="24">
        <v>4.9000000000000002E-2</v>
      </c>
      <c r="D41" s="1">
        <f t="shared" si="0"/>
        <v>30.673999999999999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522</v>
      </c>
      <c r="C43" s="24">
        <v>6.0999999999999999E-2</v>
      </c>
      <c r="D43" s="1">
        <f t="shared" si="0"/>
        <v>38.186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523</v>
      </c>
      <c r="C45" s="24">
        <v>0.09</v>
      </c>
      <c r="D45" s="1">
        <f t="shared" si="0"/>
        <v>56.339999999999996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524</v>
      </c>
      <c r="C47" s="24">
        <v>0.05</v>
      </c>
      <c r="D47" s="1">
        <f t="shared" si="0"/>
        <v>31.3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525</v>
      </c>
      <c r="C49" s="24">
        <v>6.9000000000000006E-2</v>
      </c>
      <c r="D49" s="1">
        <f t="shared" si="0"/>
        <v>43.194000000000003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526</v>
      </c>
      <c r="C51" s="24">
        <v>3.0000000000000001E-3</v>
      </c>
      <c r="D51" s="1">
        <f t="shared" si="0"/>
        <v>1.8780000000000001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527</v>
      </c>
      <c r="C53" s="24">
        <v>2E-3</v>
      </c>
      <c r="D53" s="1">
        <f t="shared" si="0"/>
        <v>1.252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528</v>
      </c>
      <c r="C55" s="24">
        <v>0.23699999999999999</v>
      </c>
      <c r="D55" s="1">
        <f t="shared" si="0"/>
        <v>148.36199999999999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943</v>
      </c>
      <c r="C57" s="24">
        <v>0.29599999999999999</v>
      </c>
      <c r="D57" s="1">
        <f t="shared" si="0"/>
        <v>185.29599999999999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944</v>
      </c>
      <c r="C59" s="24">
        <v>1E-3</v>
      </c>
      <c r="D59" s="1">
        <f t="shared" si="0"/>
        <v>0.626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529</v>
      </c>
      <c r="C61" s="24">
        <v>2.5999999999999999E-2</v>
      </c>
      <c r="D61" s="1">
        <f t="shared" si="0"/>
        <v>16.276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530</v>
      </c>
      <c r="C63" s="24">
        <v>8.9999999999999993E-3</v>
      </c>
      <c r="D63" s="1">
        <f t="shared" si="0"/>
        <v>5.6339999999999995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531</v>
      </c>
      <c r="C65" s="24">
        <v>1.0999999999999999E-2</v>
      </c>
      <c r="D65" s="1">
        <f t="shared" si="0"/>
        <v>6.8859999999999992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532</v>
      </c>
      <c r="C67" s="24">
        <v>2.3E-2</v>
      </c>
      <c r="D67" s="1">
        <f t="shared" si="0"/>
        <v>14.398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533</v>
      </c>
      <c r="C69" s="24">
        <v>2.1999999999999999E-2</v>
      </c>
      <c r="D69" s="1">
        <f t="shared" si="0"/>
        <v>13.771999999999998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534</v>
      </c>
      <c r="C71" s="30">
        <v>3.4000000000000002E-2</v>
      </c>
      <c r="D71" s="1">
        <f t="shared" si="0"/>
        <v>21.284000000000002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535</v>
      </c>
      <c r="C73" s="24">
        <v>2E-3</v>
      </c>
      <c r="D73" s="1">
        <f t="shared" si="0"/>
        <v>1.252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536</v>
      </c>
      <c r="C75" s="24">
        <v>3.0000000000000001E-3</v>
      </c>
      <c r="D75" s="1">
        <f t="shared" si="0"/>
        <v>1.8780000000000001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537</v>
      </c>
      <c r="C77" s="24">
        <v>1E-3</v>
      </c>
      <c r="D77" s="1">
        <f t="shared" si="0"/>
        <v>0.626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538</v>
      </c>
      <c r="C79" s="24">
        <v>4.0000000000000001E-3</v>
      </c>
      <c r="D79" s="1">
        <f t="shared" si="0"/>
        <v>2.504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539</v>
      </c>
      <c r="C81" s="24">
        <v>7.0999999999999994E-2</v>
      </c>
      <c r="D81" s="1">
        <f t="shared" si="0"/>
        <v>44.445999999999998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540</v>
      </c>
      <c r="C83" s="24">
        <v>2.1000000000000001E-2</v>
      </c>
      <c r="D83" s="1">
        <f t="shared" si="0"/>
        <v>13.146000000000001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5.25" customHeight="1" x14ac:dyDescent="0.25">
      <c r="A85" s="3"/>
      <c r="B85" s="4" t="s">
        <v>541</v>
      </c>
      <c r="C85" s="24">
        <v>3.7999999999999999E-2</v>
      </c>
      <c r="D85" s="1">
        <f t="shared" si="0"/>
        <v>23.788</v>
      </c>
    </row>
    <row r="86" spans="1:4" ht="33" customHeight="1" x14ac:dyDescent="0.25">
      <c r="A86" s="3"/>
      <c r="B86" s="31" t="s">
        <v>94</v>
      </c>
      <c r="C86" s="70">
        <f>SUM(C21:C85)</f>
        <v>1.3800999999999994</v>
      </c>
      <c r="D86" s="32">
        <f>SUM(D21:D85)</f>
        <v>863.94259999999997</v>
      </c>
    </row>
    <row r="87" spans="1:4" x14ac:dyDescent="0.25">
      <c r="A87" s="33"/>
      <c r="B87" s="34" t="s">
        <v>95</v>
      </c>
      <c r="C87" s="32">
        <f>ROUND(C86+C18,4)</f>
        <v>11.8201</v>
      </c>
      <c r="D87" s="32">
        <f>ROUND(D86+D18,3)</f>
        <v>7399.3829999999998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626</v>
      </c>
      <c r="D89" s="38"/>
    </row>
    <row r="90" spans="1:4" x14ac:dyDescent="0.25">
      <c r="A90" s="161" t="s">
        <v>112</v>
      </c>
      <c r="B90" s="162"/>
      <c r="C90" s="2">
        <f>D87/C89</f>
        <v>11.820100638977635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532CC-1F86-4D70-94BF-0E42FD413922}">
  <dimension ref="A1:E90"/>
  <sheetViews>
    <sheetView view="pageBreakPreview" topLeftCell="A75" zoomScale="60" zoomScaleNormal="85" workbookViewId="0">
      <selection activeCell="B17" sqref="B17"/>
    </sheetView>
  </sheetViews>
  <sheetFormatPr defaultRowHeight="15" x14ac:dyDescent="0.25"/>
  <cols>
    <col min="1" max="1" width="9.5703125" style="84" customWidth="1"/>
    <col min="2" max="2" width="54.85546875" style="84" customWidth="1"/>
    <col min="3" max="3" width="10.85546875" style="84" customWidth="1"/>
    <col min="4" max="4" width="11.42578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28.5" customHeight="1" x14ac:dyDescent="0.25">
      <c r="A5" s="166" t="s">
        <v>264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169</v>
      </c>
      <c r="B9" s="170"/>
      <c r="C9" s="48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4.25" customHeight="1" x14ac:dyDescent="0.25">
      <c r="A14" s="3"/>
      <c r="B14" s="81" t="s">
        <v>905</v>
      </c>
      <c r="C14" s="1">
        <v>4</v>
      </c>
      <c r="D14" s="1">
        <f>C14*224</f>
        <v>896</v>
      </c>
    </row>
    <row r="15" spans="1:4" ht="24" x14ac:dyDescent="0.25">
      <c r="A15" s="3">
        <v>1200</v>
      </c>
      <c r="B15" s="23" t="s">
        <v>903</v>
      </c>
      <c r="C15" s="1">
        <f>ROUND(C14*0.2359,2)</f>
        <v>0.94</v>
      </c>
      <c r="D15" s="1">
        <f>C15*224</f>
        <v>210.56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5" ht="120" x14ac:dyDescent="0.25">
      <c r="A17" s="3"/>
      <c r="B17" s="4" t="s">
        <v>1605</v>
      </c>
      <c r="C17" s="1">
        <v>4.6500000000000004</v>
      </c>
      <c r="D17" s="1">
        <f>C17*224</f>
        <v>1041.6000000000001</v>
      </c>
    </row>
    <row r="18" spans="1:5" x14ac:dyDescent="0.25">
      <c r="A18" s="34"/>
      <c r="B18" s="40" t="s">
        <v>87</v>
      </c>
      <c r="C18" s="32">
        <f>SUM(C13:C17)</f>
        <v>9.59</v>
      </c>
      <c r="D18" s="32">
        <f>SUM(D13:D17)</f>
        <v>2148.16</v>
      </c>
      <c r="E18" s="107"/>
    </row>
    <row r="19" spans="1:5" x14ac:dyDescent="0.25">
      <c r="A19" s="27"/>
      <c r="B19" s="40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547</v>
      </c>
      <c r="C21" s="24">
        <v>2.1000000000000001E-2</v>
      </c>
      <c r="D21" s="1">
        <f>C21*224</f>
        <v>4.7040000000000006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548</v>
      </c>
      <c r="C23" s="24">
        <v>2.1000000000000001E-2</v>
      </c>
      <c r="D23" s="1">
        <f t="shared" ref="D23:D85" si="0">C23*224</f>
        <v>4.7040000000000006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549</v>
      </c>
      <c r="C25" s="24">
        <v>5.1999999999999998E-2</v>
      </c>
      <c r="D25" s="1">
        <f t="shared" si="0"/>
        <v>11.648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550</v>
      </c>
      <c r="C27" s="24">
        <f>ROUND(38.69/9509,4)</f>
        <v>4.1000000000000003E-3</v>
      </c>
      <c r="D27" s="1">
        <f t="shared" si="0"/>
        <v>0.91840000000000011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551</v>
      </c>
      <c r="C29" s="24">
        <v>9.4E-2</v>
      </c>
      <c r="D29" s="1">
        <f t="shared" si="0"/>
        <v>21.056000000000001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552</v>
      </c>
      <c r="C31" s="24">
        <v>1.4999999999999999E-2</v>
      </c>
      <c r="D31" s="1">
        <f t="shared" si="0"/>
        <v>3.36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553</v>
      </c>
      <c r="C33" s="24">
        <v>2.5999999999999999E-2</v>
      </c>
      <c r="D33" s="1">
        <f t="shared" si="0"/>
        <v>5.8239999999999998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554</v>
      </c>
      <c r="C35" s="24">
        <v>7.0000000000000001E-3</v>
      </c>
      <c r="D35" s="1">
        <f t="shared" si="0"/>
        <v>1.5680000000000001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555</v>
      </c>
      <c r="C37" s="24">
        <v>0.01</v>
      </c>
      <c r="D37" s="1">
        <f t="shared" si="0"/>
        <v>2.2400000000000002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556</v>
      </c>
      <c r="C39" s="24">
        <v>7.0000000000000001E-3</v>
      </c>
      <c r="D39" s="1">
        <f t="shared" si="0"/>
        <v>1.5680000000000001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557</v>
      </c>
      <c r="C41" s="24">
        <v>4.9000000000000002E-2</v>
      </c>
      <c r="D41" s="1">
        <f t="shared" si="0"/>
        <v>10.976000000000001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558</v>
      </c>
      <c r="C43" s="24">
        <v>6.0999999999999999E-2</v>
      </c>
      <c r="D43" s="1">
        <f t="shared" si="0"/>
        <v>13.664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559</v>
      </c>
      <c r="C45" s="24">
        <v>0.09</v>
      </c>
      <c r="D45" s="1">
        <f t="shared" si="0"/>
        <v>20.16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560</v>
      </c>
      <c r="C47" s="24">
        <v>0.05</v>
      </c>
      <c r="D47" s="1">
        <f t="shared" si="0"/>
        <v>11.200000000000001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561</v>
      </c>
      <c r="C49" s="24">
        <v>6.9000000000000006E-2</v>
      </c>
      <c r="D49" s="1">
        <f t="shared" si="0"/>
        <v>15.456000000000001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562</v>
      </c>
      <c r="C51" s="24">
        <v>3.0000000000000001E-3</v>
      </c>
      <c r="D51" s="1">
        <f t="shared" si="0"/>
        <v>0.67200000000000004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563</v>
      </c>
      <c r="C53" s="24">
        <v>2E-3</v>
      </c>
      <c r="D53" s="1">
        <f t="shared" si="0"/>
        <v>0.44800000000000001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564</v>
      </c>
      <c r="C55" s="24">
        <v>0.23699999999999999</v>
      </c>
      <c r="D55" s="1">
        <f t="shared" si="0"/>
        <v>53.087999999999994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945</v>
      </c>
      <c r="C57" s="24">
        <v>0.29599999999999999</v>
      </c>
      <c r="D57" s="1">
        <f t="shared" si="0"/>
        <v>66.304000000000002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946</v>
      </c>
      <c r="C59" s="24">
        <v>1E-3</v>
      </c>
      <c r="D59" s="1">
        <f t="shared" si="0"/>
        <v>0.224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565</v>
      </c>
      <c r="C61" s="24">
        <v>2.5999999999999999E-2</v>
      </c>
      <c r="D61" s="1">
        <f t="shared" si="0"/>
        <v>5.8239999999999998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566</v>
      </c>
      <c r="C63" s="24">
        <v>8.9999999999999993E-3</v>
      </c>
      <c r="D63" s="1">
        <f t="shared" si="0"/>
        <v>2.016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567</v>
      </c>
      <c r="C65" s="24">
        <v>1.0999999999999999E-2</v>
      </c>
      <c r="D65" s="1">
        <f t="shared" si="0"/>
        <v>2.464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568</v>
      </c>
      <c r="C67" s="24">
        <v>2.3E-2</v>
      </c>
      <c r="D67" s="1">
        <f t="shared" si="0"/>
        <v>5.1520000000000001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569</v>
      </c>
      <c r="C69" s="24">
        <v>2.1999999999999999E-2</v>
      </c>
      <c r="D69" s="1">
        <f t="shared" si="0"/>
        <v>4.9279999999999999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570</v>
      </c>
      <c r="C71" s="30">
        <v>3.4000000000000002E-2</v>
      </c>
      <c r="D71" s="1">
        <f t="shared" si="0"/>
        <v>7.6160000000000005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571</v>
      </c>
      <c r="C73" s="24">
        <v>2E-3</v>
      </c>
      <c r="D73" s="1">
        <f t="shared" si="0"/>
        <v>0.44800000000000001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572</v>
      </c>
      <c r="C75" s="24">
        <v>3.0000000000000001E-3</v>
      </c>
      <c r="D75" s="1">
        <f t="shared" si="0"/>
        <v>0.67200000000000004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546</v>
      </c>
      <c r="C77" s="24">
        <v>1E-3</v>
      </c>
      <c r="D77" s="1">
        <f t="shared" si="0"/>
        <v>0.224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545</v>
      </c>
      <c r="C79" s="24">
        <v>4.0000000000000001E-3</v>
      </c>
      <c r="D79" s="1">
        <f t="shared" si="0"/>
        <v>0.89600000000000002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544</v>
      </c>
      <c r="C81" s="24">
        <v>7.0999999999999994E-2</v>
      </c>
      <c r="D81" s="1">
        <f t="shared" si="0"/>
        <v>15.903999999999998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543</v>
      </c>
      <c r="C83" s="24">
        <v>2.1000000000000001E-2</v>
      </c>
      <c r="D83" s="1">
        <f t="shared" si="0"/>
        <v>4.7040000000000006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542</v>
      </c>
      <c r="C85" s="24">
        <v>3.7999999999999999E-2</v>
      </c>
      <c r="D85" s="1">
        <f t="shared" si="0"/>
        <v>8.5120000000000005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309.14240000000001</v>
      </c>
    </row>
    <row r="87" spans="1:4" ht="15" customHeight="1" x14ac:dyDescent="0.25">
      <c r="A87" s="33"/>
      <c r="B87" s="34" t="s">
        <v>95</v>
      </c>
      <c r="C87" s="32">
        <f>ROUND(C86+C18,4)</f>
        <v>10.9701</v>
      </c>
      <c r="D87" s="32">
        <f>ROUND(D86+D18,4)</f>
        <v>2457.3024</v>
      </c>
    </row>
    <row r="88" spans="1:4" ht="32.25" customHeight="1" x14ac:dyDescent="0.25">
      <c r="A88" s="35"/>
      <c r="B88" s="36"/>
      <c r="C88" s="37"/>
      <c r="D88" s="38"/>
    </row>
    <row r="89" spans="1:4" x14ac:dyDescent="0.25">
      <c r="A89" s="161" t="s">
        <v>96</v>
      </c>
      <c r="B89" s="162"/>
      <c r="C89" s="41">
        <v>224</v>
      </c>
    </row>
    <row r="90" spans="1:4" ht="48.75" customHeight="1" x14ac:dyDescent="0.25">
      <c r="A90" s="161" t="s">
        <v>112</v>
      </c>
      <c r="B90" s="162"/>
      <c r="C90" s="2">
        <f>D87/C89</f>
        <v>10.9701</v>
      </c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3EE98-90E0-446E-9CEC-EE2AD67D5E17}">
  <dimension ref="A1:E90"/>
  <sheetViews>
    <sheetView view="pageBreakPreview" topLeftCell="A75" zoomScale="60" zoomScaleNormal="100" workbookViewId="0">
      <selection activeCell="B17" sqref="B17"/>
    </sheetView>
  </sheetViews>
  <sheetFormatPr defaultRowHeight="15" x14ac:dyDescent="0.25"/>
  <cols>
    <col min="1" max="1" width="9.7109375" style="84" customWidth="1"/>
    <col min="2" max="2" width="54.5703125" style="84" customWidth="1"/>
    <col min="3" max="3" width="13" style="84" customWidth="1"/>
    <col min="4" max="4" width="14.42578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11"/>
    </row>
    <row r="5" spans="1:4" ht="26.25" customHeight="1" x14ac:dyDescent="0.25">
      <c r="A5" s="166" t="s">
        <v>263</v>
      </c>
      <c r="B5" s="166"/>
      <c r="C5" s="166"/>
      <c r="D5" s="166"/>
    </row>
    <row r="6" spans="1:4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x14ac:dyDescent="0.25">
      <c r="A8" s="49"/>
      <c r="B8" s="79"/>
      <c r="C8" s="11"/>
      <c r="D8" s="11"/>
    </row>
    <row r="9" spans="1:4" x14ac:dyDescent="0.25">
      <c r="A9" s="170" t="s">
        <v>167</v>
      </c>
      <c r="B9" s="170"/>
      <c r="C9" s="48"/>
      <c r="D9" s="48"/>
    </row>
    <row r="10" spans="1:4" ht="97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7.25" customHeight="1" x14ac:dyDescent="0.25">
      <c r="A14" s="3"/>
      <c r="B14" s="81" t="s">
        <v>906</v>
      </c>
      <c r="C14" s="1">
        <v>4</v>
      </c>
      <c r="D14" s="1">
        <f>C14*895</f>
        <v>3580</v>
      </c>
    </row>
    <row r="15" spans="1:4" ht="24" x14ac:dyDescent="0.25">
      <c r="A15" s="3">
        <v>1200</v>
      </c>
      <c r="B15" s="4" t="s">
        <v>903</v>
      </c>
      <c r="C15" s="1">
        <f>ROUND(C14*0.2359,2)</f>
        <v>0.94</v>
      </c>
      <c r="D15" s="1">
        <f>C15*895</f>
        <v>841.3</v>
      </c>
    </row>
    <row r="16" spans="1:4" x14ac:dyDescent="0.25">
      <c r="A16" s="3">
        <v>2341</v>
      </c>
      <c r="B16" s="3" t="s">
        <v>97</v>
      </c>
      <c r="C16" s="24"/>
      <c r="D16" s="24"/>
    </row>
    <row r="17" spans="1:5" ht="120" x14ac:dyDescent="0.25">
      <c r="A17" s="3"/>
      <c r="B17" s="4" t="s">
        <v>1604</v>
      </c>
      <c r="C17" s="1">
        <v>17.47</v>
      </c>
      <c r="D17" s="1">
        <f>C17*895</f>
        <v>15635.65</v>
      </c>
    </row>
    <row r="18" spans="1:5" x14ac:dyDescent="0.25">
      <c r="A18" s="3"/>
      <c r="B18" s="40" t="s">
        <v>87</v>
      </c>
      <c r="C18" s="32">
        <f>SUM(C13:C17)</f>
        <v>22.409999999999997</v>
      </c>
      <c r="D18" s="32">
        <f>SUM(D13:D17)</f>
        <v>20056.95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480</v>
      </c>
      <c r="C21" s="24">
        <v>2.1000000000000001E-2</v>
      </c>
      <c r="D21" s="1">
        <f>C21*895</f>
        <v>18.795000000000002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481</v>
      </c>
      <c r="C23" s="24">
        <v>2.1000000000000001E-2</v>
      </c>
      <c r="D23" s="1">
        <f t="shared" ref="D23:D83" si="0">C23*895</f>
        <v>18.795000000000002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482</v>
      </c>
      <c r="C25" s="24">
        <v>5.1999999999999998E-2</v>
      </c>
      <c r="D25" s="1">
        <f>C25*895</f>
        <v>46.54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483</v>
      </c>
      <c r="C27" s="24">
        <f>ROUND(38.69/9509,4)</f>
        <v>4.1000000000000003E-3</v>
      </c>
      <c r="D27" s="1">
        <f t="shared" si="0"/>
        <v>3.6695000000000002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484</v>
      </c>
      <c r="C29" s="24">
        <v>9.4E-2</v>
      </c>
      <c r="D29" s="1">
        <f t="shared" si="0"/>
        <v>84.13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485</v>
      </c>
      <c r="C31" s="24">
        <v>1.4999999999999999E-2</v>
      </c>
      <c r="D31" s="1">
        <f t="shared" si="0"/>
        <v>13.424999999999999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486</v>
      </c>
      <c r="C33" s="24">
        <v>2.5999999999999999E-2</v>
      </c>
      <c r="D33" s="1">
        <f t="shared" si="0"/>
        <v>23.27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487</v>
      </c>
      <c r="C35" s="24">
        <v>7.0000000000000001E-3</v>
      </c>
      <c r="D35" s="1">
        <f t="shared" si="0"/>
        <v>6.2650000000000006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488</v>
      </c>
      <c r="C37" s="24">
        <v>0.01</v>
      </c>
      <c r="D37" s="1">
        <f t="shared" si="0"/>
        <v>8.9500000000000011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489</v>
      </c>
      <c r="C39" s="24">
        <v>7.0000000000000001E-3</v>
      </c>
      <c r="D39" s="1">
        <f t="shared" si="0"/>
        <v>6.2650000000000006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490</v>
      </c>
      <c r="C41" s="24">
        <v>4.9000000000000002E-2</v>
      </c>
      <c r="D41" s="1">
        <f t="shared" si="0"/>
        <v>43.855000000000004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491</v>
      </c>
      <c r="C43" s="24">
        <v>6.0999999999999999E-2</v>
      </c>
      <c r="D43" s="1">
        <f t="shared" si="0"/>
        <v>54.594999999999999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492</v>
      </c>
      <c r="C45" s="24">
        <v>0.09</v>
      </c>
      <c r="D45" s="1">
        <f t="shared" si="0"/>
        <v>80.55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493</v>
      </c>
      <c r="C47" s="24">
        <v>0.05</v>
      </c>
      <c r="D47" s="1">
        <f t="shared" si="0"/>
        <v>44.75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494</v>
      </c>
      <c r="C49" s="24">
        <v>6.9000000000000006E-2</v>
      </c>
      <c r="D49" s="1">
        <f t="shared" si="0"/>
        <v>61.755000000000003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495</v>
      </c>
      <c r="C51" s="24">
        <v>3.0000000000000001E-3</v>
      </c>
      <c r="D51" s="1">
        <f t="shared" si="0"/>
        <v>2.6850000000000001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496</v>
      </c>
      <c r="C53" s="24">
        <v>2E-3</v>
      </c>
      <c r="D53" s="1">
        <f t="shared" si="0"/>
        <v>1.79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497</v>
      </c>
      <c r="C55" s="24">
        <v>0.23699999999999999</v>
      </c>
      <c r="D55" s="1">
        <f t="shared" si="0"/>
        <v>212.11499999999998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947</v>
      </c>
      <c r="C57" s="24">
        <v>0.29599999999999999</v>
      </c>
      <c r="D57" s="1">
        <f t="shared" si="0"/>
        <v>264.91999999999996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948</v>
      </c>
      <c r="C59" s="24">
        <v>1E-3</v>
      </c>
      <c r="D59" s="1">
        <f t="shared" si="0"/>
        <v>0.89500000000000002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498</v>
      </c>
      <c r="C61" s="24">
        <v>2.5999999999999999E-2</v>
      </c>
      <c r="D61" s="1">
        <f t="shared" si="0"/>
        <v>23.27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499</v>
      </c>
      <c r="C63" s="24">
        <v>8.9999999999999993E-3</v>
      </c>
      <c r="D63" s="1">
        <f t="shared" si="0"/>
        <v>8.0549999999999997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500</v>
      </c>
      <c r="C65" s="24">
        <v>1.0999999999999999E-2</v>
      </c>
      <c r="D65" s="1">
        <f t="shared" si="0"/>
        <v>9.8449999999999989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501</v>
      </c>
      <c r="C67" s="24">
        <v>2.3E-2</v>
      </c>
      <c r="D67" s="1">
        <f t="shared" si="0"/>
        <v>20.585000000000001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502</v>
      </c>
      <c r="C69" s="24">
        <v>2.1999999999999999E-2</v>
      </c>
      <c r="D69" s="1">
        <f t="shared" si="0"/>
        <v>19.689999999999998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503</v>
      </c>
      <c r="C71" s="30">
        <v>3.4000000000000002E-2</v>
      </c>
      <c r="D71" s="1">
        <f t="shared" si="0"/>
        <v>30.430000000000003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504</v>
      </c>
      <c r="C73" s="24">
        <v>2E-3</v>
      </c>
      <c r="D73" s="1">
        <f t="shared" si="0"/>
        <v>1.79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505</v>
      </c>
      <c r="C75" s="24">
        <v>3.0000000000000001E-3</v>
      </c>
      <c r="D75" s="1">
        <f t="shared" si="0"/>
        <v>2.6850000000000001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506</v>
      </c>
      <c r="C77" s="24">
        <v>1E-3</v>
      </c>
      <c r="D77" s="1">
        <f t="shared" si="0"/>
        <v>0.89500000000000002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507</v>
      </c>
      <c r="C79" s="24">
        <v>4.0000000000000001E-3</v>
      </c>
      <c r="D79" s="1">
        <f t="shared" si="0"/>
        <v>3.58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508</v>
      </c>
      <c r="C81" s="24">
        <v>7.0999999999999994E-2</v>
      </c>
      <c r="D81" s="1">
        <f t="shared" si="0"/>
        <v>63.544999999999995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509</v>
      </c>
      <c r="C83" s="24">
        <v>2.1000000000000001E-2</v>
      </c>
      <c r="D83" s="1">
        <f t="shared" si="0"/>
        <v>18.795000000000002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71.25" customHeight="1" x14ac:dyDescent="0.25">
      <c r="A85" s="3"/>
      <c r="B85" s="4" t="s">
        <v>510</v>
      </c>
      <c r="C85" s="24">
        <v>3.7999999999999999E-2</v>
      </c>
      <c r="D85" s="1">
        <f t="shared" ref="D85" si="1">C85*895</f>
        <v>34.01</v>
      </c>
    </row>
    <row r="86" spans="1:4" ht="29.25" customHeight="1" x14ac:dyDescent="0.25">
      <c r="A86" s="3"/>
      <c r="B86" s="31" t="s">
        <v>94</v>
      </c>
      <c r="C86" s="70">
        <f>SUM(C21:C85)</f>
        <v>1.3800999999999994</v>
      </c>
      <c r="D86" s="32">
        <f>SUM(D21:D85)</f>
        <v>1235.1895</v>
      </c>
    </row>
    <row r="87" spans="1:4" x14ac:dyDescent="0.25">
      <c r="A87" s="33"/>
      <c r="B87" s="34" t="s">
        <v>95</v>
      </c>
      <c r="C87" s="32">
        <f>ROUND(C86+C18,4)</f>
        <v>23.790099999999999</v>
      </c>
      <c r="D87" s="32">
        <f>ROUND(D86+D18,3)</f>
        <v>21292.14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895</v>
      </c>
      <c r="D89" s="38"/>
    </row>
    <row r="90" spans="1:4" x14ac:dyDescent="0.25">
      <c r="A90" s="161" t="s">
        <v>112</v>
      </c>
      <c r="B90" s="162"/>
      <c r="C90" s="2">
        <f>D87/C89</f>
        <v>23.790100558659216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5" orientation="portrait" r:id="rId1"/>
  <colBreaks count="1" manualBreakCount="1">
    <brk id="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B3622-030B-4BAB-9D69-4CD4A97DC0C6}">
  <dimension ref="A1:E92"/>
  <sheetViews>
    <sheetView view="pageBreakPreview" topLeftCell="A67" zoomScale="60" zoomScaleNormal="85" workbookViewId="0">
      <selection activeCell="D73" sqref="D73"/>
    </sheetView>
  </sheetViews>
  <sheetFormatPr defaultRowHeight="15" x14ac:dyDescent="0.25"/>
  <cols>
    <col min="1" max="1" width="10.140625" style="84" customWidth="1"/>
    <col min="2" max="2" width="54.28515625" style="84" customWidth="1"/>
    <col min="3" max="3" width="13.85546875" style="84" customWidth="1"/>
    <col min="4" max="4" width="13.7109375" style="84" customWidth="1"/>
    <col min="5" max="5" width="11.28515625" style="84" customWidth="1"/>
    <col min="6" max="6" width="11.140625" style="84" customWidth="1"/>
    <col min="7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29.25" customHeight="1" x14ac:dyDescent="0.25">
      <c r="A5" s="166" t="s">
        <v>262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167</v>
      </c>
      <c r="B9" s="170"/>
      <c r="C9" s="48"/>
      <c r="D9" s="44"/>
    </row>
    <row r="10" spans="1:4" ht="97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9.25" customHeight="1" x14ac:dyDescent="0.25">
      <c r="A14" s="3"/>
      <c r="B14" s="81" t="s">
        <v>1603</v>
      </c>
      <c r="C14" s="1">
        <v>4</v>
      </c>
      <c r="D14" s="1">
        <f>C14*895</f>
        <v>3580</v>
      </c>
    </row>
    <row r="15" spans="1:4" ht="24" x14ac:dyDescent="0.25">
      <c r="A15" s="3">
        <v>1200</v>
      </c>
      <c r="B15" s="4" t="s">
        <v>903</v>
      </c>
      <c r="C15" s="1">
        <f>ROUND(C14*0.2359,2)</f>
        <v>0.94</v>
      </c>
      <c r="D15" s="1">
        <f>C15*895</f>
        <v>841.3</v>
      </c>
    </row>
    <row r="16" spans="1:4" x14ac:dyDescent="0.25">
      <c r="A16" s="3">
        <v>2341</v>
      </c>
      <c r="B16" s="3" t="s">
        <v>116</v>
      </c>
      <c r="C16" s="1"/>
      <c r="D16" s="24"/>
    </row>
    <row r="17" spans="1:5" ht="120" customHeight="1" x14ac:dyDescent="0.25">
      <c r="A17" s="3"/>
      <c r="B17" s="4" t="s">
        <v>1565</v>
      </c>
      <c r="C17" s="1">
        <v>14.93</v>
      </c>
      <c r="D17" s="1">
        <f>C17*895</f>
        <v>13362.35</v>
      </c>
    </row>
    <row r="18" spans="1:5" x14ac:dyDescent="0.25">
      <c r="A18" s="34"/>
      <c r="B18" s="40" t="s">
        <v>87</v>
      </c>
      <c r="C18" s="32">
        <f>SUM(C13:C17)</f>
        <v>19.869999999999997</v>
      </c>
      <c r="D18" s="32">
        <f>SUM(D13:D17)</f>
        <v>17783.650000000001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480</v>
      </c>
      <c r="C21" s="24">
        <v>2.1000000000000001E-2</v>
      </c>
      <c r="D21" s="1">
        <f>C21*895</f>
        <v>18.795000000000002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481</v>
      </c>
      <c r="C23" s="24">
        <v>2.1000000000000001E-2</v>
      </c>
      <c r="D23" s="1">
        <f t="shared" ref="D23:D85" si="0">C23*895</f>
        <v>18.795000000000002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482</v>
      </c>
      <c r="C25" s="24">
        <v>5.1999999999999998E-2</v>
      </c>
      <c r="D25" s="1">
        <f>C25*895</f>
        <v>46.54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483</v>
      </c>
      <c r="C27" s="24">
        <f>ROUND(38.69/9509,4)</f>
        <v>4.1000000000000003E-3</v>
      </c>
      <c r="D27" s="1">
        <f t="shared" si="0"/>
        <v>3.6695000000000002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484</v>
      </c>
      <c r="C29" s="24">
        <v>9.4E-2</v>
      </c>
      <c r="D29" s="1">
        <f t="shared" si="0"/>
        <v>84.13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485</v>
      </c>
      <c r="C31" s="24">
        <v>1.4999999999999999E-2</v>
      </c>
      <c r="D31" s="1">
        <f t="shared" si="0"/>
        <v>13.424999999999999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486</v>
      </c>
      <c r="C33" s="24">
        <v>2.5999999999999999E-2</v>
      </c>
      <c r="D33" s="1">
        <f t="shared" si="0"/>
        <v>23.27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487</v>
      </c>
      <c r="C35" s="24">
        <v>7.0000000000000001E-3</v>
      </c>
      <c r="D35" s="1">
        <f t="shared" si="0"/>
        <v>6.2650000000000006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488</v>
      </c>
      <c r="C37" s="24">
        <v>0.01</v>
      </c>
      <c r="D37" s="1">
        <f t="shared" si="0"/>
        <v>8.9500000000000011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489</v>
      </c>
      <c r="C39" s="24">
        <v>7.0000000000000001E-3</v>
      </c>
      <c r="D39" s="1">
        <f t="shared" si="0"/>
        <v>6.2650000000000006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490</v>
      </c>
      <c r="C41" s="24">
        <v>4.9000000000000002E-2</v>
      </c>
      <c r="D41" s="1">
        <f t="shared" si="0"/>
        <v>43.855000000000004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491</v>
      </c>
      <c r="C43" s="24">
        <v>6.0999999999999999E-2</v>
      </c>
      <c r="D43" s="1">
        <f t="shared" si="0"/>
        <v>54.594999999999999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492</v>
      </c>
      <c r="C45" s="24">
        <v>0.09</v>
      </c>
      <c r="D45" s="1">
        <f t="shared" si="0"/>
        <v>80.55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493</v>
      </c>
      <c r="C47" s="24">
        <v>0.05</v>
      </c>
      <c r="D47" s="1">
        <f t="shared" si="0"/>
        <v>44.75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494</v>
      </c>
      <c r="C49" s="24">
        <v>6.9000000000000006E-2</v>
      </c>
      <c r="D49" s="1">
        <f t="shared" si="0"/>
        <v>61.755000000000003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495</v>
      </c>
      <c r="C51" s="24">
        <v>3.0000000000000001E-3</v>
      </c>
      <c r="D51" s="1">
        <f t="shared" si="0"/>
        <v>2.6850000000000001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496</v>
      </c>
      <c r="C53" s="24">
        <v>2E-3</v>
      </c>
      <c r="D53" s="1">
        <f t="shared" si="0"/>
        <v>1.79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497</v>
      </c>
      <c r="C55" s="24">
        <v>0.23699999999999999</v>
      </c>
      <c r="D55" s="1">
        <f t="shared" si="0"/>
        <v>212.11499999999998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949</v>
      </c>
      <c r="C57" s="24">
        <v>0.29599999999999999</v>
      </c>
      <c r="D57" s="1">
        <f t="shared" si="0"/>
        <v>264.91999999999996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950</v>
      </c>
      <c r="C59" s="24">
        <v>1E-3</v>
      </c>
      <c r="D59" s="1">
        <f t="shared" si="0"/>
        <v>0.89500000000000002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498</v>
      </c>
      <c r="C61" s="24">
        <v>2.5999999999999999E-2</v>
      </c>
      <c r="D61" s="1">
        <f t="shared" si="0"/>
        <v>23.27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499</v>
      </c>
      <c r="C63" s="24">
        <v>8.9999999999999993E-3</v>
      </c>
      <c r="D63" s="1">
        <f t="shared" si="0"/>
        <v>8.0549999999999997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500</v>
      </c>
      <c r="C65" s="24">
        <v>1.0999999999999999E-2</v>
      </c>
      <c r="D65" s="1">
        <f t="shared" si="0"/>
        <v>9.8449999999999989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501</v>
      </c>
      <c r="C67" s="24">
        <v>2.3E-2</v>
      </c>
      <c r="D67" s="1">
        <f t="shared" si="0"/>
        <v>20.585000000000001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502</v>
      </c>
      <c r="C69" s="24">
        <v>2.1999999999999999E-2</v>
      </c>
      <c r="D69" s="1">
        <f t="shared" si="0"/>
        <v>19.689999999999998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503</v>
      </c>
      <c r="C71" s="30">
        <v>3.4000000000000002E-2</v>
      </c>
      <c r="D71" s="1">
        <f t="shared" si="0"/>
        <v>30.430000000000003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504</v>
      </c>
      <c r="C73" s="24">
        <v>2E-3</v>
      </c>
      <c r="D73" s="1">
        <f t="shared" si="0"/>
        <v>1.79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505</v>
      </c>
      <c r="C75" s="24">
        <v>3.0000000000000001E-3</v>
      </c>
      <c r="D75" s="1">
        <f t="shared" si="0"/>
        <v>2.6850000000000001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506</v>
      </c>
      <c r="C77" s="24">
        <v>1E-3</v>
      </c>
      <c r="D77" s="1">
        <f t="shared" si="0"/>
        <v>0.89500000000000002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507</v>
      </c>
      <c r="C79" s="24">
        <v>4.0000000000000001E-3</v>
      </c>
      <c r="D79" s="1">
        <f t="shared" si="0"/>
        <v>3.58</v>
      </c>
    </row>
    <row r="80" spans="1:4" x14ac:dyDescent="0.25">
      <c r="A80" s="3">
        <v>5210</v>
      </c>
      <c r="B80" s="68" t="s">
        <v>367</v>
      </c>
      <c r="C80" s="24"/>
      <c r="D80" s="1">
        <f t="shared" si="0"/>
        <v>0</v>
      </c>
    </row>
    <row r="81" spans="1:4" x14ac:dyDescent="0.25">
      <c r="A81" s="3"/>
      <c r="B81" s="4"/>
      <c r="C81" s="24"/>
      <c r="D81" s="1">
        <f t="shared" si="0"/>
        <v>0</v>
      </c>
    </row>
    <row r="82" spans="1:4" ht="16.5" customHeight="1" x14ac:dyDescent="0.25">
      <c r="A82" s="3">
        <v>5231</v>
      </c>
      <c r="B82" s="68" t="s">
        <v>368</v>
      </c>
      <c r="C82" s="1"/>
      <c r="D82" s="1"/>
    </row>
    <row r="83" spans="1:4" ht="60" x14ac:dyDescent="0.25">
      <c r="A83" s="3"/>
      <c r="B83" s="4" t="s">
        <v>508</v>
      </c>
      <c r="C83" s="24">
        <v>7.0999999999999994E-2</v>
      </c>
      <c r="D83" s="1">
        <f t="shared" si="0"/>
        <v>63.544999999999995</v>
      </c>
    </row>
    <row r="84" spans="1:4" x14ac:dyDescent="0.25">
      <c r="A84" s="3">
        <v>5238</v>
      </c>
      <c r="B84" s="4" t="s">
        <v>115</v>
      </c>
      <c r="C84" s="30"/>
      <c r="D84" s="1"/>
    </row>
    <row r="85" spans="1:4" ht="60" x14ac:dyDescent="0.25">
      <c r="A85" s="3"/>
      <c r="B85" s="4" t="s">
        <v>509</v>
      </c>
      <c r="C85" s="24">
        <v>2.1000000000000001E-2</v>
      </c>
      <c r="D85" s="1">
        <f t="shared" si="0"/>
        <v>18.795000000000002</v>
      </c>
    </row>
    <row r="86" spans="1:4" x14ac:dyDescent="0.25">
      <c r="A86" s="3">
        <v>5239</v>
      </c>
      <c r="B86" s="68" t="s">
        <v>369</v>
      </c>
      <c r="C86" s="24"/>
      <c r="D86" s="1"/>
    </row>
    <row r="87" spans="1:4" ht="14.45" customHeight="1" x14ac:dyDescent="0.25">
      <c r="A87" s="3"/>
      <c r="B87" s="4" t="s">
        <v>510</v>
      </c>
      <c r="C87" s="24">
        <v>3.7999999999999999E-2</v>
      </c>
      <c r="D87" s="1">
        <f t="shared" ref="D87" si="1">C87*895</f>
        <v>34.01</v>
      </c>
    </row>
    <row r="88" spans="1:4" ht="33" customHeight="1" x14ac:dyDescent="0.25">
      <c r="A88" s="3"/>
      <c r="B88" s="31" t="s">
        <v>94</v>
      </c>
      <c r="C88" s="70">
        <f>SUM(C21:C87)</f>
        <v>1.3800999999999994</v>
      </c>
      <c r="D88" s="32">
        <f>SUM(D21:D87)</f>
        <v>1235.1895</v>
      </c>
    </row>
    <row r="89" spans="1:4" x14ac:dyDescent="0.25">
      <c r="A89" s="33"/>
      <c r="B89" s="34" t="s">
        <v>95</v>
      </c>
      <c r="C89" s="32">
        <f>ROUND(C88+C18,4)</f>
        <v>21.2501</v>
      </c>
      <c r="D89" s="32">
        <f>ROUND(D88+D18,3)</f>
        <v>19018.84</v>
      </c>
    </row>
    <row r="90" spans="1:4" x14ac:dyDescent="0.25">
      <c r="A90" s="35"/>
      <c r="B90" s="36"/>
      <c r="C90" s="37"/>
      <c r="D90" s="37"/>
    </row>
    <row r="91" spans="1:4" x14ac:dyDescent="0.25">
      <c r="A91" s="161" t="s">
        <v>96</v>
      </c>
      <c r="B91" s="162"/>
      <c r="C91" s="41">
        <v>895</v>
      </c>
      <c r="D91" s="38"/>
    </row>
    <row r="92" spans="1:4" x14ac:dyDescent="0.25">
      <c r="A92" s="161" t="s">
        <v>112</v>
      </c>
      <c r="B92" s="162"/>
      <c r="C92" s="2">
        <f>D89/C91</f>
        <v>21.250100558659216</v>
      </c>
      <c r="D92" s="38"/>
    </row>
  </sheetData>
  <mergeCells count="7">
    <mergeCell ref="A91:B91"/>
    <mergeCell ref="A92:B92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rowBreaks count="1" manualBreakCount="1">
    <brk id="66" max="3" man="1"/>
  </rowBreaks>
  <colBreaks count="1" manualBreakCount="1">
    <brk id="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C7D07-B7BF-4BBD-B6A3-D18811553CC9}">
  <dimension ref="A1:G90"/>
  <sheetViews>
    <sheetView view="pageBreakPreview" topLeftCell="A79" zoomScale="60" zoomScaleNormal="98" workbookViewId="0">
      <selection activeCell="C17" sqref="C17"/>
    </sheetView>
  </sheetViews>
  <sheetFormatPr defaultRowHeight="15" x14ac:dyDescent="0.25"/>
  <cols>
    <col min="1" max="1" width="10.28515625" style="84" customWidth="1"/>
    <col min="2" max="2" width="52.42578125" style="84" customWidth="1"/>
    <col min="3" max="3" width="12.5703125" style="84" customWidth="1"/>
    <col min="4" max="4" width="11.570312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11"/>
    </row>
    <row r="5" spans="1:4" ht="25.5" customHeight="1" x14ac:dyDescent="0.25">
      <c r="A5" s="158" t="s">
        <v>261</v>
      </c>
      <c r="B5" s="158"/>
      <c r="C5" s="158"/>
      <c r="D5" s="158"/>
    </row>
    <row r="6" spans="1:4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x14ac:dyDescent="0.25">
      <c r="A8" s="49"/>
      <c r="B8" s="79"/>
      <c r="C8" s="11"/>
      <c r="D8" s="11"/>
    </row>
    <row r="9" spans="1:4" x14ac:dyDescent="0.25">
      <c r="A9" s="170" t="s">
        <v>164</v>
      </c>
      <c r="B9" s="170"/>
      <c r="C9" s="48"/>
      <c r="D9" s="48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5.5" customHeight="1" x14ac:dyDescent="0.25">
      <c r="A14" s="3"/>
      <c r="B14" s="81" t="s">
        <v>907</v>
      </c>
      <c r="C14" s="1">
        <v>4</v>
      </c>
      <c r="D14" s="1">
        <f>C14*7</f>
        <v>28</v>
      </c>
    </row>
    <row r="15" spans="1:4" ht="24" x14ac:dyDescent="0.25">
      <c r="A15" s="3">
        <v>1200</v>
      </c>
      <c r="B15" s="4" t="s">
        <v>908</v>
      </c>
      <c r="C15" s="1">
        <f>ROUND(C14*0.2359,2)</f>
        <v>0.94</v>
      </c>
      <c r="D15" s="1">
        <f>C15*7</f>
        <v>6.58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7" ht="123" customHeight="1" x14ac:dyDescent="0.25">
      <c r="A17" s="3"/>
      <c r="B17" s="4" t="s">
        <v>1654</v>
      </c>
      <c r="C17" s="1">
        <v>9.81</v>
      </c>
      <c r="D17" s="1">
        <f>C17*7</f>
        <v>68.67</v>
      </c>
      <c r="E17" s="172"/>
      <c r="F17" s="173"/>
      <c r="G17" s="173"/>
    </row>
    <row r="18" spans="1:7" x14ac:dyDescent="0.25">
      <c r="A18" s="3"/>
      <c r="B18" s="40" t="s">
        <v>87</v>
      </c>
      <c r="C18" s="32">
        <f>SUM(C13:C17)</f>
        <v>14.75</v>
      </c>
      <c r="D18" s="32">
        <f>SUM(D13:D17)</f>
        <v>103.25</v>
      </c>
      <c r="E18" s="107"/>
      <c r="G18" s="107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594</v>
      </c>
      <c r="C23" s="24">
        <v>2.1000000000000001E-2</v>
      </c>
      <c r="D23" s="1">
        <f t="shared" ref="D23:D83" si="0">C23*7</f>
        <v>0.14700000000000002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595</v>
      </c>
      <c r="C25" s="24">
        <v>5.1999999999999998E-2</v>
      </c>
      <c r="D25" s="1">
        <f t="shared" si="0"/>
        <v>0.36399999999999999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596</v>
      </c>
      <c r="C27" s="24">
        <f>ROUND(38.69/9509,4)</f>
        <v>4.1000000000000003E-3</v>
      </c>
      <c r="D27" s="1">
        <f t="shared" si="0"/>
        <v>2.8700000000000003E-2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597</v>
      </c>
      <c r="C29" s="24">
        <v>9.4E-2</v>
      </c>
      <c r="D29" s="1">
        <f t="shared" si="0"/>
        <v>0.65800000000000003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598</v>
      </c>
      <c r="C31" s="24">
        <v>1.4999999999999999E-2</v>
      </c>
      <c r="D31" s="1">
        <f t="shared" si="0"/>
        <v>0.105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0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0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0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0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0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0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0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0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0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0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0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0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951</v>
      </c>
      <c r="C57" s="24">
        <v>0.29599999999999999</v>
      </c>
      <c r="D57" s="1">
        <f t="shared" si="0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952</v>
      </c>
      <c r="C59" s="24">
        <v>1E-3</v>
      </c>
      <c r="D59" s="1">
        <f t="shared" si="0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0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0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0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0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0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909</v>
      </c>
      <c r="C71" s="30">
        <v>3.4000000000000002E-2</v>
      </c>
      <c r="D71" s="1">
        <f t="shared" si="0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0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0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0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0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0"/>
        <v>0.14700000000000002</v>
      </c>
    </row>
    <row r="84" spans="1:4" ht="33.75" customHeight="1" x14ac:dyDescent="0.25">
      <c r="A84" s="3">
        <v>5239</v>
      </c>
      <c r="B84" s="68" t="s">
        <v>369</v>
      </c>
      <c r="C84" s="24"/>
      <c r="D84" s="1"/>
    </row>
    <row r="85" spans="1:4" ht="58.5" customHeight="1" x14ac:dyDescent="0.25">
      <c r="A85" s="3"/>
      <c r="B85" s="4" t="s">
        <v>573</v>
      </c>
      <c r="C85" s="24">
        <v>3.7999999999999999E-2</v>
      </c>
      <c r="D85" s="1">
        <f t="shared" ref="D85" si="1">C85*7</f>
        <v>0.26600000000000001</v>
      </c>
    </row>
    <row r="86" spans="1:4" ht="27.75" customHeight="1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x14ac:dyDescent="0.25">
      <c r="A87" s="33"/>
      <c r="B87" s="34" t="s">
        <v>95</v>
      </c>
      <c r="C87" s="32">
        <f>ROUND(C86+C18,4)</f>
        <v>16.130099999999999</v>
      </c>
      <c r="D87" s="32">
        <f>ROUND(D86+D18,3)</f>
        <v>112.911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x14ac:dyDescent="0.25">
      <c r="A90" s="161" t="s">
        <v>112</v>
      </c>
      <c r="B90" s="162"/>
      <c r="C90" s="2">
        <f>D87/C89</f>
        <v>16.130142857142857</v>
      </c>
      <c r="D90" s="38"/>
    </row>
  </sheetData>
  <mergeCells count="8">
    <mergeCell ref="A89:B89"/>
    <mergeCell ref="A90:B90"/>
    <mergeCell ref="E17:G17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E2F11-4C79-4BF1-9947-FBBB919E4464}">
  <dimension ref="A1:E90"/>
  <sheetViews>
    <sheetView view="pageBreakPreview" topLeftCell="A79" zoomScale="60" zoomScaleNormal="130" workbookViewId="0">
      <selection activeCell="B17" sqref="B17"/>
    </sheetView>
  </sheetViews>
  <sheetFormatPr defaultRowHeight="15" x14ac:dyDescent="0.25"/>
  <cols>
    <col min="1" max="1" width="10.42578125" style="84" customWidth="1"/>
    <col min="2" max="2" width="52.85546875" style="84" customWidth="1"/>
    <col min="3" max="3" width="11" style="84" customWidth="1"/>
    <col min="4" max="4" width="12.710937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26.25" customHeight="1" x14ac:dyDescent="0.25">
      <c r="A5" s="166" t="s">
        <v>271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170</v>
      </c>
      <c r="B9" s="170"/>
      <c r="C9" s="48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8.5" customHeight="1" x14ac:dyDescent="0.25">
      <c r="A14" s="3"/>
      <c r="B14" s="81" t="s">
        <v>910</v>
      </c>
      <c r="C14" s="1">
        <v>4</v>
      </c>
      <c r="D14" s="1">
        <f>C14*16</f>
        <v>64</v>
      </c>
    </row>
    <row r="15" spans="1:4" ht="24" x14ac:dyDescent="0.25">
      <c r="A15" s="3">
        <v>1200</v>
      </c>
      <c r="B15" s="4" t="s">
        <v>903</v>
      </c>
      <c r="C15" s="1">
        <f>ROUND(C14*0.2359,2)</f>
        <v>0.94</v>
      </c>
      <c r="D15" s="1">
        <f>C15*16</f>
        <v>15.04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5" ht="144" x14ac:dyDescent="0.25">
      <c r="A17" s="3"/>
      <c r="B17" s="4" t="s">
        <v>1602</v>
      </c>
      <c r="C17" s="1">
        <v>23.8</v>
      </c>
      <c r="D17" s="1">
        <f>C17*16</f>
        <v>380.8</v>
      </c>
    </row>
    <row r="18" spans="1:5" x14ac:dyDescent="0.25">
      <c r="A18" s="3"/>
      <c r="B18" s="40" t="s">
        <v>87</v>
      </c>
      <c r="C18" s="32">
        <f>SUM(C13:C17)</f>
        <v>28.740000000000002</v>
      </c>
      <c r="D18" s="32">
        <f>SUM(D13:D17)</f>
        <v>459.84000000000003</v>
      </c>
      <c r="E18" s="107"/>
    </row>
    <row r="19" spans="1:5" ht="18.75" x14ac:dyDescent="0.3">
      <c r="A19" s="27"/>
      <c r="B19" s="103" t="s">
        <v>88</v>
      </c>
      <c r="C19" s="28"/>
      <c r="D19" s="28"/>
      <c r="E19" s="129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611</v>
      </c>
      <c r="C21" s="24">
        <v>2.1000000000000001E-2</v>
      </c>
      <c r="D21" s="1">
        <f>C21*16</f>
        <v>0.33600000000000002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612</v>
      </c>
      <c r="C23" s="24">
        <v>2.1000000000000001E-2</v>
      </c>
      <c r="D23" s="1">
        <f t="shared" ref="D23:D85" si="0">C23*16</f>
        <v>0.33600000000000002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613</v>
      </c>
      <c r="C25" s="24">
        <v>5.1999999999999998E-2</v>
      </c>
      <c r="D25" s="1">
        <f t="shared" si="0"/>
        <v>0.83199999999999996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614</v>
      </c>
      <c r="C27" s="24">
        <f>ROUND(38.69/9509,4)</f>
        <v>4.1000000000000003E-3</v>
      </c>
      <c r="D27" s="1">
        <f t="shared" si="0"/>
        <v>6.5600000000000006E-2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615</v>
      </c>
      <c r="C29" s="24">
        <v>9.4E-2</v>
      </c>
      <c r="D29" s="1">
        <f t="shared" si="0"/>
        <v>1.504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616</v>
      </c>
      <c r="C31" s="24">
        <v>1.4999999999999999E-2</v>
      </c>
      <c r="D31" s="1">
        <f t="shared" si="0"/>
        <v>0.24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617</v>
      </c>
      <c r="C33" s="24">
        <v>2.5999999999999999E-2</v>
      </c>
      <c r="D33" s="1">
        <f t="shared" si="0"/>
        <v>0.41599999999999998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618</v>
      </c>
      <c r="C35" s="24">
        <v>7.0000000000000001E-3</v>
      </c>
      <c r="D35" s="1">
        <f t="shared" si="0"/>
        <v>0.112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619</v>
      </c>
      <c r="C37" s="24">
        <v>0.01</v>
      </c>
      <c r="D37" s="1">
        <f t="shared" si="0"/>
        <v>0.16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620</v>
      </c>
      <c r="C39" s="24">
        <v>7.0000000000000001E-3</v>
      </c>
      <c r="D39" s="1">
        <f t="shared" si="0"/>
        <v>0.112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621</v>
      </c>
      <c r="C41" s="24">
        <v>4.9000000000000002E-2</v>
      </c>
      <c r="D41" s="1">
        <f t="shared" si="0"/>
        <v>0.78400000000000003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622</v>
      </c>
      <c r="C43" s="24">
        <v>6.0999999999999999E-2</v>
      </c>
      <c r="D43" s="1">
        <f t="shared" si="0"/>
        <v>0.97599999999999998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623</v>
      </c>
      <c r="C45" s="24">
        <v>0.09</v>
      </c>
      <c r="D45" s="1">
        <f t="shared" si="0"/>
        <v>1.44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624</v>
      </c>
      <c r="C47" s="24">
        <v>0.05</v>
      </c>
      <c r="D47" s="1">
        <f t="shared" si="0"/>
        <v>0.8</v>
      </c>
    </row>
    <row r="48" spans="1:4" x14ac:dyDescent="0.25">
      <c r="A48" s="3">
        <v>2244</v>
      </c>
      <c r="B48" s="4" t="s">
        <v>92</v>
      </c>
      <c r="C48" s="1"/>
      <c r="D48" s="1">
        <f t="shared" si="0"/>
        <v>0</v>
      </c>
    </row>
    <row r="49" spans="1:4" ht="60" x14ac:dyDescent="0.25">
      <c r="A49" s="29"/>
      <c r="B49" s="4" t="s">
        <v>625</v>
      </c>
      <c r="C49" s="24">
        <v>6.9000000000000006E-2</v>
      </c>
      <c r="D49" s="1">
        <f t="shared" si="0"/>
        <v>1.1040000000000001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626</v>
      </c>
      <c r="C51" s="24">
        <v>3.0000000000000001E-3</v>
      </c>
      <c r="D51" s="1">
        <f t="shared" si="0"/>
        <v>4.8000000000000001E-2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627</v>
      </c>
      <c r="C53" s="24">
        <v>2E-3</v>
      </c>
      <c r="D53" s="1">
        <f t="shared" si="0"/>
        <v>3.2000000000000001E-2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628</v>
      </c>
      <c r="C55" s="24">
        <v>0.23699999999999999</v>
      </c>
      <c r="D55" s="1">
        <f t="shared" si="0"/>
        <v>3.7919999999999998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939</v>
      </c>
      <c r="C57" s="24">
        <v>0.29599999999999999</v>
      </c>
      <c r="D57" s="1">
        <f t="shared" si="0"/>
        <v>4.7359999999999998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.6" customHeight="1" x14ac:dyDescent="0.25">
      <c r="A59" s="3"/>
      <c r="B59" s="4" t="s">
        <v>940</v>
      </c>
      <c r="C59" s="24">
        <v>1E-3</v>
      </c>
      <c r="D59" s="1">
        <f t="shared" si="0"/>
        <v>1.6E-2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629</v>
      </c>
      <c r="C61" s="24">
        <v>2.5999999999999999E-2</v>
      </c>
      <c r="D61" s="1">
        <f t="shared" si="0"/>
        <v>0.41599999999999998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630</v>
      </c>
      <c r="C63" s="24">
        <v>8.9999999999999993E-3</v>
      </c>
      <c r="D63" s="1">
        <f t="shared" si="0"/>
        <v>0.14399999999999999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631</v>
      </c>
      <c r="C65" s="24">
        <v>1.0999999999999999E-2</v>
      </c>
      <c r="D65" s="1">
        <f t="shared" si="0"/>
        <v>0.17599999999999999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632</v>
      </c>
      <c r="C67" s="24">
        <v>2.3E-2</v>
      </c>
      <c r="D67" s="1">
        <f t="shared" si="0"/>
        <v>0.36799999999999999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633</v>
      </c>
      <c r="C69" s="24">
        <v>2.1999999999999999E-2</v>
      </c>
      <c r="D69" s="1">
        <f t="shared" si="0"/>
        <v>0.35199999999999998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634</v>
      </c>
      <c r="C71" s="30">
        <v>3.4000000000000002E-2</v>
      </c>
      <c r="D71" s="1">
        <f t="shared" si="0"/>
        <v>0.54400000000000004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607</v>
      </c>
      <c r="C73" s="24">
        <v>2E-3</v>
      </c>
      <c r="D73" s="1">
        <f t="shared" si="0"/>
        <v>3.2000000000000001E-2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608</v>
      </c>
      <c r="C75" s="24">
        <v>3.0000000000000001E-3</v>
      </c>
      <c r="D75" s="1">
        <f t="shared" si="0"/>
        <v>4.8000000000000001E-2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609</v>
      </c>
      <c r="C77" s="24">
        <v>1E-3</v>
      </c>
      <c r="D77" s="1">
        <f t="shared" si="0"/>
        <v>1.6E-2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610</v>
      </c>
      <c r="C79" s="24">
        <v>4.0000000000000001E-3</v>
      </c>
      <c r="D79" s="1">
        <f t="shared" si="0"/>
        <v>6.4000000000000001E-2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606</v>
      </c>
      <c r="C81" s="24">
        <v>7.0999999999999994E-2</v>
      </c>
      <c r="D81" s="1">
        <f t="shared" si="0"/>
        <v>1.1359999999999999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605</v>
      </c>
      <c r="C83" s="24">
        <v>2.1000000000000001E-2</v>
      </c>
      <c r="D83" s="1">
        <f t="shared" si="0"/>
        <v>0.33600000000000002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604</v>
      </c>
      <c r="C85" s="24">
        <v>3.7999999999999999E-2</v>
      </c>
      <c r="D85" s="1">
        <f t="shared" si="0"/>
        <v>0.60799999999999998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22.081599999999991</v>
      </c>
    </row>
    <row r="87" spans="1:4" ht="15" customHeight="1" x14ac:dyDescent="0.25">
      <c r="A87" s="33"/>
      <c r="B87" s="34" t="s">
        <v>95</v>
      </c>
      <c r="C87" s="32">
        <f>ROUND(C86+C18,4)</f>
        <v>30.120100000000001</v>
      </c>
      <c r="D87" s="32">
        <f>ROUND(D86+D18,3)</f>
        <v>481.92200000000003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16</v>
      </c>
      <c r="D89" s="38"/>
    </row>
    <row r="90" spans="1:4" ht="22.5" customHeight="1" x14ac:dyDescent="0.25">
      <c r="A90" s="161" t="s">
        <v>112</v>
      </c>
      <c r="B90" s="162"/>
      <c r="C90" s="2">
        <f>D87/C89</f>
        <v>30.120125000000002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CAF62-1870-4A60-90A5-62B7DCA02317}">
  <dimension ref="A1:E90"/>
  <sheetViews>
    <sheetView view="pageBreakPreview" topLeftCell="A75" zoomScale="60" zoomScaleNormal="100" workbookViewId="0">
      <selection activeCell="B17" sqref="B17"/>
    </sheetView>
  </sheetViews>
  <sheetFormatPr defaultRowHeight="15" x14ac:dyDescent="0.25"/>
  <cols>
    <col min="1" max="1" width="9.85546875" style="84" customWidth="1"/>
    <col min="2" max="2" width="54.5703125" style="84" customWidth="1"/>
    <col min="3" max="3" width="11.28515625" style="84" customWidth="1"/>
    <col min="4" max="4" width="11.1406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24.75" customHeight="1" x14ac:dyDescent="0.25">
      <c r="A5" s="166" t="s">
        <v>260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171</v>
      </c>
      <c r="B9" s="170"/>
      <c r="C9" s="48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3.5" customHeight="1" x14ac:dyDescent="0.25">
      <c r="A14" s="3"/>
      <c r="B14" s="81" t="s">
        <v>911</v>
      </c>
      <c r="C14" s="1">
        <v>4</v>
      </c>
      <c r="D14" s="1">
        <f>C14*1970</f>
        <v>7880</v>
      </c>
    </row>
    <row r="15" spans="1:4" ht="24" x14ac:dyDescent="0.25">
      <c r="A15" s="3">
        <v>1200</v>
      </c>
      <c r="B15" s="4" t="s">
        <v>903</v>
      </c>
      <c r="C15" s="1">
        <f>ROUND(C14*0.2359,2)</f>
        <v>0.94</v>
      </c>
      <c r="D15" s="1">
        <f>C15*1970</f>
        <v>1851.8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5" ht="108" x14ac:dyDescent="0.25">
      <c r="A17" s="3"/>
      <c r="B17" s="4" t="s">
        <v>1601</v>
      </c>
      <c r="C17" s="1">
        <v>2.11</v>
      </c>
      <c r="D17" s="1">
        <f>C17*1970</f>
        <v>4156.7</v>
      </c>
    </row>
    <row r="18" spans="1:5" x14ac:dyDescent="0.25">
      <c r="A18" s="34"/>
      <c r="B18" s="40">
        <v>70</v>
      </c>
      <c r="C18" s="32">
        <f>SUM(C13:C17)</f>
        <v>7.0499999999999989</v>
      </c>
      <c r="D18" s="32">
        <f>SUM(D13:D17)</f>
        <v>13888.5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639</v>
      </c>
      <c r="C21" s="24">
        <v>2.1000000000000001E-2</v>
      </c>
      <c r="D21" s="1">
        <f>C21*1970</f>
        <v>41.370000000000005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640</v>
      </c>
      <c r="C23" s="24">
        <v>2.1000000000000001E-2</v>
      </c>
      <c r="D23" s="1">
        <f t="shared" ref="D23:D85" si="0">C23*1970</f>
        <v>41.370000000000005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641</v>
      </c>
      <c r="C25" s="24">
        <v>5.1999999999999998E-2</v>
      </c>
      <c r="D25" s="1">
        <f t="shared" si="0"/>
        <v>102.44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642</v>
      </c>
      <c r="C27" s="24">
        <f>ROUND(38.69/9509,4)</f>
        <v>4.1000000000000003E-3</v>
      </c>
      <c r="D27" s="1">
        <f t="shared" si="0"/>
        <v>8.077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643</v>
      </c>
      <c r="C29" s="24">
        <v>9.4E-2</v>
      </c>
      <c r="D29" s="1">
        <f t="shared" si="0"/>
        <v>185.18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644</v>
      </c>
      <c r="C31" s="24">
        <v>1.4999999999999999E-2</v>
      </c>
      <c r="D31" s="1">
        <f t="shared" si="0"/>
        <v>29.549999999999997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645</v>
      </c>
      <c r="C33" s="24">
        <v>2.5999999999999999E-2</v>
      </c>
      <c r="D33" s="1">
        <f t="shared" si="0"/>
        <v>51.22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646</v>
      </c>
      <c r="C35" s="24">
        <v>7.0000000000000001E-3</v>
      </c>
      <c r="D35" s="1">
        <f t="shared" si="0"/>
        <v>13.790000000000001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647</v>
      </c>
      <c r="C37" s="24">
        <v>0.01</v>
      </c>
      <c r="D37" s="1">
        <f t="shared" si="0"/>
        <v>19.7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692</v>
      </c>
      <c r="C39" s="24">
        <v>7.0000000000000001E-3</v>
      </c>
      <c r="D39" s="1">
        <f t="shared" si="0"/>
        <v>13.790000000000001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648</v>
      </c>
      <c r="C41" s="24">
        <v>4.9000000000000002E-2</v>
      </c>
      <c r="D41" s="1">
        <f t="shared" si="0"/>
        <v>96.53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649</v>
      </c>
      <c r="C43" s="24">
        <v>6.0999999999999999E-2</v>
      </c>
      <c r="D43" s="1">
        <f t="shared" si="0"/>
        <v>120.17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650</v>
      </c>
      <c r="C45" s="24">
        <v>0.09</v>
      </c>
      <c r="D45" s="1">
        <f t="shared" si="0"/>
        <v>177.29999999999998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651</v>
      </c>
      <c r="C47" s="24">
        <v>0.05</v>
      </c>
      <c r="D47" s="1">
        <f t="shared" si="0"/>
        <v>98.5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652</v>
      </c>
      <c r="C49" s="24">
        <v>6.9000000000000006E-2</v>
      </c>
      <c r="D49" s="1">
        <f t="shared" si="0"/>
        <v>135.93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653</v>
      </c>
      <c r="C51" s="24">
        <v>3.0000000000000001E-3</v>
      </c>
      <c r="D51" s="1">
        <f t="shared" si="0"/>
        <v>5.91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654</v>
      </c>
      <c r="C53" s="24">
        <v>2E-3</v>
      </c>
      <c r="D53" s="1">
        <f t="shared" si="0"/>
        <v>3.94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655</v>
      </c>
      <c r="C55" s="24">
        <v>0.23699999999999999</v>
      </c>
      <c r="D55" s="1">
        <f t="shared" si="0"/>
        <v>466.89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953</v>
      </c>
      <c r="C57" s="24">
        <v>0.29599999999999999</v>
      </c>
      <c r="D57" s="1">
        <f t="shared" si="0"/>
        <v>583.12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656</v>
      </c>
      <c r="C59" s="24">
        <v>1E-3</v>
      </c>
      <c r="D59" s="1">
        <f t="shared" si="0"/>
        <v>1.97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657</v>
      </c>
      <c r="C61" s="24">
        <v>2.5999999999999999E-2</v>
      </c>
      <c r="D61" s="1">
        <f t="shared" si="0"/>
        <v>51.22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658</v>
      </c>
      <c r="C63" s="24">
        <v>8.9999999999999993E-3</v>
      </c>
      <c r="D63" s="1">
        <f t="shared" si="0"/>
        <v>17.73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659</v>
      </c>
      <c r="C65" s="24">
        <v>1.0999999999999999E-2</v>
      </c>
      <c r="D65" s="1">
        <f t="shared" si="0"/>
        <v>21.669999999999998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660</v>
      </c>
      <c r="C67" s="24">
        <v>2.3E-2</v>
      </c>
      <c r="D67" s="1">
        <f t="shared" si="0"/>
        <v>45.31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661</v>
      </c>
      <c r="C69" s="24">
        <v>2.1999999999999999E-2</v>
      </c>
      <c r="D69" s="1">
        <f t="shared" si="0"/>
        <v>43.339999999999996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662</v>
      </c>
      <c r="C71" s="30">
        <v>3.4000000000000002E-2</v>
      </c>
      <c r="D71" s="1">
        <f t="shared" si="0"/>
        <v>66.98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663</v>
      </c>
      <c r="C73" s="24">
        <v>2E-3</v>
      </c>
      <c r="D73" s="1">
        <f t="shared" si="0"/>
        <v>3.94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664</v>
      </c>
      <c r="C75" s="24">
        <v>3.0000000000000001E-3</v>
      </c>
      <c r="D75" s="1">
        <f t="shared" si="0"/>
        <v>5.91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665</v>
      </c>
      <c r="C77" s="24">
        <v>1E-3</v>
      </c>
      <c r="D77" s="1">
        <f t="shared" si="0"/>
        <v>1.97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638</v>
      </c>
      <c r="C79" s="24">
        <v>4.0000000000000001E-3</v>
      </c>
      <c r="D79" s="1">
        <f t="shared" si="0"/>
        <v>7.88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637</v>
      </c>
      <c r="C81" s="24">
        <v>7.0999999999999994E-2</v>
      </c>
      <c r="D81" s="1">
        <f t="shared" si="0"/>
        <v>139.86999999999998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636</v>
      </c>
      <c r="C83" s="24">
        <v>2.1000000000000001E-2</v>
      </c>
      <c r="D83" s="1">
        <f t="shared" si="0"/>
        <v>41.370000000000005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635</v>
      </c>
      <c r="C85" s="24">
        <v>3.7999999999999999E-2</v>
      </c>
      <c r="D85" s="1">
        <f t="shared" si="0"/>
        <v>74.86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2718.7969999999996</v>
      </c>
    </row>
    <row r="87" spans="1:4" ht="15" customHeight="1" x14ac:dyDescent="0.25">
      <c r="A87" s="33"/>
      <c r="B87" s="34" t="s">
        <v>95</v>
      </c>
      <c r="C87" s="32">
        <f>ROUND(C86+C18,4)</f>
        <v>8.4300999999999995</v>
      </c>
      <c r="D87" s="32">
        <f>ROUND(D86+D18,3)</f>
        <v>16607.296999999999</v>
      </c>
    </row>
    <row r="88" spans="1:4" ht="24.75" customHeight="1" x14ac:dyDescent="0.25">
      <c r="A88" s="35"/>
      <c r="B88" s="36"/>
      <c r="C88" s="37"/>
      <c r="D88" s="37"/>
    </row>
    <row r="89" spans="1:4" ht="12.75" customHeight="1" x14ac:dyDescent="0.25">
      <c r="A89" s="161" t="s">
        <v>96</v>
      </c>
      <c r="B89" s="162"/>
      <c r="C89" s="41">
        <v>1970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8.4300999999999995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0969D-D415-472A-A65A-4E00EA8CACBA}">
  <dimension ref="A1:E91"/>
  <sheetViews>
    <sheetView view="pageBreakPreview" topLeftCell="A78" zoomScale="60" zoomScaleNormal="130" workbookViewId="0">
      <selection activeCell="I17" sqref="I17"/>
    </sheetView>
  </sheetViews>
  <sheetFormatPr defaultRowHeight="15" x14ac:dyDescent="0.25"/>
  <cols>
    <col min="1" max="1" width="9.85546875" style="84" customWidth="1"/>
    <col min="2" max="2" width="53.5703125" style="84" customWidth="1"/>
    <col min="3" max="4" width="11.2851562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11"/>
    </row>
    <row r="5" spans="1:4" x14ac:dyDescent="0.25">
      <c r="A5" s="158" t="s">
        <v>272</v>
      </c>
      <c r="B5" s="158"/>
      <c r="C5" s="158"/>
      <c r="D5" s="158"/>
    </row>
    <row r="6" spans="1:4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x14ac:dyDescent="0.25">
      <c r="A8" s="49"/>
      <c r="B8" s="79"/>
      <c r="C8" s="11"/>
      <c r="D8" s="11"/>
    </row>
    <row r="9" spans="1:4" x14ac:dyDescent="0.25">
      <c r="A9" s="170" t="s">
        <v>121</v>
      </c>
      <c r="B9" s="170"/>
      <c r="C9" s="48"/>
      <c r="D9" s="48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5.5" customHeight="1" x14ac:dyDescent="0.25">
      <c r="A14" s="3"/>
      <c r="B14" s="81" t="s">
        <v>912</v>
      </c>
      <c r="C14" s="1">
        <v>2</v>
      </c>
      <c r="D14" s="1">
        <f>C14*50</f>
        <v>100</v>
      </c>
    </row>
    <row r="15" spans="1:4" ht="24" x14ac:dyDescent="0.25">
      <c r="A15" s="3">
        <v>1200</v>
      </c>
      <c r="B15" s="4" t="s">
        <v>913</v>
      </c>
      <c r="C15" s="1">
        <f>ROUND(C14*0.2359,2)</f>
        <v>0.47</v>
      </c>
      <c r="D15" s="1">
        <f t="shared" ref="D15:D17" si="0">C15*50</f>
        <v>23.5</v>
      </c>
    </row>
    <row r="16" spans="1:4" x14ac:dyDescent="0.25">
      <c r="A16" s="3">
        <v>2341</v>
      </c>
      <c r="B16" s="3" t="s">
        <v>116</v>
      </c>
      <c r="C16" s="24"/>
      <c r="D16" s="1">
        <f t="shared" si="0"/>
        <v>0</v>
      </c>
    </row>
    <row r="17" spans="1:5" ht="108" x14ac:dyDescent="0.25">
      <c r="A17" s="3"/>
      <c r="B17" s="4" t="s">
        <v>1521</v>
      </c>
      <c r="C17" s="1">
        <v>1.71</v>
      </c>
      <c r="D17" s="1">
        <f t="shared" si="0"/>
        <v>85.5</v>
      </c>
    </row>
    <row r="18" spans="1:5" x14ac:dyDescent="0.25">
      <c r="A18" s="3"/>
      <c r="B18" s="40" t="s">
        <v>87</v>
      </c>
      <c r="C18" s="32">
        <f>SUM(C13:C17)</f>
        <v>4.18</v>
      </c>
      <c r="D18" s="32">
        <f>SUM(D13:D17)</f>
        <v>209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666</v>
      </c>
      <c r="C21" s="24">
        <v>2.1000000000000001E-2</v>
      </c>
      <c r="D21" s="1">
        <f>C21*50</f>
        <v>1.05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667</v>
      </c>
      <c r="C23" s="24">
        <v>2.1000000000000001E-2</v>
      </c>
      <c r="D23" s="1">
        <f t="shared" ref="D23:D85" si="1">C23*50</f>
        <v>1.05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668</v>
      </c>
      <c r="C25" s="24">
        <v>5.1999999999999998E-2</v>
      </c>
      <c r="D25" s="1">
        <f t="shared" si="1"/>
        <v>2.6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669</v>
      </c>
      <c r="C27" s="24">
        <f>ROUND(38.69/9509,4)</f>
        <v>4.1000000000000003E-3</v>
      </c>
      <c r="D27" s="1">
        <f t="shared" si="1"/>
        <v>0.20500000000000002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693</v>
      </c>
      <c r="C29" s="24">
        <v>9.4E-2</v>
      </c>
      <c r="D29" s="1">
        <f t="shared" si="1"/>
        <v>4.7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694</v>
      </c>
      <c r="C31" s="24">
        <v>1.4999999999999999E-2</v>
      </c>
      <c r="D31" s="1">
        <f t="shared" si="1"/>
        <v>0.75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58.5" customHeight="1" x14ac:dyDescent="0.25">
      <c r="A33" s="3"/>
      <c r="B33" s="4" t="s">
        <v>695</v>
      </c>
      <c r="C33" s="24">
        <v>2.5999999999999999E-2</v>
      </c>
      <c r="D33" s="1">
        <f t="shared" si="1"/>
        <v>1.3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696</v>
      </c>
      <c r="C35" s="24">
        <v>7.0000000000000001E-3</v>
      </c>
      <c r="D35" s="1">
        <f t="shared" si="1"/>
        <v>0.35000000000000003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697</v>
      </c>
      <c r="C37" s="24">
        <v>0.01</v>
      </c>
      <c r="D37" s="1">
        <f t="shared" si="1"/>
        <v>0.5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691</v>
      </c>
      <c r="C39" s="24">
        <v>7.0000000000000001E-3</v>
      </c>
      <c r="D39" s="1">
        <f t="shared" si="1"/>
        <v>0.35000000000000003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690</v>
      </c>
      <c r="C41" s="24">
        <v>4.9000000000000002E-2</v>
      </c>
      <c r="D41" s="1">
        <f t="shared" si="1"/>
        <v>2.4500000000000002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689</v>
      </c>
      <c r="C43" s="24">
        <v>6.0999999999999999E-2</v>
      </c>
      <c r="D43" s="1">
        <f t="shared" si="1"/>
        <v>3.05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688</v>
      </c>
      <c r="C45" s="24">
        <v>0.09</v>
      </c>
      <c r="D45" s="1">
        <f t="shared" si="1"/>
        <v>4.5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687</v>
      </c>
      <c r="C47" s="24">
        <v>0.05</v>
      </c>
      <c r="D47" s="1">
        <f t="shared" si="1"/>
        <v>2.5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686</v>
      </c>
      <c r="C49" s="24">
        <v>6.9000000000000006E-2</v>
      </c>
      <c r="D49" s="1">
        <f t="shared" si="1"/>
        <v>3.45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685</v>
      </c>
      <c r="C51" s="24">
        <v>3.0000000000000001E-3</v>
      </c>
      <c r="D51" s="1">
        <f t="shared" si="1"/>
        <v>0.15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684</v>
      </c>
      <c r="C53" s="24">
        <v>2E-3</v>
      </c>
      <c r="D53" s="1">
        <f t="shared" si="1"/>
        <v>0.1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683</v>
      </c>
      <c r="C55" s="24">
        <v>0.23699999999999999</v>
      </c>
      <c r="D55" s="1">
        <f t="shared" si="1"/>
        <v>11.85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954</v>
      </c>
      <c r="C57" s="24">
        <v>0.29599999999999999</v>
      </c>
      <c r="D57" s="1">
        <f t="shared" si="1"/>
        <v>14.799999999999999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955</v>
      </c>
      <c r="C59" s="24">
        <v>1E-3</v>
      </c>
      <c r="D59" s="1">
        <f t="shared" si="1"/>
        <v>0.05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682</v>
      </c>
      <c r="C61" s="24">
        <v>2.5999999999999999E-2</v>
      </c>
      <c r="D61" s="1">
        <f t="shared" si="1"/>
        <v>1.3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681</v>
      </c>
      <c r="C63" s="24">
        <v>8.9999999999999993E-3</v>
      </c>
      <c r="D63" s="1">
        <f t="shared" si="1"/>
        <v>0.44999999999999996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680</v>
      </c>
      <c r="C65" s="24">
        <v>1.0999999999999999E-2</v>
      </c>
      <c r="D65" s="1">
        <f t="shared" si="1"/>
        <v>0.54999999999999993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679</v>
      </c>
      <c r="C67" s="24">
        <v>2.3E-2</v>
      </c>
      <c r="D67" s="1">
        <f t="shared" si="1"/>
        <v>1.1499999999999999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670</v>
      </c>
      <c r="C69" s="24">
        <v>2.1999999999999999E-2</v>
      </c>
      <c r="D69" s="1">
        <f t="shared" si="1"/>
        <v>1.0999999999999999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671</v>
      </c>
      <c r="C71" s="30">
        <v>3.4000000000000002E-2</v>
      </c>
      <c r="D71" s="1">
        <f t="shared" si="1"/>
        <v>1.7000000000000002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672</v>
      </c>
      <c r="C73" s="24">
        <v>2E-3</v>
      </c>
      <c r="D73" s="1">
        <f t="shared" si="1"/>
        <v>0.1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673</v>
      </c>
      <c r="C75" s="24">
        <v>3.0000000000000001E-3</v>
      </c>
      <c r="D75" s="1">
        <f t="shared" si="1"/>
        <v>0.15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674</v>
      </c>
      <c r="C77" s="24">
        <v>1E-3</v>
      </c>
      <c r="D77" s="1">
        <f t="shared" si="1"/>
        <v>0.05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675</v>
      </c>
      <c r="C79" s="24">
        <v>4.0000000000000001E-3</v>
      </c>
      <c r="D79" s="1">
        <f t="shared" si="1"/>
        <v>0.2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676</v>
      </c>
      <c r="C81" s="24">
        <v>7.0999999999999994E-2</v>
      </c>
      <c r="D81" s="1">
        <f t="shared" si="1"/>
        <v>3.55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677</v>
      </c>
      <c r="C83" s="24">
        <v>2.1000000000000001E-2</v>
      </c>
      <c r="D83" s="1">
        <f t="shared" si="1"/>
        <v>1.05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678</v>
      </c>
      <c r="C85" s="24">
        <v>3.7999999999999999E-2</v>
      </c>
      <c r="D85" s="1">
        <f t="shared" si="1"/>
        <v>1.9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69.004999999999995</v>
      </c>
    </row>
    <row r="87" spans="1:4" ht="15" customHeight="1" x14ac:dyDescent="0.25">
      <c r="A87" s="33"/>
      <c r="B87" s="34" t="s">
        <v>95</v>
      </c>
      <c r="C87" s="32">
        <f>ROUND(C86+C18,4)</f>
        <v>5.5601000000000003</v>
      </c>
      <c r="D87" s="32">
        <f>ROUND(D86+D18,4)</f>
        <v>278.005</v>
      </c>
    </row>
    <row r="88" spans="1:4" ht="27.75" customHeight="1" x14ac:dyDescent="0.25">
      <c r="A88" s="35"/>
      <c r="B88" s="36"/>
      <c r="C88" s="37"/>
      <c r="D88" s="37"/>
    </row>
    <row r="89" spans="1:4" ht="15" hidden="1" customHeight="1" x14ac:dyDescent="0.25">
      <c r="A89" s="161" t="s">
        <v>96</v>
      </c>
      <c r="B89" s="162"/>
      <c r="C89" s="41">
        <v>1970</v>
      </c>
      <c r="D89" s="38"/>
    </row>
    <row r="90" spans="1:4" ht="34.5" customHeight="1" x14ac:dyDescent="0.25">
      <c r="A90" s="161" t="s">
        <v>96</v>
      </c>
      <c r="B90" s="162"/>
      <c r="C90" s="41">
        <v>50</v>
      </c>
      <c r="D90" s="38"/>
    </row>
    <row r="91" spans="1:4" ht="26.25" customHeight="1" x14ac:dyDescent="0.25">
      <c r="A91" s="161" t="s">
        <v>112</v>
      </c>
      <c r="B91" s="162"/>
      <c r="C91" s="2">
        <f>D87/C90</f>
        <v>5.5601000000000003</v>
      </c>
      <c r="D91" s="38"/>
    </row>
  </sheetData>
  <mergeCells count="8">
    <mergeCell ref="A89:B89"/>
    <mergeCell ref="A90:B90"/>
    <mergeCell ref="A91:B91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4D4C4-A1C0-45D2-B279-E2749EDB030D}">
  <dimension ref="A1:E91"/>
  <sheetViews>
    <sheetView view="pageBreakPreview" topLeftCell="A72" zoomScale="60" zoomScaleNormal="130" workbookViewId="0">
      <selection activeCell="I14" sqref="I14"/>
    </sheetView>
  </sheetViews>
  <sheetFormatPr defaultRowHeight="15" x14ac:dyDescent="0.25"/>
  <cols>
    <col min="1" max="1" width="9.42578125" style="84" customWidth="1"/>
    <col min="2" max="2" width="52.7109375" style="84" customWidth="1"/>
    <col min="3" max="3" width="11" style="84" customWidth="1"/>
    <col min="4" max="4" width="11.5703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x14ac:dyDescent="0.25">
      <c r="A5" s="166" t="s">
        <v>259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102</v>
      </c>
      <c r="B9" s="170"/>
      <c r="C9" s="11"/>
      <c r="D9" s="44"/>
    </row>
    <row r="10" spans="1:4" x14ac:dyDescent="0.25">
      <c r="A10" s="45"/>
      <c r="B10" s="36"/>
      <c r="C10" s="48"/>
      <c r="D10" s="44"/>
    </row>
    <row r="11" spans="1:4" ht="108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4" x14ac:dyDescent="0.25">
      <c r="A12" s="15">
        <v>1</v>
      </c>
      <c r="B12" s="16">
        <v>2</v>
      </c>
      <c r="C12" s="15">
        <v>3</v>
      </c>
      <c r="D12" s="15">
        <v>4</v>
      </c>
    </row>
    <row r="13" spans="1:4" x14ac:dyDescent="0.25">
      <c r="A13" s="15"/>
      <c r="B13" s="31" t="s">
        <v>84</v>
      </c>
      <c r="C13" s="19"/>
      <c r="D13" s="19"/>
    </row>
    <row r="14" spans="1:4" x14ac:dyDescent="0.25">
      <c r="A14" s="42">
        <v>1100</v>
      </c>
      <c r="B14" s="43" t="s">
        <v>85</v>
      </c>
      <c r="C14" s="22"/>
      <c r="D14" s="22"/>
    </row>
    <row r="15" spans="1:4" ht="85.5" customHeight="1" x14ac:dyDescent="0.25">
      <c r="A15" s="3"/>
      <c r="B15" s="81" t="s">
        <v>915</v>
      </c>
      <c r="C15" s="1">
        <v>3</v>
      </c>
      <c r="D15" s="1">
        <f>C15*100</f>
        <v>300</v>
      </c>
    </row>
    <row r="16" spans="1:4" ht="24" x14ac:dyDescent="0.25">
      <c r="A16" s="3">
        <v>1200</v>
      </c>
      <c r="B16" s="4" t="s">
        <v>916</v>
      </c>
      <c r="C16" s="1">
        <f>ROUND(C15*0.2359,2)</f>
        <v>0.71</v>
      </c>
      <c r="D16" s="1">
        <f t="shared" ref="D16:D18" si="0">C16*100</f>
        <v>71</v>
      </c>
    </row>
    <row r="17" spans="1:5" x14ac:dyDescent="0.25">
      <c r="A17" s="3">
        <v>2341</v>
      </c>
      <c r="B17" s="3" t="s">
        <v>107</v>
      </c>
      <c r="C17" s="24"/>
      <c r="D17" s="1"/>
    </row>
    <row r="18" spans="1:5" ht="108" x14ac:dyDescent="0.25">
      <c r="A18" s="3"/>
      <c r="B18" s="4" t="s">
        <v>1572</v>
      </c>
      <c r="C18" s="1">
        <v>5.5</v>
      </c>
      <c r="D18" s="1">
        <f t="shared" si="0"/>
        <v>550</v>
      </c>
    </row>
    <row r="19" spans="1:5" x14ac:dyDescent="0.25">
      <c r="A19" s="3"/>
      <c r="B19" s="40" t="s">
        <v>87</v>
      </c>
      <c r="C19" s="32">
        <f>SUM(C14:C18)</f>
        <v>9.2100000000000009</v>
      </c>
      <c r="D19" s="32">
        <f>SUM(D14:D18)</f>
        <v>921</v>
      </c>
      <c r="E19" s="107"/>
    </row>
    <row r="20" spans="1:5" x14ac:dyDescent="0.25">
      <c r="A20" s="27"/>
      <c r="B20" s="103" t="s">
        <v>88</v>
      </c>
      <c r="C20" s="28"/>
      <c r="D20" s="28"/>
    </row>
    <row r="21" spans="1:5" x14ac:dyDescent="0.25">
      <c r="A21" s="3">
        <v>2100</v>
      </c>
      <c r="B21" s="69" t="s">
        <v>370</v>
      </c>
      <c r="C21" s="28"/>
      <c r="D21" s="28"/>
    </row>
    <row r="22" spans="1:5" ht="60" x14ac:dyDescent="0.25">
      <c r="A22" s="27"/>
      <c r="B22" s="4" t="s">
        <v>698</v>
      </c>
      <c r="C22" s="24">
        <v>2.1000000000000001E-2</v>
      </c>
      <c r="D22" s="1">
        <f>C22*100</f>
        <v>2.1</v>
      </c>
    </row>
    <row r="23" spans="1:5" x14ac:dyDescent="0.25">
      <c r="A23" s="3">
        <v>2210</v>
      </c>
      <c r="B23" s="4" t="s">
        <v>354</v>
      </c>
      <c r="C23" s="24"/>
      <c r="D23" s="1"/>
    </row>
    <row r="24" spans="1:5" ht="60" x14ac:dyDescent="0.25">
      <c r="A24" s="3"/>
      <c r="B24" s="4" t="s">
        <v>699</v>
      </c>
      <c r="C24" s="24">
        <v>2.1000000000000001E-2</v>
      </c>
      <c r="D24" s="1">
        <f t="shared" ref="D24:D86" si="1">C24*100</f>
        <v>2.1</v>
      </c>
    </row>
    <row r="25" spans="1:5" x14ac:dyDescent="0.25">
      <c r="A25" s="3">
        <v>2221</v>
      </c>
      <c r="B25" s="4" t="s">
        <v>89</v>
      </c>
      <c r="C25" s="1"/>
      <c r="D25" s="1"/>
    </row>
    <row r="26" spans="1:5" ht="60" x14ac:dyDescent="0.25">
      <c r="A26" s="3"/>
      <c r="B26" s="4" t="s">
        <v>700</v>
      </c>
      <c r="C26" s="24">
        <v>5.1999999999999998E-2</v>
      </c>
      <c r="D26" s="1">
        <f t="shared" si="1"/>
        <v>5.2</v>
      </c>
    </row>
    <row r="27" spans="1:5" x14ac:dyDescent="0.25">
      <c r="A27" s="3">
        <v>2222</v>
      </c>
      <c r="B27" s="67" t="s">
        <v>90</v>
      </c>
      <c r="C27" s="1"/>
      <c r="D27" s="1"/>
    </row>
    <row r="28" spans="1:5" ht="60" x14ac:dyDescent="0.25">
      <c r="A28" s="3"/>
      <c r="B28" s="4" t="s">
        <v>701</v>
      </c>
      <c r="C28" s="24">
        <f>ROUND(38.69/9509,4)</f>
        <v>4.1000000000000003E-3</v>
      </c>
      <c r="D28" s="1">
        <f t="shared" si="1"/>
        <v>0.41000000000000003</v>
      </c>
    </row>
    <row r="29" spans="1:5" x14ac:dyDescent="0.25">
      <c r="A29" s="3">
        <v>2223</v>
      </c>
      <c r="B29" s="3" t="s">
        <v>91</v>
      </c>
      <c r="C29" s="24"/>
      <c r="D29" s="1"/>
    </row>
    <row r="30" spans="1:5" ht="60" x14ac:dyDescent="0.25">
      <c r="A30" s="3"/>
      <c r="B30" s="4" t="s">
        <v>702</v>
      </c>
      <c r="C30" s="24">
        <v>9.4E-2</v>
      </c>
      <c r="D30" s="1">
        <f t="shared" si="1"/>
        <v>9.4</v>
      </c>
    </row>
    <row r="31" spans="1:5" ht="24" x14ac:dyDescent="0.25">
      <c r="A31" s="3">
        <v>2224</v>
      </c>
      <c r="B31" s="4" t="s">
        <v>114</v>
      </c>
      <c r="C31" s="24"/>
      <c r="D31" s="1"/>
    </row>
    <row r="32" spans="1:5" ht="60" x14ac:dyDescent="0.25">
      <c r="A32" s="3"/>
      <c r="B32" s="4" t="s">
        <v>703</v>
      </c>
      <c r="C32" s="24">
        <v>1.4999999999999999E-2</v>
      </c>
      <c r="D32" s="1">
        <f t="shared" si="1"/>
        <v>1.5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704</v>
      </c>
      <c r="C34" s="24">
        <v>2.5999999999999999E-2</v>
      </c>
      <c r="D34" s="1">
        <f t="shared" si="1"/>
        <v>2.6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60" x14ac:dyDescent="0.25">
      <c r="A36" s="3"/>
      <c r="B36" s="4" t="s">
        <v>705</v>
      </c>
      <c r="C36" s="24">
        <v>7.0000000000000001E-3</v>
      </c>
      <c r="D36" s="1">
        <f t="shared" si="1"/>
        <v>0.70000000000000007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60" x14ac:dyDescent="0.25">
      <c r="A38" s="3"/>
      <c r="B38" s="4" t="s">
        <v>706</v>
      </c>
      <c r="C38" s="24">
        <v>0.01</v>
      </c>
      <c r="D38" s="1">
        <f t="shared" si="1"/>
        <v>1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60" x14ac:dyDescent="0.25">
      <c r="A40" s="3"/>
      <c r="B40" s="4" t="s">
        <v>707</v>
      </c>
      <c r="C40" s="24">
        <v>7.0000000000000001E-3</v>
      </c>
      <c r="D40" s="1">
        <f t="shared" si="1"/>
        <v>0.70000000000000007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708</v>
      </c>
      <c r="C42" s="24">
        <v>4.9000000000000002E-2</v>
      </c>
      <c r="D42" s="1">
        <f t="shared" si="1"/>
        <v>4.9000000000000004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709</v>
      </c>
      <c r="C44" s="24">
        <v>6.0999999999999999E-2</v>
      </c>
      <c r="D44" s="1">
        <f t="shared" si="1"/>
        <v>6.1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60" x14ac:dyDescent="0.25">
      <c r="A46" s="3"/>
      <c r="B46" s="4" t="s">
        <v>710</v>
      </c>
      <c r="C46" s="24">
        <v>0.09</v>
      </c>
      <c r="D46" s="1">
        <f t="shared" si="1"/>
        <v>9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0" x14ac:dyDescent="0.25">
      <c r="A48" s="3"/>
      <c r="B48" s="4" t="s">
        <v>711</v>
      </c>
      <c r="C48" s="24">
        <v>0.05</v>
      </c>
      <c r="D48" s="1">
        <f t="shared" si="1"/>
        <v>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60" x14ac:dyDescent="0.25">
      <c r="A50" s="29"/>
      <c r="B50" s="4" t="s">
        <v>712</v>
      </c>
      <c r="C50" s="24">
        <v>6.9000000000000006E-2</v>
      </c>
      <c r="D50" s="1">
        <f t="shared" si="1"/>
        <v>6.9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60" x14ac:dyDescent="0.25">
      <c r="A52" s="29"/>
      <c r="B52" s="4" t="s">
        <v>713</v>
      </c>
      <c r="C52" s="24">
        <v>3.0000000000000001E-3</v>
      </c>
      <c r="D52" s="1">
        <f t="shared" si="1"/>
        <v>0.3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60" x14ac:dyDescent="0.25">
      <c r="A54" s="29"/>
      <c r="B54" s="4" t="s">
        <v>714</v>
      </c>
      <c r="C54" s="24">
        <v>2E-3</v>
      </c>
      <c r="D54" s="1">
        <f t="shared" si="1"/>
        <v>0.2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60" x14ac:dyDescent="0.25">
      <c r="A56" s="3"/>
      <c r="B56" s="4" t="s">
        <v>715</v>
      </c>
      <c r="C56" s="24">
        <v>0.23699999999999999</v>
      </c>
      <c r="D56" s="1">
        <f t="shared" si="1"/>
        <v>23.7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956</v>
      </c>
      <c r="C58" s="24">
        <v>0.29599999999999999</v>
      </c>
      <c r="D58" s="1">
        <f t="shared" si="1"/>
        <v>29.599999999999998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60" x14ac:dyDescent="0.25">
      <c r="A60" s="3"/>
      <c r="B60" s="4" t="s">
        <v>957</v>
      </c>
      <c r="C60" s="24">
        <v>1E-3</v>
      </c>
      <c r="D60" s="1">
        <f t="shared" si="1"/>
        <v>0.1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716</v>
      </c>
      <c r="C62" s="24">
        <v>2.5999999999999999E-2</v>
      </c>
      <c r="D62" s="1">
        <f t="shared" si="1"/>
        <v>2.6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60" x14ac:dyDescent="0.25">
      <c r="A64" s="3"/>
      <c r="B64" s="4" t="s">
        <v>717</v>
      </c>
      <c r="C64" s="24">
        <v>8.9999999999999993E-3</v>
      </c>
      <c r="D64" s="1">
        <f t="shared" si="1"/>
        <v>0.89999999999999991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60" x14ac:dyDescent="0.25">
      <c r="A66" s="3"/>
      <c r="B66" s="4" t="s">
        <v>718</v>
      </c>
      <c r="C66" s="24">
        <v>1.0999999999999999E-2</v>
      </c>
      <c r="D66" s="1">
        <f t="shared" si="1"/>
        <v>1.0999999999999999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719</v>
      </c>
      <c r="C68" s="24">
        <v>2.3E-2</v>
      </c>
      <c r="D68" s="1">
        <f t="shared" si="1"/>
        <v>2.2999999999999998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720</v>
      </c>
      <c r="C70" s="24">
        <v>2.1999999999999999E-2</v>
      </c>
      <c r="D70" s="1">
        <f t="shared" si="1"/>
        <v>2.1999999999999997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721</v>
      </c>
      <c r="C72" s="30">
        <v>3.4000000000000002E-2</v>
      </c>
      <c r="D72" s="1">
        <f t="shared" si="1"/>
        <v>3.4000000000000004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60" x14ac:dyDescent="0.25">
      <c r="A74" s="3"/>
      <c r="B74" s="4" t="s">
        <v>722</v>
      </c>
      <c r="C74" s="24">
        <v>2E-3</v>
      </c>
      <c r="D74" s="1">
        <f t="shared" si="1"/>
        <v>0.2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60" x14ac:dyDescent="0.25">
      <c r="A76" s="3"/>
      <c r="B76" s="4" t="s">
        <v>723</v>
      </c>
      <c r="C76" s="24">
        <v>3.0000000000000001E-3</v>
      </c>
      <c r="D76" s="1">
        <f t="shared" si="1"/>
        <v>0.3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60" x14ac:dyDescent="0.25">
      <c r="A78" s="3"/>
      <c r="B78" s="4" t="s">
        <v>724</v>
      </c>
      <c r="C78" s="24">
        <v>1E-3</v>
      </c>
      <c r="D78" s="1">
        <f t="shared" si="1"/>
        <v>0.1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60" x14ac:dyDescent="0.25">
      <c r="A80" s="3"/>
      <c r="B80" s="4" t="s">
        <v>725</v>
      </c>
      <c r="C80" s="24">
        <v>4.0000000000000001E-3</v>
      </c>
      <c r="D80" s="1">
        <f t="shared" si="1"/>
        <v>0.4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726</v>
      </c>
      <c r="C82" s="24">
        <v>7.0999999999999994E-2</v>
      </c>
      <c r="D82" s="1">
        <f t="shared" si="1"/>
        <v>7.1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727</v>
      </c>
      <c r="C84" s="24">
        <v>2.1000000000000001E-2</v>
      </c>
      <c r="D84" s="1">
        <f t="shared" si="1"/>
        <v>2.1</v>
      </c>
    </row>
    <row r="85" spans="1:4" ht="33" customHeight="1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728</v>
      </c>
      <c r="C86" s="24">
        <v>3.7999999999999999E-2</v>
      </c>
      <c r="D86" s="1">
        <f t="shared" si="1"/>
        <v>3.8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138.01</v>
      </c>
    </row>
    <row r="88" spans="1:4" ht="15" customHeight="1" x14ac:dyDescent="0.25">
      <c r="A88" s="33"/>
      <c r="B88" s="34" t="s">
        <v>95</v>
      </c>
      <c r="C88" s="32">
        <f>ROUND(C87+C19,4)</f>
        <v>10.5901</v>
      </c>
      <c r="D88" s="32">
        <f>ROUND(D87+D19,4)</f>
        <v>1059.01</v>
      </c>
    </row>
    <row r="89" spans="1:4" ht="27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100</v>
      </c>
      <c r="D90" s="38"/>
    </row>
    <row r="91" spans="1:4" ht="21" customHeight="1" x14ac:dyDescent="0.25">
      <c r="A91" s="161" t="s">
        <v>112</v>
      </c>
      <c r="B91" s="162"/>
      <c r="C91" s="2">
        <f>D88/C90</f>
        <v>10.5901</v>
      </c>
      <c r="D91" s="38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2B20C-EFA4-4ED5-A7BF-5F969EFDF894}">
  <dimension ref="A1:G90"/>
  <sheetViews>
    <sheetView view="pageBreakPreview" topLeftCell="A71" zoomScale="60" zoomScaleNormal="100" workbookViewId="0">
      <selection activeCell="D87" sqref="D87"/>
    </sheetView>
  </sheetViews>
  <sheetFormatPr defaultRowHeight="15" x14ac:dyDescent="0.25"/>
  <cols>
    <col min="1" max="1" width="10" style="84" customWidth="1"/>
    <col min="2" max="2" width="53.85546875" style="84" customWidth="1"/>
    <col min="3" max="3" width="10.7109375" style="84" customWidth="1"/>
    <col min="4" max="4" width="12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x14ac:dyDescent="0.25">
      <c r="A5" s="158" t="s">
        <v>273</v>
      </c>
      <c r="B5" s="158"/>
      <c r="C5" s="158"/>
      <c r="D5" s="158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121</v>
      </c>
      <c r="B9" s="170"/>
      <c r="C9" s="11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19"/>
    </row>
    <row r="14" spans="1:4" ht="78.75" customHeight="1" x14ac:dyDescent="0.25">
      <c r="A14" s="3"/>
      <c r="B14" s="81" t="s">
        <v>912</v>
      </c>
      <c r="C14" s="1">
        <v>2</v>
      </c>
      <c r="D14" s="1">
        <f>C14*50</f>
        <v>100</v>
      </c>
    </row>
    <row r="15" spans="1:4" ht="24" x14ac:dyDescent="0.25">
      <c r="A15" s="3">
        <v>1200</v>
      </c>
      <c r="B15" s="4" t="s">
        <v>913</v>
      </c>
      <c r="C15" s="1">
        <f>ROUND(C14*0.2359,2)</f>
        <v>0.47</v>
      </c>
      <c r="D15" s="1">
        <f t="shared" ref="D15:D17" si="0">C15*50</f>
        <v>23.5</v>
      </c>
    </row>
    <row r="16" spans="1:4" x14ac:dyDescent="0.25">
      <c r="A16" s="3">
        <v>2341</v>
      </c>
      <c r="B16" s="3" t="s">
        <v>97</v>
      </c>
      <c r="C16" s="24"/>
      <c r="D16" s="1"/>
    </row>
    <row r="17" spans="1:7" ht="78" customHeight="1" x14ac:dyDescent="0.25">
      <c r="A17" s="3"/>
      <c r="B17" s="4" t="s">
        <v>1600</v>
      </c>
      <c r="C17" s="1">
        <v>5.84</v>
      </c>
      <c r="D17" s="1">
        <f t="shared" si="0"/>
        <v>292</v>
      </c>
      <c r="E17" s="172"/>
      <c r="F17" s="173"/>
      <c r="G17" s="173"/>
    </row>
    <row r="18" spans="1:7" x14ac:dyDescent="0.25">
      <c r="A18" s="34"/>
      <c r="B18" s="40" t="s">
        <v>87</v>
      </c>
      <c r="C18" s="32">
        <f>SUM(C13:C17)</f>
        <v>8.3099999999999987</v>
      </c>
      <c r="D18" s="32">
        <f>SUM(D13:D17)</f>
        <v>415.5</v>
      </c>
      <c r="E18" s="107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666</v>
      </c>
      <c r="C21" s="24">
        <v>2.1000000000000001E-2</v>
      </c>
      <c r="D21" s="1">
        <f>C21*50</f>
        <v>1.05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667</v>
      </c>
      <c r="C23" s="24">
        <v>2.1000000000000001E-2</v>
      </c>
      <c r="D23" s="1">
        <f t="shared" ref="D23:D85" si="1">C23*50</f>
        <v>1.05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668</v>
      </c>
      <c r="C25" s="24">
        <v>5.1999999999999998E-2</v>
      </c>
      <c r="D25" s="1">
        <f t="shared" si="1"/>
        <v>2.6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669</v>
      </c>
      <c r="C27" s="24">
        <f>ROUND(38.69/9509,4)</f>
        <v>4.1000000000000003E-3</v>
      </c>
      <c r="D27" s="1">
        <f t="shared" si="1"/>
        <v>0.20500000000000002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693</v>
      </c>
      <c r="C29" s="24">
        <v>9.4E-2</v>
      </c>
      <c r="D29" s="1">
        <f t="shared" si="1"/>
        <v>4.7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694</v>
      </c>
      <c r="C31" s="24">
        <v>1.4999999999999999E-2</v>
      </c>
      <c r="D31" s="1">
        <f t="shared" si="1"/>
        <v>0.75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695</v>
      </c>
      <c r="C33" s="24">
        <v>2.5999999999999999E-2</v>
      </c>
      <c r="D33" s="1">
        <f t="shared" si="1"/>
        <v>1.3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696</v>
      </c>
      <c r="C35" s="24">
        <v>7.0000000000000001E-3</v>
      </c>
      <c r="D35" s="1">
        <f t="shared" si="1"/>
        <v>0.35000000000000003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697</v>
      </c>
      <c r="C37" s="24">
        <v>0.01</v>
      </c>
      <c r="D37" s="1">
        <f t="shared" si="1"/>
        <v>0.5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691</v>
      </c>
      <c r="C39" s="24">
        <v>7.0000000000000001E-3</v>
      </c>
      <c r="D39" s="1">
        <f t="shared" si="1"/>
        <v>0.35000000000000003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690</v>
      </c>
      <c r="C41" s="24">
        <v>4.9000000000000002E-2</v>
      </c>
      <c r="D41" s="1">
        <f t="shared" si="1"/>
        <v>2.4500000000000002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689</v>
      </c>
      <c r="C43" s="24">
        <v>6.0999999999999999E-2</v>
      </c>
      <c r="D43" s="1">
        <f t="shared" si="1"/>
        <v>3.05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688</v>
      </c>
      <c r="C45" s="24">
        <v>0.09</v>
      </c>
      <c r="D45" s="1">
        <f t="shared" si="1"/>
        <v>4.5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687</v>
      </c>
      <c r="C47" s="24">
        <v>0.05</v>
      </c>
      <c r="D47" s="1">
        <f t="shared" si="1"/>
        <v>2.5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686</v>
      </c>
      <c r="C49" s="24">
        <v>6.9000000000000006E-2</v>
      </c>
      <c r="D49" s="1">
        <f t="shared" si="1"/>
        <v>3.45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685</v>
      </c>
      <c r="C51" s="24">
        <v>3.0000000000000001E-3</v>
      </c>
      <c r="D51" s="1">
        <f t="shared" si="1"/>
        <v>0.15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684</v>
      </c>
      <c r="C53" s="24">
        <v>2E-3</v>
      </c>
      <c r="D53" s="1">
        <f t="shared" si="1"/>
        <v>0.1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683</v>
      </c>
      <c r="C55" s="24">
        <v>0.23699999999999999</v>
      </c>
      <c r="D55" s="1">
        <f t="shared" si="1"/>
        <v>11.85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954</v>
      </c>
      <c r="C57" s="24">
        <v>0.29599999999999999</v>
      </c>
      <c r="D57" s="1">
        <f t="shared" si="1"/>
        <v>14.799999999999999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958</v>
      </c>
      <c r="C59" s="24">
        <v>1E-3</v>
      </c>
      <c r="D59" s="1">
        <f t="shared" si="1"/>
        <v>0.05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682</v>
      </c>
      <c r="C61" s="24">
        <v>2.5999999999999999E-2</v>
      </c>
      <c r="D61" s="1">
        <f t="shared" si="1"/>
        <v>1.3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681</v>
      </c>
      <c r="C63" s="24">
        <v>8.9999999999999993E-3</v>
      </c>
      <c r="D63" s="1">
        <f t="shared" si="1"/>
        <v>0.44999999999999996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680</v>
      </c>
      <c r="C65" s="24">
        <v>1.0999999999999999E-2</v>
      </c>
      <c r="D65" s="1">
        <f t="shared" si="1"/>
        <v>0.54999999999999993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679</v>
      </c>
      <c r="C67" s="24">
        <v>2.3E-2</v>
      </c>
      <c r="D67" s="1">
        <f t="shared" si="1"/>
        <v>1.1499999999999999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670</v>
      </c>
      <c r="C69" s="24">
        <v>2.1999999999999999E-2</v>
      </c>
      <c r="D69" s="1">
        <f t="shared" si="1"/>
        <v>1.0999999999999999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671</v>
      </c>
      <c r="C71" s="30">
        <v>3.4000000000000002E-2</v>
      </c>
      <c r="D71" s="1">
        <f t="shared" si="1"/>
        <v>1.7000000000000002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672</v>
      </c>
      <c r="C73" s="24">
        <v>2E-3</v>
      </c>
      <c r="D73" s="1">
        <f t="shared" si="1"/>
        <v>0.1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673</v>
      </c>
      <c r="C75" s="24">
        <v>3.0000000000000001E-3</v>
      </c>
      <c r="D75" s="1">
        <f t="shared" si="1"/>
        <v>0.15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674</v>
      </c>
      <c r="C77" s="24">
        <v>1E-3</v>
      </c>
      <c r="D77" s="1">
        <f t="shared" si="1"/>
        <v>0.05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675</v>
      </c>
      <c r="C79" s="24">
        <v>4.0000000000000001E-3</v>
      </c>
      <c r="D79" s="1">
        <f t="shared" si="1"/>
        <v>0.2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676</v>
      </c>
      <c r="C81" s="24">
        <v>7.0999999999999994E-2</v>
      </c>
      <c r="D81" s="1">
        <f t="shared" si="1"/>
        <v>3.55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677</v>
      </c>
      <c r="C83" s="24">
        <v>2.1000000000000001E-2</v>
      </c>
      <c r="D83" s="1">
        <f t="shared" si="1"/>
        <v>1.05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678</v>
      </c>
      <c r="C85" s="24">
        <v>3.7999999999999999E-2</v>
      </c>
      <c r="D85" s="1">
        <f t="shared" si="1"/>
        <v>1.9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69.004999999999995</v>
      </c>
    </row>
    <row r="87" spans="1:4" ht="15" customHeight="1" x14ac:dyDescent="0.25">
      <c r="A87" s="33"/>
      <c r="B87" s="34" t="s">
        <v>95</v>
      </c>
      <c r="C87" s="32">
        <f>ROUND(C86+C18,4)</f>
        <v>9.6900999999999993</v>
      </c>
      <c r="D87" s="32">
        <f>ROUND(D86+D18,4)</f>
        <v>484.505</v>
      </c>
    </row>
    <row r="88" spans="1:4" ht="21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50</v>
      </c>
      <c r="D89" s="38"/>
    </row>
    <row r="90" spans="1:4" ht="24" customHeight="1" x14ac:dyDescent="0.25">
      <c r="A90" s="161" t="s">
        <v>112</v>
      </c>
      <c r="B90" s="162"/>
      <c r="C90" s="2">
        <f>D87/C89</f>
        <v>9.6900999999999993</v>
      </c>
      <c r="D90" s="38"/>
    </row>
  </sheetData>
  <mergeCells count="8">
    <mergeCell ref="A89:B89"/>
    <mergeCell ref="A90:B90"/>
    <mergeCell ref="E17:G17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516B4-0AE9-494E-95EB-34153978C71F}">
  <dimension ref="A1:E90"/>
  <sheetViews>
    <sheetView view="pageBreakPreview" topLeftCell="A80" zoomScale="60" zoomScaleNormal="100" workbookViewId="0">
      <selection activeCell="I14" sqref="I14"/>
    </sheetView>
  </sheetViews>
  <sheetFormatPr defaultRowHeight="15" x14ac:dyDescent="0.25"/>
  <cols>
    <col min="1" max="1" width="9.85546875" style="84" customWidth="1"/>
    <col min="2" max="2" width="56" style="84" customWidth="1"/>
    <col min="3" max="3" width="10.28515625" style="84" customWidth="1"/>
    <col min="4" max="4" width="12.140625" style="84" customWidth="1"/>
    <col min="5" max="10" width="9.140625" style="84"/>
    <col min="11" max="11" width="14.7109375" style="84" customWidth="1"/>
    <col min="12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8.2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9" customHeight="1" x14ac:dyDescent="0.25">
      <c r="A4" s="6"/>
      <c r="B4" s="9"/>
      <c r="C4" s="9"/>
      <c r="D4" s="10"/>
    </row>
    <row r="5" spans="1:4" ht="24" customHeight="1" x14ac:dyDescent="0.25">
      <c r="A5" s="166" t="s">
        <v>147</v>
      </c>
      <c r="B5" s="166"/>
      <c r="C5" s="166"/>
      <c r="D5" s="166"/>
    </row>
    <row r="6" spans="1:4" ht="6.7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5.25" customHeight="1" x14ac:dyDescent="0.25">
      <c r="A8" s="6"/>
      <c r="B8" s="12"/>
      <c r="C8" s="13"/>
      <c r="D8" s="10"/>
    </row>
    <row r="9" spans="1:4" x14ac:dyDescent="0.25">
      <c r="A9" s="170" t="s">
        <v>102</v>
      </c>
      <c r="B9" s="170"/>
      <c r="C9" s="48"/>
      <c r="D9" s="44"/>
    </row>
    <row r="10" spans="1:4" ht="93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ht="14.25" customHeight="1" x14ac:dyDescent="0.25">
      <c r="A13" s="42">
        <v>1100</v>
      </c>
      <c r="B13" s="43" t="s">
        <v>85</v>
      </c>
      <c r="C13" s="22"/>
      <c r="D13" s="22"/>
    </row>
    <row r="14" spans="1:4" ht="96" customHeight="1" x14ac:dyDescent="0.25">
      <c r="A14" s="3"/>
      <c r="B14" s="83" t="s">
        <v>918</v>
      </c>
      <c r="C14" s="1">
        <v>1</v>
      </c>
      <c r="D14" s="1">
        <f>C14*100</f>
        <v>100</v>
      </c>
    </row>
    <row r="15" spans="1:4" ht="24.75" customHeight="1" x14ac:dyDescent="0.25">
      <c r="A15" s="3">
        <v>1200</v>
      </c>
      <c r="B15" s="4" t="s">
        <v>919</v>
      </c>
      <c r="C15" s="1">
        <f>ROUND(C14*0.2359,2)</f>
        <v>0.24</v>
      </c>
      <c r="D15" s="1">
        <f>C15*100</f>
        <v>24</v>
      </c>
    </row>
    <row r="16" spans="1:4" ht="12.75" customHeight="1" x14ac:dyDescent="0.25">
      <c r="A16" s="3">
        <v>2341</v>
      </c>
      <c r="B16" s="3" t="s">
        <v>86</v>
      </c>
      <c r="C16" s="24"/>
      <c r="D16" s="24"/>
    </row>
    <row r="17" spans="1:5" ht="147.75" customHeight="1" x14ac:dyDescent="0.25">
      <c r="A17" s="3"/>
      <c r="B17" s="23" t="s">
        <v>1599</v>
      </c>
      <c r="C17" s="1">
        <v>2.11</v>
      </c>
      <c r="D17" s="1">
        <f>C17*100</f>
        <v>211</v>
      </c>
    </row>
    <row r="18" spans="1:5" ht="12.75" customHeight="1" x14ac:dyDescent="0.25">
      <c r="A18" s="3"/>
      <c r="B18" s="40" t="s">
        <v>87</v>
      </c>
      <c r="C18" s="32">
        <f>C14+C15+C17</f>
        <v>3.3499999999999996</v>
      </c>
      <c r="D18" s="32">
        <f>D14+D15+D17</f>
        <v>335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5" ht="26.25" customHeight="1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5.25" customHeight="1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956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957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3.75" customHeight="1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4.5" customHeight="1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ht="18" customHeight="1" x14ac:dyDescent="0.25">
      <c r="A82" s="3">
        <v>5238</v>
      </c>
      <c r="B82" s="4" t="s">
        <v>115</v>
      </c>
      <c r="C82" s="30"/>
      <c r="D82" s="1"/>
    </row>
    <row r="83" spans="1:4" ht="63" customHeight="1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ht="21" customHeight="1" x14ac:dyDescent="0.25">
      <c r="A87" s="33"/>
      <c r="B87" s="34" t="s">
        <v>95</v>
      </c>
      <c r="C87" s="32">
        <f>ROUND(C86+C18,4)</f>
        <v>4.7301000000000002</v>
      </c>
      <c r="D87" s="32">
        <f>ROUND(D86+D18,4)</f>
        <v>473.01</v>
      </c>
    </row>
    <row r="88" spans="1:4" ht="31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4.7301000000000002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1A3E4-B4E4-44D2-8CF6-3883A99DB910}">
  <dimension ref="A1:F90"/>
  <sheetViews>
    <sheetView view="pageBreakPreview" topLeftCell="A69" zoomScale="60" zoomScaleNormal="115" workbookViewId="0">
      <selection activeCell="D87" sqref="D87"/>
    </sheetView>
  </sheetViews>
  <sheetFormatPr defaultRowHeight="15" x14ac:dyDescent="0.25"/>
  <cols>
    <col min="1" max="1" width="9.7109375" style="84" customWidth="1"/>
    <col min="2" max="2" width="57.7109375" style="84" customWidth="1"/>
    <col min="3" max="3" width="12.28515625" style="84" customWidth="1"/>
    <col min="4" max="4" width="14.140625" style="84" customWidth="1"/>
    <col min="5" max="16384" width="9.140625" style="84"/>
  </cols>
  <sheetData>
    <row r="1" spans="1:4" ht="15.75" customHeight="1" x14ac:dyDescent="0.25">
      <c r="A1" s="154" t="s">
        <v>78</v>
      </c>
      <c r="B1" s="154"/>
      <c r="C1" s="154"/>
      <c r="D1" s="154"/>
    </row>
    <row r="2" spans="1:4" ht="15" customHeight="1" x14ac:dyDescent="0.25">
      <c r="A2" s="50"/>
      <c r="B2" s="50"/>
      <c r="C2" s="174"/>
      <c r="D2" s="175"/>
    </row>
    <row r="3" spans="1:4" x14ac:dyDescent="0.25">
      <c r="A3" s="7" t="s">
        <v>110</v>
      </c>
      <c r="B3" s="51"/>
      <c r="C3" s="51"/>
      <c r="D3" s="51"/>
    </row>
    <row r="4" spans="1:4" x14ac:dyDescent="0.25">
      <c r="A4" s="52"/>
      <c r="B4" s="53"/>
      <c r="C4" s="53"/>
      <c r="D4" s="54"/>
    </row>
    <row r="5" spans="1:4" x14ac:dyDescent="0.25">
      <c r="A5" s="166" t="s">
        <v>258</v>
      </c>
      <c r="B5" s="166"/>
      <c r="C5" s="166"/>
      <c r="D5" s="166"/>
    </row>
    <row r="6" spans="1:4" ht="9" customHeight="1" x14ac:dyDescent="0.25">
      <c r="A6" s="55"/>
      <c r="B6" s="56"/>
      <c r="C6" s="56"/>
      <c r="D6" s="54"/>
    </row>
    <row r="7" spans="1:4" x14ac:dyDescent="0.25">
      <c r="A7" s="158" t="s">
        <v>111</v>
      </c>
      <c r="B7" s="159"/>
      <c r="C7" s="56"/>
      <c r="D7" s="54"/>
    </row>
    <row r="8" spans="1:4" ht="12.75" customHeight="1" x14ac:dyDescent="0.25">
      <c r="A8" s="52"/>
      <c r="B8" s="57"/>
      <c r="C8" s="58"/>
      <c r="D8" s="54"/>
    </row>
    <row r="9" spans="1:4" x14ac:dyDescent="0.25">
      <c r="A9" s="160" t="s">
        <v>79</v>
      </c>
      <c r="B9" s="160"/>
      <c r="C9" s="58"/>
      <c r="D9" s="54"/>
    </row>
    <row r="10" spans="1:4" ht="93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59">
        <v>1</v>
      </c>
      <c r="B11" s="60">
        <v>2</v>
      </c>
      <c r="C11" s="59">
        <v>3</v>
      </c>
      <c r="D11" s="59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2.75" customHeight="1" x14ac:dyDescent="0.25">
      <c r="A14" s="5"/>
      <c r="B14" s="81" t="s">
        <v>914</v>
      </c>
      <c r="C14" s="1">
        <v>2</v>
      </c>
      <c r="D14" s="1">
        <f>C14*200</f>
        <v>400</v>
      </c>
    </row>
    <row r="15" spans="1:4" ht="26.25" customHeight="1" x14ac:dyDescent="0.25">
      <c r="A15" s="5">
        <v>1200</v>
      </c>
      <c r="B15" s="4" t="s">
        <v>913</v>
      </c>
      <c r="C15" s="1">
        <f>ROUND(C14*0.2359,2)</f>
        <v>0.47</v>
      </c>
      <c r="D15" s="1">
        <f>C15*200</f>
        <v>94</v>
      </c>
    </row>
    <row r="16" spans="1:4" x14ac:dyDescent="0.25">
      <c r="A16" s="5">
        <v>2341</v>
      </c>
      <c r="B16" s="5" t="s">
        <v>116</v>
      </c>
      <c r="C16" s="39"/>
      <c r="D16" s="39"/>
    </row>
    <row r="17" spans="1:6" ht="108.75" customHeight="1" x14ac:dyDescent="0.25">
      <c r="A17" s="5"/>
      <c r="B17" s="23" t="s">
        <v>1598</v>
      </c>
      <c r="C17" s="1">
        <v>0.97</v>
      </c>
      <c r="D17" s="1">
        <f>C17*200</f>
        <v>194</v>
      </c>
      <c r="E17" s="105"/>
      <c r="F17" s="105"/>
    </row>
    <row r="18" spans="1:6" x14ac:dyDescent="0.25">
      <c r="A18" s="34"/>
      <c r="B18" s="40" t="s">
        <v>87</v>
      </c>
      <c r="C18" s="32">
        <f>C17+C14+C15</f>
        <v>3.4399999999999995</v>
      </c>
      <c r="D18" s="32">
        <f>D15+D13+D17+D14</f>
        <v>688</v>
      </c>
      <c r="E18" s="107"/>
    </row>
    <row r="19" spans="1:6" x14ac:dyDescent="0.25">
      <c r="A19" s="27"/>
      <c r="B19" s="103" t="s">
        <v>88</v>
      </c>
      <c r="C19" s="28"/>
      <c r="D19" s="28"/>
    </row>
    <row r="20" spans="1:6" x14ac:dyDescent="0.25">
      <c r="A20" s="3">
        <v>2100</v>
      </c>
      <c r="B20" s="69" t="s">
        <v>370</v>
      </c>
      <c r="C20" s="28"/>
      <c r="D20" s="28"/>
    </row>
    <row r="21" spans="1:6" ht="60" x14ac:dyDescent="0.25">
      <c r="A21" s="27"/>
      <c r="B21" s="4" t="s">
        <v>729</v>
      </c>
      <c r="C21" s="24">
        <v>2.1000000000000001E-2</v>
      </c>
      <c r="D21" s="1">
        <f>C21*200</f>
        <v>4.2</v>
      </c>
    </row>
    <row r="22" spans="1:6" x14ac:dyDescent="0.25">
      <c r="A22" s="3">
        <v>2210</v>
      </c>
      <c r="B22" s="4" t="s">
        <v>354</v>
      </c>
      <c r="C22" s="24"/>
      <c r="D22" s="1"/>
    </row>
    <row r="23" spans="1:6" ht="60" x14ac:dyDescent="0.25">
      <c r="A23" s="3"/>
      <c r="B23" s="4" t="s">
        <v>730</v>
      </c>
      <c r="C23" s="24">
        <v>2.1000000000000001E-2</v>
      </c>
      <c r="D23" s="1">
        <f t="shared" ref="D23:D85" si="0">C23*200</f>
        <v>4.2</v>
      </c>
    </row>
    <row r="24" spans="1:6" x14ac:dyDescent="0.25">
      <c r="A24" s="3">
        <v>2221</v>
      </c>
      <c r="B24" s="4" t="s">
        <v>89</v>
      </c>
      <c r="C24" s="1"/>
      <c r="D24" s="1"/>
    </row>
    <row r="25" spans="1:6" ht="60" x14ac:dyDescent="0.25">
      <c r="A25" s="3"/>
      <c r="B25" s="4" t="s">
        <v>731</v>
      </c>
      <c r="C25" s="24">
        <v>5.1999999999999998E-2</v>
      </c>
      <c r="D25" s="1">
        <f t="shared" si="0"/>
        <v>10.4</v>
      </c>
    </row>
    <row r="26" spans="1:6" x14ac:dyDescent="0.25">
      <c r="A26" s="3">
        <v>2222</v>
      </c>
      <c r="B26" s="67" t="s">
        <v>90</v>
      </c>
      <c r="C26" s="1"/>
      <c r="D26" s="1"/>
    </row>
    <row r="27" spans="1:6" ht="60" x14ac:dyDescent="0.25">
      <c r="A27" s="3"/>
      <c r="B27" s="4" t="s">
        <v>732</v>
      </c>
      <c r="C27" s="24">
        <f>ROUND(38.69/9509,4)</f>
        <v>4.1000000000000003E-3</v>
      </c>
      <c r="D27" s="1">
        <f t="shared" si="0"/>
        <v>0.82000000000000006</v>
      </c>
    </row>
    <row r="28" spans="1:6" x14ac:dyDescent="0.25">
      <c r="A28" s="3">
        <v>2223</v>
      </c>
      <c r="B28" s="3" t="s">
        <v>91</v>
      </c>
      <c r="C28" s="24"/>
      <c r="D28" s="1"/>
    </row>
    <row r="29" spans="1:6" ht="36" x14ac:dyDescent="0.25">
      <c r="A29" s="3"/>
      <c r="B29" s="4" t="s">
        <v>733</v>
      </c>
      <c r="C29" s="24">
        <v>9.4E-2</v>
      </c>
      <c r="D29" s="1">
        <f t="shared" si="0"/>
        <v>18.8</v>
      </c>
    </row>
    <row r="30" spans="1:6" ht="24" x14ac:dyDescent="0.25">
      <c r="A30" s="3">
        <v>2224</v>
      </c>
      <c r="B30" s="4" t="s">
        <v>114</v>
      </c>
      <c r="C30" s="24"/>
      <c r="D30" s="1"/>
    </row>
    <row r="31" spans="1:6" ht="60" x14ac:dyDescent="0.25">
      <c r="A31" s="3"/>
      <c r="B31" s="4" t="s">
        <v>734</v>
      </c>
      <c r="C31" s="24">
        <v>1.4999999999999999E-2</v>
      </c>
      <c r="D31" s="1">
        <f t="shared" si="0"/>
        <v>3</v>
      </c>
    </row>
    <row r="32" spans="1:6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735</v>
      </c>
      <c r="C33" s="24">
        <v>2.5999999999999999E-2</v>
      </c>
      <c r="D33" s="1">
        <f t="shared" si="0"/>
        <v>5.2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736</v>
      </c>
      <c r="C35" s="24">
        <v>7.0000000000000001E-3</v>
      </c>
      <c r="D35" s="1">
        <f t="shared" si="0"/>
        <v>1.4000000000000001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737</v>
      </c>
      <c r="C37" s="24">
        <v>0.01</v>
      </c>
      <c r="D37" s="1">
        <f t="shared" si="0"/>
        <v>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738</v>
      </c>
      <c r="C39" s="24">
        <v>7.0000000000000001E-3</v>
      </c>
      <c r="D39" s="1">
        <f t="shared" si="0"/>
        <v>1.4000000000000001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739</v>
      </c>
      <c r="C41" s="24">
        <v>4.9000000000000002E-2</v>
      </c>
      <c r="D41" s="1">
        <f t="shared" si="0"/>
        <v>9.8000000000000007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740</v>
      </c>
      <c r="C43" s="24">
        <v>6.0999999999999999E-2</v>
      </c>
      <c r="D43" s="1">
        <f t="shared" si="0"/>
        <v>12.2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741</v>
      </c>
      <c r="C45" s="24">
        <v>0.09</v>
      </c>
      <c r="D45" s="1">
        <f t="shared" si="0"/>
        <v>18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742</v>
      </c>
      <c r="C47" s="24">
        <v>0.05</v>
      </c>
      <c r="D47" s="1">
        <f t="shared" si="0"/>
        <v>10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743</v>
      </c>
      <c r="C49" s="24">
        <v>6.9000000000000006E-2</v>
      </c>
      <c r="D49" s="1">
        <f t="shared" si="0"/>
        <v>13.8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744</v>
      </c>
      <c r="C51" s="24">
        <v>3.0000000000000001E-3</v>
      </c>
      <c r="D51" s="1">
        <f t="shared" si="0"/>
        <v>0.6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746</v>
      </c>
      <c r="C55" s="24">
        <v>0.23699999999999999</v>
      </c>
      <c r="D55" s="1">
        <f t="shared" si="0"/>
        <v>47.4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959</v>
      </c>
      <c r="C57" s="24">
        <v>0.29599999999999999</v>
      </c>
      <c r="D57" s="1">
        <f t="shared" si="0"/>
        <v>59.199999999999996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960</v>
      </c>
      <c r="C59" s="24">
        <v>1E-3</v>
      </c>
      <c r="D59" s="1">
        <f t="shared" si="0"/>
        <v>0.2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747</v>
      </c>
      <c r="C61" s="24">
        <v>2.5999999999999999E-2</v>
      </c>
      <c r="D61" s="1">
        <f t="shared" si="0"/>
        <v>5.2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748</v>
      </c>
      <c r="C63" s="24">
        <v>8.9999999999999993E-3</v>
      </c>
      <c r="D63" s="1">
        <f t="shared" si="0"/>
        <v>1.7999999999999998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749</v>
      </c>
      <c r="C65" s="24">
        <v>1.0999999999999999E-2</v>
      </c>
      <c r="D65" s="1">
        <f t="shared" si="0"/>
        <v>2.1999999999999997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750</v>
      </c>
      <c r="C67" s="24">
        <v>2.3E-2</v>
      </c>
      <c r="D67" s="1">
        <f t="shared" si="0"/>
        <v>4.5999999999999996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759</v>
      </c>
      <c r="C69" s="24">
        <v>2.1999999999999999E-2</v>
      </c>
      <c r="D69" s="1">
        <f t="shared" si="0"/>
        <v>4.3999999999999995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751</v>
      </c>
      <c r="C71" s="30">
        <v>3.4000000000000002E-2</v>
      </c>
      <c r="D71" s="1">
        <f t="shared" si="0"/>
        <v>6.8000000000000007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752</v>
      </c>
      <c r="C73" s="24">
        <v>2E-3</v>
      </c>
      <c r="D73" s="1">
        <f t="shared" si="0"/>
        <v>0.4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753</v>
      </c>
      <c r="C75" s="24">
        <v>3.0000000000000001E-3</v>
      </c>
      <c r="D75" s="1">
        <f t="shared" si="0"/>
        <v>0.6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754</v>
      </c>
      <c r="C77" s="24">
        <v>1E-3</v>
      </c>
      <c r="D77" s="1">
        <f t="shared" si="0"/>
        <v>0.2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755</v>
      </c>
      <c r="C79" s="24">
        <v>4.0000000000000001E-3</v>
      </c>
      <c r="D79" s="1">
        <f t="shared" si="0"/>
        <v>0.8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756</v>
      </c>
      <c r="C81" s="24">
        <v>7.0999999999999994E-2</v>
      </c>
      <c r="D81" s="1">
        <f t="shared" si="0"/>
        <v>14.2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757</v>
      </c>
      <c r="C83" s="24">
        <v>2.1000000000000001E-2</v>
      </c>
      <c r="D83" s="1">
        <f t="shared" si="0"/>
        <v>4.2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758</v>
      </c>
      <c r="C85" s="24">
        <v>3.7999999999999999E-2</v>
      </c>
      <c r="D85" s="1">
        <f t="shared" si="0"/>
        <v>7.6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276.02</v>
      </c>
    </row>
    <row r="87" spans="1:4" ht="15" customHeight="1" x14ac:dyDescent="0.25">
      <c r="A87" s="33"/>
      <c r="B87" s="34" t="s">
        <v>95</v>
      </c>
      <c r="C87" s="32">
        <f>ROUND(C86+C18,4)</f>
        <v>4.8201000000000001</v>
      </c>
      <c r="D87" s="32">
        <f>ROUND(D86+D18,4)</f>
        <v>964.02</v>
      </c>
    </row>
    <row r="88" spans="1:4" ht="27.75" customHeight="1" x14ac:dyDescent="0.25">
      <c r="A88" s="35"/>
      <c r="B88" s="36"/>
      <c r="C88" s="37"/>
      <c r="D88" s="37"/>
    </row>
    <row r="89" spans="1:4" ht="15" customHeight="1" x14ac:dyDescent="0.25">
      <c r="A89" s="161" t="s">
        <v>96</v>
      </c>
      <c r="B89" s="162"/>
      <c r="C89" s="41">
        <v>200</v>
      </c>
      <c r="D89" s="38"/>
    </row>
    <row r="90" spans="1:4" ht="24" customHeight="1" x14ac:dyDescent="0.25">
      <c r="A90" s="161" t="s">
        <v>112</v>
      </c>
      <c r="B90" s="162"/>
      <c r="C90" s="2">
        <f>D87/C89</f>
        <v>4.8201000000000001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6" orientation="portrait" r:id="rId1"/>
  <colBreaks count="1" manualBreakCount="1">
    <brk id="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C775-C619-4CC0-8898-C9F1332CBF6D}">
  <dimension ref="A1:D90"/>
  <sheetViews>
    <sheetView view="pageBreakPreview" topLeftCell="A67" zoomScale="60" zoomScaleNormal="100" workbookViewId="0">
      <selection activeCell="D87" sqref="D87"/>
    </sheetView>
  </sheetViews>
  <sheetFormatPr defaultRowHeight="15" x14ac:dyDescent="0.25"/>
  <cols>
    <col min="1" max="1" width="9.42578125" style="84" customWidth="1"/>
    <col min="2" max="2" width="59.28515625" style="84" customWidth="1"/>
    <col min="3" max="3" width="10.5703125" style="84" customWidth="1"/>
    <col min="4" max="4" width="11.140625" style="84" customWidth="1"/>
    <col min="5" max="16384" width="9.140625" style="84"/>
  </cols>
  <sheetData>
    <row r="1" spans="1:4" ht="15.75" customHeight="1" x14ac:dyDescent="0.25">
      <c r="A1" s="154" t="s">
        <v>78</v>
      </c>
      <c r="B1" s="154"/>
      <c r="C1" s="154"/>
      <c r="D1" s="154"/>
    </row>
    <row r="2" spans="1:4" ht="1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148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5" customHeight="1" x14ac:dyDescent="0.25">
      <c r="A8" s="6"/>
      <c r="B8" s="12"/>
      <c r="C8" s="13"/>
      <c r="D8" s="10"/>
    </row>
    <row r="9" spans="1:4" x14ac:dyDescent="0.25">
      <c r="A9" s="160" t="s">
        <v>102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3.5" customHeight="1" x14ac:dyDescent="0.25">
      <c r="A14" s="5"/>
      <c r="B14" s="81" t="s">
        <v>924</v>
      </c>
      <c r="C14" s="1">
        <v>2</v>
      </c>
      <c r="D14" s="1">
        <f>C14*100</f>
        <v>200</v>
      </c>
    </row>
    <row r="15" spans="1:4" ht="24.75" customHeight="1" x14ac:dyDescent="0.25">
      <c r="A15" s="5">
        <v>1200</v>
      </c>
      <c r="B15" s="4" t="s">
        <v>913</v>
      </c>
      <c r="C15" s="1">
        <f>ROUND(C14*0.2359,2)</f>
        <v>0.47</v>
      </c>
      <c r="D15" s="1">
        <f>C15*100</f>
        <v>47</v>
      </c>
    </row>
    <row r="16" spans="1:4" x14ac:dyDescent="0.25">
      <c r="A16" s="5">
        <v>2341</v>
      </c>
      <c r="B16" s="3" t="s">
        <v>97</v>
      </c>
      <c r="C16" s="39"/>
      <c r="D16" s="39"/>
    </row>
    <row r="17" spans="1:4" ht="98.25" customHeight="1" x14ac:dyDescent="0.25">
      <c r="A17" s="5"/>
      <c r="B17" s="4" t="s">
        <v>1597</v>
      </c>
      <c r="C17" s="1">
        <v>1.1599999999999999</v>
      </c>
      <c r="D17" s="1">
        <f>C17*100</f>
        <v>115.99999999999999</v>
      </c>
    </row>
    <row r="18" spans="1:4" x14ac:dyDescent="0.25">
      <c r="A18" s="5"/>
      <c r="B18" s="40" t="s">
        <v>87</v>
      </c>
      <c r="C18" s="32">
        <f>C17+C14+C15</f>
        <v>3.63</v>
      </c>
      <c r="D18" s="32">
        <f>D15+D13+D17+D14</f>
        <v>363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956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962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>
        <f t="shared" si="0"/>
        <v>0</v>
      </c>
    </row>
    <row r="79" spans="1:4" ht="60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x14ac:dyDescent="0.25">
      <c r="A87" s="33"/>
      <c r="B87" s="34" t="s">
        <v>95</v>
      </c>
      <c r="C87" s="32">
        <f>ROUND(C86+C18,4)</f>
        <v>5.0101000000000004</v>
      </c>
      <c r="D87" s="32">
        <f>ROUND(D86+D18,4)</f>
        <v>501.01</v>
      </c>
    </row>
    <row r="88" spans="1:4" ht="15" customHeight="1" x14ac:dyDescent="0.25">
      <c r="A88" s="35"/>
      <c r="B88" s="36"/>
      <c r="C88" s="37"/>
      <c r="D88" s="37"/>
    </row>
    <row r="89" spans="1:4" ht="27.75" customHeight="1" x14ac:dyDescent="0.25">
      <c r="A89" s="161" t="s">
        <v>96</v>
      </c>
      <c r="B89" s="162"/>
      <c r="C89" s="41">
        <v>100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5.0100999999999996</v>
      </c>
      <c r="D90" s="38"/>
    </row>
  </sheetData>
  <mergeCells count="7">
    <mergeCell ref="A90:B90"/>
    <mergeCell ref="A89:B89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0537-F1BB-482D-95DE-67549C55A6CC}">
  <dimension ref="A1:E90"/>
  <sheetViews>
    <sheetView view="pageBreakPreview" topLeftCell="A77" zoomScale="60" zoomScaleNormal="100" workbookViewId="0">
      <selection activeCell="D87" sqref="D87"/>
    </sheetView>
  </sheetViews>
  <sheetFormatPr defaultRowHeight="15" x14ac:dyDescent="0.25"/>
  <cols>
    <col min="1" max="1" width="6.140625" style="84" customWidth="1"/>
    <col min="2" max="2" width="54.7109375" style="84" customWidth="1"/>
    <col min="3" max="3" width="12.28515625" style="84" customWidth="1"/>
    <col min="4" max="4" width="14.85546875" style="84" customWidth="1"/>
    <col min="5" max="5" width="15.85546875" style="84" customWidth="1"/>
    <col min="6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6" customHeight="1" x14ac:dyDescent="0.25">
      <c r="A4" s="6"/>
      <c r="B4" s="9"/>
      <c r="C4" s="9"/>
      <c r="D4" s="10"/>
    </row>
    <row r="5" spans="1:4" ht="19.5" customHeight="1" x14ac:dyDescent="0.25">
      <c r="A5" s="166" t="s">
        <v>149</v>
      </c>
      <c r="B5" s="166"/>
      <c r="C5" s="166"/>
      <c r="D5" s="166"/>
    </row>
    <row r="6" spans="1:4" ht="6.7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6" customHeight="1" x14ac:dyDescent="0.25">
      <c r="A8" s="6"/>
      <c r="B8" s="12"/>
      <c r="C8" s="13"/>
      <c r="D8" s="10"/>
    </row>
    <row r="9" spans="1:4" x14ac:dyDescent="0.25">
      <c r="A9" s="160" t="s">
        <v>103</v>
      </c>
      <c r="B9" s="160"/>
      <c r="C9" s="13"/>
      <c r="D9" s="10"/>
    </row>
    <row r="10" spans="1:4" ht="83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6.5" customHeight="1" x14ac:dyDescent="0.25">
      <c r="A14" s="5"/>
      <c r="B14" s="81" t="s">
        <v>920</v>
      </c>
      <c r="C14" s="1">
        <v>1</v>
      </c>
      <c r="D14" s="1">
        <f>C14*20</f>
        <v>20</v>
      </c>
    </row>
    <row r="15" spans="1:4" ht="24" x14ac:dyDescent="0.25">
      <c r="A15" s="5">
        <v>1200</v>
      </c>
      <c r="B15" s="23" t="s">
        <v>921</v>
      </c>
      <c r="C15" s="1">
        <f>ROUND(C14*0.2359,2)</f>
        <v>0.24</v>
      </c>
      <c r="D15" s="1">
        <f>C15*20</f>
        <v>4.8</v>
      </c>
    </row>
    <row r="16" spans="1:4" x14ac:dyDescent="0.25">
      <c r="A16" s="5">
        <v>2341</v>
      </c>
      <c r="B16" s="5" t="s">
        <v>97</v>
      </c>
      <c r="C16" s="39"/>
      <c r="D16" s="39"/>
    </row>
    <row r="17" spans="1:5" ht="96" x14ac:dyDescent="0.25">
      <c r="A17" s="5"/>
      <c r="B17" s="23" t="s">
        <v>1596</v>
      </c>
      <c r="C17" s="1">
        <v>2.94</v>
      </c>
      <c r="D17" s="1">
        <f>C17*20</f>
        <v>58.8</v>
      </c>
      <c r="E17" s="128"/>
    </row>
    <row r="18" spans="1:5" x14ac:dyDescent="0.25">
      <c r="A18" s="61"/>
      <c r="B18" s="40" t="s">
        <v>87</v>
      </c>
      <c r="C18" s="32">
        <f>SUM(C13:C17)</f>
        <v>4.18</v>
      </c>
      <c r="D18" s="32">
        <f>SUM(D13:D17)</f>
        <v>83.6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5.5601000000000003</v>
      </c>
      <c r="D87" s="32">
        <f>ROUND(D86+D18,4)</f>
        <v>111.202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19.5" customHeight="1" x14ac:dyDescent="0.25">
      <c r="A90" s="161" t="s">
        <v>112</v>
      </c>
      <c r="B90" s="162"/>
      <c r="C90" s="2">
        <f>D87/C89</f>
        <v>5.5601000000000003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CB70A-4060-45BA-AE1D-7D5CF83C4B23}">
  <dimension ref="A1:E90"/>
  <sheetViews>
    <sheetView view="pageBreakPreview" topLeftCell="A73" zoomScale="60" zoomScaleNormal="100" workbookViewId="0">
      <selection activeCell="A5" sqref="A5:D5"/>
    </sheetView>
  </sheetViews>
  <sheetFormatPr defaultRowHeight="15" x14ac:dyDescent="0.25"/>
  <cols>
    <col min="1" max="1" width="9.5703125" style="84" customWidth="1"/>
    <col min="2" max="2" width="49.7109375" style="84" customWidth="1"/>
    <col min="3" max="3" width="12.28515625" style="84" customWidth="1"/>
    <col min="4" max="4" width="13.140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2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6.75" customHeight="1" x14ac:dyDescent="0.25">
      <c r="A4" s="6"/>
      <c r="B4" s="9"/>
      <c r="C4" s="9"/>
      <c r="D4" s="10"/>
    </row>
    <row r="5" spans="1:4" ht="24" customHeight="1" x14ac:dyDescent="0.25">
      <c r="A5" s="166" t="s">
        <v>274</v>
      </c>
      <c r="B5" s="166"/>
      <c r="C5" s="166"/>
      <c r="D5" s="166"/>
    </row>
    <row r="6" spans="1:4" ht="6.7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2" customHeight="1" x14ac:dyDescent="0.25">
      <c r="A8" s="49"/>
      <c r="B8" s="79"/>
      <c r="C8" s="11"/>
      <c r="D8" s="10"/>
    </row>
    <row r="9" spans="1:4" x14ac:dyDescent="0.25">
      <c r="A9" s="160" t="s">
        <v>121</v>
      </c>
      <c r="B9" s="160"/>
      <c r="C9" s="13"/>
      <c r="D9" s="10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91.5" customHeight="1" x14ac:dyDescent="0.25">
      <c r="A14" s="5"/>
      <c r="B14" s="81" t="s">
        <v>925</v>
      </c>
      <c r="C14" s="1">
        <v>4</v>
      </c>
      <c r="D14" s="1">
        <f>C14*50</f>
        <v>200</v>
      </c>
    </row>
    <row r="15" spans="1:4" ht="24" x14ac:dyDescent="0.25">
      <c r="A15" s="5">
        <v>1200</v>
      </c>
      <c r="B15" s="4" t="s">
        <v>908</v>
      </c>
      <c r="C15" s="1">
        <f>ROUND(C14*0.2359,2)</f>
        <v>0.94</v>
      </c>
      <c r="D15" s="1">
        <f>C15*50</f>
        <v>47</v>
      </c>
    </row>
    <row r="16" spans="1:4" x14ac:dyDescent="0.25">
      <c r="A16" s="5">
        <v>2341</v>
      </c>
      <c r="B16" s="5" t="s">
        <v>97</v>
      </c>
      <c r="C16" s="39"/>
      <c r="D16" s="39"/>
    </row>
    <row r="17" spans="1:5" ht="99.75" customHeight="1" x14ac:dyDescent="0.25">
      <c r="A17" s="5"/>
      <c r="B17" s="23" t="s">
        <v>1595</v>
      </c>
      <c r="C17" s="1">
        <v>4.62</v>
      </c>
      <c r="D17" s="1">
        <f>C17*50</f>
        <v>231</v>
      </c>
      <c r="E17" s="127"/>
    </row>
    <row r="18" spans="1:5" x14ac:dyDescent="0.25">
      <c r="A18" s="62"/>
      <c r="B18" s="40" t="s">
        <v>87</v>
      </c>
      <c r="C18" s="32">
        <f>SUM(C13:C17)</f>
        <v>9.5599999999999987</v>
      </c>
      <c r="D18" s="32">
        <f>SUM(D13:D17)</f>
        <v>478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666</v>
      </c>
      <c r="C21" s="24">
        <v>2.1000000000000001E-2</v>
      </c>
      <c r="D21" s="1">
        <f>C21*50</f>
        <v>1.05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667</v>
      </c>
      <c r="C23" s="24">
        <v>2.1000000000000001E-2</v>
      </c>
      <c r="D23" s="1">
        <f t="shared" ref="D23:D85" si="0">C23*50</f>
        <v>1.05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668</v>
      </c>
      <c r="C25" s="24">
        <v>5.1999999999999998E-2</v>
      </c>
      <c r="D25" s="1">
        <f t="shared" si="0"/>
        <v>2.6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669</v>
      </c>
      <c r="C27" s="24">
        <f>ROUND(38.69/9509,4)</f>
        <v>4.1000000000000003E-3</v>
      </c>
      <c r="D27" s="1">
        <f t="shared" si="0"/>
        <v>0.20500000000000002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693</v>
      </c>
      <c r="C29" s="24">
        <v>9.4E-2</v>
      </c>
      <c r="D29" s="1">
        <f t="shared" si="0"/>
        <v>4.7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694</v>
      </c>
      <c r="C31" s="24">
        <v>1.4999999999999999E-2</v>
      </c>
      <c r="D31" s="1">
        <f t="shared" si="0"/>
        <v>0.75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695</v>
      </c>
      <c r="C33" s="24">
        <v>2.5999999999999999E-2</v>
      </c>
      <c r="D33" s="1">
        <f t="shared" si="0"/>
        <v>1.3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696</v>
      </c>
      <c r="C35" s="24">
        <v>7.0000000000000001E-3</v>
      </c>
      <c r="D35" s="1">
        <f t="shared" si="0"/>
        <v>0.35000000000000003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697</v>
      </c>
      <c r="C37" s="24">
        <v>0.01</v>
      </c>
      <c r="D37" s="1">
        <f t="shared" si="0"/>
        <v>0.5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691</v>
      </c>
      <c r="C39" s="24">
        <v>7.0000000000000001E-3</v>
      </c>
      <c r="D39" s="1">
        <f t="shared" si="0"/>
        <v>0.35000000000000003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690</v>
      </c>
      <c r="C41" s="24">
        <v>4.9000000000000002E-2</v>
      </c>
      <c r="D41" s="1">
        <f t="shared" si="0"/>
        <v>2.4500000000000002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689</v>
      </c>
      <c r="C43" s="24">
        <v>6.0999999999999999E-2</v>
      </c>
      <c r="D43" s="1">
        <f t="shared" si="0"/>
        <v>3.05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688</v>
      </c>
      <c r="C45" s="24">
        <v>0.09</v>
      </c>
      <c r="D45" s="1">
        <f t="shared" si="0"/>
        <v>4.5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687</v>
      </c>
      <c r="C47" s="24">
        <v>0.05</v>
      </c>
      <c r="D47" s="1">
        <f t="shared" si="0"/>
        <v>2.5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686</v>
      </c>
      <c r="C49" s="24">
        <v>6.9000000000000006E-2</v>
      </c>
      <c r="D49" s="1">
        <f t="shared" si="0"/>
        <v>3.45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685</v>
      </c>
      <c r="C51" s="24">
        <v>3.0000000000000001E-3</v>
      </c>
      <c r="D51" s="1">
        <f t="shared" si="0"/>
        <v>0.15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684</v>
      </c>
      <c r="C53" s="24">
        <v>2E-3</v>
      </c>
      <c r="D53" s="1">
        <f t="shared" si="0"/>
        <v>0.1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683</v>
      </c>
      <c r="C55" s="24">
        <v>0.23699999999999999</v>
      </c>
      <c r="D55" s="1">
        <f t="shared" si="0"/>
        <v>11.85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964</v>
      </c>
      <c r="C57" s="24">
        <v>0.29599999999999999</v>
      </c>
      <c r="D57" s="1">
        <f t="shared" si="0"/>
        <v>14.799999999999999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955</v>
      </c>
      <c r="C59" s="24">
        <v>1E-3</v>
      </c>
      <c r="D59" s="1">
        <f t="shared" si="0"/>
        <v>0.05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682</v>
      </c>
      <c r="C61" s="24">
        <v>2.5999999999999999E-2</v>
      </c>
      <c r="D61" s="1">
        <f t="shared" si="0"/>
        <v>1.3</v>
      </c>
    </row>
    <row r="62" spans="1:4" ht="18.75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681</v>
      </c>
      <c r="C63" s="24">
        <v>8.9999999999999993E-3</v>
      </c>
      <c r="D63" s="1">
        <f t="shared" si="0"/>
        <v>0.44999999999999996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680</v>
      </c>
      <c r="C65" s="24">
        <v>1.0999999999999999E-2</v>
      </c>
      <c r="D65" s="1">
        <f t="shared" si="0"/>
        <v>0.54999999999999993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679</v>
      </c>
      <c r="C67" s="24">
        <v>2.3E-2</v>
      </c>
      <c r="D67" s="1">
        <f t="shared" si="0"/>
        <v>1.1499999999999999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670</v>
      </c>
      <c r="C69" s="24">
        <v>2.1999999999999999E-2</v>
      </c>
      <c r="D69" s="1">
        <f t="shared" si="0"/>
        <v>1.0999999999999999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671</v>
      </c>
      <c r="C71" s="30">
        <v>3.4000000000000002E-2</v>
      </c>
      <c r="D71" s="1">
        <f t="shared" si="0"/>
        <v>1.7000000000000002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672</v>
      </c>
      <c r="C73" s="24">
        <v>2E-3</v>
      </c>
      <c r="D73" s="1">
        <f t="shared" si="0"/>
        <v>0.1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673</v>
      </c>
      <c r="C75" s="24">
        <v>3.0000000000000001E-3</v>
      </c>
      <c r="D75" s="1">
        <f t="shared" si="0"/>
        <v>0.15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674</v>
      </c>
      <c r="C77" s="24">
        <v>1E-3</v>
      </c>
      <c r="D77" s="1">
        <f t="shared" si="0"/>
        <v>0.05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675</v>
      </c>
      <c r="C79" s="24">
        <v>4.0000000000000001E-3</v>
      </c>
      <c r="D79" s="1">
        <f t="shared" si="0"/>
        <v>0.2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4.5" customHeight="1" x14ac:dyDescent="0.25">
      <c r="A81" s="3"/>
      <c r="B81" s="4" t="s">
        <v>676</v>
      </c>
      <c r="C81" s="24">
        <v>7.0999999999999994E-2</v>
      </c>
      <c r="D81" s="1">
        <f t="shared" si="0"/>
        <v>3.55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customHeight="1" x14ac:dyDescent="0.25">
      <c r="A83" s="3"/>
      <c r="B83" s="4" t="s">
        <v>677</v>
      </c>
      <c r="C83" s="24">
        <v>2.1000000000000001E-2</v>
      </c>
      <c r="D83" s="1">
        <f t="shared" si="0"/>
        <v>1.05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678</v>
      </c>
      <c r="C85" s="24">
        <v>3.7999999999999999E-2</v>
      </c>
      <c r="D85" s="1">
        <f t="shared" si="0"/>
        <v>1.9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69.004999999999995</v>
      </c>
    </row>
    <row r="87" spans="1:4" ht="15" customHeight="1" x14ac:dyDescent="0.25">
      <c r="A87" s="33"/>
      <c r="B87" s="34" t="s">
        <v>95</v>
      </c>
      <c r="C87" s="32">
        <f>ROUND(C86+C18,4)</f>
        <v>10.940099999999999</v>
      </c>
      <c r="D87" s="32">
        <f>ROUND(D86+D18,4)</f>
        <v>547.005</v>
      </c>
    </row>
    <row r="88" spans="1:4" ht="24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50</v>
      </c>
      <c r="D89" s="38"/>
    </row>
    <row r="90" spans="1:4" ht="21" customHeight="1" x14ac:dyDescent="0.25">
      <c r="A90" s="161" t="s">
        <v>112</v>
      </c>
      <c r="B90" s="162"/>
      <c r="C90" s="2">
        <f>D87/C89</f>
        <v>10.940099999999999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78198-60E3-4731-B8DC-70154C3EEA32}">
  <dimension ref="A1:E90"/>
  <sheetViews>
    <sheetView view="pageBreakPreview" topLeftCell="A75" zoomScale="60" zoomScaleNormal="100" workbookViewId="0">
      <selection activeCell="E17" sqref="E17"/>
    </sheetView>
  </sheetViews>
  <sheetFormatPr defaultRowHeight="15" x14ac:dyDescent="0.25"/>
  <cols>
    <col min="1" max="1" width="10.5703125" style="84" customWidth="1"/>
    <col min="2" max="2" width="54.85546875" style="84" customWidth="1"/>
    <col min="3" max="4" width="10.8554687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ht="21" customHeight="1" x14ac:dyDescent="0.25">
      <c r="A5" s="166" t="s">
        <v>150</v>
      </c>
      <c r="B5" s="166"/>
      <c r="C5" s="166"/>
      <c r="D5" s="166"/>
    </row>
    <row r="6" spans="1:4" ht="7.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9.75" customHeight="1" x14ac:dyDescent="0.25">
      <c r="A8" s="49"/>
      <c r="B8" s="79"/>
      <c r="C8" s="11"/>
      <c r="D8" s="10"/>
    </row>
    <row r="9" spans="1:4" x14ac:dyDescent="0.25">
      <c r="A9" s="160" t="s">
        <v>275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5.75" customHeight="1" x14ac:dyDescent="0.25">
      <c r="A14" s="5"/>
      <c r="B14" s="81" t="s">
        <v>926</v>
      </c>
      <c r="C14" s="1">
        <v>4</v>
      </c>
      <c r="D14" s="1">
        <f>C14*50</f>
        <v>200</v>
      </c>
    </row>
    <row r="15" spans="1:4" ht="24" x14ac:dyDescent="0.25">
      <c r="A15" s="5">
        <v>1200</v>
      </c>
      <c r="B15" s="4" t="s">
        <v>908</v>
      </c>
      <c r="C15" s="1">
        <f>ROUND(C14*0.2359,2)</f>
        <v>0.94</v>
      </c>
      <c r="D15" s="1">
        <f>C15*50</f>
        <v>47</v>
      </c>
    </row>
    <row r="16" spans="1:4" x14ac:dyDescent="0.25">
      <c r="A16" s="3">
        <v>2341</v>
      </c>
      <c r="B16" s="3" t="s">
        <v>97</v>
      </c>
      <c r="C16" s="24"/>
      <c r="D16" s="24"/>
    </row>
    <row r="17" spans="1:5" ht="108" x14ac:dyDescent="0.25">
      <c r="A17" s="5"/>
      <c r="B17" s="23" t="s">
        <v>1594</v>
      </c>
      <c r="C17" s="1">
        <v>4.76</v>
      </c>
      <c r="D17" s="1">
        <f>C17*50</f>
        <v>238</v>
      </c>
    </row>
    <row r="18" spans="1:5" x14ac:dyDescent="0.25">
      <c r="A18" s="61"/>
      <c r="B18" s="40" t="s">
        <v>87</v>
      </c>
      <c r="C18" s="32">
        <f>SUM(C13:C17)</f>
        <v>9.6999999999999993</v>
      </c>
      <c r="D18" s="32">
        <f>SUM(D13:D17)</f>
        <v>485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666</v>
      </c>
      <c r="C21" s="24">
        <v>2.1000000000000001E-2</v>
      </c>
      <c r="D21" s="1">
        <f>C21*50</f>
        <v>1.05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667</v>
      </c>
      <c r="C23" s="24">
        <v>2.1000000000000001E-2</v>
      </c>
      <c r="D23" s="1">
        <f t="shared" ref="D23:D85" si="0">C23*50</f>
        <v>1.05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668</v>
      </c>
      <c r="C25" s="24">
        <v>5.1999999999999998E-2</v>
      </c>
      <c r="D25" s="1">
        <f t="shared" si="0"/>
        <v>2.6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669</v>
      </c>
      <c r="C27" s="24">
        <f>ROUND(38.69/9509,4)</f>
        <v>4.1000000000000003E-3</v>
      </c>
      <c r="D27" s="1">
        <f t="shared" si="0"/>
        <v>0.20500000000000002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693</v>
      </c>
      <c r="C29" s="24">
        <v>9.4E-2</v>
      </c>
      <c r="D29" s="1">
        <f t="shared" si="0"/>
        <v>4.7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694</v>
      </c>
      <c r="C31" s="24">
        <v>1.4999999999999999E-2</v>
      </c>
      <c r="D31" s="1">
        <f t="shared" si="0"/>
        <v>0.75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695</v>
      </c>
      <c r="C33" s="24">
        <v>2.5999999999999999E-2</v>
      </c>
      <c r="D33" s="1">
        <f t="shared" si="0"/>
        <v>1.3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696</v>
      </c>
      <c r="C35" s="24">
        <v>7.0000000000000001E-3</v>
      </c>
      <c r="D35" s="1">
        <f t="shared" si="0"/>
        <v>0.35000000000000003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697</v>
      </c>
      <c r="C37" s="24">
        <v>0.01</v>
      </c>
      <c r="D37" s="1">
        <f t="shared" si="0"/>
        <v>0.5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691</v>
      </c>
      <c r="C39" s="24">
        <v>7.0000000000000001E-3</v>
      </c>
      <c r="D39" s="1">
        <f t="shared" si="0"/>
        <v>0.35000000000000003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690</v>
      </c>
      <c r="C41" s="24">
        <v>4.9000000000000002E-2</v>
      </c>
      <c r="D41" s="1">
        <f t="shared" si="0"/>
        <v>2.4500000000000002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689</v>
      </c>
      <c r="C43" s="24">
        <v>6.0999999999999999E-2</v>
      </c>
      <c r="D43" s="1">
        <f t="shared" si="0"/>
        <v>3.05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688</v>
      </c>
      <c r="C45" s="24">
        <v>0.09</v>
      </c>
      <c r="D45" s="1">
        <f t="shared" si="0"/>
        <v>4.5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687</v>
      </c>
      <c r="C47" s="24">
        <v>0.05</v>
      </c>
      <c r="D47" s="1">
        <f t="shared" si="0"/>
        <v>2.5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686</v>
      </c>
      <c r="C49" s="24">
        <v>6.9000000000000006E-2</v>
      </c>
      <c r="D49" s="1">
        <f t="shared" si="0"/>
        <v>3.45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685</v>
      </c>
      <c r="C51" s="24">
        <v>3.0000000000000001E-3</v>
      </c>
      <c r="D51" s="1">
        <f t="shared" si="0"/>
        <v>0.15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684</v>
      </c>
      <c r="C53" s="24">
        <v>2E-3</v>
      </c>
      <c r="D53" s="1">
        <f t="shared" si="0"/>
        <v>0.1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683</v>
      </c>
      <c r="C55" s="24">
        <v>0.23699999999999999</v>
      </c>
      <c r="D55" s="1">
        <f t="shared" si="0"/>
        <v>11.85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964</v>
      </c>
      <c r="C57" s="24">
        <v>0.29599999999999999</v>
      </c>
      <c r="D57" s="1">
        <f t="shared" si="0"/>
        <v>14.799999999999999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955</v>
      </c>
      <c r="C59" s="24">
        <v>1E-3</v>
      </c>
      <c r="D59" s="1">
        <f t="shared" si="0"/>
        <v>0.05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682</v>
      </c>
      <c r="C61" s="24">
        <v>2.5999999999999999E-2</v>
      </c>
      <c r="D61" s="1">
        <f t="shared" si="0"/>
        <v>1.3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681</v>
      </c>
      <c r="C63" s="24">
        <v>8.9999999999999993E-3</v>
      </c>
      <c r="D63" s="1">
        <f t="shared" si="0"/>
        <v>0.44999999999999996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680</v>
      </c>
      <c r="C65" s="24">
        <v>1.0999999999999999E-2</v>
      </c>
      <c r="D65" s="1">
        <f t="shared" si="0"/>
        <v>0.54999999999999993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679</v>
      </c>
      <c r="C67" s="24">
        <v>2.3E-2</v>
      </c>
      <c r="D67" s="1">
        <f t="shared" si="0"/>
        <v>1.1499999999999999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670</v>
      </c>
      <c r="C69" s="24">
        <v>2.1999999999999999E-2</v>
      </c>
      <c r="D69" s="1">
        <f t="shared" si="0"/>
        <v>1.0999999999999999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671</v>
      </c>
      <c r="C71" s="30">
        <v>3.4000000000000002E-2</v>
      </c>
      <c r="D71" s="1">
        <f t="shared" si="0"/>
        <v>1.7000000000000002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672</v>
      </c>
      <c r="C73" s="24">
        <v>2E-3</v>
      </c>
      <c r="D73" s="1">
        <f t="shared" si="0"/>
        <v>0.1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673</v>
      </c>
      <c r="C75" s="24">
        <v>3.0000000000000001E-3</v>
      </c>
      <c r="D75" s="1">
        <f t="shared" si="0"/>
        <v>0.15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674</v>
      </c>
      <c r="C77" s="24">
        <v>1E-3</v>
      </c>
      <c r="D77" s="1">
        <f t="shared" si="0"/>
        <v>0.05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675</v>
      </c>
      <c r="C79" s="24">
        <v>4.0000000000000001E-3</v>
      </c>
      <c r="D79" s="1">
        <f t="shared" si="0"/>
        <v>0.2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676</v>
      </c>
      <c r="C81" s="24">
        <v>7.0999999999999994E-2</v>
      </c>
      <c r="D81" s="1">
        <f t="shared" si="0"/>
        <v>3.55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677</v>
      </c>
      <c r="C83" s="24">
        <v>2.1000000000000001E-2</v>
      </c>
      <c r="D83" s="1">
        <f t="shared" si="0"/>
        <v>1.05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678</v>
      </c>
      <c r="C85" s="24">
        <v>3.7999999999999999E-2</v>
      </c>
      <c r="D85" s="1">
        <f t="shared" si="0"/>
        <v>1.9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69.004999999999995</v>
      </c>
    </row>
    <row r="87" spans="1:4" ht="15" customHeight="1" x14ac:dyDescent="0.25">
      <c r="A87" s="33"/>
      <c r="B87" s="34" t="s">
        <v>95</v>
      </c>
      <c r="C87" s="32">
        <f>ROUND(C86+C18,4)</f>
        <v>11.0801</v>
      </c>
      <c r="D87" s="32">
        <f>ROUND(D86+D18,4)</f>
        <v>554.005</v>
      </c>
    </row>
    <row r="88" spans="1:4" ht="24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50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11.0801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F4733-A28E-472B-A23D-C8A5AF27AD3B}">
  <dimension ref="A1:E90"/>
  <sheetViews>
    <sheetView view="pageBreakPreview" topLeftCell="A75" zoomScale="60" zoomScaleNormal="100" workbookViewId="0">
      <selection activeCell="A5" sqref="A5:D5"/>
    </sheetView>
  </sheetViews>
  <sheetFormatPr defaultRowHeight="15" x14ac:dyDescent="0.25"/>
  <cols>
    <col min="1" max="1" width="10" style="84" customWidth="1"/>
    <col min="2" max="2" width="56.140625" style="84" customWidth="1"/>
    <col min="3" max="3" width="12.42578125" style="84" customWidth="1"/>
    <col min="4" max="4" width="15.710937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151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104</v>
      </c>
      <c r="B9" s="160"/>
      <c r="C9" s="13"/>
      <c r="D9" s="10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84" x14ac:dyDescent="0.25">
      <c r="A14" s="5"/>
      <c r="B14" s="81" t="s">
        <v>927</v>
      </c>
      <c r="C14" s="1">
        <v>4</v>
      </c>
      <c r="D14" s="1">
        <f>C14*700</f>
        <v>2800</v>
      </c>
    </row>
    <row r="15" spans="1:4" ht="24" x14ac:dyDescent="0.25">
      <c r="A15" s="5">
        <v>1200</v>
      </c>
      <c r="B15" s="4" t="s">
        <v>908</v>
      </c>
      <c r="C15" s="1">
        <f>ROUND(C14*0.2359,2)</f>
        <v>0.94</v>
      </c>
      <c r="D15" s="1">
        <f>C15*700</f>
        <v>658</v>
      </c>
    </row>
    <row r="16" spans="1:4" x14ac:dyDescent="0.25">
      <c r="A16" s="5">
        <v>2341</v>
      </c>
      <c r="B16" s="5" t="s">
        <v>97</v>
      </c>
      <c r="C16" s="39"/>
      <c r="D16" s="39"/>
    </row>
    <row r="17" spans="1:5" ht="98.25" customHeight="1" x14ac:dyDescent="0.25">
      <c r="A17" s="5"/>
      <c r="B17" s="23" t="s">
        <v>1593</v>
      </c>
      <c r="C17" s="1">
        <v>4.76</v>
      </c>
      <c r="D17" s="1">
        <f>C17*700</f>
        <v>3332</v>
      </c>
    </row>
    <row r="18" spans="1:5" x14ac:dyDescent="0.25">
      <c r="A18" s="62"/>
      <c r="B18" s="40" t="s">
        <v>87</v>
      </c>
      <c r="C18" s="32">
        <f>SUM(C13:C17)</f>
        <v>9.6999999999999993</v>
      </c>
      <c r="D18" s="32">
        <f>SUM(D13:D17)</f>
        <v>6790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805</v>
      </c>
      <c r="C21" s="24">
        <v>2.1000000000000001E-2</v>
      </c>
      <c r="D21" s="1">
        <f>C21*700</f>
        <v>14.700000000000001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806</v>
      </c>
      <c r="C23" s="24">
        <v>2.1000000000000001E-2</v>
      </c>
      <c r="D23" s="1">
        <f t="shared" ref="D23:D85" si="0">C23*700</f>
        <v>14.700000000000001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807</v>
      </c>
      <c r="C25" s="24">
        <v>5.1999999999999998E-2</v>
      </c>
      <c r="D25" s="1">
        <f t="shared" si="0"/>
        <v>36.4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808</v>
      </c>
      <c r="C27" s="24">
        <f>ROUND(38.69/9509,4)</f>
        <v>4.1000000000000003E-3</v>
      </c>
      <c r="D27" s="1">
        <f t="shared" si="0"/>
        <v>2.87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809</v>
      </c>
      <c r="C29" s="24">
        <v>9.4E-2</v>
      </c>
      <c r="D29" s="1">
        <f t="shared" si="0"/>
        <v>65.8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810</v>
      </c>
      <c r="C31" s="24">
        <v>1.4999999999999999E-2</v>
      </c>
      <c r="D31" s="1">
        <f t="shared" si="0"/>
        <v>10.5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811</v>
      </c>
      <c r="C33" s="24">
        <v>2.5999999999999999E-2</v>
      </c>
      <c r="D33" s="1">
        <f t="shared" si="0"/>
        <v>18.2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812</v>
      </c>
      <c r="C35" s="24">
        <v>7.0000000000000001E-3</v>
      </c>
      <c r="D35" s="1">
        <f t="shared" si="0"/>
        <v>4.9000000000000004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813</v>
      </c>
      <c r="C37" s="24">
        <v>0.01</v>
      </c>
      <c r="D37" s="1">
        <f t="shared" si="0"/>
        <v>7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814</v>
      </c>
      <c r="C39" s="24">
        <v>7.0000000000000001E-3</v>
      </c>
      <c r="D39" s="1">
        <f t="shared" si="0"/>
        <v>4.9000000000000004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815</v>
      </c>
      <c r="C41" s="24">
        <v>4.9000000000000002E-2</v>
      </c>
      <c r="D41" s="1">
        <f t="shared" si="0"/>
        <v>34.300000000000004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816</v>
      </c>
      <c r="C43" s="24">
        <v>6.0999999999999999E-2</v>
      </c>
      <c r="D43" s="1">
        <f t="shared" si="0"/>
        <v>42.699999999999996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817</v>
      </c>
      <c r="C45" s="24">
        <v>0.09</v>
      </c>
      <c r="D45" s="1">
        <f t="shared" si="0"/>
        <v>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818</v>
      </c>
      <c r="C47" s="24">
        <v>0.05</v>
      </c>
      <c r="D47" s="1">
        <f t="shared" si="0"/>
        <v>35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819</v>
      </c>
      <c r="C49" s="24">
        <v>6.9000000000000006E-2</v>
      </c>
      <c r="D49" s="1">
        <f t="shared" si="0"/>
        <v>48.300000000000004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820</v>
      </c>
      <c r="C51" s="24">
        <v>3.0000000000000001E-3</v>
      </c>
      <c r="D51" s="1">
        <f t="shared" si="0"/>
        <v>2.1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821</v>
      </c>
      <c r="C53" s="24">
        <v>2E-3</v>
      </c>
      <c r="D53" s="1">
        <f t="shared" si="0"/>
        <v>1.4000000000000001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822</v>
      </c>
      <c r="C55" s="24">
        <v>0.23699999999999999</v>
      </c>
      <c r="D55" s="1">
        <f t="shared" si="0"/>
        <v>165.9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965</v>
      </c>
      <c r="C57" s="24">
        <v>0.29599999999999999</v>
      </c>
      <c r="D57" s="1">
        <f t="shared" si="0"/>
        <v>207.2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966</v>
      </c>
      <c r="C59" s="24">
        <v>1E-3</v>
      </c>
      <c r="D59" s="1">
        <f t="shared" si="0"/>
        <v>0.70000000000000007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796</v>
      </c>
      <c r="C61" s="24">
        <v>2.5999999999999999E-2</v>
      </c>
      <c r="D61" s="1">
        <f t="shared" si="0"/>
        <v>18.2</v>
      </c>
    </row>
    <row r="62" spans="1:4" ht="14.25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797</v>
      </c>
      <c r="C63" s="24">
        <v>8.9999999999999993E-3</v>
      </c>
      <c r="D63" s="1">
        <f t="shared" si="0"/>
        <v>6.3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798</v>
      </c>
      <c r="C65" s="24">
        <v>1.0999999999999999E-2</v>
      </c>
      <c r="D65" s="1">
        <f t="shared" si="0"/>
        <v>7.6999999999999993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799</v>
      </c>
      <c r="C67" s="24">
        <v>2.3E-2</v>
      </c>
      <c r="D67" s="1">
        <f t="shared" si="0"/>
        <v>16.100000000000001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800</v>
      </c>
      <c r="C69" s="24">
        <v>2.1999999999999999E-2</v>
      </c>
      <c r="D69" s="1">
        <f t="shared" si="0"/>
        <v>15.399999999999999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801</v>
      </c>
      <c r="C71" s="30">
        <v>3.4000000000000002E-2</v>
      </c>
      <c r="D71" s="1">
        <f t="shared" si="0"/>
        <v>23.8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802</v>
      </c>
      <c r="C73" s="24">
        <v>2E-3</v>
      </c>
      <c r="D73" s="1">
        <f t="shared" si="0"/>
        <v>1.4000000000000001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803</v>
      </c>
      <c r="C75" s="24">
        <v>3.0000000000000001E-3</v>
      </c>
      <c r="D75" s="1">
        <f t="shared" si="0"/>
        <v>2.1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804</v>
      </c>
      <c r="C77" s="24">
        <v>1E-3</v>
      </c>
      <c r="D77" s="1">
        <f t="shared" si="0"/>
        <v>0.70000000000000007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795</v>
      </c>
      <c r="C79" s="24">
        <v>4.0000000000000001E-3</v>
      </c>
      <c r="D79" s="1">
        <f t="shared" si="0"/>
        <v>2.8000000000000003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57" customHeight="1" x14ac:dyDescent="0.25">
      <c r="A81" s="3"/>
      <c r="B81" s="4" t="s">
        <v>794</v>
      </c>
      <c r="C81" s="24">
        <v>7.0999999999999994E-2</v>
      </c>
      <c r="D81" s="1">
        <f t="shared" si="0"/>
        <v>49.699999999999996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793</v>
      </c>
      <c r="C83" s="24">
        <v>2.1000000000000001E-2</v>
      </c>
      <c r="D83" s="1">
        <f t="shared" si="0"/>
        <v>14.700000000000001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792</v>
      </c>
      <c r="C85" s="24">
        <v>3.7999999999999999E-2</v>
      </c>
      <c r="D85" s="1">
        <f t="shared" si="0"/>
        <v>26.599999999999998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966.07000000000028</v>
      </c>
    </row>
    <row r="87" spans="1:4" ht="15" customHeight="1" x14ac:dyDescent="0.25">
      <c r="A87" s="33"/>
      <c r="B87" s="34" t="s">
        <v>95</v>
      </c>
      <c r="C87" s="32">
        <f>ROUND(C86+C18,4)</f>
        <v>11.0801</v>
      </c>
      <c r="D87" s="32">
        <f>ROUND(D86+D18,4)</f>
        <v>7756.07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700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11.0801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5" orientation="portrait" r:id="rId1"/>
  <colBreaks count="1" manualBreakCount="1">
    <brk id="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7F42E-F893-4DAE-916A-4BEE213EF4EA}">
  <dimension ref="A1:E90"/>
  <sheetViews>
    <sheetView view="pageBreakPreview" topLeftCell="A69" zoomScale="60" zoomScaleNormal="100" workbookViewId="0">
      <selection activeCell="D87" sqref="D87"/>
    </sheetView>
  </sheetViews>
  <sheetFormatPr defaultRowHeight="15" x14ac:dyDescent="0.25"/>
  <cols>
    <col min="1" max="1" width="9.85546875" style="84" customWidth="1"/>
    <col min="2" max="2" width="56.7109375" style="84" customWidth="1"/>
    <col min="3" max="3" width="11.28515625" style="84" customWidth="1"/>
    <col min="4" max="4" width="13.28515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7.5" customHeight="1" x14ac:dyDescent="0.25">
      <c r="A4" s="6"/>
      <c r="B4" s="9"/>
      <c r="C4" s="9"/>
      <c r="D4" s="10"/>
    </row>
    <row r="5" spans="1:4" ht="28.5" customHeight="1" x14ac:dyDescent="0.25">
      <c r="A5" s="166" t="s">
        <v>152</v>
      </c>
      <c r="B5" s="166"/>
      <c r="C5" s="166"/>
      <c r="D5" s="166"/>
    </row>
    <row r="6" spans="1:4" ht="6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103</v>
      </c>
      <c r="B9" s="160"/>
      <c r="C9" s="13"/>
      <c r="D9" s="10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84" x14ac:dyDescent="0.25">
      <c r="A14" s="5"/>
      <c r="B14" s="81" t="s">
        <v>928</v>
      </c>
      <c r="C14" s="1">
        <v>4</v>
      </c>
      <c r="D14" s="1">
        <f>C14*20</f>
        <v>80</v>
      </c>
    </row>
    <row r="15" spans="1:4" ht="24" x14ac:dyDescent="0.25">
      <c r="A15" s="5">
        <v>1200</v>
      </c>
      <c r="B15" s="4" t="s">
        <v>908</v>
      </c>
      <c r="C15" s="1">
        <f>ROUND(C14*0.2359,2)</f>
        <v>0.94</v>
      </c>
      <c r="D15" s="1">
        <f t="shared" ref="D15:D17" si="0">C15*20</f>
        <v>18.799999999999997</v>
      </c>
    </row>
    <row r="16" spans="1:4" x14ac:dyDescent="0.25">
      <c r="A16" s="5">
        <v>2341</v>
      </c>
      <c r="B16" s="5" t="s">
        <v>116</v>
      </c>
      <c r="C16" s="39"/>
      <c r="D16" s="1"/>
    </row>
    <row r="17" spans="1:5" ht="96" x14ac:dyDescent="0.25">
      <c r="A17" s="5"/>
      <c r="B17" s="23" t="s">
        <v>929</v>
      </c>
      <c r="C17" s="1">
        <v>17.010000000000002</v>
      </c>
      <c r="D17" s="1">
        <f t="shared" si="0"/>
        <v>340.20000000000005</v>
      </c>
    </row>
    <row r="18" spans="1:5" x14ac:dyDescent="0.25">
      <c r="A18" s="5"/>
      <c r="B18" s="40" t="s">
        <v>87</v>
      </c>
      <c r="C18" s="32">
        <f>SUM(C13:C17)</f>
        <v>21.950000000000003</v>
      </c>
      <c r="D18" s="32">
        <f>SUM(D13:D17)</f>
        <v>439.00000000000006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23.330100000000002</v>
      </c>
      <c r="D87" s="32">
        <f>ROUND(D86+D18,4)</f>
        <v>466.60199999999998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23.330099999999998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9" orientation="portrait" r:id="rId1"/>
  <colBreaks count="1" manualBreakCount="1">
    <brk id="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3DE81-CDF2-43A7-9609-F0C8AB8CD980}">
  <dimension ref="A1:D90"/>
  <sheetViews>
    <sheetView view="pageBreakPreview" topLeftCell="A77" zoomScale="85" zoomScaleNormal="130" zoomScaleSheetLayoutView="85" workbookViewId="0">
      <selection activeCell="I14" sqref="I14"/>
    </sheetView>
  </sheetViews>
  <sheetFormatPr defaultRowHeight="15" x14ac:dyDescent="0.25"/>
  <cols>
    <col min="1" max="1" width="9.140625" style="84"/>
    <col min="2" max="2" width="61.5703125" style="84" customWidth="1"/>
    <col min="3" max="3" width="12.28515625" style="84" customWidth="1"/>
    <col min="4" max="4" width="16.425781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ht="25.9" customHeight="1" x14ac:dyDescent="0.25">
      <c r="A5" s="166" t="s">
        <v>153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103</v>
      </c>
      <c r="B9" s="160"/>
      <c r="C9" s="13"/>
      <c r="D9" s="10"/>
    </row>
    <row r="10" spans="1:4" ht="60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2" x14ac:dyDescent="0.25">
      <c r="A14" s="5"/>
      <c r="B14" s="81" t="s">
        <v>930</v>
      </c>
      <c r="C14" s="1">
        <v>4</v>
      </c>
      <c r="D14" s="1">
        <f>C14*20</f>
        <v>80</v>
      </c>
    </row>
    <row r="15" spans="1:4" ht="24" x14ac:dyDescent="0.25">
      <c r="A15" s="5">
        <v>1200</v>
      </c>
      <c r="B15" s="4" t="s">
        <v>908</v>
      </c>
      <c r="C15" s="1">
        <f>ROUND(C14*0.2359,2)</f>
        <v>0.94</v>
      </c>
      <c r="D15" s="1">
        <f t="shared" ref="D15:D17" si="0">C15*20</f>
        <v>18.799999999999997</v>
      </c>
    </row>
    <row r="16" spans="1:4" x14ac:dyDescent="0.25">
      <c r="A16" s="5">
        <v>2341</v>
      </c>
      <c r="B16" s="5" t="s">
        <v>97</v>
      </c>
      <c r="C16" s="39"/>
      <c r="D16" s="1"/>
    </row>
    <row r="17" spans="1:4" ht="85.9" customHeight="1" x14ac:dyDescent="0.25">
      <c r="A17" s="5"/>
      <c r="B17" s="23" t="s">
        <v>1592</v>
      </c>
      <c r="C17" s="1">
        <v>16.78</v>
      </c>
      <c r="D17" s="1">
        <f t="shared" si="0"/>
        <v>335.6</v>
      </c>
    </row>
    <row r="18" spans="1:4" x14ac:dyDescent="0.25">
      <c r="A18" s="5"/>
      <c r="B18" s="40" t="s">
        <v>87</v>
      </c>
      <c r="C18" s="32">
        <f>SUM(C13:C17)</f>
        <v>21.72</v>
      </c>
      <c r="D18" s="32">
        <f>SUM(D13:D17)</f>
        <v>434.40000000000003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x14ac:dyDescent="0.25">
      <c r="A87" s="33"/>
      <c r="B87" s="34" t="s">
        <v>95</v>
      </c>
      <c r="C87" s="32">
        <f>ROUND(C86+C18,4)</f>
        <v>23.100100000000001</v>
      </c>
      <c r="D87" s="32">
        <f>ROUND(D86+D18,4)</f>
        <v>462.00200000000001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19.5" customHeight="1" x14ac:dyDescent="0.25">
      <c r="A90" s="161" t="s">
        <v>112</v>
      </c>
      <c r="B90" s="162"/>
      <c r="C90" s="2">
        <f>D87/C89</f>
        <v>23.100100000000001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scale="75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870F6-FA4D-4249-957B-E41BDDDF8488}">
  <dimension ref="A1:F90"/>
  <sheetViews>
    <sheetView view="pageBreakPreview" zoomScale="60" zoomScaleNormal="85" workbookViewId="0">
      <selection activeCell="B17" sqref="B17"/>
    </sheetView>
  </sheetViews>
  <sheetFormatPr defaultRowHeight="15" x14ac:dyDescent="0.25"/>
  <cols>
    <col min="1" max="1" width="10" style="84" customWidth="1"/>
    <col min="2" max="2" width="58.85546875" style="84" customWidth="1"/>
    <col min="3" max="3" width="11.42578125" style="84" customWidth="1"/>
    <col min="4" max="4" width="12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ht="26.25" customHeight="1" x14ac:dyDescent="0.25">
      <c r="A5" s="166" t="s">
        <v>154</v>
      </c>
      <c r="B5" s="166"/>
      <c r="C5" s="166"/>
      <c r="D5" s="166"/>
    </row>
    <row r="6" spans="1:4" ht="8.2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7.5" customHeight="1" x14ac:dyDescent="0.25">
      <c r="A8" s="49"/>
      <c r="B8" s="79"/>
      <c r="C8" s="11"/>
      <c r="D8" s="10"/>
    </row>
    <row r="9" spans="1:4" x14ac:dyDescent="0.25">
      <c r="A9" s="160" t="s">
        <v>243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82.5" customHeight="1" x14ac:dyDescent="0.25">
      <c r="A14" s="5"/>
      <c r="B14" s="81" t="s">
        <v>931</v>
      </c>
      <c r="C14" s="1">
        <v>9</v>
      </c>
      <c r="D14" s="1">
        <f>C14*20</f>
        <v>180</v>
      </c>
    </row>
    <row r="15" spans="1:4" ht="24" x14ac:dyDescent="0.25">
      <c r="A15" s="5">
        <v>1200</v>
      </c>
      <c r="B15" s="23" t="s">
        <v>932</v>
      </c>
      <c r="C15" s="1">
        <f>ROUND(C14*0.2359,2)</f>
        <v>2.12</v>
      </c>
      <c r="D15" s="1">
        <f>C15*20</f>
        <v>42.400000000000006</v>
      </c>
    </row>
    <row r="16" spans="1:4" x14ac:dyDescent="0.25">
      <c r="A16" s="5">
        <v>2341</v>
      </c>
      <c r="B16" s="5" t="s">
        <v>116</v>
      </c>
      <c r="C16" s="39"/>
      <c r="D16" s="39"/>
    </row>
    <row r="17" spans="1:6" ht="99" customHeight="1" x14ac:dyDescent="0.25">
      <c r="A17" s="5"/>
      <c r="B17" s="23" t="s">
        <v>1591</v>
      </c>
      <c r="C17" s="1">
        <v>69.430000000000007</v>
      </c>
      <c r="D17" s="1">
        <f>C17*20</f>
        <v>1388.6000000000001</v>
      </c>
      <c r="E17" s="127"/>
      <c r="F17" s="105"/>
    </row>
    <row r="18" spans="1:6" ht="20.25" customHeight="1" x14ac:dyDescent="0.25">
      <c r="A18" s="5"/>
      <c r="B18" s="40" t="s">
        <v>87</v>
      </c>
      <c r="C18" s="32">
        <f>SUM(C13:C17)</f>
        <v>80.550000000000011</v>
      </c>
      <c r="D18" s="32">
        <f>SUM(D13:D17)</f>
        <v>1611.0000000000002</v>
      </c>
      <c r="E18" s="107"/>
    </row>
    <row r="19" spans="1:6" x14ac:dyDescent="0.25">
      <c r="A19" s="27"/>
      <c r="B19" s="103" t="s">
        <v>88</v>
      </c>
      <c r="C19" s="28"/>
      <c r="D19" s="28"/>
    </row>
    <row r="20" spans="1:6" x14ac:dyDescent="0.25">
      <c r="A20" s="3">
        <v>2100</v>
      </c>
      <c r="B20" s="69" t="s">
        <v>370</v>
      </c>
      <c r="C20" s="28"/>
      <c r="D20" s="28"/>
    </row>
    <row r="21" spans="1:6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6" x14ac:dyDescent="0.25">
      <c r="A22" s="3">
        <v>2210</v>
      </c>
      <c r="B22" s="4" t="s">
        <v>354</v>
      </c>
      <c r="C22" s="24"/>
      <c r="D22" s="1"/>
    </row>
    <row r="23" spans="1:6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6" x14ac:dyDescent="0.25">
      <c r="A24" s="3">
        <v>2221</v>
      </c>
      <c r="B24" s="4" t="s">
        <v>89</v>
      </c>
      <c r="C24" s="1"/>
      <c r="D24" s="1"/>
    </row>
    <row r="25" spans="1:6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6" x14ac:dyDescent="0.25">
      <c r="A26" s="3">
        <v>2222</v>
      </c>
      <c r="B26" s="67" t="s">
        <v>90</v>
      </c>
      <c r="C26" s="1"/>
      <c r="D26" s="1"/>
    </row>
    <row r="27" spans="1:6" ht="60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6" x14ac:dyDescent="0.25">
      <c r="A28" s="3">
        <v>2223</v>
      </c>
      <c r="B28" s="3" t="s">
        <v>91</v>
      </c>
      <c r="C28" s="24"/>
      <c r="D28" s="1"/>
    </row>
    <row r="29" spans="1:6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6" ht="24" x14ac:dyDescent="0.25">
      <c r="A30" s="3">
        <v>2224</v>
      </c>
      <c r="B30" s="4" t="s">
        <v>114</v>
      </c>
      <c r="C30" s="24"/>
      <c r="D30" s="1"/>
    </row>
    <row r="31" spans="1:6" ht="60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6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81.930099999999996</v>
      </c>
      <c r="D87" s="32">
        <f>ROUND(D86+D18,4)</f>
        <v>1638.6020000000001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81.93010000000001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4" orientation="portrait" r:id="rId1"/>
  <headerFooter>
    <oddFooter>&amp;C&amp;P</oddFooter>
  </headerFooter>
  <colBreaks count="1" manualBreakCount="1">
    <brk id="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84786-7632-4B2D-A4A4-391CA7484A03}">
  <dimension ref="A1:J90"/>
  <sheetViews>
    <sheetView view="pageBreakPreview" topLeftCell="A44" zoomScale="60" zoomScaleNormal="100" workbookViewId="0">
      <selection activeCell="D87" sqref="D87"/>
    </sheetView>
  </sheetViews>
  <sheetFormatPr defaultRowHeight="15" x14ac:dyDescent="0.25"/>
  <cols>
    <col min="1" max="1" width="9.5703125" style="84" customWidth="1"/>
    <col min="2" max="2" width="54.5703125" style="84" customWidth="1"/>
    <col min="3" max="3" width="14" style="84" customWidth="1"/>
    <col min="4" max="4" width="13.5703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11"/>
    </row>
    <row r="5" spans="1:4" ht="31.5" customHeight="1" x14ac:dyDescent="0.25">
      <c r="A5" s="166" t="s">
        <v>155</v>
      </c>
      <c r="B5" s="166"/>
      <c r="C5" s="166"/>
      <c r="D5" s="166"/>
    </row>
    <row r="6" spans="1:4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x14ac:dyDescent="0.25">
      <c r="A8" s="49"/>
      <c r="B8" s="79"/>
      <c r="C8" s="11"/>
      <c r="D8" s="11"/>
    </row>
    <row r="9" spans="1:4" x14ac:dyDescent="0.25">
      <c r="A9" s="170" t="s">
        <v>102</v>
      </c>
      <c r="B9" s="170"/>
      <c r="C9" s="48"/>
      <c r="D9" s="48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4" x14ac:dyDescent="0.25">
      <c r="A14" s="3"/>
      <c r="B14" s="81" t="s">
        <v>907</v>
      </c>
      <c r="C14" s="1">
        <v>4</v>
      </c>
      <c r="D14" s="1">
        <f>C14*100</f>
        <v>400</v>
      </c>
    </row>
    <row r="15" spans="1:4" ht="29.25" customHeight="1" x14ac:dyDescent="0.25">
      <c r="A15" s="3">
        <v>1200</v>
      </c>
      <c r="B15" s="4" t="s">
        <v>908</v>
      </c>
      <c r="C15" s="1">
        <f>ROUND(C14*0.2359,2)</f>
        <v>0.94</v>
      </c>
      <c r="D15" s="1">
        <f>C15*100</f>
        <v>94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10" ht="120" x14ac:dyDescent="0.25">
      <c r="A17" s="3"/>
      <c r="B17" s="4" t="s">
        <v>1590</v>
      </c>
      <c r="C17" s="1">
        <v>3.68</v>
      </c>
      <c r="D17" s="1">
        <f>C17*100</f>
        <v>368</v>
      </c>
      <c r="E17" s="105"/>
      <c r="F17" s="105"/>
      <c r="G17" s="105"/>
      <c r="H17" s="105"/>
      <c r="I17" s="105"/>
      <c r="J17" s="105"/>
    </row>
    <row r="18" spans="1:10" x14ac:dyDescent="0.25">
      <c r="A18" s="3"/>
      <c r="B18" s="40" t="s">
        <v>87</v>
      </c>
      <c r="C18" s="32">
        <f>SUM(C13:C17)</f>
        <v>8.6199999999999992</v>
      </c>
      <c r="D18" s="32">
        <f>SUM(D13:D17)</f>
        <v>862</v>
      </c>
      <c r="E18" s="107"/>
    </row>
    <row r="19" spans="1:10" x14ac:dyDescent="0.25">
      <c r="A19" s="27"/>
      <c r="B19" s="103" t="s">
        <v>88</v>
      </c>
      <c r="C19" s="28"/>
      <c r="D19" s="28"/>
    </row>
    <row r="20" spans="1:10" ht="16.5" customHeight="1" x14ac:dyDescent="0.25">
      <c r="A20" s="3">
        <v>2100</v>
      </c>
      <c r="B20" s="69" t="s">
        <v>370</v>
      </c>
      <c r="C20" s="28"/>
      <c r="D20" s="28"/>
    </row>
    <row r="21" spans="1:10" ht="60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10" x14ac:dyDescent="0.25">
      <c r="A22" s="3">
        <v>2210</v>
      </c>
      <c r="B22" s="4" t="s">
        <v>354</v>
      </c>
      <c r="C22" s="24"/>
      <c r="D22" s="1"/>
    </row>
    <row r="23" spans="1:10" ht="60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10" x14ac:dyDescent="0.25">
      <c r="A24" s="3">
        <v>2221</v>
      </c>
      <c r="B24" s="4" t="s">
        <v>89</v>
      </c>
      <c r="C24" s="1"/>
      <c r="D24" s="1"/>
    </row>
    <row r="25" spans="1:10" ht="60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10" x14ac:dyDescent="0.25">
      <c r="A26" s="3">
        <v>2222</v>
      </c>
      <c r="B26" s="67" t="s">
        <v>90</v>
      </c>
      <c r="C26" s="1"/>
      <c r="D26" s="1"/>
    </row>
    <row r="27" spans="1:10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10" x14ac:dyDescent="0.25">
      <c r="A28" s="3">
        <v>2223</v>
      </c>
      <c r="B28" s="3" t="s">
        <v>91</v>
      </c>
      <c r="C28" s="24"/>
      <c r="D28" s="1"/>
    </row>
    <row r="29" spans="1:10" ht="60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10" ht="29.25" customHeight="1" x14ac:dyDescent="0.25">
      <c r="A30" s="3">
        <v>2224</v>
      </c>
      <c r="B30" s="4" t="s">
        <v>114</v>
      </c>
      <c r="C30" s="24"/>
      <c r="D30" s="1"/>
    </row>
    <row r="31" spans="1:10" ht="60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10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967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957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ht="15" customHeight="1" x14ac:dyDescent="0.25">
      <c r="A87" s="33"/>
      <c r="B87" s="34" t="s">
        <v>95</v>
      </c>
      <c r="C87" s="32">
        <f>ROUND(C86+C18,4)</f>
        <v>10.0001</v>
      </c>
      <c r="D87" s="32">
        <f>ROUND(D86+D18,4)</f>
        <v>1000.01</v>
      </c>
    </row>
    <row r="88" spans="1:4" ht="27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10.0001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8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9DDDB-AB31-4536-9B86-E226A10ED70B}">
  <dimension ref="A1:I90"/>
  <sheetViews>
    <sheetView view="pageBreakPreview" topLeftCell="A15" zoomScale="60" zoomScaleNormal="100" workbookViewId="0">
      <selection activeCell="B17" sqref="B17"/>
    </sheetView>
  </sheetViews>
  <sheetFormatPr defaultRowHeight="15" x14ac:dyDescent="0.25"/>
  <cols>
    <col min="1" max="1" width="9.5703125" style="84" customWidth="1"/>
    <col min="2" max="2" width="56.140625" style="84" customWidth="1"/>
    <col min="3" max="3" width="15" style="84" customWidth="1"/>
    <col min="4" max="4" width="14.5703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36" customHeight="1" x14ac:dyDescent="0.25">
      <c r="A5" s="166" t="s">
        <v>156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79</v>
      </c>
      <c r="B9" s="170"/>
      <c r="C9" s="48"/>
      <c r="D9" s="44"/>
    </row>
    <row r="10" spans="1:4" ht="84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4" x14ac:dyDescent="0.25">
      <c r="A14" s="3"/>
      <c r="B14" s="81" t="s">
        <v>933</v>
      </c>
      <c r="C14" s="1">
        <v>6</v>
      </c>
      <c r="D14" s="1">
        <f>C14*200</f>
        <v>1200</v>
      </c>
    </row>
    <row r="15" spans="1:4" ht="24" x14ac:dyDescent="0.25">
      <c r="A15" s="3">
        <v>1200</v>
      </c>
      <c r="B15" s="4" t="s">
        <v>934</v>
      </c>
      <c r="C15" s="1">
        <f>ROUND(C14*0.2359,2)</f>
        <v>1.42</v>
      </c>
      <c r="D15" s="1">
        <f>C15*200</f>
        <v>284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9" ht="123" customHeight="1" x14ac:dyDescent="0.25">
      <c r="A17" s="3"/>
      <c r="B17" s="4" t="s">
        <v>1589</v>
      </c>
      <c r="C17" s="1">
        <v>17.239999999999998</v>
      </c>
      <c r="D17" s="1">
        <f>C17*200</f>
        <v>3447.9999999999995</v>
      </c>
      <c r="E17" s="105"/>
      <c r="G17" s="105"/>
      <c r="H17" s="105"/>
      <c r="I17" s="105"/>
    </row>
    <row r="18" spans="1:9" x14ac:dyDescent="0.25">
      <c r="A18" s="3"/>
      <c r="B18" s="40" t="s">
        <v>87</v>
      </c>
      <c r="C18" s="32">
        <f>SUM(C13:C17)</f>
        <v>24.659999999999997</v>
      </c>
      <c r="D18" s="32">
        <f>SUM(D13:D17)</f>
        <v>4932</v>
      </c>
      <c r="E18" s="107"/>
    </row>
    <row r="19" spans="1:9" x14ac:dyDescent="0.25">
      <c r="A19" s="27"/>
      <c r="B19" s="103" t="s">
        <v>88</v>
      </c>
      <c r="C19" s="28"/>
      <c r="D19" s="28"/>
    </row>
    <row r="20" spans="1:9" x14ac:dyDescent="0.25">
      <c r="A20" s="3">
        <v>2100</v>
      </c>
      <c r="B20" s="69" t="s">
        <v>370</v>
      </c>
      <c r="C20" s="28"/>
      <c r="D20" s="28"/>
    </row>
    <row r="21" spans="1:9" ht="60" x14ac:dyDescent="0.25">
      <c r="A21" s="27"/>
      <c r="B21" s="4" t="s">
        <v>729</v>
      </c>
      <c r="C21" s="24">
        <v>2.1000000000000001E-2</v>
      </c>
      <c r="D21" s="1">
        <f>C21*200</f>
        <v>4.2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60" x14ac:dyDescent="0.25">
      <c r="A23" s="3"/>
      <c r="B23" s="4" t="s">
        <v>730</v>
      </c>
      <c r="C23" s="24">
        <v>2.1000000000000001E-2</v>
      </c>
      <c r="D23" s="1">
        <f t="shared" ref="D23:D85" si="0">C23*200</f>
        <v>4.2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60" x14ac:dyDescent="0.25">
      <c r="A25" s="3"/>
      <c r="B25" s="4" t="s">
        <v>823</v>
      </c>
      <c r="C25" s="24">
        <v>5.1999999999999998E-2</v>
      </c>
      <c r="D25" s="1">
        <f t="shared" si="0"/>
        <v>10.4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60" x14ac:dyDescent="0.25">
      <c r="A27" s="3"/>
      <c r="B27" s="4" t="s">
        <v>824</v>
      </c>
      <c r="C27" s="24">
        <f>ROUND(38.69/9509,4)</f>
        <v>4.1000000000000003E-3</v>
      </c>
      <c r="D27" s="1">
        <f t="shared" si="0"/>
        <v>0.82000000000000006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60" x14ac:dyDescent="0.25">
      <c r="A29" s="3"/>
      <c r="B29" s="4" t="s">
        <v>825</v>
      </c>
      <c r="C29" s="24">
        <v>9.4E-2</v>
      </c>
      <c r="D29" s="1">
        <f t="shared" si="0"/>
        <v>18.8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60" x14ac:dyDescent="0.25">
      <c r="A31" s="3"/>
      <c r="B31" s="4" t="s">
        <v>734</v>
      </c>
      <c r="C31" s="24">
        <v>1.4999999999999999E-2</v>
      </c>
      <c r="D31" s="1">
        <f t="shared" si="0"/>
        <v>3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735</v>
      </c>
      <c r="C33" s="24">
        <v>2.5999999999999999E-2</v>
      </c>
      <c r="D33" s="1">
        <f t="shared" si="0"/>
        <v>5.2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736</v>
      </c>
      <c r="C35" s="24">
        <v>7.0000000000000001E-3</v>
      </c>
      <c r="D35" s="1">
        <f t="shared" si="0"/>
        <v>1.4000000000000001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737</v>
      </c>
      <c r="C37" s="24">
        <v>0.01</v>
      </c>
      <c r="D37" s="1">
        <f t="shared" si="0"/>
        <v>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738</v>
      </c>
      <c r="C39" s="24">
        <v>7.0000000000000001E-3</v>
      </c>
      <c r="D39" s="1">
        <f t="shared" si="0"/>
        <v>1.4000000000000001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739</v>
      </c>
      <c r="C41" s="24">
        <v>4.9000000000000002E-2</v>
      </c>
      <c r="D41" s="1">
        <f t="shared" si="0"/>
        <v>9.8000000000000007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740</v>
      </c>
      <c r="C43" s="24">
        <v>6.0999999999999999E-2</v>
      </c>
      <c r="D43" s="1">
        <f t="shared" si="0"/>
        <v>12.2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741</v>
      </c>
      <c r="C45" s="24">
        <v>0.09</v>
      </c>
      <c r="D45" s="1">
        <f t="shared" si="0"/>
        <v>18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742</v>
      </c>
      <c r="C47" s="24">
        <v>0.05</v>
      </c>
      <c r="D47" s="1">
        <f t="shared" si="0"/>
        <v>10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743</v>
      </c>
      <c r="C49" s="24">
        <v>6.9000000000000006E-2</v>
      </c>
      <c r="D49" s="1">
        <f t="shared" si="0"/>
        <v>13.8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744</v>
      </c>
      <c r="C51" s="24">
        <v>3.0000000000000001E-3</v>
      </c>
      <c r="D51" s="1">
        <f t="shared" si="0"/>
        <v>0.6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746</v>
      </c>
      <c r="C55" s="24">
        <v>0.23699999999999999</v>
      </c>
      <c r="D55" s="1">
        <f t="shared" si="0"/>
        <v>47.4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968</v>
      </c>
      <c r="C57" s="24">
        <v>0.29599999999999999</v>
      </c>
      <c r="D57" s="1">
        <f t="shared" si="0"/>
        <v>59.199999999999996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960</v>
      </c>
      <c r="C59" s="24">
        <v>1E-3</v>
      </c>
      <c r="D59" s="1">
        <f t="shared" si="0"/>
        <v>0.2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747</v>
      </c>
      <c r="C61" s="24">
        <v>2.5999999999999999E-2</v>
      </c>
      <c r="D61" s="1">
        <f t="shared" si="0"/>
        <v>5.2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748</v>
      </c>
      <c r="C63" s="24">
        <v>8.9999999999999993E-3</v>
      </c>
      <c r="D63" s="1">
        <f t="shared" si="0"/>
        <v>1.7999999999999998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749</v>
      </c>
      <c r="C65" s="24">
        <v>1.0999999999999999E-2</v>
      </c>
      <c r="D65" s="1">
        <f t="shared" si="0"/>
        <v>2.1999999999999997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1.5" customHeight="1" x14ac:dyDescent="0.25">
      <c r="A67" s="3"/>
      <c r="B67" s="4" t="s">
        <v>750</v>
      </c>
      <c r="C67" s="24">
        <v>2.3E-2</v>
      </c>
      <c r="D67" s="1">
        <f t="shared" si="0"/>
        <v>4.5999999999999996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759</v>
      </c>
      <c r="C69" s="24">
        <v>2.1999999999999999E-2</v>
      </c>
      <c r="D69" s="1">
        <f t="shared" si="0"/>
        <v>4.3999999999999995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751</v>
      </c>
      <c r="C71" s="30">
        <v>3.4000000000000002E-2</v>
      </c>
      <c r="D71" s="1">
        <f t="shared" si="0"/>
        <v>6.8000000000000007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752</v>
      </c>
      <c r="C73" s="24">
        <v>2E-3</v>
      </c>
      <c r="D73" s="1">
        <f t="shared" si="0"/>
        <v>0.4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4.5" customHeight="1" x14ac:dyDescent="0.25">
      <c r="A75" s="3"/>
      <c r="B75" s="4" t="s">
        <v>753</v>
      </c>
      <c r="C75" s="24">
        <v>3.0000000000000001E-3</v>
      </c>
      <c r="D75" s="1">
        <f t="shared" si="0"/>
        <v>0.6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754</v>
      </c>
      <c r="C77" s="24">
        <v>1E-3</v>
      </c>
      <c r="D77" s="1">
        <f t="shared" si="0"/>
        <v>0.2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755</v>
      </c>
      <c r="C79" s="24">
        <v>4.0000000000000001E-3</v>
      </c>
      <c r="D79" s="1">
        <f t="shared" si="0"/>
        <v>0.8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756</v>
      </c>
      <c r="C81" s="24">
        <v>7.0999999999999994E-2</v>
      </c>
      <c r="D81" s="1">
        <f t="shared" si="0"/>
        <v>14.2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2.25" customHeight="1" x14ac:dyDescent="0.25">
      <c r="A83" s="3"/>
      <c r="B83" s="4" t="s">
        <v>757</v>
      </c>
      <c r="C83" s="24">
        <v>2.1000000000000001E-2</v>
      </c>
      <c r="D83" s="1">
        <f t="shared" si="0"/>
        <v>4.2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826</v>
      </c>
      <c r="C85" s="24">
        <v>3.7999999999999999E-2</v>
      </c>
      <c r="D85" s="1">
        <f t="shared" si="0"/>
        <v>7.6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276.02</v>
      </c>
    </row>
    <row r="87" spans="1:4" ht="15" customHeight="1" x14ac:dyDescent="0.25">
      <c r="A87" s="33"/>
      <c r="B87" s="34" t="s">
        <v>95</v>
      </c>
      <c r="C87" s="32">
        <f>ROUND(C86+C18,4)</f>
        <v>26.040099999999999</v>
      </c>
      <c r="D87" s="32">
        <f>ROUND(D86+D18,4)</f>
        <v>5208.0200000000004</v>
      </c>
    </row>
    <row r="88" spans="1:4" ht="25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200</v>
      </c>
      <c r="D89" s="38"/>
    </row>
    <row r="90" spans="1:4" ht="18.75" customHeight="1" x14ac:dyDescent="0.25">
      <c r="A90" s="161" t="s">
        <v>112</v>
      </c>
      <c r="B90" s="162"/>
      <c r="C90" s="2">
        <f>D87/C89</f>
        <v>26.040100000000002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9F71-9C17-4E6D-89F6-F25806E8A191}">
  <dimension ref="A1:G90"/>
  <sheetViews>
    <sheetView view="pageBreakPreview" topLeftCell="A69" zoomScale="60" zoomScaleNormal="100" workbookViewId="0">
      <selection activeCell="B79" sqref="B79"/>
    </sheetView>
  </sheetViews>
  <sheetFormatPr defaultRowHeight="15" x14ac:dyDescent="0.25"/>
  <cols>
    <col min="1" max="1" width="9.140625" style="84"/>
    <col min="2" max="2" width="57.7109375" style="84" customWidth="1"/>
    <col min="3" max="3" width="11" style="84" customWidth="1"/>
    <col min="4" max="4" width="12.85546875" style="84" customWidth="1"/>
    <col min="5" max="5" width="20.85546875" style="84" customWidth="1"/>
    <col min="6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8.25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11.25" customHeight="1" x14ac:dyDescent="0.25">
      <c r="A4" s="45"/>
      <c r="B4" s="11"/>
      <c r="C4" s="11"/>
      <c r="D4" s="44"/>
    </row>
    <row r="5" spans="1:4" ht="26.25" customHeight="1" x14ac:dyDescent="0.25">
      <c r="A5" s="166" t="s">
        <v>157</v>
      </c>
      <c r="B5" s="166"/>
      <c r="C5" s="166"/>
      <c r="D5" s="166"/>
    </row>
    <row r="6" spans="1:4" ht="12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9.75" customHeight="1" x14ac:dyDescent="0.25">
      <c r="A8" s="49"/>
      <c r="B8" s="79"/>
      <c r="C8" s="11"/>
      <c r="D8" s="44"/>
    </row>
    <row r="9" spans="1:4" x14ac:dyDescent="0.25">
      <c r="A9" s="170" t="s">
        <v>102</v>
      </c>
      <c r="B9" s="170"/>
      <c r="C9" s="48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2" x14ac:dyDescent="0.25">
      <c r="A14" s="3"/>
      <c r="B14" s="81" t="s">
        <v>935</v>
      </c>
      <c r="C14" s="1">
        <v>6</v>
      </c>
      <c r="D14" s="1">
        <f>C14*100</f>
        <v>600</v>
      </c>
    </row>
    <row r="15" spans="1:4" ht="24" x14ac:dyDescent="0.25">
      <c r="A15" s="3">
        <v>1200</v>
      </c>
      <c r="B15" s="4" t="s">
        <v>934</v>
      </c>
      <c r="C15" s="1">
        <f>ROUND(C14*0.2359,2)</f>
        <v>1.42</v>
      </c>
      <c r="D15" s="1">
        <f>C15*100</f>
        <v>142</v>
      </c>
    </row>
    <row r="16" spans="1:4" x14ac:dyDescent="0.25">
      <c r="A16" s="3">
        <v>2341</v>
      </c>
      <c r="B16" s="3" t="s">
        <v>97</v>
      </c>
      <c r="C16" s="24"/>
      <c r="D16" s="24"/>
    </row>
    <row r="17" spans="1:7" ht="108" x14ac:dyDescent="0.25">
      <c r="A17" s="3"/>
      <c r="B17" s="4" t="s">
        <v>1658</v>
      </c>
      <c r="C17" s="1">
        <v>8.85</v>
      </c>
      <c r="D17" s="1">
        <f>C17*100</f>
        <v>885</v>
      </c>
      <c r="E17" s="105"/>
      <c r="F17" s="105"/>
      <c r="G17" s="105"/>
    </row>
    <row r="18" spans="1:7" x14ac:dyDescent="0.25">
      <c r="A18" s="3"/>
      <c r="B18" s="40" t="s">
        <v>87</v>
      </c>
      <c r="C18" s="32">
        <f>SUM(C13:C17)</f>
        <v>16.27</v>
      </c>
      <c r="D18" s="32">
        <f>SUM(D13:D17)</f>
        <v>1627</v>
      </c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967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957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>
        <f t="shared" si="0"/>
        <v>0</v>
      </c>
    </row>
    <row r="79" spans="1:4" ht="60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ht="15.75" customHeight="1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ht="15" customHeight="1" x14ac:dyDescent="0.25">
      <c r="A87" s="33"/>
      <c r="B87" s="34" t="s">
        <v>95</v>
      </c>
      <c r="C87" s="32">
        <f>ROUND(C86+C18,4)</f>
        <v>17.650099999999998</v>
      </c>
      <c r="D87" s="32">
        <f>ROUND(D86+D18,4)</f>
        <v>1765.01</v>
      </c>
    </row>
    <row r="88" spans="1:4" ht="27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100</v>
      </c>
      <c r="D89" s="38"/>
    </row>
    <row r="90" spans="1:4" ht="21" customHeight="1" x14ac:dyDescent="0.25">
      <c r="A90" s="161" t="s">
        <v>112</v>
      </c>
      <c r="B90" s="162"/>
      <c r="C90" s="2">
        <f>D87/C89</f>
        <v>17.650099999999998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44E1E-85C4-479A-9F56-160DD9829C32}">
  <dimension ref="A1:I90"/>
  <sheetViews>
    <sheetView view="pageBreakPreview" topLeftCell="A62" zoomScale="60" zoomScaleNormal="100" workbookViewId="0">
      <selection activeCell="C85" sqref="C85"/>
    </sheetView>
  </sheetViews>
  <sheetFormatPr defaultRowHeight="15" x14ac:dyDescent="0.25"/>
  <cols>
    <col min="1" max="1" width="10" style="84" customWidth="1"/>
    <col min="2" max="2" width="56.85546875" style="84" customWidth="1"/>
    <col min="3" max="3" width="12.85546875" style="84" customWidth="1"/>
    <col min="4" max="4" width="14.42578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13.5" customHeight="1" x14ac:dyDescent="0.25">
      <c r="A2" s="45"/>
      <c r="B2" s="45"/>
      <c r="C2" s="63"/>
      <c r="D2" s="63"/>
    </row>
    <row r="3" spans="1:4" x14ac:dyDescent="0.25">
      <c r="A3" s="46" t="s">
        <v>110</v>
      </c>
      <c r="B3" s="47"/>
      <c r="C3" s="47"/>
      <c r="D3" s="47"/>
    </row>
    <row r="4" spans="1:4" ht="12" customHeight="1" x14ac:dyDescent="0.25">
      <c r="A4" s="45"/>
      <c r="B4" s="11"/>
      <c r="C4" s="11"/>
      <c r="D4" s="11"/>
    </row>
    <row r="5" spans="1:4" ht="24.75" customHeight="1" x14ac:dyDescent="0.25">
      <c r="A5" s="166" t="s">
        <v>158</v>
      </c>
      <c r="B5" s="166"/>
      <c r="C5" s="166"/>
      <c r="D5" s="166"/>
    </row>
    <row r="6" spans="1:4" ht="12.75" customHeight="1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ht="9" customHeight="1" x14ac:dyDescent="0.25">
      <c r="A8" s="49"/>
      <c r="B8" s="79"/>
      <c r="C8" s="11"/>
      <c r="D8" s="11"/>
    </row>
    <row r="9" spans="1:4" x14ac:dyDescent="0.25">
      <c r="A9" s="170" t="s">
        <v>103</v>
      </c>
      <c r="B9" s="170"/>
      <c r="C9" s="48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19"/>
    </row>
    <row r="14" spans="1:4" ht="88.5" customHeight="1" x14ac:dyDescent="0.25">
      <c r="A14" s="3"/>
      <c r="B14" s="81" t="s">
        <v>936</v>
      </c>
      <c r="C14" s="1">
        <v>16</v>
      </c>
      <c r="D14" s="1">
        <f>C14*20</f>
        <v>320</v>
      </c>
    </row>
    <row r="15" spans="1:4" ht="24" x14ac:dyDescent="0.25">
      <c r="A15" s="3">
        <v>1200</v>
      </c>
      <c r="B15" s="4" t="s">
        <v>276</v>
      </c>
      <c r="C15" s="1">
        <f>ROUND(C14*0.2359,2)</f>
        <v>3.77</v>
      </c>
      <c r="D15" s="1">
        <f t="shared" ref="D15:D17" si="0">C15*20</f>
        <v>75.400000000000006</v>
      </c>
    </row>
    <row r="16" spans="1:4" x14ac:dyDescent="0.25">
      <c r="A16" s="3">
        <v>2341</v>
      </c>
      <c r="B16" s="3" t="s">
        <v>86</v>
      </c>
      <c r="C16" s="24"/>
      <c r="D16" s="1"/>
    </row>
    <row r="17" spans="1:9" ht="72" x14ac:dyDescent="0.25">
      <c r="A17" s="3"/>
      <c r="B17" s="4" t="s">
        <v>1588</v>
      </c>
      <c r="C17" s="1">
        <v>0.68</v>
      </c>
      <c r="D17" s="1">
        <f t="shared" si="0"/>
        <v>13.600000000000001</v>
      </c>
      <c r="E17" s="105"/>
      <c r="F17" s="105"/>
      <c r="G17" s="105"/>
      <c r="H17" s="105"/>
      <c r="I17" s="105"/>
    </row>
    <row r="18" spans="1:9" x14ac:dyDescent="0.25">
      <c r="A18" s="3"/>
      <c r="B18" s="40" t="s">
        <v>87</v>
      </c>
      <c r="C18" s="32">
        <f>SUM(C13:C17)</f>
        <v>20.45</v>
      </c>
      <c r="D18" s="32">
        <f>SUM(D13:D17)</f>
        <v>409</v>
      </c>
    </row>
    <row r="19" spans="1:9" x14ac:dyDescent="0.25">
      <c r="A19" s="27"/>
      <c r="B19" s="103" t="s">
        <v>88</v>
      </c>
      <c r="C19" s="28"/>
      <c r="D19" s="28"/>
    </row>
    <row r="20" spans="1:9" ht="15.75" customHeight="1" x14ac:dyDescent="0.25">
      <c r="A20" s="3">
        <v>2100</v>
      </c>
      <c r="B20" s="69" t="s">
        <v>370</v>
      </c>
      <c r="C20" s="28"/>
      <c r="D20" s="28"/>
    </row>
    <row r="21" spans="1:9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60" x14ac:dyDescent="0.25">
      <c r="A23" s="3"/>
      <c r="B23" s="4" t="s">
        <v>777</v>
      </c>
      <c r="C23" s="24">
        <v>2.1000000000000001E-2</v>
      </c>
      <c r="D23" s="1">
        <f t="shared" ref="D23:D83" si="1">C23*20</f>
        <v>0.42000000000000004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60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60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969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ht="16.5" customHeight="1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1.5" customHeight="1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59.25" customHeight="1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>C85*20</f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21.830100000000002</v>
      </c>
      <c r="D87" s="32">
        <f>ROUND(D86+D18,4)</f>
        <v>436.60199999999998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0.25" customHeight="1" x14ac:dyDescent="0.25">
      <c r="A90" s="161" t="s">
        <v>112</v>
      </c>
      <c r="B90" s="162"/>
      <c r="C90" s="2">
        <f>D87/C89</f>
        <v>21.830099999999998</v>
      </c>
      <c r="D90" s="38"/>
    </row>
  </sheetData>
  <mergeCells count="6">
    <mergeCell ref="A89:B89"/>
    <mergeCell ref="A90:B90"/>
    <mergeCell ref="A1:D1"/>
    <mergeCell ref="A5:D5"/>
    <mergeCell ref="A7:B7"/>
    <mergeCell ref="A9:B9"/>
  </mergeCells>
  <pageMargins left="0.7" right="0.7" top="0.75" bottom="0.75" header="0.3" footer="0.3"/>
  <pageSetup scale="96" orientation="portrait" r:id="rId1"/>
  <colBreaks count="1" manualBreakCount="1">
    <brk id="4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3D4D2-8E1F-47EB-9CF3-F56E7A8872E4}">
  <dimension ref="A1:D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9.5703125" style="84" customWidth="1"/>
    <col min="2" max="2" width="57.28515625" style="84" customWidth="1"/>
    <col min="3" max="3" width="11" style="84" customWidth="1"/>
    <col min="4" max="4" width="13.5703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11.25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10.5" customHeight="1" x14ac:dyDescent="0.25">
      <c r="A4" s="45"/>
      <c r="B4" s="11"/>
      <c r="C4" s="11"/>
      <c r="D4" s="44"/>
    </row>
    <row r="5" spans="1:4" ht="28.5" customHeight="1" x14ac:dyDescent="0.25">
      <c r="A5" s="166" t="s">
        <v>159</v>
      </c>
      <c r="B5" s="166"/>
      <c r="C5" s="166"/>
      <c r="D5" s="166"/>
    </row>
    <row r="6" spans="1:4" ht="12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11.25" customHeight="1" x14ac:dyDescent="0.25">
      <c r="A8" s="49"/>
      <c r="B8" s="79"/>
      <c r="C8" s="11"/>
      <c r="D8" s="44"/>
    </row>
    <row r="9" spans="1:4" x14ac:dyDescent="0.25">
      <c r="A9" s="170" t="s">
        <v>123</v>
      </c>
      <c r="B9" s="170"/>
      <c r="C9" s="48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2" x14ac:dyDescent="0.25">
      <c r="A14" s="3"/>
      <c r="B14" s="81" t="s">
        <v>917</v>
      </c>
      <c r="C14" s="1">
        <v>3</v>
      </c>
      <c r="D14" s="1">
        <f>C14*80</f>
        <v>240</v>
      </c>
    </row>
    <row r="15" spans="1:4" ht="24" x14ac:dyDescent="0.25">
      <c r="A15" s="3">
        <v>1200</v>
      </c>
      <c r="B15" s="4" t="s">
        <v>916</v>
      </c>
      <c r="C15" s="1">
        <f>ROUND(C14*0.2359,2)</f>
        <v>0.71</v>
      </c>
      <c r="D15" s="1">
        <f>C15*80</f>
        <v>56.8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4" ht="96" x14ac:dyDescent="0.25">
      <c r="A17" s="3"/>
      <c r="B17" s="4" t="s">
        <v>1587</v>
      </c>
      <c r="C17" s="1">
        <v>29.44</v>
      </c>
      <c r="D17" s="1">
        <f>C17*80</f>
        <v>2355.2000000000003</v>
      </c>
    </row>
    <row r="18" spans="1:4" x14ac:dyDescent="0.25">
      <c r="A18" s="3"/>
      <c r="B18" s="40" t="s">
        <v>87</v>
      </c>
      <c r="C18" s="32">
        <f>SUM(C13:C17)</f>
        <v>33.15</v>
      </c>
      <c r="D18" s="32">
        <f>SUM(D13:D17)</f>
        <v>2652.0000000000005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2.25" customHeight="1" x14ac:dyDescent="0.25">
      <c r="A21" s="27"/>
      <c r="B21" s="4" t="s">
        <v>827</v>
      </c>
      <c r="C21" s="24">
        <v>2.1000000000000001E-2</v>
      </c>
      <c r="D21" s="1">
        <f>C21*80</f>
        <v>1.6800000000000002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828</v>
      </c>
      <c r="C23" s="24">
        <v>2.1000000000000001E-2</v>
      </c>
      <c r="D23" s="1">
        <f t="shared" ref="D23:D85" si="0">C23*80</f>
        <v>1.6800000000000002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829</v>
      </c>
      <c r="C25" s="24">
        <v>5.1999999999999998E-2</v>
      </c>
      <c r="D25" s="1">
        <f t="shared" si="0"/>
        <v>4.16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830</v>
      </c>
      <c r="C27" s="24">
        <f>ROUND(38.69/9509,4)</f>
        <v>4.1000000000000003E-3</v>
      </c>
      <c r="D27" s="1">
        <f t="shared" si="0"/>
        <v>0.32800000000000001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831</v>
      </c>
      <c r="C29" s="24">
        <v>9.4E-2</v>
      </c>
      <c r="D29" s="1">
        <f t="shared" si="0"/>
        <v>7.52</v>
      </c>
    </row>
    <row r="30" spans="1:4" ht="27" customHeight="1" x14ac:dyDescent="0.25">
      <c r="A30" s="3">
        <v>2224</v>
      </c>
      <c r="B30" s="4" t="s">
        <v>114</v>
      </c>
      <c r="C30" s="24"/>
      <c r="D30" s="1"/>
    </row>
    <row r="31" spans="1:4" ht="54.75" customHeight="1" x14ac:dyDescent="0.25">
      <c r="A31" s="3"/>
      <c r="B31" s="4" t="s">
        <v>832</v>
      </c>
      <c r="C31" s="24">
        <v>1.4999999999999999E-2</v>
      </c>
      <c r="D31" s="1">
        <f t="shared" si="0"/>
        <v>1.2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833</v>
      </c>
      <c r="C33" s="24">
        <v>2.5999999999999999E-2</v>
      </c>
      <c r="D33" s="1">
        <f t="shared" si="0"/>
        <v>2.08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6" customHeight="1" x14ac:dyDescent="0.25">
      <c r="A35" s="3"/>
      <c r="B35" s="4" t="s">
        <v>834</v>
      </c>
      <c r="C35" s="24">
        <v>7.0000000000000001E-3</v>
      </c>
      <c r="D35" s="1">
        <f t="shared" si="0"/>
        <v>0.56000000000000005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835</v>
      </c>
      <c r="C37" s="24">
        <v>0.01</v>
      </c>
      <c r="D37" s="1">
        <f t="shared" si="0"/>
        <v>0.8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836</v>
      </c>
      <c r="C39" s="24">
        <v>7.0000000000000001E-3</v>
      </c>
      <c r="D39" s="1">
        <f t="shared" si="0"/>
        <v>0.56000000000000005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837</v>
      </c>
      <c r="C41" s="24">
        <v>4.9000000000000002E-2</v>
      </c>
      <c r="D41" s="1">
        <f t="shared" si="0"/>
        <v>3.92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838</v>
      </c>
      <c r="C43" s="24">
        <v>6.0999999999999999E-2</v>
      </c>
      <c r="D43" s="1">
        <f t="shared" si="0"/>
        <v>4.88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839</v>
      </c>
      <c r="C45" s="24">
        <v>0.09</v>
      </c>
      <c r="D45" s="1">
        <f t="shared" si="0"/>
        <v>7.1999999999999993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840</v>
      </c>
      <c r="C47" s="24">
        <v>0.05</v>
      </c>
      <c r="D47" s="1">
        <f t="shared" si="0"/>
        <v>4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841</v>
      </c>
      <c r="C49" s="24">
        <v>6.9000000000000006E-2</v>
      </c>
      <c r="D49" s="1">
        <f t="shared" si="0"/>
        <v>5.5200000000000005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842</v>
      </c>
      <c r="C51" s="24">
        <v>3.0000000000000001E-3</v>
      </c>
      <c r="D51" s="1">
        <f t="shared" si="0"/>
        <v>0.24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843</v>
      </c>
      <c r="C53" s="24">
        <v>2E-3</v>
      </c>
      <c r="D53" s="1">
        <f t="shared" si="0"/>
        <v>0.16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845</v>
      </c>
      <c r="C55" s="24">
        <v>0.23699999999999999</v>
      </c>
      <c r="D55" s="1">
        <f t="shared" si="0"/>
        <v>18.96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970</v>
      </c>
      <c r="C57" s="24">
        <v>0.29599999999999999</v>
      </c>
      <c r="D57" s="1">
        <f t="shared" si="0"/>
        <v>23.68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971</v>
      </c>
      <c r="C59" s="24">
        <v>1E-3</v>
      </c>
      <c r="D59" s="1">
        <f t="shared" si="0"/>
        <v>0.08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846</v>
      </c>
      <c r="C61" s="24">
        <v>2.5999999999999999E-2</v>
      </c>
      <c r="D61" s="1">
        <f t="shared" si="0"/>
        <v>2.08</v>
      </c>
    </row>
    <row r="62" spans="1:4" ht="23.25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847</v>
      </c>
      <c r="C63" s="24">
        <v>8.9999999999999993E-3</v>
      </c>
      <c r="D63" s="1">
        <f t="shared" si="0"/>
        <v>0.72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848</v>
      </c>
      <c r="C65" s="24">
        <v>1.0999999999999999E-2</v>
      </c>
      <c r="D65" s="1">
        <f t="shared" si="0"/>
        <v>0.87999999999999989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849</v>
      </c>
      <c r="C67" s="24">
        <v>2.3E-2</v>
      </c>
      <c r="D67" s="1">
        <f t="shared" si="0"/>
        <v>1.8399999999999999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850</v>
      </c>
      <c r="C69" s="24">
        <v>2.1999999999999999E-2</v>
      </c>
      <c r="D69" s="1">
        <f t="shared" si="0"/>
        <v>1.7599999999999998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851</v>
      </c>
      <c r="C71" s="30">
        <v>3.4000000000000002E-2</v>
      </c>
      <c r="D71" s="1">
        <f t="shared" si="0"/>
        <v>2.72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852</v>
      </c>
      <c r="C73" s="24">
        <v>2E-3</v>
      </c>
      <c r="D73" s="1">
        <f t="shared" si="0"/>
        <v>0.16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853</v>
      </c>
      <c r="C75" s="24">
        <v>3.0000000000000001E-3</v>
      </c>
      <c r="D75" s="1">
        <f t="shared" si="0"/>
        <v>0.24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854</v>
      </c>
      <c r="C77" s="24">
        <v>1E-3</v>
      </c>
      <c r="D77" s="1">
        <f t="shared" si="0"/>
        <v>0.08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855</v>
      </c>
      <c r="C79" s="24">
        <v>4.0000000000000001E-3</v>
      </c>
      <c r="D79" s="1">
        <f t="shared" si="0"/>
        <v>0.32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856</v>
      </c>
      <c r="C81" s="24">
        <v>7.0999999999999994E-2</v>
      </c>
      <c r="D81" s="1">
        <f t="shared" si="0"/>
        <v>5.68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2.25" customHeight="1" x14ac:dyDescent="0.25">
      <c r="A83" s="3"/>
      <c r="B83" s="4" t="s">
        <v>857</v>
      </c>
      <c r="C83" s="24">
        <v>2.1000000000000001E-2</v>
      </c>
      <c r="D83" s="1">
        <f t="shared" si="0"/>
        <v>1.6800000000000002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858</v>
      </c>
      <c r="C85" s="24">
        <v>3.7999999999999999E-2</v>
      </c>
      <c r="D85" s="1">
        <f t="shared" si="0"/>
        <v>3.04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110.408</v>
      </c>
    </row>
    <row r="87" spans="1:4" ht="15" customHeight="1" x14ac:dyDescent="0.25">
      <c r="A87" s="33"/>
      <c r="B87" s="34" t="s">
        <v>95</v>
      </c>
      <c r="C87" s="32">
        <f>ROUND(C86+C18,4)</f>
        <v>34.530099999999997</v>
      </c>
      <c r="D87" s="32">
        <f>ROUND(D86+D18,4)</f>
        <v>2762.4079999999999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80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34.530099999999997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8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04C65-3519-471D-A498-4310365E6851}">
  <dimension ref="A1:I90"/>
  <sheetViews>
    <sheetView view="pageBreakPreview" topLeftCell="A49" zoomScale="60" zoomScaleNormal="85" workbookViewId="0">
      <selection activeCell="I14" sqref="I14"/>
    </sheetView>
  </sheetViews>
  <sheetFormatPr defaultRowHeight="15" x14ac:dyDescent="0.25"/>
  <cols>
    <col min="1" max="1" width="9.5703125" style="84" customWidth="1"/>
    <col min="2" max="2" width="55.28515625" style="84" customWidth="1"/>
    <col min="3" max="3" width="11" style="84" customWidth="1"/>
    <col min="4" max="4" width="14.8554687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x14ac:dyDescent="0.25">
      <c r="A5" s="166" t="s">
        <v>160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974</v>
      </c>
      <c r="B9" s="170"/>
      <c r="C9" s="11"/>
      <c r="D9" s="44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4" x14ac:dyDescent="0.25">
      <c r="A14" s="3"/>
      <c r="B14" s="81" t="s">
        <v>975</v>
      </c>
      <c r="C14" s="1">
        <v>6</v>
      </c>
      <c r="D14" s="1">
        <f>C14*7</f>
        <v>42</v>
      </c>
    </row>
    <row r="15" spans="1:4" ht="24" x14ac:dyDescent="0.25">
      <c r="A15" s="3">
        <v>1200</v>
      </c>
      <c r="B15" s="4" t="s">
        <v>934</v>
      </c>
      <c r="C15" s="1">
        <f>ROUND(C14*0.2359,2)</f>
        <v>1.42</v>
      </c>
      <c r="D15" s="1">
        <f t="shared" ref="D15:D17" si="0">C15*7</f>
        <v>9.94</v>
      </c>
    </row>
    <row r="16" spans="1:4" x14ac:dyDescent="0.25">
      <c r="A16" s="3">
        <v>2341</v>
      </c>
      <c r="B16" s="3" t="s">
        <v>97</v>
      </c>
      <c r="C16" s="24"/>
      <c r="D16" s="1"/>
    </row>
    <row r="17" spans="1:9" ht="84" x14ac:dyDescent="0.25">
      <c r="A17" s="3"/>
      <c r="B17" s="4" t="s">
        <v>1586</v>
      </c>
      <c r="C17" s="1">
        <v>2.2999999999999998</v>
      </c>
      <c r="D17" s="1">
        <f t="shared" si="0"/>
        <v>16.099999999999998</v>
      </c>
      <c r="E17" s="105"/>
      <c r="F17" s="105"/>
      <c r="G17" s="105"/>
      <c r="H17" s="105"/>
      <c r="I17" s="105"/>
    </row>
    <row r="18" spans="1:9" x14ac:dyDescent="0.25">
      <c r="A18" s="34"/>
      <c r="B18" s="40" t="s">
        <v>87</v>
      </c>
      <c r="C18" s="32">
        <f>SUM(C13:C17)</f>
        <v>9.7199999999999989</v>
      </c>
      <c r="D18" s="32">
        <f>SUM(D13:D17)</f>
        <v>68.039999999999992</v>
      </c>
      <c r="E18" s="107"/>
    </row>
    <row r="19" spans="1:9" x14ac:dyDescent="0.25">
      <c r="A19" s="27"/>
      <c r="B19" s="103" t="s">
        <v>88</v>
      </c>
      <c r="C19" s="28"/>
      <c r="D19" s="28"/>
    </row>
    <row r="20" spans="1:9" x14ac:dyDescent="0.25">
      <c r="A20" s="3">
        <v>2100</v>
      </c>
      <c r="B20" s="69" t="s">
        <v>370</v>
      </c>
      <c r="C20" s="28"/>
      <c r="D20" s="28"/>
    </row>
    <row r="21" spans="1:9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ht="18.75" customHeight="1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11.100099999999999</v>
      </c>
      <c r="D87" s="32">
        <f>ROUND(D86+D18,3)</f>
        <v>77.700999999999993</v>
      </c>
    </row>
    <row r="88" spans="1:4" ht="30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11.100142857142856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007E0-6832-4D74-9A73-28DFCFEB00AF}">
  <dimension ref="A1:I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5703125" style="84" customWidth="1"/>
    <col min="2" max="2" width="56.7109375" style="84" customWidth="1"/>
    <col min="3" max="3" width="11.42578125" style="84" customWidth="1"/>
    <col min="4" max="4" width="12.42578125" style="84" customWidth="1"/>
    <col min="5" max="8" width="9.140625" style="84"/>
    <col min="9" max="9" width="9.5703125" style="84" customWidth="1"/>
    <col min="10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x14ac:dyDescent="0.25">
      <c r="A5" s="166" t="s">
        <v>161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109</v>
      </c>
      <c r="B9" s="170"/>
      <c r="C9" s="11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9.25" customHeight="1" x14ac:dyDescent="0.25">
      <c r="A14" s="3"/>
      <c r="B14" s="81" t="s">
        <v>978</v>
      </c>
      <c r="C14" s="1">
        <v>22</v>
      </c>
      <c r="D14" s="1">
        <f>C14*7</f>
        <v>154</v>
      </c>
    </row>
    <row r="15" spans="1:4" ht="24" x14ac:dyDescent="0.25">
      <c r="A15" s="3">
        <v>1200</v>
      </c>
      <c r="B15" s="4" t="s">
        <v>979</v>
      </c>
      <c r="C15" s="1">
        <f>ROUND(C14*0.2359,2)</f>
        <v>5.19</v>
      </c>
      <c r="D15" s="1">
        <f t="shared" ref="D15:D17" si="0">C15*7</f>
        <v>36.330000000000005</v>
      </c>
    </row>
    <row r="16" spans="1:4" x14ac:dyDescent="0.25">
      <c r="A16" s="3">
        <v>2341</v>
      </c>
      <c r="B16" s="3" t="s">
        <v>97</v>
      </c>
      <c r="C16" s="24"/>
      <c r="D16" s="1"/>
    </row>
    <row r="17" spans="1:9" ht="99.75" customHeight="1" x14ac:dyDescent="0.25">
      <c r="A17" s="3"/>
      <c r="B17" s="4" t="s">
        <v>1585</v>
      </c>
      <c r="C17" s="1">
        <v>7.42</v>
      </c>
      <c r="D17" s="1">
        <f t="shared" si="0"/>
        <v>51.94</v>
      </c>
      <c r="E17" s="105"/>
      <c r="F17" s="105"/>
      <c r="G17" s="105"/>
      <c r="H17" s="105"/>
      <c r="I17" s="105"/>
    </row>
    <row r="18" spans="1:9" x14ac:dyDescent="0.25">
      <c r="A18" s="34"/>
      <c r="B18" s="40" t="s">
        <v>87</v>
      </c>
      <c r="C18" s="32">
        <f>SUM(C13:C17)</f>
        <v>34.61</v>
      </c>
      <c r="D18" s="32">
        <f>SUM(D13:D17)</f>
        <v>242.27</v>
      </c>
      <c r="E18" s="107"/>
    </row>
    <row r="19" spans="1:9" x14ac:dyDescent="0.25">
      <c r="A19" s="27"/>
      <c r="B19" s="103" t="s">
        <v>88</v>
      </c>
      <c r="C19" s="28"/>
      <c r="D19" s="28"/>
    </row>
    <row r="20" spans="1:9" x14ac:dyDescent="0.25">
      <c r="A20" s="3">
        <v>2100</v>
      </c>
      <c r="B20" s="69" t="s">
        <v>370</v>
      </c>
      <c r="C20" s="28"/>
      <c r="D20" s="28"/>
    </row>
    <row r="21" spans="1:9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ht="22.5" customHeight="1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35.990099999999998</v>
      </c>
      <c r="D87" s="32">
        <f>ROUND(D86+D18,3)</f>
        <v>251.93100000000001</v>
      </c>
    </row>
    <row r="88" spans="1:4" ht="30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35.990142857142857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FA3CB-0BE8-4F3C-85AA-9537DE15DD57}">
  <dimension ref="A1:H90"/>
  <sheetViews>
    <sheetView view="pageBreakPreview" topLeftCell="A31" zoomScale="60" zoomScaleNormal="100" workbookViewId="0">
      <selection activeCell="I14" sqref="I14"/>
    </sheetView>
  </sheetViews>
  <sheetFormatPr defaultRowHeight="15" x14ac:dyDescent="0.25"/>
  <cols>
    <col min="1" max="1" width="9.7109375" style="84" customWidth="1"/>
    <col min="2" max="2" width="56" style="84" customWidth="1"/>
    <col min="3" max="3" width="11" style="84" customWidth="1"/>
    <col min="4" max="4" width="13.710937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12.75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11.25" customHeight="1" x14ac:dyDescent="0.25">
      <c r="A4" s="45"/>
      <c r="B4" s="11"/>
      <c r="C4" s="11"/>
      <c r="D4" s="44"/>
    </row>
    <row r="5" spans="1:4" ht="27.75" customHeight="1" x14ac:dyDescent="0.25">
      <c r="A5" s="166" t="s">
        <v>163</v>
      </c>
      <c r="B5" s="166"/>
      <c r="C5" s="166"/>
      <c r="D5" s="166"/>
    </row>
    <row r="6" spans="1:4" ht="10.5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12" customHeight="1" x14ac:dyDescent="0.25">
      <c r="A8" s="49"/>
      <c r="B8" s="79"/>
      <c r="C8" s="11"/>
      <c r="D8" s="44"/>
    </row>
    <row r="9" spans="1:4" x14ac:dyDescent="0.25">
      <c r="A9" s="170" t="s">
        <v>164</v>
      </c>
      <c r="B9" s="170"/>
      <c r="C9" s="11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7" customHeight="1" x14ac:dyDescent="0.25">
      <c r="A14" s="3"/>
      <c r="B14" s="81" t="s">
        <v>980</v>
      </c>
      <c r="C14" s="1">
        <v>39</v>
      </c>
      <c r="D14" s="1">
        <f>C14*7</f>
        <v>273</v>
      </c>
    </row>
    <row r="15" spans="1:4" ht="24" x14ac:dyDescent="0.25">
      <c r="A15" s="3">
        <v>1200</v>
      </c>
      <c r="B15" s="4" t="s">
        <v>981</v>
      </c>
      <c r="C15" s="1">
        <f>ROUND(C14*0.2359,2)</f>
        <v>9.1999999999999993</v>
      </c>
      <c r="D15" s="1">
        <f t="shared" ref="D15:D17" si="0">C15*7</f>
        <v>64.399999999999991</v>
      </c>
    </row>
    <row r="16" spans="1:4" x14ac:dyDescent="0.25">
      <c r="A16" s="3">
        <v>2341</v>
      </c>
      <c r="B16" s="3" t="s">
        <v>86</v>
      </c>
      <c r="C16" s="24"/>
      <c r="D16" s="1"/>
    </row>
    <row r="17" spans="1:8" ht="96" x14ac:dyDescent="0.25">
      <c r="A17" s="3"/>
      <c r="B17" s="4" t="s">
        <v>1584</v>
      </c>
      <c r="C17" s="1">
        <v>30.59</v>
      </c>
      <c r="D17" s="1">
        <f t="shared" si="0"/>
        <v>214.13</v>
      </c>
      <c r="E17" s="105"/>
      <c r="F17" s="105"/>
      <c r="G17" s="105"/>
      <c r="H17" s="105"/>
    </row>
    <row r="18" spans="1:8" x14ac:dyDescent="0.25">
      <c r="A18" s="3"/>
      <c r="B18" s="40" t="s">
        <v>87</v>
      </c>
      <c r="C18" s="32">
        <f>SUM(C13:C17)</f>
        <v>78.790000000000006</v>
      </c>
      <c r="D18" s="32">
        <f>SUM(D13:D17)</f>
        <v>551.53</v>
      </c>
    </row>
    <row r="19" spans="1:8" x14ac:dyDescent="0.25">
      <c r="A19" s="27"/>
      <c r="B19" s="103" t="s">
        <v>88</v>
      </c>
      <c r="C19" s="28"/>
      <c r="D19" s="28"/>
    </row>
    <row r="20" spans="1:8" x14ac:dyDescent="0.25">
      <c r="A20" s="3">
        <v>2100</v>
      </c>
      <c r="B20" s="69" t="s">
        <v>370</v>
      </c>
      <c r="C20" s="28"/>
      <c r="D20" s="28"/>
    </row>
    <row r="21" spans="1:8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8" x14ac:dyDescent="0.25">
      <c r="A22" s="3">
        <v>2210</v>
      </c>
      <c r="B22" s="4" t="s">
        <v>354</v>
      </c>
      <c r="C22" s="24"/>
      <c r="D22" s="1"/>
    </row>
    <row r="23" spans="1:8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8" x14ac:dyDescent="0.25">
      <c r="A24" s="3">
        <v>2221</v>
      </c>
      <c r="B24" s="4" t="s">
        <v>89</v>
      </c>
      <c r="C24" s="1"/>
      <c r="D24" s="1"/>
    </row>
    <row r="25" spans="1:8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8" x14ac:dyDescent="0.25">
      <c r="A26" s="3">
        <v>2222</v>
      </c>
      <c r="B26" s="67" t="s">
        <v>90</v>
      </c>
      <c r="C26" s="1"/>
      <c r="D26" s="1"/>
    </row>
    <row r="27" spans="1:8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8" x14ac:dyDescent="0.25">
      <c r="A28" s="3">
        <v>2223</v>
      </c>
      <c r="B28" s="3" t="s">
        <v>91</v>
      </c>
      <c r="C28" s="24"/>
      <c r="D28" s="1"/>
    </row>
    <row r="29" spans="1:8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8" ht="24" x14ac:dyDescent="0.25">
      <c r="A30" s="3">
        <v>2224</v>
      </c>
      <c r="B30" s="4" t="s">
        <v>114</v>
      </c>
      <c r="C30" s="24"/>
      <c r="D30" s="1"/>
    </row>
    <row r="31" spans="1:8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8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3" customHeight="1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ht="12.75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ht="14.25" customHeight="1" x14ac:dyDescent="0.25">
      <c r="A82" s="3">
        <v>5238</v>
      </c>
      <c r="B82" s="4" t="s">
        <v>115</v>
      </c>
      <c r="C82" s="30"/>
      <c r="D82" s="1"/>
    </row>
    <row r="83" spans="1:4" ht="64.5" customHeight="1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80.170100000000005</v>
      </c>
      <c r="D87" s="32">
        <f>ROUND(D86+D18,3)</f>
        <v>561.19100000000003</v>
      </c>
    </row>
    <row r="88" spans="1:4" ht="30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4" customHeight="1" x14ac:dyDescent="0.25">
      <c r="A90" s="161" t="s">
        <v>112</v>
      </c>
      <c r="B90" s="162"/>
      <c r="C90" s="2">
        <f>D87/C89</f>
        <v>80.170142857142864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86A1F-ECC3-4919-ADA1-02ECE252F2DE}">
  <dimension ref="A1:E90"/>
  <sheetViews>
    <sheetView view="pageBreakPreview" zoomScale="60" zoomScaleNormal="115" workbookViewId="0">
      <selection activeCell="I14" sqref="I14"/>
    </sheetView>
  </sheetViews>
  <sheetFormatPr defaultRowHeight="15" x14ac:dyDescent="0.25"/>
  <cols>
    <col min="1" max="1" width="5.5703125" style="84" customWidth="1"/>
    <col min="2" max="2" width="57.7109375" style="84" customWidth="1"/>
    <col min="3" max="3" width="12.140625" style="84" customWidth="1"/>
    <col min="4" max="4" width="14.7109375" style="84" customWidth="1"/>
    <col min="5" max="5" width="27.42578125" style="84" customWidth="1"/>
    <col min="6" max="16384" width="9.140625" style="84"/>
  </cols>
  <sheetData>
    <row r="1" spans="1:5" x14ac:dyDescent="0.25">
      <c r="A1" s="167" t="s">
        <v>78</v>
      </c>
      <c r="B1" s="167"/>
      <c r="C1" s="167"/>
      <c r="D1" s="167"/>
    </row>
    <row r="2" spans="1:5" ht="12" customHeight="1" x14ac:dyDescent="0.25">
      <c r="A2" s="45"/>
      <c r="B2" s="45"/>
      <c r="C2" s="168"/>
      <c r="D2" s="169"/>
    </row>
    <row r="3" spans="1:5" x14ac:dyDescent="0.25">
      <c r="A3" s="46" t="s">
        <v>110</v>
      </c>
      <c r="B3" s="47"/>
      <c r="C3" s="47"/>
      <c r="D3" s="47"/>
    </row>
    <row r="4" spans="1:5" ht="12.75" customHeight="1" x14ac:dyDescent="0.25">
      <c r="A4" s="45"/>
      <c r="B4" s="11"/>
      <c r="C4" s="11"/>
      <c r="D4" s="44"/>
    </row>
    <row r="5" spans="1:5" ht="21.75" customHeight="1" x14ac:dyDescent="0.25">
      <c r="A5" s="166" t="s">
        <v>162</v>
      </c>
      <c r="B5" s="166"/>
      <c r="C5" s="166"/>
      <c r="D5" s="166"/>
    </row>
    <row r="6" spans="1:5" ht="9" customHeight="1" x14ac:dyDescent="0.25">
      <c r="A6" s="49"/>
      <c r="B6" s="11"/>
      <c r="C6" s="11"/>
      <c r="D6" s="44"/>
    </row>
    <row r="7" spans="1:5" x14ac:dyDescent="0.25">
      <c r="A7" s="158" t="s">
        <v>111</v>
      </c>
      <c r="B7" s="159"/>
      <c r="C7" s="11"/>
      <c r="D7" s="44"/>
    </row>
    <row r="8" spans="1:5" ht="9.75" customHeight="1" x14ac:dyDescent="0.25">
      <c r="A8" s="49"/>
      <c r="B8" s="79"/>
      <c r="C8" s="11"/>
      <c r="D8" s="44"/>
    </row>
    <row r="9" spans="1:5" x14ac:dyDescent="0.25">
      <c r="A9" s="170" t="s">
        <v>105</v>
      </c>
      <c r="B9" s="170"/>
      <c r="C9" s="11"/>
      <c r="D9" s="44"/>
    </row>
    <row r="10" spans="1:5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5" x14ac:dyDescent="0.25">
      <c r="A11" s="15">
        <v>1</v>
      </c>
      <c r="B11" s="16">
        <v>2</v>
      </c>
      <c r="C11" s="15">
        <v>3</v>
      </c>
      <c r="D11" s="15">
        <v>4</v>
      </c>
    </row>
    <row r="12" spans="1:5" x14ac:dyDescent="0.25">
      <c r="A12" s="15"/>
      <c r="B12" s="31" t="s">
        <v>84</v>
      </c>
      <c r="C12" s="19"/>
      <c r="D12" s="19"/>
    </row>
    <row r="13" spans="1:5" x14ac:dyDescent="0.25">
      <c r="A13" s="42">
        <v>1100</v>
      </c>
      <c r="B13" s="43" t="s">
        <v>85</v>
      </c>
      <c r="C13" s="22"/>
      <c r="D13" s="22"/>
    </row>
    <row r="14" spans="1:5" ht="72" x14ac:dyDescent="0.25">
      <c r="A14" s="3"/>
      <c r="B14" s="81" t="s">
        <v>922</v>
      </c>
      <c r="C14" s="1">
        <v>1</v>
      </c>
      <c r="D14" s="1">
        <f>C14*30</f>
        <v>30</v>
      </c>
    </row>
    <row r="15" spans="1:5" ht="24" x14ac:dyDescent="0.25">
      <c r="A15" s="3">
        <v>1200</v>
      </c>
      <c r="B15" s="4" t="s">
        <v>923</v>
      </c>
      <c r="C15" s="1">
        <f>ROUND(C14*0.2359,2)</f>
        <v>0.24</v>
      </c>
      <c r="D15" s="1">
        <f t="shared" ref="D15:D17" si="0">C15*30</f>
        <v>7.1999999999999993</v>
      </c>
      <c r="E15" s="109"/>
    </row>
    <row r="16" spans="1:5" x14ac:dyDescent="0.25">
      <c r="A16" s="3">
        <v>2341</v>
      </c>
      <c r="B16" s="3" t="s">
        <v>116</v>
      </c>
      <c r="C16" s="24"/>
      <c r="D16" s="1"/>
      <c r="E16" s="109"/>
    </row>
    <row r="17" spans="1:5" ht="84" x14ac:dyDescent="0.25">
      <c r="A17" s="3"/>
      <c r="B17" s="4" t="s">
        <v>1583</v>
      </c>
      <c r="C17" s="1">
        <v>0.83</v>
      </c>
      <c r="D17" s="1">
        <f t="shared" si="0"/>
        <v>24.9</v>
      </c>
      <c r="E17" s="126"/>
    </row>
    <row r="18" spans="1:5" x14ac:dyDescent="0.25">
      <c r="A18" s="34"/>
      <c r="B18" s="40" t="s">
        <v>87</v>
      </c>
      <c r="C18" s="32">
        <f>SUM(C13:C17)</f>
        <v>2.0699999999999998</v>
      </c>
      <c r="D18" s="32">
        <f>SUM(D13:D17)</f>
        <v>62.1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55.5" customHeight="1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53.25" customHeight="1" x14ac:dyDescent="0.25">
      <c r="A23" s="3"/>
      <c r="B23" s="4" t="s">
        <v>860</v>
      </c>
      <c r="C23" s="24">
        <v>2.1000000000000001E-2</v>
      </c>
      <c r="D23" s="1">
        <f t="shared" ref="D23:D85" si="1">C23*30</f>
        <v>0.63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861</v>
      </c>
      <c r="C25" s="24">
        <v>5.1999999999999998E-2</v>
      </c>
      <c r="D25" s="1">
        <f t="shared" si="1"/>
        <v>1.5599999999999998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862</v>
      </c>
      <c r="C27" s="24">
        <f>ROUND(38.69/9509,4)</f>
        <v>4.1000000000000003E-3</v>
      </c>
      <c r="D27" s="1">
        <f t="shared" si="1"/>
        <v>0.12300000000000001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863</v>
      </c>
      <c r="C29" s="24">
        <v>9.4E-2</v>
      </c>
      <c r="D29" s="1">
        <f t="shared" si="1"/>
        <v>2.82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864</v>
      </c>
      <c r="C31" s="24">
        <v>1.4999999999999999E-2</v>
      </c>
      <c r="D31" s="1">
        <f t="shared" si="1"/>
        <v>0.44999999999999996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865</v>
      </c>
      <c r="C33" s="24">
        <v>2.5999999999999999E-2</v>
      </c>
      <c r="D33" s="1">
        <f t="shared" si="1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866</v>
      </c>
      <c r="C35" s="24">
        <v>7.0000000000000001E-3</v>
      </c>
      <c r="D35" s="1">
        <f t="shared" si="1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867</v>
      </c>
      <c r="C37" s="24">
        <v>0.01</v>
      </c>
      <c r="D37" s="1">
        <f t="shared" si="1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868</v>
      </c>
      <c r="C39" s="24">
        <v>7.0000000000000001E-3</v>
      </c>
      <c r="D39" s="1">
        <f t="shared" si="1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869</v>
      </c>
      <c r="C41" s="24">
        <v>4.9000000000000002E-2</v>
      </c>
      <c r="D41" s="1">
        <f t="shared" si="1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870</v>
      </c>
      <c r="C43" s="24">
        <v>6.0999999999999999E-2</v>
      </c>
      <c r="D43" s="1">
        <f t="shared" si="1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871</v>
      </c>
      <c r="C45" s="24">
        <v>0.09</v>
      </c>
      <c r="D45" s="1">
        <f t="shared" si="1"/>
        <v>2.6999999999999997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872</v>
      </c>
      <c r="C47" s="24">
        <v>0.05</v>
      </c>
      <c r="D47" s="1">
        <f t="shared" si="1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54.75" customHeight="1" x14ac:dyDescent="0.25">
      <c r="A49" s="29"/>
      <c r="B49" s="4" t="s">
        <v>873</v>
      </c>
      <c r="C49" s="24">
        <v>6.9000000000000006E-2</v>
      </c>
      <c r="D49" s="1">
        <f t="shared" si="1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874</v>
      </c>
      <c r="C51" s="24">
        <v>3.0000000000000001E-3</v>
      </c>
      <c r="D51" s="1">
        <f t="shared" si="1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875</v>
      </c>
      <c r="C53" s="24">
        <v>2E-3</v>
      </c>
      <c r="D53" s="1">
        <f t="shared" si="1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54.75" customHeight="1" x14ac:dyDescent="0.25">
      <c r="A55" s="3"/>
      <c r="B55" s="4" t="s">
        <v>876</v>
      </c>
      <c r="C55" s="24">
        <v>0.23699999999999999</v>
      </c>
      <c r="D55" s="1">
        <f t="shared" si="1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976</v>
      </c>
      <c r="C57" s="24">
        <v>0.29599999999999999</v>
      </c>
      <c r="D57" s="1">
        <f t="shared" si="1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977</v>
      </c>
      <c r="C59" s="24">
        <v>1E-3</v>
      </c>
      <c r="D59" s="1">
        <f t="shared" si="1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878</v>
      </c>
      <c r="C61" s="24">
        <v>2.5999999999999999E-2</v>
      </c>
      <c r="D61" s="1">
        <f t="shared" si="1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879</v>
      </c>
      <c r="C63" s="24">
        <v>8.9999999999999993E-3</v>
      </c>
      <c r="D63" s="1">
        <f t="shared" si="1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880</v>
      </c>
      <c r="C65" s="24">
        <v>1.0999999999999999E-2</v>
      </c>
      <c r="D65" s="1">
        <f t="shared" si="1"/>
        <v>0.32999999999999996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881</v>
      </c>
      <c r="C67" s="24">
        <v>2.3E-2</v>
      </c>
      <c r="D67" s="1">
        <f t="shared" si="1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customHeight="1" x14ac:dyDescent="0.25">
      <c r="A69" s="3"/>
      <c r="B69" s="4" t="s">
        <v>882</v>
      </c>
      <c r="C69" s="24">
        <v>2.1999999999999999E-2</v>
      </c>
      <c r="D69" s="1">
        <f t="shared" si="1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883</v>
      </c>
      <c r="C71" s="30">
        <v>3.4000000000000002E-2</v>
      </c>
      <c r="D71" s="1">
        <f t="shared" si="1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884</v>
      </c>
      <c r="C73" s="24">
        <v>2E-3</v>
      </c>
      <c r="D73" s="1">
        <f t="shared" si="1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885</v>
      </c>
      <c r="C75" s="24">
        <v>3.0000000000000001E-3</v>
      </c>
      <c r="D75" s="1">
        <f t="shared" si="1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886</v>
      </c>
      <c r="C77" s="24">
        <v>1E-3</v>
      </c>
      <c r="D77" s="1">
        <f t="shared" si="1"/>
        <v>0.03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887</v>
      </c>
      <c r="C79" s="24">
        <v>4.0000000000000001E-3</v>
      </c>
      <c r="D79" s="1">
        <f t="shared" si="1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888</v>
      </c>
      <c r="C81" s="24">
        <v>7.0999999999999994E-2</v>
      </c>
      <c r="D81" s="1">
        <f t="shared" si="1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54.75" customHeight="1" x14ac:dyDescent="0.25">
      <c r="A83" s="3"/>
      <c r="B83" s="4" t="s">
        <v>889</v>
      </c>
      <c r="C83" s="24">
        <v>2.1000000000000001E-2</v>
      </c>
      <c r="D83" s="1">
        <f t="shared" si="1"/>
        <v>0.63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890</v>
      </c>
      <c r="C85" s="24">
        <v>3.7999999999999999E-2</v>
      </c>
      <c r="D85" s="1">
        <f t="shared" si="1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ht="15" customHeight="1" x14ac:dyDescent="0.25">
      <c r="A87" s="33"/>
      <c r="B87" s="34" t="s">
        <v>95</v>
      </c>
      <c r="C87" s="32">
        <f>ROUND(C86+C18,4)</f>
        <v>3.4500999999999999</v>
      </c>
      <c r="D87" s="32">
        <f>ROUND(D86+D18,4)</f>
        <v>103.503</v>
      </c>
    </row>
    <row r="88" spans="1:4" ht="33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30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3.4500999999999999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E0849-72FA-4DBE-B8DB-B3DBC457D594}">
  <dimension ref="A1:D90"/>
  <sheetViews>
    <sheetView view="pageBreakPreview" topLeftCell="A75" zoomScale="60" zoomScaleNormal="100" workbookViewId="0">
      <selection activeCell="D87" sqref="D87"/>
    </sheetView>
  </sheetViews>
  <sheetFormatPr defaultRowHeight="15" x14ac:dyDescent="0.25"/>
  <cols>
    <col min="1" max="1" width="9.140625" style="84"/>
    <col min="2" max="2" width="45.42578125" style="84" customWidth="1"/>
    <col min="3" max="3" width="16.85546875" style="84" customWidth="1"/>
    <col min="4" max="4" width="14.710937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37.9" customHeight="1" x14ac:dyDescent="0.25">
      <c r="A5" s="166" t="s">
        <v>982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105</v>
      </c>
      <c r="B9" s="170"/>
      <c r="C9" s="11"/>
      <c r="D9" s="44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96" x14ac:dyDescent="0.25">
      <c r="A14" s="3"/>
      <c r="B14" s="81" t="s">
        <v>983</v>
      </c>
      <c r="C14" s="1">
        <v>4</v>
      </c>
      <c r="D14" s="1">
        <f>C14*30</f>
        <v>120</v>
      </c>
    </row>
    <row r="15" spans="1:4" ht="36" x14ac:dyDescent="0.25">
      <c r="A15" s="3">
        <v>1200</v>
      </c>
      <c r="B15" s="4" t="s">
        <v>901</v>
      </c>
      <c r="C15" s="1">
        <f>ROUND(C14*0.2359,2)</f>
        <v>0.94</v>
      </c>
      <c r="D15" s="1">
        <f t="shared" ref="D15" si="0">C15*30</f>
        <v>28.2</v>
      </c>
    </row>
    <row r="16" spans="1:4" x14ac:dyDescent="0.25">
      <c r="A16" s="3">
        <v>2341</v>
      </c>
      <c r="B16" s="3" t="s">
        <v>116</v>
      </c>
      <c r="C16" s="24"/>
      <c r="D16" s="1"/>
    </row>
    <row r="17" spans="1:4" ht="132" x14ac:dyDescent="0.25">
      <c r="A17" s="3"/>
      <c r="B17" s="4" t="s">
        <v>1582</v>
      </c>
      <c r="C17" s="1">
        <v>3.24</v>
      </c>
      <c r="D17" s="1">
        <f>C17*30</f>
        <v>97.2</v>
      </c>
    </row>
    <row r="18" spans="1:4" x14ac:dyDescent="0.25">
      <c r="A18" s="34"/>
      <c r="B18" s="40" t="s">
        <v>87</v>
      </c>
      <c r="C18" s="32">
        <f>SUM(C13:C17)</f>
        <v>8.18</v>
      </c>
      <c r="D18" s="32">
        <f>SUM(D13:D17)</f>
        <v>245.39999999999998</v>
      </c>
    </row>
    <row r="19" spans="1:4" x14ac:dyDescent="0.25">
      <c r="A19" s="27"/>
      <c r="B19" s="103" t="s">
        <v>88</v>
      </c>
      <c r="C19" s="28"/>
      <c r="D19" s="28"/>
    </row>
    <row r="20" spans="1:4" ht="26.25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860</v>
      </c>
      <c r="C23" s="24">
        <v>2.1000000000000001E-2</v>
      </c>
      <c r="D23" s="1">
        <f t="shared" ref="D23:D85" si="1">C23*30</f>
        <v>0.63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72" x14ac:dyDescent="0.25">
      <c r="A25" s="3"/>
      <c r="B25" s="4" t="s">
        <v>861</v>
      </c>
      <c r="C25" s="24">
        <v>5.1999999999999998E-2</v>
      </c>
      <c r="D25" s="1">
        <f t="shared" si="1"/>
        <v>1.5599999999999998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72" x14ac:dyDescent="0.25">
      <c r="A27" s="3"/>
      <c r="B27" s="4" t="s">
        <v>862</v>
      </c>
      <c r="C27" s="24">
        <f>ROUND(38.69/9509,4)</f>
        <v>4.1000000000000003E-3</v>
      </c>
      <c r="D27" s="1">
        <f t="shared" si="1"/>
        <v>0.12300000000000001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72" x14ac:dyDescent="0.25">
      <c r="A29" s="3"/>
      <c r="B29" s="4" t="s">
        <v>863</v>
      </c>
      <c r="C29" s="24">
        <v>9.4E-2</v>
      </c>
      <c r="D29" s="1">
        <f t="shared" si="1"/>
        <v>2.82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864</v>
      </c>
      <c r="C31" s="24">
        <v>1.4999999999999999E-2</v>
      </c>
      <c r="D31" s="1">
        <f t="shared" si="1"/>
        <v>0.44999999999999996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865</v>
      </c>
      <c r="C33" s="24">
        <v>2.5999999999999999E-2</v>
      </c>
      <c r="D33" s="1">
        <f t="shared" si="1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866</v>
      </c>
      <c r="C35" s="24">
        <v>7.0000000000000001E-3</v>
      </c>
      <c r="D35" s="1">
        <f t="shared" si="1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867</v>
      </c>
      <c r="C37" s="24">
        <v>0.01</v>
      </c>
      <c r="D37" s="1">
        <f t="shared" si="1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868</v>
      </c>
      <c r="C39" s="24">
        <v>7.0000000000000001E-3</v>
      </c>
      <c r="D39" s="1">
        <f t="shared" si="1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869</v>
      </c>
      <c r="C41" s="24">
        <v>4.9000000000000002E-2</v>
      </c>
      <c r="D41" s="1">
        <f t="shared" si="1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870</v>
      </c>
      <c r="C43" s="24">
        <v>6.0999999999999999E-2</v>
      </c>
      <c r="D43" s="1">
        <f t="shared" si="1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871</v>
      </c>
      <c r="C45" s="24">
        <v>0.09</v>
      </c>
      <c r="D45" s="1">
        <f t="shared" si="1"/>
        <v>2.6999999999999997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872</v>
      </c>
      <c r="C47" s="24">
        <v>0.05</v>
      </c>
      <c r="D47" s="1">
        <f t="shared" si="1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873</v>
      </c>
      <c r="C49" s="24">
        <v>6.9000000000000006E-2</v>
      </c>
      <c r="D49" s="1">
        <f t="shared" si="1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874</v>
      </c>
      <c r="C51" s="24">
        <v>3.0000000000000001E-3</v>
      </c>
      <c r="D51" s="1">
        <f t="shared" si="1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875</v>
      </c>
      <c r="C53" s="24">
        <v>2E-3</v>
      </c>
      <c r="D53" s="1">
        <f t="shared" si="1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876</v>
      </c>
      <c r="C55" s="24">
        <v>0.23699999999999999</v>
      </c>
      <c r="D55" s="1">
        <f t="shared" si="1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976</v>
      </c>
      <c r="C57" s="24">
        <v>0.29599999999999999</v>
      </c>
      <c r="D57" s="1">
        <f t="shared" si="1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977</v>
      </c>
      <c r="C59" s="24">
        <v>1E-3</v>
      </c>
      <c r="D59" s="1">
        <f t="shared" si="1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878</v>
      </c>
      <c r="C61" s="24">
        <v>2.5999999999999999E-2</v>
      </c>
      <c r="D61" s="1">
        <f t="shared" si="1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879</v>
      </c>
      <c r="C63" s="24">
        <v>8.9999999999999993E-3</v>
      </c>
      <c r="D63" s="1">
        <f t="shared" si="1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880</v>
      </c>
      <c r="C65" s="24">
        <v>1.0999999999999999E-2</v>
      </c>
      <c r="D65" s="1">
        <f t="shared" si="1"/>
        <v>0.32999999999999996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881</v>
      </c>
      <c r="C67" s="24">
        <v>2.3E-2</v>
      </c>
      <c r="D67" s="1">
        <f t="shared" si="1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882</v>
      </c>
      <c r="C69" s="24">
        <v>2.1999999999999999E-2</v>
      </c>
      <c r="D69" s="1">
        <f t="shared" si="1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883</v>
      </c>
      <c r="C71" s="30">
        <v>3.4000000000000002E-2</v>
      </c>
      <c r="D71" s="1">
        <f t="shared" si="1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884</v>
      </c>
      <c r="C73" s="24">
        <v>2E-3</v>
      </c>
      <c r="D73" s="1">
        <f t="shared" si="1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885</v>
      </c>
      <c r="C75" s="24">
        <v>3.0000000000000001E-3</v>
      </c>
      <c r="D75" s="1">
        <f t="shared" si="1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886</v>
      </c>
      <c r="C77" s="24">
        <v>1E-3</v>
      </c>
      <c r="D77" s="1">
        <f t="shared" si="1"/>
        <v>0.03</v>
      </c>
    </row>
    <row r="78" spans="1:4" ht="24" x14ac:dyDescent="0.25">
      <c r="A78" s="3">
        <v>5120</v>
      </c>
      <c r="B78" s="4" t="s">
        <v>101</v>
      </c>
      <c r="C78" s="24"/>
      <c r="D78" s="1"/>
    </row>
    <row r="79" spans="1:4" ht="72" x14ac:dyDescent="0.25">
      <c r="A79" s="3"/>
      <c r="B79" s="4" t="s">
        <v>887</v>
      </c>
      <c r="C79" s="24">
        <v>4.0000000000000001E-3</v>
      </c>
      <c r="D79" s="1">
        <f t="shared" si="1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888</v>
      </c>
      <c r="C81" s="24">
        <v>7.0999999999999994E-2</v>
      </c>
      <c r="D81" s="1">
        <f t="shared" si="1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889</v>
      </c>
      <c r="C83" s="24">
        <v>2.1000000000000001E-2</v>
      </c>
      <c r="D83" s="1">
        <f t="shared" si="1"/>
        <v>0.63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890</v>
      </c>
      <c r="C85" s="24">
        <v>3.7999999999999999E-2</v>
      </c>
      <c r="D85" s="1">
        <f t="shared" si="1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x14ac:dyDescent="0.25">
      <c r="A87" s="33"/>
      <c r="B87" s="34" t="s">
        <v>95</v>
      </c>
      <c r="C87" s="32">
        <f>ROUND(C86+C18,4)</f>
        <v>9.5601000000000003</v>
      </c>
      <c r="D87" s="32">
        <f>ROUND(D86+D18,4)</f>
        <v>286.803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30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9.5601000000000003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A0C5C-7D0D-47F4-936E-FFA7EA3D97C7}">
  <dimension ref="A1:D90"/>
  <sheetViews>
    <sheetView view="pageBreakPreview" topLeftCell="A77" zoomScale="60" zoomScaleNormal="115" workbookViewId="0">
      <selection activeCell="I9" sqref="I9"/>
    </sheetView>
  </sheetViews>
  <sheetFormatPr defaultRowHeight="15" x14ac:dyDescent="0.25"/>
  <cols>
    <col min="1" max="1" width="9.140625" style="84"/>
    <col min="2" max="2" width="51.7109375" style="84" customWidth="1"/>
    <col min="3" max="3" width="14.7109375" style="84" customWidth="1"/>
    <col min="4" max="4" width="13.28515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1659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120" customHeight="1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96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24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167.45" customHeight="1" x14ac:dyDescent="0.25">
      <c r="A17" s="3"/>
      <c r="B17" s="81" t="s">
        <v>1214</v>
      </c>
      <c r="C17" s="1">
        <v>1.04</v>
      </c>
      <c r="D17" s="1">
        <f>C17*60</f>
        <v>62.400000000000006</v>
      </c>
    </row>
    <row r="18" spans="1:4" x14ac:dyDescent="0.25">
      <c r="A18" s="5"/>
      <c r="B18" s="40" t="s">
        <v>87</v>
      </c>
      <c r="C18" s="32">
        <f>SUM(C13:C17)</f>
        <v>2.0300000000000002</v>
      </c>
      <c r="D18" s="32">
        <f>SUM(D13:D17)</f>
        <v>121.80000000000001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3.4100999999999999</v>
      </c>
      <c r="D87" s="32">
        <f>ROUND(D86+D18,4)</f>
        <v>204.60599999999999</v>
      </c>
    </row>
    <row r="88" spans="1:4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60</v>
      </c>
      <c r="D89" s="38"/>
    </row>
    <row r="90" spans="1:4" ht="33" customHeight="1" x14ac:dyDescent="0.25">
      <c r="A90" s="161" t="s">
        <v>112</v>
      </c>
      <c r="B90" s="162"/>
      <c r="C90" s="2">
        <f>D87/C89</f>
        <v>3.4100999999999999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0866141732283472" right="0.70866141732283472" top="0.74803149606299213" bottom="0.74803149606299213" header="0.31496062992125984" footer="0.31496062992125984"/>
  <pageSetup scale="80" orientation="portrait" verticalDpi="0" r:id="rId1"/>
  <rowBreaks count="2" manualBreakCount="2">
    <brk id="52" max="3" man="1"/>
    <brk id="62" max="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81E82-53FC-4AC9-9986-EBE3C775E182}">
  <dimension ref="A1:G90"/>
  <sheetViews>
    <sheetView view="pageBreakPreview" topLeftCell="A73" zoomScale="60" zoomScaleNormal="100" workbookViewId="0">
      <selection activeCell="G14" sqref="G14"/>
    </sheetView>
  </sheetViews>
  <sheetFormatPr defaultRowHeight="15" x14ac:dyDescent="0.25"/>
  <cols>
    <col min="1" max="1" width="9.140625" style="84"/>
    <col min="2" max="2" width="46.7109375" style="84" customWidth="1"/>
    <col min="3" max="3" width="13.28515625" style="84" customWidth="1"/>
    <col min="4" max="4" width="20" style="84" customWidth="1"/>
    <col min="5" max="6" width="9.140625" style="84"/>
    <col min="7" max="7" width="62.7109375" style="84" customWidth="1"/>
    <col min="8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x14ac:dyDescent="0.25">
      <c r="A5" s="166" t="s">
        <v>1660</v>
      </c>
      <c r="B5" s="166"/>
      <c r="C5" s="166"/>
      <c r="D5" s="166"/>
    </row>
    <row r="6" spans="1:7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x14ac:dyDescent="0.25">
      <c r="A8" s="49"/>
      <c r="B8" s="79"/>
      <c r="C8" s="11"/>
      <c r="D8" s="10"/>
    </row>
    <row r="9" spans="1:7" x14ac:dyDescent="0.25">
      <c r="A9" s="160" t="s">
        <v>98</v>
      </c>
      <c r="B9" s="160"/>
      <c r="C9" s="13"/>
      <c r="D9" s="10"/>
    </row>
    <row r="10" spans="1:7" ht="48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96" x14ac:dyDescent="0.25">
      <c r="A14" s="3"/>
      <c r="B14" s="81" t="s">
        <v>1212</v>
      </c>
      <c r="C14" s="1">
        <v>0.8</v>
      </c>
      <c r="D14" s="1">
        <f>C14*60</f>
        <v>48</v>
      </c>
      <c r="G14" s="125"/>
    </row>
    <row r="15" spans="1:7" ht="24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7" x14ac:dyDescent="0.25">
      <c r="A16" s="3">
        <v>2341</v>
      </c>
      <c r="B16" s="5" t="s">
        <v>97</v>
      </c>
      <c r="C16" s="39"/>
      <c r="D16" s="39"/>
    </row>
    <row r="17" spans="1:4" ht="270" x14ac:dyDescent="0.25">
      <c r="A17" s="3"/>
      <c r="B17" s="125" t="s">
        <v>1216</v>
      </c>
      <c r="C17" s="1">
        <v>1.05</v>
      </c>
      <c r="D17" s="1">
        <f>C17*60</f>
        <v>63</v>
      </c>
    </row>
    <row r="18" spans="1:4" x14ac:dyDescent="0.25">
      <c r="A18" s="5"/>
      <c r="B18" s="40" t="s">
        <v>87</v>
      </c>
      <c r="C18" s="32">
        <f>SUM(C13:C17)</f>
        <v>2.04</v>
      </c>
      <c r="D18" s="32">
        <f>SUM(D13:D17)</f>
        <v>122.4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72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72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72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72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3.4201000000000001</v>
      </c>
      <c r="D87" s="32">
        <f>ROUND(D86+D18,4)</f>
        <v>205.20599999999999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1" customHeight="1" x14ac:dyDescent="0.25">
      <c r="A90" s="161" t="s">
        <v>112</v>
      </c>
      <c r="B90" s="162"/>
      <c r="C90" s="2">
        <f>D87/C89</f>
        <v>3.4200999999999997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14ECE-430A-45A4-92F2-86CD7CE6B64A}">
  <dimension ref="A1:D90"/>
  <sheetViews>
    <sheetView view="pageBreakPreview" topLeftCell="A63" zoomScale="60" zoomScaleNormal="100" workbookViewId="0">
      <selection activeCell="D87" sqref="D87"/>
    </sheetView>
  </sheetViews>
  <sheetFormatPr defaultRowHeight="15" x14ac:dyDescent="0.25"/>
  <cols>
    <col min="1" max="1" width="9.140625" style="84"/>
    <col min="2" max="2" width="60" style="84" customWidth="1"/>
    <col min="3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1661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120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4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24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195" x14ac:dyDescent="0.25">
      <c r="A17" s="3"/>
      <c r="B17" s="125" t="s">
        <v>1215</v>
      </c>
      <c r="C17" s="1">
        <v>2.4300000000000002</v>
      </c>
      <c r="D17" s="1">
        <f>C17*60</f>
        <v>145.80000000000001</v>
      </c>
    </row>
    <row r="18" spans="1:4" x14ac:dyDescent="0.25">
      <c r="A18" s="5"/>
      <c r="B18" s="40" t="s">
        <v>87</v>
      </c>
      <c r="C18" s="32">
        <f>SUM(C13:C17)</f>
        <v>3.42</v>
      </c>
      <c r="D18" s="32">
        <f>SUM(D13:D17)</f>
        <v>205.20000000000002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4.8000999999999996</v>
      </c>
      <c r="D87" s="32">
        <f>ROUND(D86+D18,4)</f>
        <v>288.00599999999997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4.8000999999999996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scale="99" orientation="portrait" verticalDpi="0" r:id="rId1"/>
  <rowBreaks count="1" manualBreakCount="1">
    <brk id="65" max="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BEA0-5CB7-4F61-B2E8-C8BBA7B3B71D}">
  <dimension ref="A1:D90"/>
  <sheetViews>
    <sheetView view="pageBreakPreview" topLeftCell="A77" zoomScale="60" zoomScaleNormal="100" workbookViewId="0">
      <selection activeCell="C90" sqref="C90"/>
    </sheetView>
  </sheetViews>
  <sheetFormatPr defaultRowHeight="15" x14ac:dyDescent="0.25"/>
  <cols>
    <col min="1" max="1" width="9.140625" style="84"/>
    <col min="2" max="2" width="44.5703125" style="84" customWidth="1"/>
    <col min="3" max="3" width="16.28515625" style="84" customWidth="1"/>
    <col min="4" max="4" width="18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1662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60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36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270" x14ac:dyDescent="0.25">
      <c r="A17" s="3"/>
      <c r="B17" s="125" t="s">
        <v>1217</v>
      </c>
      <c r="C17" s="1">
        <v>0.84</v>
      </c>
      <c r="D17" s="1">
        <f>C17*60</f>
        <v>50.4</v>
      </c>
    </row>
    <row r="18" spans="1:4" x14ac:dyDescent="0.25">
      <c r="A18" s="5"/>
      <c r="B18" s="40" t="s">
        <v>87</v>
      </c>
      <c r="C18" s="32">
        <f>SUM(C13:C17)</f>
        <v>1.83</v>
      </c>
      <c r="D18" s="32">
        <f>SUM(D13:D17)</f>
        <v>109.8</v>
      </c>
    </row>
    <row r="19" spans="1:4" x14ac:dyDescent="0.25">
      <c r="A19" s="27"/>
      <c r="B19" s="103" t="s">
        <v>88</v>
      </c>
      <c r="C19" s="28"/>
      <c r="D19" s="28"/>
    </row>
    <row r="20" spans="1:4" ht="26.25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72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72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72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ht="26.25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ht="26.25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ht="24" x14ac:dyDescent="0.25">
      <c r="A78" s="3">
        <v>5120</v>
      </c>
      <c r="B78" s="4" t="s">
        <v>101</v>
      </c>
      <c r="C78" s="24"/>
      <c r="D78" s="1"/>
    </row>
    <row r="79" spans="1:4" ht="72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3.2101000000000002</v>
      </c>
      <c r="D87" s="32">
        <f>ROUND(D86+D18,4)</f>
        <v>192.60599999999999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19.5" customHeight="1" x14ac:dyDescent="0.25">
      <c r="A90" s="161" t="s">
        <v>112</v>
      </c>
      <c r="B90" s="162"/>
      <c r="C90" s="2">
        <f>D87/C89</f>
        <v>3.2100999999999997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31C7-5657-4AE3-9A32-CE8CE4563F91}">
  <dimension ref="A1:D90"/>
  <sheetViews>
    <sheetView view="pageBreakPreview" topLeftCell="A75" zoomScale="60" zoomScaleNormal="100" workbookViewId="0">
      <selection activeCell="C87" sqref="C87"/>
    </sheetView>
  </sheetViews>
  <sheetFormatPr defaultRowHeight="15" x14ac:dyDescent="0.25"/>
  <cols>
    <col min="1" max="1" width="9.140625" style="84"/>
    <col min="2" max="2" width="48.7109375" style="84" customWidth="1"/>
    <col min="3" max="3" width="14.85546875" style="84" customWidth="1"/>
    <col min="4" max="4" width="14.57031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ht="37.9" customHeight="1" x14ac:dyDescent="0.25">
      <c r="A5" s="166" t="s">
        <v>1663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84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96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24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165" x14ac:dyDescent="0.25">
      <c r="A17" s="3"/>
      <c r="B17" s="125" t="s">
        <v>1218</v>
      </c>
      <c r="C17" s="1">
        <v>10.33</v>
      </c>
      <c r="D17" s="1">
        <f>C17*60</f>
        <v>619.79999999999995</v>
      </c>
    </row>
    <row r="18" spans="1:4" x14ac:dyDescent="0.25">
      <c r="A18" s="5"/>
      <c r="B18" s="40" t="s">
        <v>87</v>
      </c>
      <c r="C18" s="32">
        <f>SUM(C13:C17)</f>
        <v>11.32</v>
      </c>
      <c r="D18" s="32">
        <f>SUM(D13:D17)</f>
        <v>679.19999999999993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12.700100000000001</v>
      </c>
      <c r="D87" s="32">
        <f>ROUND(D86+D18,4)</f>
        <v>762.00599999999997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12.700099999999999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37E5D-549F-4BCA-96F1-9B8654F4885E}">
  <dimension ref="A1:D90"/>
  <sheetViews>
    <sheetView view="pageBreakPreview" topLeftCell="A71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46" style="84" customWidth="1"/>
    <col min="3" max="3" width="15.140625" style="84" customWidth="1"/>
    <col min="4" max="4" width="15.28515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1676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72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96" x14ac:dyDescent="0.25">
      <c r="A14" s="3"/>
      <c r="B14" s="81" t="s">
        <v>1677</v>
      </c>
      <c r="C14" s="1">
        <v>1.6</v>
      </c>
      <c r="D14" s="1">
        <f>C14*60</f>
        <v>96</v>
      </c>
    </row>
    <row r="15" spans="1:4" ht="36" x14ac:dyDescent="0.25">
      <c r="A15" s="3">
        <v>1200</v>
      </c>
      <c r="B15" s="23" t="s">
        <v>1213</v>
      </c>
      <c r="C15" s="1">
        <f>ROUND(C14*0.2359,2)</f>
        <v>0.38</v>
      </c>
      <c r="D15" s="1">
        <f>C15*60</f>
        <v>22.8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60" x14ac:dyDescent="0.25">
      <c r="A17" s="3"/>
      <c r="B17" s="125" t="s">
        <v>1678</v>
      </c>
      <c r="C17" s="1">
        <v>41.32</v>
      </c>
      <c r="D17" s="1">
        <f>C17*60</f>
        <v>2479.1999999999998</v>
      </c>
    </row>
    <row r="18" spans="1:4" x14ac:dyDescent="0.25">
      <c r="A18" s="5"/>
      <c r="B18" s="40" t="s">
        <v>87</v>
      </c>
      <c r="C18" s="32">
        <f>SUM(C13:C17)</f>
        <v>43.3</v>
      </c>
      <c r="D18" s="32">
        <f>SUM(D13:D17)</f>
        <v>2598</v>
      </c>
    </row>
    <row r="19" spans="1:4" x14ac:dyDescent="0.25">
      <c r="A19" s="27"/>
      <c r="B19" s="103" t="s">
        <v>88</v>
      </c>
      <c r="C19" s="28"/>
      <c r="D19" s="28"/>
    </row>
    <row r="20" spans="1:4" ht="26.25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.6" customHeight="1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hidden="1" x14ac:dyDescent="0.25">
      <c r="A26" s="3">
        <v>2222</v>
      </c>
      <c r="B26" s="67" t="s">
        <v>90</v>
      </c>
      <c r="C26" s="1"/>
      <c r="D26" s="1"/>
    </row>
    <row r="27" spans="1:4" ht="72" hidden="1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hidden="1" x14ac:dyDescent="0.25">
      <c r="A28" s="3">
        <v>2223</v>
      </c>
      <c r="B28" s="3" t="s">
        <v>91</v>
      </c>
      <c r="C28" s="24"/>
      <c r="D28" s="1"/>
    </row>
    <row r="29" spans="1:4" ht="72" hidden="1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hidden="1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ht="34.15" customHeight="1" x14ac:dyDescent="0.25">
      <c r="A78" s="3">
        <v>5120</v>
      </c>
      <c r="B78" s="4" t="s">
        <v>101</v>
      </c>
      <c r="C78" s="24"/>
      <c r="D78" s="1"/>
    </row>
    <row r="79" spans="1:4" ht="34.15" customHeight="1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44.680100000000003</v>
      </c>
      <c r="D87" s="32">
        <f>ROUND(D86+D18,4)</f>
        <v>2680.806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41.45" customHeight="1" x14ac:dyDescent="0.25">
      <c r="A90" s="161" t="s">
        <v>112</v>
      </c>
      <c r="B90" s="162"/>
      <c r="C90" s="2">
        <f>D87/C89</f>
        <v>44.680100000000003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C2057-9498-4A6E-9252-E8377237DD6F}">
  <dimension ref="A1:D90"/>
  <sheetViews>
    <sheetView view="pageBreakPreview" topLeftCell="A14" zoomScale="60" zoomScaleNormal="100" workbookViewId="0">
      <selection activeCell="A5" sqref="A5:D5"/>
    </sheetView>
  </sheetViews>
  <sheetFormatPr defaultRowHeight="15" x14ac:dyDescent="0.25"/>
  <cols>
    <col min="1" max="1" width="9.140625" style="84"/>
    <col min="2" max="2" width="44.28515625" style="84" customWidth="1"/>
    <col min="3" max="3" width="14.85546875" style="84" customWidth="1"/>
    <col min="4" max="4" width="17.28515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1664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60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36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180" x14ac:dyDescent="0.25">
      <c r="A17" s="3"/>
      <c r="B17" s="125" t="s">
        <v>1219</v>
      </c>
      <c r="C17" s="1">
        <v>10.33</v>
      </c>
      <c r="D17" s="1">
        <f>C17*60</f>
        <v>619.79999999999995</v>
      </c>
    </row>
    <row r="18" spans="1:4" x14ac:dyDescent="0.25">
      <c r="A18" s="5"/>
      <c r="B18" s="40" t="s">
        <v>87</v>
      </c>
      <c r="C18" s="32">
        <f>SUM(C13:C17)</f>
        <v>11.32</v>
      </c>
      <c r="D18" s="32">
        <f>SUM(D13:D17)</f>
        <v>679.19999999999993</v>
      </c>
    </row>
    <row r="19" spans="1:4" x14ac:dyDescent="0.25">
      <c r="A19" s="27"/>
      <c r="B19" s="103" t="s">
        <v>88</v>
      </c>
      <c r="C19" s="28"/>
      <c r="D19" s="28"/>
    </row>
    <row r="20" spans="1:4" ht="26.25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72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72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72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ht="26.25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ht="24" x14ac:dyDescent="0.25">
      <c r="A78" s="3">
        <v>5120</v>
      </c>
      <c r="B78" s="4" t="s">
        <v>101</v>
      </c>
      <c r="C78" s="24"/>
      <c r="D78" s="1"/>
    </row>
    <row r="79" spans="1:4" ht="72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12.700100000000001</v>
      </c>
      <c r="D87" s="32">
        <f>ROUND(D86+D18,4)</f>
        <v>762.00599999999997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42" customHeight="1" x14ac:dyDescent="0.25">
      <c r="A90" s="161" t="s">
        <v>112</v>
      </c>
      <c r="B90" s="162"/>
      <c r="C90" s="2">
        <f>D87/C89</f>
        <v>12.700099999999999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45BE5-5367-42EC-B4F3-E1B8D48106C4}">
  <dimension ref="A1:D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9.140625" style="84"/>
    <col min="2" max="2" width="42.85546875" style="84" customWidth="1"/>
    <col min="3" max="3" width="15.140625" style="84" customWidth="1"/>
    <col min="4" max="4" width="17.28515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1665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60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36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195" x14ac:dyDescent="0.25">
      <c r="A17" s="3"/>
      <c r="B17" s="125" t="s">
        <v>1219</v>
      </c>
      <c r="C17" s="1">
        <v>10.33</v>
      </c>
      <c r="D17" s="1">
        <f>C17*60</f>
        <v>619.79999999999995</v>
      </c>
    </row>
    <row r="18" spans="1:4" x14ac:dyDescent="0.25">
      <c r="A18" s="5"/>
      <c r="B18" s="40" t="s">
        <v>87</v>
      </c>
      <c r="C18" s="32">
        <f>SUM(C13:C17)</f>
        <v>11.32</v>
      </c>
      <c r="D18" s="32">
        <f>SUM(D13:D17)</f>
        <v>679.19999999999993</v>
      </c>
    </row>
    <row r="19" spans="1:4" x14ac:dyDescent="0.25">
      <c r="A19" s="27"/>
      <c r="B19" s="103" t="s">
        <v>88</v>
      </c>
      <c r="C19" s="28"/>
      <c r="D19" s="28"/>
    </row>
    <row r="20" spans="1:4" ht="26.25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72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72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72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ht="26.25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ht="26.25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ht="26.25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ht="24" x14ac:dyDescent="0.25">
      <c r="A78" s="3">
        <v>5120</v>
      </c>
      <c r="B78" s="4" t="s">
        <v>101</v>
      </c>
      <c r="C78" s="24"/>
      <c r="D78" s="1"/>
    </row>
    <row r="79" spans="1:4" ht="72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12.700100000000001</v>
      </c>
      <c r="D87" s="32">
        <f>ROUND(D86+D18,4)</f>
        <v>762.00599999999997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12.700099999999999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42B16-3A65-4110-9EE7-F4D72708425A}">
  <dimension ref="A2:D91"/>
  <sheetViews>
    <sheetView view="pageBreakPreview" topLeftCell="A4" zoomScale="60" zoomScaleNormal="100" workbookViewId="0">
      <selection activeCell="A6" sqref="A6:D6"/>
    </sheetView>
  </sheetViews>
  <sheetFormatPr defaultRowHeight="15" x14ac:dyDescent="0.25"/>
  <cols>
    <col min="1" max="1" width="9.140625" style="84"/>
    <col min="2" max="2" width="35" style="84" customWidth="1"/>
    <col min="3" max="3" width="17.5703125" style="84" customWidth="1"/>
    <col min="4" max="4" width="17.140625" style="84" customWidth="1"/>
    <col min="5" max="16384" width="9.140625" style="84"/>
  </cols>
  <sheetData>
    <row r="2" spans="1:4" x14ac:dyDescent="0.25">
      <c r="A2" s="154" t="s">
        <v>78</v>
      </c>
      <c r="B2" s="154"/>
      <c r="C2" s="154"/>
      <c r="D2" s="154"/>
    </row>
    <row r="3" spans="1:4" x14ac:dyDescent="0.25">
      <c r="A3" s="6"/>
      <c r="B3" s="6"/>
      <c r="C3" s="155"/>
      <c r="D3" s="156"/>
    </row>
    <row r="4" spans="1:4" x14ac:dyDescent="0.25">
      <c r="A4" s="7" t="s">
        <v>110</v>
      </c>
      <c r="B4" s="8"/>
      <c r="C4" s="8"/>
      <c r="D4" s="8"/>
    </row>
    <row r="5" spans="1:4" x14ac:dyDescent="0.25">
      <c r="A5" s="6"/>
      <c r="B5" s="9"/>
      <c r="C5" s="9"/>
      <c r="D5" s="10"/>
    </row>
    <row r="6" spans="1:4" x14ac:dyDescent="0.25">
      <c r="A6" s="166" t="s">
        <v>1666</v>
      </c>
      <c r="B6" s="166"/>
      <c r="C6" s="166"/>
      <c r="D6" s="166"/>
    </row>
    <row r="7" spans="1:4" x14ac:dyDescent="0.25">
      <c r="A7" s="49"/>
      <c r="B7" s="11"/>
      <c r="C7" s="11"/>
      <c r="D7" s="10"/>
    </row>
    <row r="8" spans="1:4" x14ac:dyDescent="0.25">
      <c r="A8" s="158" t="s">
        <v>111</v>
      </c>
      <c r="B8" s="159"/>
      <c r="C8" s="11"/>
      <c r="D8" s="10"/>
    </row>
    <row r="9" spans="1:4" x14ac:dyDescent="0.25">
      <c r="A9" s="49"/>
      <c r="B9" s="79"/>
      <c r="C9" s="11"/>
      <c r="D9" s="10"/>
    </row>
    <row r="10" spans="1:4" x14ac:dyDescent="0.25">
      <c r="A10" s="160" t="s">
        <v>98</v>
      </c>
      <c r="B10" s="160"/>
      <c r="C10" s="13"/>
      <c r="D10" s="10"/>
    </row>
    <row r="11" spans="1:4" ht="60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4" x14ac:dyDescent="0.25">
      <c r="A12" s="15">
        <v>1</v>
      </c>
      <c r="B12" s="16">
        <v>2</v>
      </c>
      <c r="C12" s="15">
        <v>3</v>
      </c>
      <c r="D12" s="15">
        <v>4</v>
      </c>
    </row>
    <row r="13" spans="1:4" x14ac:dyDescent="0.25">
      <c r="A13" s="17"/>
      <c r="B13" s="18" t="s">
        <v>84</v>
      </c>
      <c r="C13" s="19"/>
      <c r="D13" s="19"/>
    </row>
    <row r="14" spans="1:4" x14ac:dyDescent="0.25">
      <c r="A14" s="42">
        <v>1100</v>
      </c>
      <c r="B14" s="43" t="s">
        <v>85</v>
      </c>
      <c r="C14" s="22"/>
      <c r="D14" s="22"/>
    </row>
    <row r="15" spans="1:4" ht="132" x14ac:dyDescent="0.25">
      <c r="A15" s="3"/>
      <c r="B15" s="81" t="s">
        <v>1212</v>
      </c>
      <c r="C15" s="1">
        <v>0.8</v>
      </c>
      <c r="D15" s="1">
        <f>C15*60</f>
        <v>48</v>
      </c>
    </row>
    <row r="16" spans="1:4" ht="36" x14ac:dyDescent="0.25">
      <c r="A16" s="3">
        <v>1200</v>
      </c>
      <c r="B16" s="23" t="s">
        <v>1213</v>
      </c>
      <c r="C16" s="1">
        <f>ROUND(C15*0.2359,2)</f>
        <v>0.19</v>
      </c>
      <c r="D16" s="1">
        <f>C16*60</f>
        <v>11.4</v>
      </c>
    </row>
    <row r="17" spans="1:4" x14ac:dyDescent="0.25">
      <c r="A17" s="3">
        <v>2341</v>
      </c>
      <c r="B17" s="5" t="s">
        <v>97</v>
      </c>
      <c r="C17" s="39"/>
      <c r="D17" s="39"/>
    </row>
    <row r="18" spans="1:4" ht="225" x14ac:dyDescent="0.25">
      <c r="A18" s="3"/>
      <c r="B18" s="125" t="s">
        <v>1219</v>
      </c>
      <c r="C18" s="1">
        <v>10.33</v>
      </c>
      <c r="D18" s="1">
        <f>C18*60</f>
        <v>619.79999999999995</v>
      </c>
    </row>
    <row r="19" spans="1:4" x14ac:dyDescent="0.25">
      <c r="A19" s="5"/>
      <c r="B19" s="40" t="s">
        <v>87</v>
      </c>
      <c r="C19" s="32">
        <f>SUM(C14:C18)</f>
        <v>11.32</v>
      </c>
      <c r="D19" s="32">
        <f>SUM(D14:D18)</f>
        <v>679.19999999999993</v>
      </c>
    </row>
    <row r="20" spans="1:4" x14ac:dyDescent="0.25">
      <c r="A20" s="27"/>
      <c r="B20" s="103" t="s">
        <v>88</v>
      </c>
      <c r="C20" s="28"/>
      <c r="D20" s="28"/>
    </row>
    <row r="21" spans="1:4" ht="26.25" x14ac:dyDescent="0.25">
      <c r="A21" s="3">
        <v>2100</v>
      </c>
      <c r="B21" s="69" t="s">
        <v>370</v>
      </c>
      <c r="C21" s="28"/>
      <c r="D21" s="28"/>
    </row>
    <row r="22" spans="1:4" ht="96" x14ac:dyDescent="0.25">
      <c r="A22" s="27"/>
      <c r="B22" s="4" t="s">
        <v>891</v>
      </c>
      <c r="C22" s="24">
        <v>2.1000000000000001E-2</v>
      </c>
      <c r="D22" s="1">
        <f>C22*60</f>
        <v>1.26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96" x14ac:dyDescent="0.25">
      <c r="A24" s="3"/>
      <c r="B24" s="4" t="s">
        <v>892</v>
      </c>
      <c r="C24" s="24">
        <v>2.1000000000000001E-2</v>
      </c>
      <c r="D24" s="1">
        <f t="shared" ref="D24:D86" si="0">C24*60</f>
        <v>1.26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96" x14ac:dyDescent="0.25">
      <c r="A26" s="3"/>
      <c r="B26" s="4" t="s">
        <v>893</v>
      </c>
      <c r="C26" s="24">
        <v>5.1999999999999998E-2</v>
      </c>
      <c r="D26" s="1">
        <f t="shared" si="0"/>
        <v>3.1199999999999997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96" x14ac:dyDescent="0.25">
      <c r="A28" s="3"/>
      <c r="B28" s="4" t="s">
        <v>894</v>
      </c>
      <c r="C28" s="24">
        <f>ROUND(38.69/9509,4)</f>
        <v>4.1000000000000003E-3</v>
      </c>
      <c r="D28" s="1">
        <f t="shared" si="0"/>
        <v>0.24600000000000002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96" x14ac:dyDescent="0.25">
      <c r="A30" s="3"/>
      <c r="B30" s="4" t="s">
        <v>895</v>
      </c>
      <c r="C30" s="24">
        <v>9.4E-2</v>
      </c>
      <c r="D30" s="1">
        <f t="shared" si="0"/>
        <v>5.64</v>
      </c>
    </row>
    <row r="31" spans="1:4" ht="36" x14ac:dyDescent="0.25">
      <c r="A31" s="3">
        <v>2224</v>
      </c>
      <c r="B31" s="4" t="s">
        <v>114</v>
      </c>
      <c r="C31" s="24"/>
      <c r="D31" s="1"/>
    </row>
    <row r="32" spans="1:4" ht="96" x14ac:dyDescent="0.25">
      <c r="A32" s="3"/>
      <c r="B32" s="4" t="s">
        <v>896</v>
      </c>
      <c r="C32" s="24">
        <v>1.4999999999999999E-2</v>
      </c>
      <c r="D32" s="1">
        <f t="shared" si="0"/>
        <v>0.89999999999999991</v>
      </c>
    </row>
    <row r="33" spans="1:4" ht="24" x14ac:dyDescent="0.25">
      <c r="A33" s="3">
        <v>2231</v>
      </c>
      <c r="B33" s="4" t="s">
        <v>117</v>
      </c>
      <c r="C33" s="24"/>
      <c r="D33" s="1"/>
    </row>
    <row r="34" spans="1:4" ht="96" x14ac:dyDescent="0.25">
      <c r="A34" s="3"/>
      <c r="B34" s="4" t="s">
        <v>897</v>
      </c>
      <c r="C34" s="24">
        <v>2.5999999999999999E-2</v>
      </c>
      <c r="D34" s="1">
        <f t="shared" si="0"/>
        <v>1.5599999999999998</v>
      </c>
    </row>
    <row r="35" spans="1:4" ht="24" x14ac:dyDescent="0.25">
      <c r="A35" s="3">
        <v>2232</v>
      </c>
      <c r="B35" s="4" t="s">
        <v>453</v>
      </c>
      <c r="C35" s="1"/>
      <c r="D35" s="1"/>
    </row>
    <row r="36" spans="1:4" ht="84" x14ac:dyDescent="0.25">
      <c r="A36" s="3"/>
      <c r="B36" s="4" t="s">
        <v>898</v>
      </c>
      <c r="C36" s="24">
        <v>7.0000000000000001E-3</v>
      </c>
      <c r="D36" s="1">
        <f t="shared" si="0"/>
        <v>0.42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96" x14ac:dyDescent="0.25">
      <c r="A38" s="3"/>
      <c r="B38" s="4" t="s">
        <v>899</v>
      </c>
      <c r="C38" s="24">
        <v>0.01</v>
      </c>
      <c r="D38" s="1">
        <f t="shared" si="0"/>
        <v>0.6</v>
      </c>
    </row>
    <row r="39" spans="1:4" ht="26.25" x14ac:dyDescent="0.25">
      <c r="A39" s="3">
        <v>2235</v>
      </c>
      <c r="B39" s="67" t="s">
        <v>355</v>
      </c>
      <c r="C39" s="24"/>
      <c r="D39" s="1"/>
    </row>
    <row r="40" spans="1:4" ht="96" x14ac:dyDescent="0.25">
      <c r="A40" s="3"/>
      <c r="B40" s="4" t="s">
        <v>994</v>
      </c>
      <c r="C40" s="24">
        <v>7.0000000000000001E-3</v>
      </c>
      <c r="D40" s="1">
        <f t="shared" si="0"/>
        <v>0.42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96" x14ac:dyDescent="0.25">
      <c r="A42" s="3"/>
      <c r="B42" s="4" t="s">
        <v>995</v>
      </c>
      <c r="C42" s="24">
        <v>4.9000000000000002E-2</v>
      </c>
      <c r="D42" s="1">
        <f t="shared" si="0"/>
        <v>2.94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96" x14ac:dyDescent="0.25">
      <c r="A44" s="3"/>
      <c r="B44" s="4" t="s">
        <v>996</v>
      </c>
      <c r="C44" s="24">
        <v>6.0999999999999999E-2</v>
      </c>
      <c r="D44" s="1">
        <f t="shared" si="0"/>
        <v>3.66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96" x14ac:dyDescent="0.25">
      <c r="A46" s="3"/>
      <c r="B46" s="4" t="s">
        <v>997</v>
      </c>
      <c r="C46" s="24">
        <v>0.09</v>
      </c>
      <c r="D46" s="1">
        <f t="shared" si="0"/>
        <v>5.3999999999999995</v>
      </c>
    </row>
    <row r="47" spans="1:4" ht="24" x14ac:dyDescent="0.25">
      <c r="A47" s="3">
        <v>2243</v>
      </c>
      <c r="B47" s="4" t="s">
        <v>100</v>
      </c>
      <c r="C47" s="1"/>
      <c r="D47" s="1"/>
    </row>
    <row r="48" spans="1:4" ht="96" x14ac:dyDescent="0.25">
      <c r="A48" s="3"/>
      <c r="B48" s="4" t="s">
        <v>998</v>
      </c>
      <c r="C48" s="24">
        <v>0.05</v>
      </c>
      <c r="D48" s="1">
        <f t="shared" si="0"/>
        <v>3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96" x14ac:dyDescent="0.25">
      <c r="A50" s="29"/>
      <c r="B50" s="4" t="s">
        <v>999</v>
      </c>
      <c r="C50" s="24">
        <v>6.9000000000000006E-2</v>
      </c>
      <c r="D50" s="1">
        <f t="shared" si="0"/>
        <v>4.1400000000000006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96" x14ac:dyDescent="0.25">
      <c r="A52" s="29"/>
      <c r="B52" s="4" t="s">
        <v>1000</v>
      </c>
      <c r="C52" s="24">
        <v>3.0000000000000001E-3</v>
      </c>
      <c r="D52" s="1">
        <f t="shared" si="0"/>
        <v>0.18</v>
      </c>
    </row>
    <row r="53" spans="1:4" ht="26.25" x14ac:dyDescent="0.25">
      <c r="A53" s="3">
        <v>2249</v>
      </c>
      <c r="B53" s="67" t="s">
        <v>359</v>
      </c>
      <c r="C53" s="1"/>
      <c r="D53" s="1"/>
    </row>
    <row r="54" spans="1:4" ht="84" x14ac:dyDescent="0.25">
      <c r="A54" s="29"/>
      <c r="B54" s="4" t="s">
        <v>745</v>
      </c>
      <c r="C54" s="24">
        <v>2E-3</v>
      </c>
      <c r="D54" s="1">
        <f t="shared" si="0"/>
        <v>0.12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96" x14ac:dyDescent="0.25">
      <c r="A56" s="3"/>
      <c r="B56" s="4" t="s">
        <v>1001</v>
      </c>
      <c r="C56" s="24">
        <v>0.23699999999999999</v>
      </c>
      <c r="D56" s="1">
        <f t="shared" si="0"/>
        <v>14.219999999999999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96" x14ac:dyDescent="0.25">
      <c r="A58" s="3"/>
      <c r="B58" s="4" t="s">
        <v>992</v>
      </c>
      <c r="C58" s="24">
        <v>0.29599999999999999</v>
      </c>
      <c r="D58" s="1">
        <f t="shared" si="0"/>
        <v>17.759999999999998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96" x14ac:dyDescent="0.25">
      <c r="A60" s="3"/>
      <c r="B60" s="4" t="s">
        <v>993</v>
      </c>
      <c r="C60" s="24">
        <v>1E-3</v>
      </c>
      <c r="D60" s="1">
        <f t="shared" si="0"/>
        <v>0.06</v>
      </c>
    </row>
    <row r="61" spans="1:4" ht="26.25" x14ac:dyDescent="0.25">
      <c r="A61" s="3">
        <v>2264</v>
      </c>
      <c r="B61" s="67" t="s">
        <v>361</v>
      </c>
      <c r="C61" s="1"/>
      <c r="D61" s="1"/>
    </row>
    <row r="62" spans="1:4" ht="96" x14ac:dyDescent="0.25">
      <c r="A62" s="3"/>
      <c r="B62" s="4" t="s">
        <v>1002</v>
      </c>
      <c r="C62" s="24">
        <v>2.5999999999999999E-2</v>
      </c>
      <c r="D62" s="1">
        <f t="shared" si="0"/>
        <v>1.5599999999999998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96" x14ac:dyDescent="0.25">
      <c r="A64" s="3"/>
      <c r="B64" s="4" t="s">
        <v>1003</v>
      </c>
      <c r="C64" s="24">
        <v>8.9999999999999993E-3</v>
      </c>
      <c r="D64" s="1">
        <f t="shared" si="0"/>
        <v>0.53999999999999992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96" x14ac:dyDescent="0.25">
      <c r="A66" s="3"/>
      <c r="B66" s="4" t="s">
        <v>1004</v>
      </c>
      <c r="C66" s="24">
        <v>1.0999999999999999E-2</v>
      </c>
      <c r="D66" s="1">
        <f t="shared" si="0"/>
        <v>0.65999999999999992</v>
      </c>
    </row>
    <row r="67" spans="1:4" ht="26.25" x14ac:dyDescent="0.25">
      <c r="A67" s="3">
        <v>2314</v>
      </c>
      <c r="B67" s="67" t="s">
        <v>362</v>
      </c>
      <c r="C67" s="1"/>
      <c r="D67" s="1"/>
    </row>
    <row r="68" spans="1:4" ht="96" x14ac:dyDescent="0.25">
      <c r="A68" s="3"/>
      <c r="B68" s="4" t="s">
        <v>1005</v>
      </c>
      <c r="C68" s="24">
        <v>2.3E-2</v>
      </c>
      <c r="D68" s="1">
        <f t="shared" si="0"/>
        <v>1.38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96" x14ac:dyDescent="0.25">
      <c r="A70" s="3"/>
      <c r="B70" s="4" t="s">
        <v>1006</v>
      </c>
      <c r="C70" s="24">
        <v>2.1999999999999999E-2</v>
      </c>
      <c r="D70" s="1">
        <f t="shared" si="0"/>
        <v>1.3199999999999998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96" x14ac:dyDescent="0.25">
      <c r="A72" s="3"/>
      <c r="B72" s="4" t="s">
        <v>1007</v>
      </c>
      <c r="C72" s="30">
        <v>3.4000000000000002E-2</v>
      </c>
      <c r="D72" s="1">
        <f t="shared" si="0"/>
        <v>2.04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84" x14ac:dyDescent="0.25">
      <c r="A74" s="3"/>
      <c r="B74" s="4" t="s">
        <v>1008</v>
      </c>
      <c r="C74" s="24">
        <v>2E-3</v>
      </c>
      <c r="D74" s="1">
        <f t="shared" si="0"/>
        <v>0.12</v>
      </c>
    </row>
    <row r="75" spans="1:4" ht="26.25" x14ac:dyDescent="0.25">
      <c r="A75" s="3">
        <v>2513</v>
      </c>
      <c r="B75" s="67" t="s">
        <v>365</v>
      </c>
      <c r="C75" s="1"/>
      <c r="D75" s="1"/>
    </row>
    <row r="76" spans="1:4" ht="84" x14ac:dyDescent="0.25">
      <c r="A76" s="3"/>
      <c r="B76" s="4" t="s">
        <v>1009</v>
      </c>
      <c r="C76" s="24">
        <v>3.0000000000000001E-3</v>
      </c>
      <c r="D76" s="1">
        <f t="shared" si="0"/>
        <v>0.18</v>
      </c>
    </row>
    <row r="77" spans="1:4" ht="26.25" x14ac:dyDescent="0.25">
      <c r="A77" s="3">
        <v>2519</v>
      </c>
      <c r="B77" s="67" t="s">
        <v>366</v>
      </c>
      <c r="C77" s="24"/>
      <c r="D77" s="1"/>
    </row>
    <row r="78" spans="1:4" ht="84" x14ac:dyDescent="0.25">
      <c r="A78" s="3"/>
      <c r="B78" s="4" t="s">
        <v>1010</v>
      </c>
      <c r="C78" s="24">
        <v>1E-3</v>
      </c>
      <c r="D78" s="1">
        <f t="shared" si="0"/>
        <v>0.06</v>
      </c>
    </row>
    <row r="79" spans="1:4" ht="24" x14ac:dyDescent="0.25">
      <c r="A79" s="3">
        <v>5120</v>
      </c>
      <c r="B79" s="4" t="s">
        <v>101</v>
      </c>
      <c r="C79" s="24"/>
      <c r="D79" s="1"/>
    </row>
    <row r="80" spans="1:4" ht="84" x14ac:dyDescent="0.25">
      <c r="A80" s="3"/>
      <c r="B80" s="4" t="s">
        <v>1011</v>
      </c>
      <c r="C80" s="24">
        <v>4.0000000000000001E-3</v>
      </c>
      <c r="D80" s="1">
        <f t="shared" si="0"/>
        <v>0.24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96" x14ac:dyDescent="0.25">
      <c r="A82" s="3"/>
      <c r="B82" s="4" t="s">
        <v>1012</v>
      </c>
      <c r="C82" s="24">
        <v>7.0999999999999994E-2</v>
      </c>
      <c r="D82" s="1">
        <f t="shared" si="0"/>
        <v>4.26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96" x14ac:dyDescent="0.25">
      <c r="A84" s="3"/>
      <c r="B84" s="4" t="s">
        <v>1013</v>
      </c>
      <c r="C84" s="24">
        <v>2.1000000000000001E-2</v>
      </c>
      <c r="D84" s="1">
        <f t="shared" si="0"/>
        <v>1.26</v>
      </c>
    </row>
    <row r="85" spans="1:4" ht="25.5" x14ac:dyDescent="0.25">
      <c r="A85" s="3">
        <v>5239</v>
      </c>
      <c r="B85" s="68" t="s">
        <v>369</v>
      </c>
      <c r="C85" s="24"/>
      <c r="D85" s="1"/>
    </row>
    <row r="86" spans="1:4" ht="96" x14ac:dyDescent="0.25">
      <c r="A86" s="3"/>
      <c r="B86" s="4" t="s">
        <v>1014</v>
      </c>
      <c r="C86" s="24">
        <v>3.7999999999999999E-2</v>
      </c>
      <c r="D86" s="1">
        <f t="shared" si="0"/>
        <v>2.2799999999999998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82.806000000000026</v>
      </c>
    </row>
    <row r="88" spans="1:4" x14ac:dyDescent="0.25">
      <c r="A88" s="33"/>
      <c r="B88" s="34" t="s">
        <v>95</v>
      </c>
      <c r="C88" s="32">
        <f>ROUND(C87+C19,4)</f>
        <v>12.700100000000001</v>
      </c>
      <c r="D88" s="32">
        <f>ROUND(D87+D19,4)</f>
        <v>762.00599999999997</v>
      </c>
    </row>
    <row r="89" spans="1:4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60</v>
      </c>
      <c r="D90" s="38"/>
    </row>
    <row r="91" spans="1:4" ht="32.25" customHeight="1" x14ac:dyDescent="0.25">
      <c r="A91" s="161" t="s">
        <v>112</v>
      </c>
      <c r="B91" s="162"/>
      <c r="C91" s="2">
        <f>D88/C90</f>
        <v>12.700099999999999</v>
      </c>
      <c r="D91" s="38"/>
    </row>
  </sheetData>
  <mergeCells count="7">
    <mergeCell ref="A91:B91"/>
    <mergeCell ref="A2:D2"/>
    <mergeCell ref="C3:D3"/>
    <mergeCell ref="A6:D6"/>
    <mergeCell ref="A8:B8"/>
    <mergeCell ref="A10:B10"/>
    <mergeCell ref="A90:B90"/>
  </mergeCells>
  <pageMargins left="0.7" right="0.7" top="0.75" bottom="0.75" header="0.3" footer="0.3"/>
  <pageSetup paperSize="9" orientation="portrait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E90"/>
  <sheetViews>
    <sheetView view="pageBreakPreview" topLeftCell="A77" zoomScale="60" zoomScaleNormal="85" workbookViewId="0">
      <selection activeCell="A5" sqref="A5:D5"/>
    </sheetView>
  </sheetViews>
  <sheetFormatPr defaultRowHeight="15" x14ac:dyDescent="0.25"/>
  <cols>
    <col min="1" max="1" width="6.7109375" style="84" customWidth="1"/>
    <col min="2" max="2" width="56.28515625" style="84" customWidth="1"/>
    <col min="3" max="3" width="10.5703125" style="84" customWidth="1"/>
    <col min="4" max="4" width="13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2.7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10.5" customHeight="1" x14ac:dyDescent="0.25">
      <c r="A4" s="6"/>
      <c r="B4" s="9"/>
      <c r="C4" s="9"/>
      <c r="D4" s="10"/>
    </row>
    <row r="5" spans="1:4" ht="42" customHeight="1" x14ac:dyDescent="0.25">
      <c r="A5" s="166" t="s">
        <v>257</v>
      </c>
      <c r="B5" s="166"/>
      <c r="C5" s="166"/>
      <c r="D5" s="166"/>
    </row>
    <row r="6" spans="1:4" ht="9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8.25" customHeight="1" x14ac:dyDescent="0.25">
      <c r="A8" s="6"/>
      <c r="B8" s="12"/>
      <c r="C8" s="13"/>
      <c r="D8" s="10"/>
    </row>
    <row r="9" spans="1:4" x14ac:dyDescent="0.25">
      <c r="A9" s="160" t="s">
        <v>103</v>
      </c>
      <c r="B9" s="160"/>
      <c r="C9" s="13"/>
      <c r="D9" s="10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108" x14ac:dyDescent="0.25">
      <c r="A14" s="5"/>
      <c r="B14" s="81" t="s">
        <v>984</v>
      </c>
      <c r="C14" s="1">
        <v>3.8</v>
      </c>
      <c r="D14" s="1">
        <f>C14*20</f>
        <v>76</v>
      </c>
    </row>
    <row r="15" spans="1:4" ht="24" x14ac:dyDescent="0.25">
      <c r="A15" s="5">
        <v>1200</v>
      </c>
      <c r="B15" s="23" t="s">
        <v>985</v>
      </c>
      <c r="C15" s="1">
        <f>ROUND(C14*0.2359,2)</f>
        <v>0.9</v>
      </c>
      <c r="D15" s="1">
        <f>C15*20</f>
        <v>18</v>
      </c>
    </row>
    <row r="16" spans="1:4" x14ac:dyDescent="0.25">
      <c r="A16" s="5">
        <v>2341</v>
      </c>
      <c r="B16" s="5" t="s">
        <v>97</v>
      </c>
      <c r="C16" s="39"/>
      <c r="D16" s="39"/>
    </row>
    <row r="17" spans="1:5" ht="108" x14ac:dyDescent="0.25">
      <c r="A17" s="5"/>
      <c r="B17" s="23" t="s">
        <v>1581</v>
      </c>
      <c r="C17" s="1">
        <v>1.94</v>
      </c>
      <c r="D17" s="1">
        <f>C17*20</f>
        <v>38.799999999999997</v>
      </c>
    </row>
    <row r="18" spans="1:5" x14ac:dyDescent="0.25">
      <c r="A18" s="61"/>
      <c r="B18" s="25" t="s">
        <v>87</v>
      </c>
      <c r="C18" s="26">
        <f>SUM(C13:C17)</f>
        <v>6.6400000000000006</v>
      </c>
      <c r="D18" s="26">
        <f>SUM(D13:D17)</f>
        <v>132.80000000000001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0"/>
        <v>0</v>
      </c>
    </row>
    <row r="53" spans="1:4" ht="60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773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774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3.75" customHeight="1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4.5" customHeight="1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3" customHeight="1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5.25" customHeight="1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8.0200999999999993</v>
      </c>
      <c r="D87" s="32">
        <f>ROUND(D86+D18,4)</f>
        <v>160.40199999999999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4" customHeight="1" x14ac:dyDescent="0.25">
      <c r="A90" s="176" t="s">
        <v>112</v>
      </c>
      <c r="B90" s="177"/>
      <c r="C90" s="2">
        <f>D87/C89</f>
        <v>8.0200999999999993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E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7.140625" style="84" customWidth="1"/>
    <col min="2" max="2" width="59" style="84" customWidth="1"/>
    <col min="3" max="3" width="10.5703125" style="84" customWidth="1"/>
    <col min="4" max="4" width="12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2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9.75" customHeight="1" x14ac:dyDescent="0.25">
      <c r="A4" s="6"/>
      <c r="B4" s="9"/>
      <c r="C4" s="9"/>
      <c r="D4" s="10"/>
    </row>
    <row r="5" spans="1:4" ht="39.75" customHeight="1" x14ac:dyDescent="0.25">
      <c r="A5" s="166" t="s">
        <v>256</v>
      </c>
      <c r="B5" s="166"/>
      <c r="C5" s="166"/>
      <c r="D5" s="166"/>
    </row>
    <row r="6" spans="1:4" ht="9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79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108" x14ac:dyDescent="0.25">
      <c r="A14" s="5"/>
      <c r="B14" s="81" t="s">
        <v>988</v>
      </c>
      <c r="C14" s="1">
        <v>6.6</v>
      </c>
      <c r="D14" s="1">
        <f>C14*200</f>
        <v>1320</v>
      </c>
    </row>
    <row r="15" spans="1:4" ht="24" x14ac:dyDescent="0.25">
      <c r="A15" s="5">
        <v>1200</v>
      </c>
      <c r="B15" s="23" t="s">
        <v>987</v>
      </c>
      <c r="C15" s="1">
        <f>ROUND(C14*0.2359,2)</f>
        <v>1.56</v>
      </c>
      <c r="D15" s="1">
        <f>C15*200</f>
        <v>312</v>
      </c>
    </row>
    <row r="16" spans="1:4" x14ac:dyDescent="0.25">
      <c r="A16" s="5">
        <v>2341</v>
      </c>
      <c r="B16" s="5" t="s">
        <v>86</v>
      </c>
      <c r="C16" s="39"/>
      <c r="D16" s="39"/>
    </row>
    <row r="17" spans="1:5" ht="117" customHeight="1" x14ac:dyDescent="0.25">
      <c r="A17" s="5"/>
      <c r="B17" s="23" t="s">
        <v>1580</v>
      </c>
      <c r="C17" s="1">
        <v>5.04</v>
      </c>
      <c r="D17" s="1">
        <f>C17*200</f>
        <v>1008</v>
      </c>
    </row>
    <row r="18" spans="1:5" x14ac:dyDescent="0.25">
      <c r="A18" s="61"/>
      <c r="B18" s="40" t="s">
        <v>87</v>
      </c>
      <c r="C18" s="32">
        <f>SUM(C13:C17)</f>
        <v>13.2</v>
      </c>
      <c r="D18" s="32">
        <f>SUM(D13:D17)</f>
        <v>2640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729</v>
      </c>
      <c r="C21" s="24">
        <v>2.1000000000000001E-2</v>
      </c>
      <c r="D21" s="1">
        <f>C21*200</f>
        <v>4.2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6.75" customHeight="1" x14ac:dyDescent="0.25">
      <c r="A23" s="3"/>
      <c r="B23" s="4" t="s">
        <v>730</v>
      </c>
      <c r="C23" s="24">
        <v>2.1000000000000001E-2</v>
      </c>
      <c r="D23" s="1">
        <f t="shared" ref="D23:D85" si="0">C23*200</f>
        <v>4.2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3.75" customHeight="1" x14ac:dyDescent="0.25">
      <c r="A25" s="3"/>
      <c r="B25" s="4" t="s">
        <v>823</v>
      </c>
      <c r="C25" s="24">
        <v>5.1999999999999998E-2</v>
      </c>
      <c r="D25" s="1">
        <f t="shared" si="0"/>
        <v>10.4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824</v>
      </c>
      <c r="C27" s="24">
        <f>ROUND(38.69/9509,4)</f>
        <v>4.1000000000000003E-3</v>
      </c>
      <c r="D27" s="1">
        <f t="shared" si="0"/>
        <v>0.82000000000000006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825</v>
      </c>
      <c r="C29" s="24">
        <v>9.4E-2</v>
      </c>
      <c r="D29" s="1">
        <f t="shared" si="0"/>
        <v>18.8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734</v>
      </c>
      <c r="C31" s="24">
        <v>1.4999999999999999E-2</v>
      </c>
      <c r="D31" s="1">
        <f t="shared" si="0"/>
        <v>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735</v>
      </c>
      <c r="C33" s="24">
        <v>2.5999999999999999E-2</v>
      </c>
      <c r="D33" s="1">
        <f t="shared" si="0"/>
        <v>5.2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736</v>
      </c>
      <c r="C35" s="24">
        <v>7.0000000000000001E-3</v>
      </c>
      <c r="D35" s="1">
        <f t="shared" si="0"/>
        <v>1.4000000000000001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737</v>
      </c>
      <c r="C37" s="24">
        <v>0.01</v>
      </c>
      <c r="D37" s="1">
        <f t="shared" si="0"/>
        <v>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738</v>
      </c>
      <c r="C39" s="24">
        <v>7.0000000000000001E-3</v>
      </c>
      <c r="D39" s="1">
        <f t="shared" si="0"/>
        <v>1.4000000000000001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739</v>
      </c>
      <c r="C41" s="24">
        <v>4.9000000000000002E-2</v>
      </c>
      <c r="D41" s="1">
        <f t="shared" si="0"/>
        <v>9.8000000000000007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740</v>
      </c>
      <c r="C43" s="24">
        <v>6.0999999999999999E-2</v>
      </c>
      <c r="D43" s="1">
        <f t="shared" si="0"/>
        <v>12.2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741</v>
      </c>
      <c r="C45" s="24">
        <v>0.09</v>
      </c>
      <c r="D45" s="1">
        <f t="shared" si="0"/>
        <v>18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742</v>
      </c>
      <c r="C47" s="24">
        <v>0.05</v>
      </c>
      <c r="D47" s="1">
        <f t="shared" si="0"/>
        <v>10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743</v>
      </c>
      <c r="C49" s="24">
        <v>6.9000000000000006E-2</v>
      </c>
      <c r="D49" s="1">
        <f t="shared" si="0"/>
        <v>13.8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744</v>
      </c>
      <c r="C51" s="24">
        <v>3.0000000000000001E-3</v>
      </c>
      <c r="D51" s="1">
        <f t="shared" si="0"/>
        <v>0.6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746</v>
      </c>
      <c r="C55" s="24">
        <v>0.23699999999999999</v>
      </c>
      <c r="D55" s="1">
        <f t="shared" si="0"/>
        <v>47.4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989</v>
      </c>
      <c r="C57" s="24">
        <v>0.29599999999999999</v>
      </c>
      <c r="D57" s="1">
        <f t="shared" si="0"/>
        <v>59.199999999999996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960</v>
      </c>
      <c r="C59" s="24">
        <v>1E-3</v>
      </c>
      <c r="D59" s="1">
        <f t="shared" si="0"/>
        <v>0.2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747</v>
      </c>
      <c r="C61" s="24">
        <v>2.5999999999999999E-2</v>
      </c>
      <c r="D61" s="1">
        <f t="shared" si="0"/>
        <v>5.2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748</v>
      </c>
      <c r="C63" s="24">
        <v>8.9999999999999993E-3</v>
      </c>
      <c r="D63" s="1">
        <f t="shared" si="0"/>
        <v>1.7999999999999998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749</v>
      </c>
      <c r="C65" s="24">
        <v>1.0999999999999999E-2</v>
      </c>
      <c r="D65" s="1">
        <f t="shared" si="0"/>
        <v>2.1999999999999997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750</v>
      </c>
      <c r="C67" s="24">
        <v>2.3E-2</v>
      </c>
      <c r="D67" s="1">
        <f t="shared" si="0"/>
        <v>4.5999999999999996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759</v>
      </c>
      <c r="C69" s="24">
        <v>2.1999999999999999E-2</v>
      </c>
      <c r="D69" s="1">
        <f t="shared" si="0"/>
        <v>4.3999999999999995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751</v>
      </c>
      <c r="C71" s="30">
        <v>3.4000000000000002E-2</v>
      </c>
      <c r="D71" s="1">
        <f t="shared" si="0"/>
        <v>6.8000000000000007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752</v>
      </c>
      <c r="C73" s="24">
        <v>2E-3</v>
      </c>
      <c r="D73" s="1">
        <f t="shared" si="0"/>
        <v>0.4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753</v>
      </c>
      <c r="C75" s="24">
        <v>3.0000000000000001E-3</v>
      </c>
      <c r="D75" s="1">
        <f t="shared" si="0"/>
        <v>0.6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754</v>
      </c>
      <c r="C77" s="24">
        <v>1E-3</v>
      </c>
      <c r="D77" s="1">
        <f t="shared" si="0"/>
        <v>0.2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755</v>
      </c>
      <c r="C79" s="24">
        <v>4.0000000000000001E-3</v>
      </c>
      <c r="D79" s="1">
        <f t="shared" si="0"/>
        <v>0.8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5" ht="60" x14ac:dyDescent="0.25">
      <c r="A81" s="3"/>
      <c r="B81" s="4" t="s">
        <v>756</v>
      </c>
      <c r="C81" s="24">
        <v>7.0999999999999994E-2</v>
      </c>
      <c r="D81" s="1">
        <f t="shared" si="0"/>
        <v>14.2</v>
      </c>
    </row>
    <row r="82" spans="1:5" x14ac:dyDescent="0.25">
      <c r="A82" s="3">
        <v>5238</v>
      </c>
      <c r="B82" s="4" t="s">
        <v>115</v>
      </c>
      <c r="C82" s="30"/>
      <c r="D82" s="1"/>
    </row>
    <row r="83" spans="1:5" ht="60" x14ac:dyDescent="0.25">
      <c r="A83" s="3"/>
      <c r="B83" s="4" t="s">
        <v>757</v>
      </c>
      <c r="C83" s="24">
        <v>2.1000000000000001E-2</v>
      </c>
      <c r="D83" s="1">
        <f t="shared" si="0"/>
        <v>4.2</v>
      </c>
    </row>
    <row r="84" spans="1:5" x14ac:dyDescent="0.25">
      <c r="A84" s="3">
        <v>5239</v>
      </c>
      <c r="B84" s="68" t="s">
        <v>369</v>
      </c>
      <c r="C84" s="24"/>
      <c r="D84" s="1"/>
    </row>
    <row r="85" spans="1:5" ht="54" customHeight="1" x14ac:dyDescent="0.25">
      <c r="A85" s="3"/>
      <c r="B85" s="4" t="s">
        <v>826</v>
      </c>
      <c r="C85" s="24">
        <v>3.7999999999999999E-2</v>
      </c>
      <c r="D85" s="1">
        <f t="shared" si="0"/>
        <v>7.6</v>
      </c>
      <c r="E85" s="105"/>
    </row>
    <row r="86" spans="1:5" ht="54" customHeight="1" x14ac:dyDescent="0.25">
      <c r="A86" s="3"/>
      <c r="B86" s="31" t="s">
        <v>94</v>
      </c>
      <c r="C86" s="70">
        <f>SUM(C21:C85)</f>
        <v>1.3800999999999994</v>
      </c>
      <c r="D86" s="70">
        <f>SUM(D21:D85)</f>
        <v>276.02</v>
      </c>
    </row>
    <row r="87" spans="1:5" ht="54" customHeight="1" x14ac:dyDescent="0.25">
      <c r="A87" s="33"/>
      <c r="B87" s="34" t="s">
        <v>95</v>
      </c>
      <c r="C87" s="32">
        <f>ROUND(C86+C18,4)</f>
        <v>14.5801</v>
      </c>
      <c r="D87" s="32">
        <f>ROUND(D86+D18,4)</f>
        <v>2916.02</v>
      </c>
    </row>
    <row r="88" spans="1:5" ht="22.5" customHeight="1" x14ac:dyDescent="0.25">
      <c r="A88" s="35"/>
      <c r="B88" s="36"/>
      <c r="C88" s="37"/>
      <c r="D88" s="37"/>
    </row>
    <row r="89" spans="1:5" x14ac:dyDescent="0.25">
      <c r="A89" s="161" t="s">
        <v>96</v>
      </c>
      <c r="B89" s="162"/>
      <c r="C89" s="41">
        <v>200</v>
      </c>
      <c r="D89" s="38"/>
    </row>
    <row r="90" spans="1:5" ht="26.25" customHeight="1" x14ac:dyDescent="0.25">
      <c r="A90" s="161" t="s">
        <v>112</v>
      </c>
      <c r="B90" s="162"/>
      <c r="C90" s="2">
        <f>D87/C89</f>
        <v>14.5801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Footer>&amp;C&amp;P</oddFooter>
  </headerFooter>
  <colBreaks count="1" manualBreakCount="1">
    <brk id="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E90"/>
  <sheetViews>
    <sheetView view="pageBreakPreview" topLeftCell="A65" zoomScale="60" zoomScaleNormal="91" workbookViewId="0">
      <selection activeCell="A89" sqref="A89:B89"/>
    </sheetView>
  </sheetViews>
  <sheetFormatPr defaultRowHeight="15" x14ac:dyDescent="0.25"/>
  <cols>
    <col min="1" max="1" width="10" style="84" customWidth="1"/>
    <col min="2" max="2" width="57.7109375" style="84" customWidth="1"/>
    <col min="3" max="3" width="10.7109375" style="84" customWidth="1"/>
    <col min="4" max="4" width="12.425781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3.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9.75" customHeight="1" x14ac:dyDescent="0.25">
      <c r="A4" s="6"/>
      <c r="B4" s="9"/>
      <c r="C4" s="9"/>
      <c r="D4" s="10"/>
    </row>
    <row r="5" spans="1:4" ht="24" customHeight="1" x14ac:dyDescent="0.25">
      <c r="A5" s="166" t="s">
        <v>255</v>
      </c>
      <c r="B5" s="166"/>
      <c r="C5" s="166"/>
      <c r="D5" s="166"/>
    </row>
    <row r="6" spans="1:4" ht="9.7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990</v>
      </c>
      <c r="C14" s="1">
        <v>6.6</v>
      </c>
      <c r="D14" s="1">
        <f>C14*60</f>
        <v>396</v>
      </c>
    </row>
    <row r="15" spans="1:4" ht="24" x14ac:dyDescent="0.25">
      <c r="A15" s="3">
        <v>1200</v>
      </c>
      <c r="B15" s="23" t="s">
        <v>991</v>
      </c>
      <c r="C15" s="1">
        <f>ROUND(C14*0.2359,2)</f>
        <v>1.56</v>
      </c>
      <c r="D15" s="1">
        <f>C15*60</f>
        <v>93.600000000000009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5" ht="87" customHeight="1" x14ac:dyDescent="0.25">
      <c r="A17" s="3"/>
      <c r="B17" s="23" t="s">
        <v>1579</v>
      </c>
      <c r="C17" s="1">
        <v>0.66</v>
      </c>
      <c r="D17" s="1">
        <f>C17*60</f>
        <v>39.6</v>
      </c>
    </row>
    <row r="18" spans="1:5" x14ac:dyDescent="0.25">
      <c r="A18" s="5"/>
      <c r="B18" s="40" t="s">
        <v>87</v>
      </c>
      <c r="C18" s="32">
        <f>SUM(C13:C17)</f>
        <v>8.82</v>
      </c>
      <c r="D18" s="32">
        <f>SUM(D13:D17)</f>
        <v>529.20000000000005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customHeight="1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ht="12.75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58.5" customHeight="1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ht="15" customHeight="1" x14ac:dyDescent="0.25">
      <c r="A87" s="33"/>
      <c r="B87" s="34" t="s">
        <v>95</v>
      </c>
      <c r="C87" s="32">
        <f>ROUND(C86+C18,4)</f>
        <v>10.200100000000001</v>
      </c>
      <c r="D87" s="32">
        <f>ROUND(D86+D18,4)</f>
        <v>612.00599999999997</v>
      </c>
    </row>
    <row r="88" spans="1:4" ht="25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4" customHeight="1" x14ac:dyDescent="0.25">
      <c r="A90" s="161" t="s">
        <v>112</v>
      </c>
      <c r="B90" s="162"/>
      <c r="C90" s="2">
        <f>D87/C89</f>
        <v>10.200099999999999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  <colBreaks count="1" manualBreakCount="1">
    <brk id="4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E90"/>
  <sheetViews>
    <sheetView view="pageBreakPreview" topLeftCell="A78" zoomScale="60" zoomScaleNormal="100" workbookViewId="0">
      <selection activeCell="A90" sqref="A90:B90"/>
    </sheetView>
  </sheetViews>
  <sheetFormatPr defaultRowHeight="15" x14ac:dyDescent="0.25"/>
  <cols>
    <col min="1" max="1" width="9.5703125" style="84" customWidth="1"/>
    <col min="2" max="2" width="55" style="84" customWidth="1"/>
    <col min="3" max="3" width="11.5703125" style="84" customWidth="1"/>
    <col min="4" max="4" width="11.7109375" style="84" customWidth="1"/>
    <col min="5" max="5" width="13.140625" style="84" customWidth="1"/>
    <col min="6" max="6" width="12.85546875" style="84" customWidth="1"/>
    <col min="7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1.2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10.5" customHeight="1" x14ac:dyDescent="0.25">
      <c r="A4" s="6"/>
      <c r="B4" s="9"/>
      <c r="C4" s="9"/>
      <c r="D4" s="10"/>
    </row>
    <row r="5" spans="1:4" ht="28.5" customHeight="1" x14ac:dyDescent="0.25">
      <c r="A5" s="166" t="s">
        <v>254</v>
      </c>
      <c r="B5" s="166"/>
      <c r="C5" s="166"/>
      <c r="D5" s="166"/>
    </row>
    <row r="6" spans="1:4" ht="12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108" x14ac:dyDescent="0.25">
      <c r="A14" s="5"/>
      <c r="B14" s="83" t="s">
        <v>1015</v>
      </c>
      <c r="C14" s="1">
        <v>6.6</v>
      </c>
      <c r="D14" s="1">
        <f>C14*60</f>
        <v>396</v>
      </c>
    </row>
    <row r="15" spans="1:4" ht="24" x14ac:dyDescent="0.25">
      <c r="A15" s="5">
        <v>1200</v>
      </c>
      <c r="B15" s="23" t="s">
        <v>1016</v>
      </c>
      <c r="C15" s="1">
        <f>ROUND(C14*0.2359,2)</f>
        <v>1.56</v>
      </c>
      <c r="D15" s="1">
        <f>C15*60</f>
        <v>93.600000000000009</v>
      </c>
    </row>
    <row r="16" spans="1:4" x14ac:dyDescent="0.25">
      <c r="A16" s="5">
        <v>2341</v>
      </c>
      <c r="B16" s="5" t="s">
        <v>97</v>
      </c>
      <c r="C16" s="39"/>
      <c r="D16" s="39"/>
    </row>
    <row r="17" spans="1:5" ht="99.75" customHeight="1" x14ac:dyDescent="0.25">
      <c r="A17" s="5"/>
      <c r="B17" s="23" t="s">
        <v>1568</v>
      </c>
      <c r="C17" s="1">
        <v>5.5</v>
      </c>
      <c r="D17" s="1">
        <f>C17*60</f>
        <v>330</v>
      </c>
    </row>
    <row r="18" spans="1:5" x14ac:dyDescent="0.25">
      <c r="A18" s="5"/>
      <c r="B18" s="40" t="s">
        <v>87</v>
      </c>
      <c r="C18" s="32">
        <f>SUM(C13:C17)</f>
        <v>13.66</v>
      </c>
      <c r="D18" s="32">
        <f>SUM(D13:D17)</f>
        <v>819.6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5" ht="26.25" customHeight="1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ht="14.45" customHeight="1" x14ac:dyDescent="0.25">
      <c r="A87" s="33"/>
      <c r="B87" s="34" t="s">
        <v>95</v>
      </c>
      <c r="C87" s="32">
        <f>ROUND(C86+C18,4)</f>
        <v>15.040100000000001</v>
      </c>
      <c r="D87" s="32">
        <f>ROUND(D86+D18,4)</f>
        <v>902.40599999999995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6.25" customHeight="1" x14ac:dyDescent="0.25">
      <c r="A90" s="161" t="s">
        <v>112</v>
      </c>
      <c r="B90" s="162"/>
      <c r="C90" s="2">
        <f>D87/C89</f>
        <v>15.040099999999999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F91"/>
  <sheetViews>
    <sheetView view="pageBreakPreview" zoomScale="60" zoomScaleNormal="100" workbookViewId="0">
      <selection activeCell="B18" sqref="B18"/>
    </sheetView>
  </sheetViews>
  <sheetFormatPr defaultRowHeight="15" x14ac:dyDescent="0.25"/>
  <cols>
    <col min="1" max="1" width="9.140625" style="84"/>
    <col min="2" max="2" width="58.85546875" style="84" customWidth="1"/>
    <col min="3" max="3" width="12.42578125" style="84" customWidth="1"/>
    <col min="4" max="4" width="13.5703125" style="84" customWidth="1"/>
    <col min="5" max="5" width="9.140625" style="84"/>
    <col min="6" max="6" width="12.140625" style="84" customWidth="1"/>
    <col min="7" max="16384" width="9.140625" style="84"/>
  </cols>
  <sheetData>
    <row r="1" spans="1:5" x14ac:dyDescent="0.25">
      <c r="A1" s="167" t="s">
        <v>78</v>
      </c>
      <c r="B1" s="167"/>
      <c r="C1" s="167"/>
      <c r="D1" s="167"/>
    </row>
    <row r="2" spans="1:5" x14ac:dyDescent="0.25">
      <c r="A2" s="45"/>
      <c r="B2" s="45"/>
      <c r="C2" s="168"/>
      <c r="D2" s="169"/>
    </row>
    <row r="3" spans="1:5" x14ac:dyDescent="0.25">
      <c r="A3" s="46" t="s">
        <v>110</v>
      </c>
      <c r="B3" s="47"/>
      <c r="C3" s="47"/>
      <c r="D3" s="47"/>
    </row>
    <row r="4" spans="1:5" x14ac:dyDescent="0.25">
      <c r="A4" s="45"/>
      <c r="B4" s="11"/>
      <c r="C4" s="11"/>
      <c r="D4" s="44"/>
    </row>
    <row r="5" spans="1:5" ht="40.5" customHeight="1" x14ac:dyDescent="0.25">
      <c r="A5" s="166" t="s">
        <v>253</v>
      </c>
      <c r="B5" s="166"/>
      <c r="C5" s="166"/>
      <c r="D5" s="166"/>
    </row>
    <row r="6" spans="1:5" x14ac:dyDescent="0.25">
      <c r="A6" s="49"/>
      <c r="B6" s="11"/>
      <c r="C6" s="11"/>
      <c r="D6" s="44"/>
    </row>
    <row r="7" spans="1:5" x14ac:dyDescent="0.25">
      <c r="A7" s="158" t="s">
        <v>111</v>
      </c>
      <c r="B7" s="159"/>
      <c r="C7" s="11"/>
      <c r="D7" s="44"/>
    </row>
    <row r="8" spans="1:5" x14ac:dyDescent="0.25">
      <c r="A8" s="49"/>
      <c r="B8" s="79"/>
      <c r="C8" s="11"/>
      <c r="D8" s="44"/>
    </row>
    <row r="9" spans="1:5" x14ac:dyDescent="0.25">
      <c r="A9" s="170" t="s">
        <v>103</v>
      </c>
      <c r="B9" s="170"/>
      <c r="C9" s="48"/>
      <c r="D9" s="44"/>
    </row>
    <row r="10" spans="1:5" x14ac:dyDescent="0.25">
      <c r="A10" s="45"/>
      <c r="B10" s="36"/>
      <c r="C10" s="48"/>
      <c r="D10" s="44"/>
    </row>
    <row r="11" spans="1:5" ht="96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5" x14ac:dyDescent="0.25">
      <c r="A12" s="15">
        <v>1</v>
      </c>
      <c r="B12" s="16">
        <v>2</v>
      </c>
      <c r="C12" s="15">
        <v>3</v>
      </c>
      <c r="D12" s="15">
        <v>4</v>
      </c>
    </row>
    <row r="13" spans="1:5" x14ac:dyDescent="0.25">
      <c r="A13" s="15"/>
      <c r="B13" s="31" t="s">
        <v>84</v>
      </c>
      <c r="C13" s="19"/>
      <c r="D13" s="19"/>
    </row>
    <row r="14" spans="1:5" x14ac:dyDescent="0.25">
      <c r="A14" s="42">
        <v>1100</v>
      </c>
      <c r="B14" s="43" t="s">
        <v>85</v>
      </c>
      <c r="C14" s="22"/>
      <c r="D14" s="22"/>
    </row>
    <row r="15" spans="1:5" ht="96" x14ac:dyDescent="0.25">
      <c r="A15" s="3"/>
      <c r="B15" s="81" t="s">
        <v>986</v>
      </c>
      <c r="C15" s="1">
        <v>6.6</v>
      </c>
      <c r="D15" s="1">
        <f>C15*20</f>
        <v>132</v>
      </c>
    </row>
    <row r="16" spans="1:5" ht="24" x14ac:dyDescent="0.25">
      <c r="A16" s="3">
        <v>1200</v>
      </c>
      <c r="B16" s="4" t="s">
        <v>1017</v>
      </c>
      <c r="C16" s="1">
        <f>ROUND(C15*0.2359,2)</f>
        <v>1.56</v>
      </c>
      <c r="D16" s="1">
        <f t="shared" ref="D16:D18" si="0">C16*20</f>
        <v>31.200000000000003</v>
      </c>
      <c r="E16" s="105"/>
    </row>
    <row r="17" spans="1:6" x14ac:dyDescent="0.25">
      <c r="A17" s="3">
        <v>2341</v>
      </c>
      <c r="B17" s="3" t="s">
        <v>116</v>
      </c>
      <c r="C17" s="24"/>
      <c r="D17" s="1"/>
    </row>
    <row r="18" spans="1:6" ht="112.5" customHeight="1" x14ac:dyDescent="0.25">
      <c r="A18" s="3"/>
      <c r="B18" s="4" t="s">
        <v>1578</v>
      </c>
      <c r="C18" s="1">
        <v>4.6500000000000004</v>
      </c>
      <c r="D18" s="1">
        <f t="shared" si="0"/>
        <v>93</v>
      </c>
      <c r="E18" s="105"/>
      <c r="F18" s="105"/>
    </row>
    <row r="19" spans="1:6" x14ac:dyDescent="0.25">
      <c r="A19" s="34"/>
      <c r="B19" s="40" t="s">
        <v>87</v>
      </c>
      <c r="C19" s="32">
        <f>SUM(C14:C18)</f>
        <v>12.81</v>
      </c>
      <c r="D19" s="32">
        <f>SUM(D14:D18)</f>
        <v>256.2</v>
      </c>
      <c r="E19" s="107"/>
    </row>
    <row r="20" spans="1:6" x14ac:dyDescent="0.25">
      <c r="A20" s="27"/>
      <c r="B20" s="103" t="s">
        <v>88</v>
      </c>
      <c r="C20" s="28"/>
      <c r="D20" s="28"/>
    </row>
    <row r="21" spans="1:6" x14ac:dyDescent="0.25">
      <c r="A21" s="3">
        <v>2100</v>
      </c>
      <c r="B21" s="69" t="s">
        <v>370</v>
      </c>
      <c r="C21" s="28"/>
      <c r="D21" s="28"/>
    </row>
    <row r="22" spans="1:6" ht="60" x14ac:dyDescent="0.25">
      <c r="A22" s="27"/>
      <c r="B22" s="4" t="s">
        <v>776</v>
      </c>
      <c r="C22" s="24">
        <v>2.1000000000000001E-2</v>
      </c>
      <c r="D22" s="1">
        <f>C22*20</f>
        <v>0.42000000000000004</v>
      </c>
    </row>
    <row r="23" spans="1:6" x14ac:dyDescent="0.25">
      <c r="A23" s="3">
        <v>2210</v>
      </c>
      <c r="B23" s="4" t="s">
        <v>354</v>
      </c>
      <c r="C23" s="24"/>
      <c r="D23" s="1"/>
    </row>
    <row r="24" spans="1:6" ht="60" x14ac:dyDescent="0.25">
      <c r="A24" s="3"/>
      <c r="B24" s="4" t="s">
        <v>777</v>
      </c>
      <c r="C24" s="24">
        <v>2.1000000000000001E-2</v>
      </c>
      <c r="D24" s="1">
        <f t="shared" ref="D24:D86" si="1">C24*20</f>
        <v>0.42000000000000004</v>
      </c>
    </row>
    <row r="25" spans="1:6" x14ac:dyDescent="0.25">
      <c r="A25" s="3">
        <v>2221</v>
      </c>
      <c r="B25" s="4" t="s">
        <v>89</v>
      </c>
      <c r="C25" s="1"/>
      <c r="D25" s="1"/>
    </row>
    <row r="26" spans="1:6" ht="60" x14ac:dyDescent="0.25">
      <c r="A26" s="3"/>
      <c r="B26" s="4" t="s">
        <v>778</v>
      </c>
      <c r="C26" s="24">
        <v>5.1999999999999998E-2</v>
      </c>
      <c r="D26" s="1">
        <f t="shared" si="1"/>
        <v>1.04</v>
      </c>
    </row>
    <row r="27" spans="1:6" x14ac:dyDescent="0.25">
      <c r="A27" s="3">
        <v>2222</v>
      </c>
      <c r="B27" s="67" t="s">
        <v>90</v>
      </c>
      <c r="C27" s="1"/>
      <c r="D27" s="1"/>
    </row>
    <row r="28" spans="1:6" ht="60" x14ac:dyDescent="0.25">
      <c r="A28" s="3"/>
      <c r="B28" s="4" t="s">
        <v>779</v>
      </c>
      <c r="C28" s="24">
        <f>ROUND(38.69/9509,4)</f>
        <v>4.1000000000000003E-3</v>
      </c>
      <c r="D28" s="1">
        <f t="shared" si="1"/>
        <v>8.2000000000000003E-2</v>
      </c>
    </row>
    <row r="29" spans="1:6" x14ac:dyDescent="0.25">
      <c r="A29" s="3">
        <v>2223</v>
      </c>
      <c r="B29" s="3" t="s">
        <v>91</v>
      </c>
      <c r="C29" s="24"/>
      <c r="D29" s="1"/>
    </row>
    <row r="30" spans="1:6" ht="60" x14ac:dyDescent="0.25">
      <c r="A30" s="3"/>
      <c r="B30" s="4" t="s">
        <v>780</v>
      </c>
      <c r="C30" s="24">
        <v>9.4E-2</v>
      </c>
      <c r="D30" s="1">
        <f t="shared" si="1"/>
        <v>1.88</v>
      </c>
    </row>
    <row r="31" spans="1:6" ht="24" x14ac:dyDescent="0.25">
      <c r="A31" s="3">
        <v>2224</v>
      </c>
      <c r="B31" s="4" t="s">
        <v>114</v>
      </c>
      <c r="C31" s="24"/>
      <c r="D31" s="1"/>
    </row>
    <row r="32" spans="1:6" ht="60" x14ac:dyDescent="0.25">
      <c r="A32" s="3"/>
      <c r="B32" s="4" t="s">
        <v>781</v>
      </c>
      <c r="C32" s="24">
        <v>1.4999999999999999E-2</v>
      </c>
      <c r="D32" s="1">
        <f t="shared" si="1"/>
        <v>0.3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782</v>
      </c>
      <c r="C34" s="24">
        <v>2.5999999999999999E-2</v>
      </c>
      <c r="D34" s="1">
        <f t="shared" si="1"/>
        <v>0.52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783</v>
      </c>
      <c r="C36" s="24">
        <v>7.0000000000000001E-3</v>
      </c>
      <c r="D36" s="1">
        <f t="shared" si="1"/>
        <v>0.14000000000000001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784</v>
      </c>
      <c r="C38" s="24">
        <v>0.01</v>
      </c>
      <c r="D38" s="1">
        <f t="shared" si="1"/>
        <v>0.2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785</v>
      </c>
      <c r="C40" s="24">
        <v>7.0000000000000001E-3</v>
      </c>
      <c r="D40" s="1">
        <f t="shared" si="1"/>
        <v>0.14000000000000001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786</v>
      </c>
      <c r="C42" s="24">
        <v>4.9000000000000002E-2</v>
      </c>
      <c r="D42" s="1">
        <f t="shared" si="1"/>
        <v>0.98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787</v>
      </c>
      <c r="C44" s="24">
        <v>6.0999999999999999E-2</v>
      </c>
      <c r="D44" s="1">
        <f t="shared" si="1"/>
        <v>1.22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788</v>
      </c>
      <c r="C46" s="24">
        <v>0.09</v>
      </c>
      <c r="D46" s="1">
        <f t="shared" si="1"/>
        <v>1.7999999999999998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6.75" customHeight="1" x14ac:dyDescent="0.25">
      <c r="A48" s="3"/>
      <c r="B48" s="4" t="s">
        <v>789</v>
      </c>
      <c r="C48" s="24">
        <v>0.05</v>
      </c>
      <c r="D48" s="1">
        <f t="shared" si="1"/>
        <v>1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60" x14ac:dyDescent="0.25">
      <c r="A50" s="29"/>
      <c r="B50" s="4" t="s">
        <v>790</v>
      </c>
      <c r="C50" s="24">
        <v>6.9000000000000006E-2</v>
      </c>
      <c r="D50" s="1">
        <f t="shared" si="1"/>
        <v>1.3800000000000001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791</v>
      </c>
      <c r="C52" s="24">
        <v>3.0000000000000001E-3</v>
      </c>
      <c r="D52" s="1">
        <f t="shared" si="1"/>
        <v>0.06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65.25" customHeight="1" x14ac:dyDescent="0.25">
      <c r="A54" s="29"/>
      <c r="B54" s="4" t="s">
        <v>844</v>
      </c>
      <c r="C54" s="24">
        <v>2E-3</v>
      </c>
      <c r="D54" s="1">
        <f t="shared" si="1"/>
        <v>0.04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57" customHeight="1" x14ac:dyDescent="0.25">
      <c r="A56" s="3"/>
      <c r="B56" s="4" t="s">
        <v>772</v>
      </c>
      <c r="C56" s="24">
        <v>0.23699999999999999</v>
      </c>
      <c r="D56" s="1">
        <f t="shared" si="1"/>
        <v>4.74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963</v>
      </c>
      <c r="C58" s="24">
        <v>0.29599999999999999</v>
      </c>
      <c r="D58" s="1">
        <f t="shared" si="1"/>
        <v>5.92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961</v>
      </c>
      <c r="C60" s="24">
        <v>1E-3</v>
      </c>
      <c r="D60" s="1">
        <f t="shared" si="1"/>
        <v>0.02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775</v>
      </c>
      <c r="C62" s="24">
        <v>2.5999999999999999E-2</v>
      </c>
      <c r="D62" s="1">
        <f t="shared" si="1"/>
        <v>0.52</v>
      </c>
    </row>
    <row r="63" spans="1:4" ht="15.75" customHeight="1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770</v>
      </c>
      <c r="C64" s="24">
        <v>8.9999999999999993E-3</v>
      </c>
      <c r="D64" s="1">
        <f t="shared" si="1"/>
        <v>0.18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771</v>
      </c>
      <c r="C66" s="24">
        <v>1.0999999999999999E-2</v>
      </c>
      <c r="D66" s="1">
        <f t="shared" si="1"/>
        <v>0.21999999999999997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769</v>
      </c>
      <c r="C68" s="24">
        <v>2.3E-2</v>
      </c>
      <c r="D68" s="1">
        <f t="shared" si="1"/>
        <v>0.45999999999999996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768</v>
      </c>
      <c r="C70" s="24">
        <v>2.1999999999999999E-2</v>
      </c>
      <c r="D70" s="1">
        <f t="shared" si="1"/>
        <v>0.43999999999999995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767</v>
      </c>
      <c r="C72" s="30">
        <v>3.4000000000000002E-2</v>
      </c>
      <c r="D72" s="1">
        <f>C72*20</f>
        <v>0.68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63" customHeight="1" x14ac:dyDescent="0.25">
      <c r="A74" s="3"/>
      <c r="B74" s="4" t="s">
        <v>766</v>
      </c>
      <c r="C74" s="24">
        <v>2E-3</v>
      </c>
      <c r="D74" s="1">
        <f t="shared" si="1"/>
        <v>0.04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765</v>
      </c>
      <c r="C76" s="24">
        <v>3.0000000000000001E-3</v>
      </c>
      <c r="D76" s="1">
        <f t="shared" si="1"/>
        <v>0.06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764</v>
      </c>
      <c r="C78" s="24">
        <v>1E-3</v>
      </c>
      <c r="D78" s="1">
        <f t="shared" si="1"/>
        <v>0.02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763</v>
      </c>
      <c r="C80" s="24">
        <v>4.0000000000000001E-3</v>
      </c>
      <c r="D80" s="1">
        <f t="shared" si="1"/>
        <v>0.08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762</v>
      </c>
      <c r="C82" s="24">
        <v>7.0999999999999994E-2</v>
      </c>
      <c r="D82" s="1">
        <f t="shared" si="1"/>
        <v>1.42</v>
      </c>
    </row>
    <row r="83" spans="1:4" ht="14.25" customHeight="1" x14ac:dyDescent="0.25">
      <c r="A83" s="3">
        <v>5238</v>
      </c>
      <c r="B83" s="4" t="s">
        <v>115</v>
      </c>
      <c r="C83" s="30"/>
      <c r="D83" s="1"/>
    </row>
    <row r="84" spans="1:4" ht="65.25" customHeight="1" x14ac:dyDescent="0.25">
      <c r="A84" s="3"/>
      <c r="B84" s="4" t="s">
        <v>761</v>
      </c>
      <c r="C84" s="24">
        <v>2.1000000000000001E-2</v>
      </c>
      <c r="D84" s="1">
        <f t="shared" si="1"/>
        <v>0.42000000000000004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760</v>
      </c>
      <c r="C86" s="24">
        <v>3.7999999999999999E-2</v>
      </c>
      <c r="D86" s="1">
        <f t="shared" si="1"/>
        <v>0.76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27.602</v>
      </c>
    </row>
    <row r="88" spans="1:4" ht="14.45" customHeight="1" x14ac:dyDescent="0.25">
      <c r="A88" s="33"/>
      <c r="B88" s="34" t="s">
        <v>95</v>
      </c>
      <c r="C88" s="32">
        <f>ROUND(C87+C19,4)</f>
        <v>14.190099999999999</v>
      </c>
      <c r="D88" s="32">
        <f>ROUND(D87+D19,4)</f>
        <v>283.80200000000002</v>
      </c>
    </row>
    <row r="89" spans="1:4" ht="27.7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20</v>
      </c>
      <c r="D90" s="38"/>
    </row>
    <row r="91" spans="1:4" ht="23.25" customHeight="1" x14ac:dyDescent="0.25">
      <c r="A91" s="161" t="s">
        <v>112</v>
      </c>
      <c r="B91" s="162"/>
      <c r="C91" s="2">
        <f>D88/C90</f>
        <v>14.190100000000001</v>
      </c>
      <c r="D91" s="38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G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10" style="84" customWidth="1"/>
    <col min="2" max="2" width="57.85546875" style="84" customWidth="1"/>
    <col min="3" max="3" width="12" style="84" customWidth="1"/>
    <col min="4" max="4" width="11.85546875" style="84" customWidth="1"/>
    <col min="5" max="6" width="9.140625" style="84"/>
    <col min="7" max="7" width="13.140625" style="84" customWidth="1"/>
    <col min="8" max="16384" width="9.140625" style="84"/>
  </cols>
  <sheetData>
    <row r="1" spans="1:4" x14ac:dyDescent="0.25">
      <c r="A1" s="167" t="s">
        <v>78</v>
      </c>
      <c r="B1" s="167"/>
      <c r="C1" s="167"/>
      <c r="D1" s="36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39" customHeight="1" x14ac:dyDescent="0.25">
      <c r="A5" s="166" t="s">
        <v>252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12" customHeight="1" x14ac:dyDescent="0.25">
      <c r="A8" s="49"/>
      <c r="B8" s="79"/>
      <c r="C8" s="11"/>
      <c r="D8" s="44"/>
    </row>
    <row r="9" spans="1:4" x14ac:dyDescent="0.25">
      <c r="A9" s="170" t="s">
        <v>102</v>
      </c>
      <c r="B9" s="170"/>
      <c r="C9" s="48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20" customHeight="1" x14ac:dyDescent="0.25">
      <c r="A14" s="3"/>
      <c r="B14" s="81" t="s">
        <v>1018</v>
      </c>
      <c r="C14" s="1">
        <v>6.6</v>
      </c>
      <c r="D14" s="1">
        <f>C14*100</f>
        <v>660</v>
      </c>
    </row>
    <row r="15" spans="1:4" ht="24" x14ac:dyDescent="0.25">
      <c r="A15" s="3">
        <v>1200</v>
      </c>
      <c r="B15" s="4" t="s">
        <v>1017</v>
      </c>
      <c r="C15" s="1">
        <f>ROUND(C14*0.2359,2)</f>
        <v>1.56</v>
      </c>
      <c r="D15" s="1">
        <f>C15*100</f>
        <v>156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7" ht="120" x14ac:dyDescent="0.25">
      <c r="A17" s="3"/>
      <c r="B17" s="4" t="s">
        <v>1577</v>
      </c>
      <c r="C17" s="1">
        <v>17.47</v>
      </c>
      <c r="D17" s="1">
        <f>C17*100</f>
        <v>1747</v>
      </c>
      <c r="E17" s="105"/>
      <c r="F17" s="105"/>
      <c r="G17" s="105"/>
    </row>
    <row r="18" spans="1:7" x14ac:dyDescent="0.25">
      <c r="A18" s="34"/>
      <c r="B18" s="40" t="s">
        <v>87</v>
      </c>
      <c r="C18" s="32">
        <f>SUM(C13:C17)</f>
        <v>25.63</v>
      </c>
      <c r="D18" s="32">
        <f>SUM(D13:D17)</f>
        <v>2563</v>
      </c>
      <c r="E18" s="107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7" ht="21.75" customHeight="1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3" customHeight="1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967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962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>
        <f t="shared" si="0"/>
        <v>0</v>
      </c>
    </row>
    <row r="79" spans="1:4" ht="62.25" customHeight="1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ht="15" customHeight="1" x14ac:dyDescent="0.25">
      <c r="A87" s="33"/>
      <c r="B87" s="34" t="s">
        <v>95</v>
      </c>
      <c r="C87" s="32">
        <f>ROUND(C86+C18,4)</f>
        <v>27.010100000000001</v>
      </c>
      <c r="D87" s="32">
        <f>ROUND(D86+D18,4)</f>
        <v>2701.01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100</v>
      </c>
      <c r="D89" s="38"/>
    </row>
    <row r="90" spans="1:4" ht="24" customHeight="1" x14ac:dyDescent="0.25">
      <c r="A90" s="161" t="s">
        <v>112</v>
      </c>
      <c r="B90" s="162"/>
      <c r="C90" s="2">
        <f>D87/C89</f>
        <v>27.010100000000001</v>
      </c>
      <c r="D90" s="38"/>
    </row>
  </sheetData>
  <mergeCells count="7">
    <mergeCell ref="A89:B89"/>
    <mergeCell ref="A90:B90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  <colBreaks count="1" manualBreakCount="1">
    <brk id="4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G90"/>
  <sheetViews>
    <sheetView view="pageBreakPreview" topLeftCell="A65" zoomScale="60" zoomScaleNormal="100" workbookViewId="0">
      <selection activeCell="A90" sqref="A90:B90"/>
    </sheetView>
  </sheetViews>
  <sheetFormatPr defaultRowHeight="15" x14ac:dyDescent="0.25"/>
  <cols>
    <col min="1" max="1" width="9" style="84" customWidth="1"/>
    <col min="2" max="2" width="58.85546875" style="84" customWidth="1"/>
    <col min="3" max="3" width="11.85546875" style="84" customWidth="1"/>
    <col min="4" max="4" width="12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9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13.5" customHeight="1" x14ac:dyDescent="0.25">
      <c r="A4" s="45"/>
      <c r="B4" s="11"/>
      <c r="C4" s="11"/>
      <c r="D4" s="44"/>
    </row>
    <row r="5" spans="1:4" ht="36.75" customHeight="1" x14ac:dyDescent="0.25">
      <c r="A5" s="166" t="s">
        <v>251</v>
      </c>
      <c r="B5" s="166"/>
      <c r="C5" s="166"/>
      <c r="D5" s="166"/>
    </row>
    <row r="6" spans="1:4" ht="10.5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8.25" customHeight="1" x14ac:dyDescent="0.25">
      <c r="A8" s="49"/>
      <c r="B8" s="79"/>
      <c r="C8" s="11"/>
      <c r="D8" s="44"/>
    </row>
    <row r="9" spans="1:4" x14ac:dyDescent="0.25">
      <c r="A9" s="170" t="s">
        <v>102</v>
      </c>
      <c r="B9" s="170"/>
      <c r="C9" s="48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1019</v>
      </c>
      <c r="C14" s="1">
        <v>6.6</v>
      </c>
      <c r="D14" s="1">
        <f>C14*100</f>
        <v>660</v>
      </c>
    </row>
    <row r="15" spans="1:4" ht="24" x14ac:dyDescent="0.25">
      <c r="A15" s="3">
        <v>1200</v>
      </c>
      <c r="B15" s="4" t="s">
        <v>1017</v>
      </c>
      <c r="C15" s="1">
        <f>ROUND(C14*0.2359,2)</f>
        <v>1.56</v>
      </c>
      <c r="D15" s="1">
        <f>C15*100</f>
        <v>156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7" ht="114" customHeight="1" x14ac:dyDescent="0.25">
      <c r="A17" s="3"/>
      <c r="B17" s="4" t="s">
        <v>1576</v>
      </c>
      <c r="C17" s="1">
        <v>14.93</v>
      </c>
      <c r="D17" s="1">
        <f>C17*100</f>
        <v>1493</v>
      </c>
      <c r="E17" s="105"/>
      <c r="F17" s="105"/>
      <c r="G17" s="105"/>
    </row>
    <row r="18" spans="1:7" x14ac:dyDescent="0.25">
      <c r="A18" s="34"/>
      <c r="B18" s="40" t="s">
        <v>87</v>
      </c>
      <c r="C18" s="32">
        <f>SUM(C13:C17)</f>
        <v>23.09</v>
      </c>
      <c r="D18" s="32">
        <f>SUM(D13:D17)</f>
        <v>2309</v>
      </c>
      <c r="E18" s="107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48" customHeight="1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48" customHeight="1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48" customHeight="1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48" customHeight="1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48" customHeight="1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48" customHeight="1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customHeight="1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customHeight="1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customHeight="1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customHeight="1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customHeight="1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customHeight="1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customHeight="1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customHeight="1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customHeight="1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customHeight="1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customHeight="1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customHeight="1" x14ac:dyDescent="0.25">
      <c r="A57" s="3"/>
      <c r="B57" s="4" t="s">
        <v>967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customHeight="1" x14ac:dyDescent="0.25">
      <c r="A59" s="3"/>
      <c r="B59" s="4" t="s">
        <v>962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customHeight="1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customHeight="1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customHeight="1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customHeight="1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customHeight="1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customHeight="1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customHeight="1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customHeight="1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customHeight="1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>
        <f t="shared" si="0"/>
        <v>0</v>
      </c>
    </row>
    <row r="79" spans="1:4" ht="48" customHeight="1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customHeight="1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customHeight="1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ht="15" customHeight="1" x14ac:dyDescent="0.25">
      <c r="A87" s="33"/>
      <c r="B87" s="34" t="s">
        <v>95</v>
      </c>
      <c r="C87" s="32">
        <f>ROUND(C86+C18,4)</f>
        <v>24.470099999999999</v>
      </c>
      <c r="D87" s="32">
        <f>ROUND(D86+D18,4)</f>
        <v>2447.0100000000002</v>
      </c>
    </row>
    <row r="88" spans="1:4" ht="26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100</v>
      </c>
      <c r="D89" s="38"/>
    </row>
    <row r="90" spans="1:4" ht="21" customHeight="1" x14ac:dyDescent="0.25">
      <c r="A90" s="161" t="s">
        <v>112</v>
      </c>
      <c r="B90" s="162"/>
      <c r="C90" s="2">
        <f>D87/C89</f>
        <v>24.470100000000002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  <colBreaks count="1" manualBreakCount="1">
    <brk id="4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N90"/>
  <sheetViews>
    <sheetView view="pageBreakPreview" topLeftCell="A75" zoomScale="60" zoomScaleNormal="100" workbookViewId="0">
      <selection activeCell="C17" sqref="C17"/>
    </sheetView>
  </sheetViews>
  <sheetFormatPr defaultRowHeight="15" x14ac:dyDescent="0.25"/>
  <cols>
    <col min="1" max="1" width="9.140625" style="84"/>
    <col min="2" max="2" width="54.7109375" style="84" customWidth="1"/>
    <col min="3" max="3" width="11.42578125" style="84" customWidth="1"/>
    <col min="4" max="4" width="15.7109375" style="84" customWidth="1"/>
    <col min="5" max="5" width="22" style="84" customWidth="1"/>
    <col min="6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11.25" customHeight="1" x14ac:dyDescent="0.25">
      <c r="A2" s="45"/>
      <c r="B2" s="45"/>
      <c r="C2" s="63"/>
      <c r="D2" s="63"/>
    </row>
    <row r="3" spans="1:4" x14ac:dyDescent="0.25">
      <c r="A3" s="46" t="s">
        <v>110</v>
      </c>
      <c r="B3" s="47"/>
      <c r="C3" s="47"/>
      <c r="D3" s="47"/>
    </row>
    <row r="4" spans="1:4" ht="11.25" customHeight="1" x14ac:dyDescent="0.25">
      <c r="A4" s="45"/>
      <c r="B4" s="11"/>
      <c r="C4" s="11"/>
      <c r="D4" s="11"/>
    </row>
    <row r="5" spans="1:4" ht="40.5" customHeight="1" x14ac:dyDescent="0.25">
      <c r="A5" s="166" t="s">
        <v>250</v>
      </c>
      <c r="B5" s="166"/>
      <c r="C5" s="166"/>
      <c r="D5" s="166"/>
    </row>
    <row r="6" spans="1:4" ht="10.5" customHeight="1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ht="9" customHeight="1" x14ac:dyDescent="0.25">
      <c r="A8" s="49"/>
      <c r="B8" s="79"/>
      <c r="C8" s="11"/>
      <c r="D8" s="11"/>
    </row>
    <row r="9" spans="1:4" x14ac:dyDescent="0.25">
      <c r="A9" s="170" t="s">
        <v>103</v>
      </c>
      <c r="B9" s="170"/>
      <c r="C9" s="48"/>
      <c r="D9" s="48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1020</v>
      </c>
      <c r="C14" s="1">
        <v>6.6</v>
      </c>
      <c r="D14" s="22">
        <f>C14*20</f>
        <v>132</v>
      </c>
    </row>
    <row r="15" spans="1:4" ht="24" x14ac:dyDescent="0.25">
      <c r="A15" s="3">
        <v>1200</v>
      </c>
      <c r="B15" s="4" t="s">
        <v>1017</v>
      </c>
      <c r="C15" s="1">
        <f>ROUND(C14*0.2359,2)</f>
        <v>1.56</v>
      </c>
      <c r="D15" s="22">
        <f>C15*20</f>
        <v>31.200000000000003</v>
      </c>
    </row>
    <row r="16" spans="1:4" x14ac:dyDescent="0.25">
      <c r="A16" s="3">
        <v>2341</v>
      </c>
      <c r="B16" s="3" t="s">
        <v>97</v>
      </c>
      <c r="C16" s="24"/>
      <c r="D16" s="22"/>
    </row>
    <row r="17" spans="1:14" ht="114" customHeight="1" x14ac:dyDescent="0.25">
      <c r="A17" s="3"/>
      <c r="B17" s="4" t="s">
        <v>1653</v>
      </c>
      <c r="C17" s="1">
        <v>9.81</v>
      </c>
      <c r="D17" s="22">
        <f>C17*20</f>
        <v>196.20000000000002</v>
      </c>
      <c r="E17" s="104"/>
      <c r="F17" s="105"/>
      <c r="G17" s="105"/>
      <c r="H17" s="105"/>
      <c r="I17" s="105"/>
      <c r="J17" s="105"/>
      <c r="K17" s="105"/>
      <c r="L17" s="105"/>
      <c r="M17" s="105"/>
      <c r="N17" s="105"/>
    </row>
    <row r="18" spans="1:14" x14ac:dyDescent="0.25">
      <c r="A18" s="3"/>
      <c r="B18" s="40" t="s">
        <v>87</v>
      </c>
      <c r="C18" s="32">
        <f>SUM(C13:C17)</f>
        <v>17.97</v>
      </c>
      <c r="D18" s="32">
        <f>SUM(D13:D17)</f>
        <v>359.4</v>
      </c>
    </row>
    <row r="19" spans="1:14" x14ac:dyDescent="0.25">
      <c r="A19" s="27"/>
      <c r="B19" s="103" t="s">
        <v>88</v>
      </c>
      <c r="C19" s="28"/>
      <c r="D19" s="28"/>
    </row>
    <row r="20" spans="1:14" x14ac:dyDescent="0.25">
      <c r="A20" s="3">
        <v>2100</v>
      </c>
      <c r="B20" s="69" t="s">
        <v>370</v>
      </c>
      <c r="C20" s="28"/>
      <c r="D20" s="28"/>
    </row>
    <row r="21" spans="1:14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14" x14ac:dyDescent="0.25">
      <c r="A22" s="3">
        <v>2210</v>
      </c>
      <c r="B22" s="4" t="s">
        <v>354</v>
      </c>
      <c r="C22" s="24"/>
      <c r="D22" s="1"/>
    </row>
    <row r="23" spans="1:14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14" x14ac:dyDescent="0.25">
      <c r="A24" s="3">
        <v>2221</v>
      </c>
      <c r="B24" s="4" t="s">
        <v>89</v>
      </c>
      <c r="C24" s="1"/>
      <c r="D24" s="1"/>
    </row>
    <row r="25" spans="1:14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14" x14ac:dyDescent="0.25">
      <c r="A26" s="3">
        <v>2222</v>
      </c>
      <c r="B26" s="67" t="s">
        <v>90</v>
      </c>
      <c r="C26" s="1"/>
      <c r="D26" s="1"/>
    </row>
    <row r="27" spans="1:14" ht="60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14" x14ac:dyDescent="0.25">
      <c r="A28" s="3">
        <v>2223</v>
      </c>
      <c r="B28" s="3" t="s">
        <v>91</v>
      </c>
      <c r="C28" s="24"/>
      <c r="D28" s="1"/>
    </row>
    <row r="29" spans="1:14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14" ht="25.5" customHeight="1" x14ac:dyDescent="0.25">
      <c r="A30" s="3">
        <v>2224</v>
      </c>
      <c r="B30" s="4" t="s">
        <v>114</v>
      </c>
      <c r="C30" s="24"/>
      <c r="D30" s="1"/>
    </row>
    <row r="31" spans="1:14" ht="60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1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0"/>
        <v>0</v>
      </c>
    </row>
    <row r="53" spans="1:4" ht="60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5" ht="60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5" ht="13.5" customHeight="1" x14ac:dyDescent="0.25">
      <c r="A82" s="3">
        <v>5238</v>
      </c>
      <c r="B82" s="4" t="s">
        <v>115</v>
      </c>
      <c r="C82" s="30"/>
      <c r="D82" s="1"/>
    </row>
    <row r="83" spans="1:5" ht="60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5" x14ac:dyDescent="0.25">
      <c r="A84" s="3">
        <v>5239</v>
      </c>
      <c r="B84" s="68" t="s">
        <v>369</v>
      </c>
      <c r="C84" s="24"/>
      <c r="D84" s="1"/>
    </row>
    <row r="85" spans="1:5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  <c r="E85" s="124"/>
    </row>
    <row r="86" spans="1:5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5" ht="15" customHeight="1" x14ac:dyDescent="0.25">
      <c r="A87" s="33"/>
      <c r="B87" s="34" t="s">
        <v>95</v>
      </c>
      <c r="C87" s="32">
        <f>ROUND(C86+C18,4)</f>
        <v>19.350100000000001</v>
      </c>
      <c r="D87" s="32">
        <f>ROUND(D86+D18,4)</f>
        <v>387.00200000000001</v>
      </c>
    </row>
    <row r="88" spans="1:5" ht="29.25" customHeight="1" x14ac:dyDescent="0.25">
      <c r="A88" s="35"/>
      <c r="B88" s="36"/>
      <c r="C88" s="37"/>
      <c r="D88" s="37"/>
    </row>
    <row r="89" spans="1:5" x14ac:dyDescent="0.25">
      <c r="A89" s="161" t="s">
        <v>96</v>
      </c>
      <c r="B89" s="162"/>
      <c r="C89" s="41">
        <v>20</v>
      </c>
      <c r="D89" s="38"/>
    </row>
    <row r="90" spans="1:5" ht="21.75" customHeight="1" x14ac:dyDescent="0.25">
      <c r="A90" s="161" t="s">
        <v>112</v>
      </c>
      <c r="B90" s="162"/>
      <c r="C90" s="2">
        <f>D87/C89</f>
        <v>19.350100000000001</v>
      </c>
      <c r="D90" s="38"/>
    </row>
  </sheetData>
  <mergeCells count="6">
    <mergeCell ref="A89:B89"/>
    <mergeCell ref="A90:B90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rowBreaks count="1" manualBreakCount="1">
    <brk id="66" max="3" man="1"/>
  </rowBreaks>
  <colBreaks count="1" manualBreakCount="1">
    <brk id="4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G90"/>
  <sheetViews>
    <sheetView view="pageBreakPreview" topLeftCell="A71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5.85546875" style="84" customWidth="1"/>
    <col min="3" max="3" width="10.28515625" style="84" customWidth="1"/>
    <col min="4" max="4" width="11.4257812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36.75" customHeight="1" x14ac:dyDescent="0.25">
      <c r="A5" s="166" t="s">
        <v>249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103</v>
      </c>
      <c r="B9" s="170"/>
      <c r="C9" s="48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1021</v>
      </c>
      <c r="C14" s="1">
        <v>6.6</v>
      </c>
      <c r="D14" s="1">
        <f>C14*20</f>
        <v>132</v>
      </c>
    </row>
    <row r="15" spans="1:4" ht="24" x14ac:dyDescent="0.25">
      <c r="A15" s="3">
        <v>1200</v>
      </c>
      <c r="B15" s="4" t="s">
        <v>1017</v>
      </c>
      <c r="C15" s="1">
        <f>ROUND(C14*0.2359,2)</f>
        <v>1.56</v>
      </c>
      <c r="D15" s="1">
        <f t="shared" ref="D15:D17" si="0">C15*20</f>
        <v>31.200000000000003</v>
      </c>
    </row>
    <row r="16" spans="1:4" x14ac:dyDescent="0.25">
      <c r="A16" s="3">
        <v>2341</v>
      </c>
      <c r="B16" s="3" t="s">
        <v>116</v>
      </c>
      <c r="C16" s="24"/>
      <c r="D16" s="1"/>
    </row>
    <row r="17" spans="1:7" ht="132" x14ac:dyDescent="0.25">
      <c r="A17" s="3"/>
      <c r="B17" s="4" t="s">
        <v>1575</v>
      </c>
      <c r="C17" s="1">
        <v>23.8</v>
      </c>
      <c r="D17" s="1">
        <f t="shared" si="0"/>
        <v>476</v>
      </c>
      <c r="E17" s="105"/>
      <c r="F17" s="105"/>
      <c r="G17" s="105"/>
    </row>
    <row r="18" spans="1:7" x14ac:dyDescent="0.25">
      <c r="A18" s="3"/>
      <c r="B18" s="40" t="s">
        <v>87</v>
      </c>
      <c r="C18" s="32">
        <f>SUM(C13:C17)</f>
        <v>31.96</v>
      </c>
      <c r="D18" s="32">
        <f>SUM(D13:D17)</f>
        <v>639.20000000000005</v>
      </c>
      <c r="E18" s="107" t="s">
        <v>138</v>
      </c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1"/>
        <v>0</v>
      </c>
    </row>
    <row r="53" spans="1:4" ht="60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4.45" customHeight="1" x14ac:dyDescent="0.25">
      <c r="A87" s="33"/>
      <c r="B87" s="34" t="s">
        <v>95</v>
      </c>
      <c r="C87" s="32">
        <f>ROUND(C86+C18,4)</f>
        <v>33.3401</v>
      </c>
      <c r="D87" s="32">
        <f>ROUND(D86+D18,4)</f>
        <v>666.80200000000002</v>
      </c>
    </row>
    <row r="88" spans="1:4" ht="27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20</v>
      </c>
      <c r="D89" s="38"/>
    </row>
    <row r="90" spans="1:4" ht="19.5" customHeight="1" x14ac:dyDescent="0.25">
      <c r="A90" s="161" t="s">
        <v>112</v>
      </c>
      <c r="B90" s="162"/>
      <c r="C90" s="2">
        <f>D87/C89</f>
        <v>33.3401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E90"/>
  <sheetViews>
    <sheetView view="pageBreakPreview" topLeftCell="A78" zoomScale="60" zoomScaleNormal="115" workbookViewId="0">
      <selection activeCell="B17" sqref="B17"/>
    </sheetView>
  </sheetViews>
  <sheetFormatPr defaultRowHeight="15" x14ac:dyDescent="0.25"/>
  <cols>
    <col min="1" max="1" width="10" style="84" customWidth="1"/>
    <col min="2" max="2" width="58" style="84" customWidth="1"/>
    <col min="3" max="3" width="10.7109375" style="84" customWidth="1"/>
    <col min="4" max="4" width="15.285156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12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10.5" customHeight="1" x14ac:dyDescent="0.25">
      <c r="A4" s="45"/>
      <c r="B4" s="11"/>
      <c r="C4" s="11"/>
      <c r="D4" s="44"/>
    </row>
    <row r="5" spans="1:4" ht="36.75" customHeight="1" x14ac:dyDescent="0.25">
      <c r="A5" s="166" t="s">
        <v>248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122</v>
      </c>
      <c r="B9" s="170"/>
      <c r="C9" s="48"/>
      <c r="D9" s="44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12.5" customHeight="1" x14ac:dyDescent="0.25">
      <c r="A14" s="3"/>
      <c r="B14" s="81" t="s">
        <v>1022</v>
      </c>
      <c r="C14" s="1">
        <v>6.6</v>
      </c>
      <c r="D14" s="1">
        <f>C14*400</f>
        <v>2640</v>
      </c>
    </row>
    <row r="15" spans="1:4" ht="24" x14ac:dyDescent="0.25">
      <c r="A15" s="3">
        <v>1200</v>
      </c>
      <c r="B15" s="4" t="s">
        <v>1017</v>
      </c>
      <c r="C15" s="1">
        <f>ROUND(C14*0.2359,2)</f>
        <v>1.56</v>
      </c>
      <c r="D15" s="1">
        <f>C15*400</f>
        <v>624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5" ht="99" customHeight="1" x14ac:dyDescent="0.25">
      <c r="A17" s="3"/>
      <c r="B17" s="4" t="s">
        <v>1574</v>
      </c>
      <c r="C17" s="1">
        <v>2.11</v>
      </c>
      <c r="D17" s="1">
        <f>C17*400</f>
        <v>844</v>
      </c>
    </row>
    <row r="18" spans="1:5" x14ac:dyDescent="0.25">
      <c r="A18" s="3"/>
      <c r="B18" s="40" t="s">
        <v>87</v>
      </c>
      <c r="C18" s="32">
        <f>SUM(C13:C17)</f>
        <v>10.27</v>
      </c>
      <c r="D18" s="32">
        <f>SUM(D13:D17)</f>
        <v>4108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1036</v>
      </c>
      <c r="C21" s="24">
        <v>2.1000000000000001E-2</v>
      </c>
      <c r="D21" s="1">
        <f>C21*400</f>
        <v>8.4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1037</v>
      </c>
      <c r="C23" s="24">
        <v>2.1000000000000001E-2</v>
      </c>
      <c r="D23" s="1">
        <f t="shared" ref="D23:D85" si="0">C23*400</f>
        <v>8.4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1038</v>
      </c>
      <c r="C25" s="24">
        <v>5.1999999999999998E-2</v>
      </c>
      <c r="D25" s="1">
        <f t="shared" si="0"/>
        <v>20.8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1039</v>
      </c>
      <c r="C27" s="24">
        <f>ROUND(38.69/9509,4)</f>
        <v>4.1000000000000003E-3</v>
      </c>
      <c r="D27" s="1">
        <f t="shared" si="0"/>
        <v>1.6400000000000001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1040</v>
      </c>
      <c r="C29" s="24">
        <v>9.4E-2</v>
      </c>
      <c r="D29" s="1">
        <f t="shared" si="0"/>
        <v>37.6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1041</v>
      </c>
      <c r="C31" s="24">
        <v>1.4999999999999999E-2</v>
      </c>
      <c r="D31" s="1">
        <f t="shared" si="0"/>
        <v>6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1042</v>
      </c>
      <c r="C33" s="24">
        <v>2.5999999999999999E-2</v>
      </c>
      <c r="D33" s="1">
        <f t="shared" si="0"/>
        <v>10.4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1043</v>
      </c>
      <c r="C35" s="24">
        <v>7.0000000000000001E-3</v>
      </c>
      <c r="D35" s="1">
        <f t="shared" si="0"/>
        <v>2.8000000000000003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1044</v>
      </c>
      <c r="C37" s="24">
        <v>0.01</v>
      </c>
      <c r="D37" s="1">
        <f t="shared" si="0"/>
        <v>4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1045</v>
      </c>
      <c r="C39" s="24">
        <v>7.0000000000000001E-3</v>
      </c>
      <c r="D39" s="1">
        <f t="shared" si="0"/>
        <v>2.8000000000000003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1046</v>
      </c>
      <c r="C41" s="24">
        <v>4.9000000000000002E-2</v>
      </c>
      <c r="D41" s="1">
        <f t="shared" si="0"/>
        <v>19.600000000000001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1047</v>
      </c>
      <c r="C43" s="24">
        <v>6.0999999999999999E-2</v>
      </c>
      <c r="D43" s="1">
        <f t="shared" si="0"/>
        <v>24.4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1048</v>
      </c>
      <c r="C45" s="24">
        <v>0.09</v>
      </c>
      <c r="D45" s="1">
        <f t="shared" si="0"/>
        <v>36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1049</v>
      </c>
      <c r="C47" s="24">
        <v>0.05</v>
      </c>
      <c r="D47" s="1">
        <f t="shared" si="0"/>
        <v>20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1050</v>
      </c>
      <c r="C49" s="24">
        <v>6.9000000000000006E-2</v>
      </c>
      <c r="D49" s="1">
        <f t="shared" si="0"/>
        <v>27.6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1051</v>
      </c>
      <c r="C51" s="24">
        <v>3.0000000000000001E-3</v>
      </c>
      <c r="D51" s="1">
        <f t="shared" si="0"/>
        <v>1.2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1052</v>
      </c>
      <c r="C53" s="24">
        <v>2E-3</v>
      </c>
      <c r="D53" s="1">
        <f t="shared" si="0"/>
        <v>0.8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1053</v>
      </c>
      <c r="C55" s="24">
        <v>0.23699999999999999</v>
      </c>
      <c r="D55" s="1">
        <f t="shared" si="0"/>
        <v>94.8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1054</v>
      </c>
      <c r="C57" s="24">
        <v>0.29599999999999999</v>
      </c>
      <c r="D57" s="1">
        <f t="shared" si="0"/>
        <v>118.39999999999999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1055</v>
      </c>
      <c r="C59" s="24">
        <v>1E-3</v>
      </c>
      <c r="D59" s="1">
        <f t="shared" si="0"/>
        <v>0.4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1035</v>
      </c>
      <c r="C61" s="24">
        <v>2.5999999999999999E-2</v>
      </c>
      <c r="D61" s="1">
        <f t="shared" si="0"/>
        <v>10.4</v>
      </c>
    </row>
    <row r="62" spans="1:4" ht="18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1034</v>
      </c>
      <c r="C63" s="24">
        <v>8.9999999999999993E-3</v>
      </c>
      <c r="D63" s="1">
        <f t="shared" si="0"/>
        <v>3.5999999999999996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1033</v>
      </c>
      <c r="C65" s="24">
        <v>1.0999999999999999E-2</v>
      </c>
      <c r="D65" s="1">
        <f t="shared" si="0"/>
        <v>4.3999999999999995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1032</v>
      </c>
      <c r="C67" s="24">
        <v>2.3E-2</v>
      </c>
      <c r="D67" s="1">
        <f t="shared" si="0"/>
        <v>9.1999999999999993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1031</v>
      </c>
      <c r="C69" s="24">
        <v>2.1999999999999999E-2</v>
      </c>
      <c r="D69" s="1">
        <f t="shared" si="0"/>
        <v>8.7999999999999989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1030</v>
      </c>
      <c r="C71" s="30">
        <v>3.4000000000000002E-2</v>
      </c>
      <c r="D71" s="1">
        <f t="shared" si="0"/>
        <v>13.600000000000001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1029</v>
      </c>
      <c r="C73" s="24">
        <v>2E-3</v>
      </c>
      <c r="D73" s="1">
        <f t="shared" si="0"/>
        <v>0.8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1028</v>
      </c>
      <c r="C75" s="24">
        <v>3.0000000000000001E-3</v>
      </c>
      <c r="D75" s="1">
        <f t="shared" si="0"/>
        <v>1.2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1027</v>
      </c>
      <c r="C77" s="24">
        <v>1E-3</v>
      </c>
      <c r="D77" s="1">
        <f t="shared" si="0"/>
        <v>0.4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1026</v>
      </c>
      <c r="C79" s="24">
        <v>4.0000000000000001E-3</v>
      </c>
      <c r="D79" s="1">
        <f t="shared" si="0"/>
        <v>1.6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1025</v>
      </c>
      <c r="C81" s="24">
        <v>7.0999999999999994E-2</v>
      </c>
      <c r="D81" s="1">
        <f t="shared" si="0"/>
        <v>28.4</v>
      </c>
    </row>
    <row r="82" spans="1:4" ht="15" customHeight="1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1024</v>
      </c>
      <c r="C83" s="24">
        <v>2.1000000000000001E-2</v>
      </c>
      <c r="D83" s="1">
        <f t="shared" si="0"/>
        <v>8.4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1023</v>
      </c>
      <c r="C85" s="24">
        <v>3.7999999999999999E-2</v>
      </c>
      <c r="D85" s="1">
        <f t="shared" si="0"/>
        <v>15.2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552.04</v>
      </c>
    </row>
    <row r="87" spans="1:4" ht="14.45" customHeight="1" x14ac:dyDescent="0.25">
      <c r="A87" s="33"/>
      <c r="B87" s="34" t="s">
        <v>95</v>
      </c>
      <c r="C87" s="32">
        <f>ROUND(C86+C18,4)</f>
        <v>11.6501</v>
      </c>
      <c r="D87" s="32">
        <f>ROUND(D86+D18,4)</f>
        <v>4660.04</v>
      </c>
    </row>
    <row r="88" spans="1:4" ht="24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400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11.6501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E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5.85546875" style="84" customWidth="1"/>
    <col min="3" max="3" width="13.28515625" style="84" customWidth="1"/>
    <col min="4" max="4" width="14.42578125" style="84" customWidth="1"/>
    <col min="5" max="5" width="10.28515625" style="84" customWidth="1"/>
    <col min="6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13.5" customHeight="1" x14ac:dyDescent="0.25">
      <c r="A2" s="45"/>
      <c r="B2" s="45"/>
      <c r="C2" s="63"/>
      <c r="D2" s="63"/>
    </row>
    <row r="3" spans="1:4" x14ac:dyDescent="0.25">
      <c r="A3" s="46" t="s">
        <v>110</v>
      </c>
      <c r="B3" s="47"/>
      <c r="C3" s="47"/>
      <c r="D3" s="47"/>
    </row>
    <row r="4" spans="1:4" ht="9" customHeight="1" x14ac:dyDescent="0.25">
      <c r="A4" s="45"/>
      <c r="B4" s="11"/>
      <c r="C4" s="11"/>
      <c r="D4" s="11"/>
    </row>
    <row r="5" spans="1:4" ht="33.75" customHeight="1" x14ac:dyDescent="0.25">
      <c r="A5" s="166" t="s">
        <v>246</v>
      </c>
      <c r="B5" s="166"/>
      <c r="C5" s="166"/>
      <c r="D5" s="166"/>
    </row>
    <row r="6" spans="1:4" ht="8.25" customHeight="1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ht="2.25" customHeight="1" x14ac:dyDescent="0.25">
      <c r="A8" s="49"/>
      <c r="B8" s="79"/>
      <c r="C8" s="11"/>
      <c r="D8" s="11"/>
    </row>
    <row r="9" spans="1:4" x14ac:dyDescent="0.25">
      <c r="A9" s="170" t="s">
        <v>103</v>
      </c>
      <c r="B9" s="170"/>
      <c r="C9" s="48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17" customHeight="1" x14ac:dyDescent="0.25">
      <c r="A14" s="3"/>
      <c r="B14" s="4" t="s">
        <v>1056</v>
      </c>
      <c r="C14" s="1">
        <v>4.5999999999999996</v>
      </c>
      <c r="D14" s="1">
        <f>C14*20</f>
        <v>92</v>
      </c>
    </row>
    <row r="15" spans="1:4" ht="24" x14ac:dyDescent="0.25">
      <c r="A15" s="3">
        <v>1200</v>
      </c>
      <c r="B15" s="4" t="s">
        <v>1057</v>
      </c>
      <c r="C15" s="1">
        <f>ROUND(C14*0.2359,2)</f>
        <v>1.0900000000000001</v>
      </c>
      <c r="D15" s="1">
        <f t="shared" ref="D15:D17" si="0">C15*20</f>
        <v>21.8</v>
      </c>
    </row>
    <row r="16" spans="1:4" x14ac:dyDescent="0.25">
      <c r="A16" s="3">
        <v>2341</v>
      </c>
      <c r="B16" s="3" t="s">
        <v>116</v>
      </c>
      <c r="C16" s="24"/>
      <c r="D16" s="1"/>
    </row>
    <row r="17" spans="1:5" ht="102.75" customHeight="1" x14ac:dyDescent="0.25">
      <c r="A17" s="3"/>
      <c r="B17" s="4" t="s">
        <v>1573</v>
      </c>
      <c r="C17" s="1">
        <v>1.71</v>
      </c>
      <c r="D17" s="1">
        <f t="shared" si="0"/>
        <v>34.200000000000003</v>
      </c>
    </row>
    <row r="18" spans="1:5" x14ac:dyDescent="0.25">
      <c r="A18" s="3"/>
      <c r="B18" s="40" t="s">
        <v>87</v>
      </c>
      <c r="C18" s="32">
        <f>SUM(C13:C17)</f>
        <v>7.3999999999999995</v>
      </c>
      <c r="D18" s="32">
        <f>SUM(D13:D17)</f>
        <v>148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1"/>
        <v>0</v>
      </c>
    </row>
    <row r="53" spans="1:4" ht="60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4.45" customHeight="1" x14ac:dyDescent="0.25">
      <c r="A87" s="33"/>
      <c r="B87" s="34" t="s">
        <v>95</v>
      </c>
      <c r="C87" s="32">
        <f>ROUND(C86+C18,4)</f>
        <v>8.7800999999999991</v>
      </c>
      <c r="D87" s="32">
        <f>ROUND(D86+D18,4)</f>
        <v>175.602</v>
      </c>
    </row>
    <row r="88" spans="1:4" ht="29.2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20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8.7801000000000009</v>
      </c>
      <c r="D90" s="38"/>
    </row>
  </sheetData>
  <mergeCells count="6">
    <mergeCell ref="A89:B89"/>
    <mergeCell ref="A90:B90"/>
    <mergeCell ref="A1:D1"/>
    <mergeCell ref="A5:D5"/>
    <mergeCell ref="A7:B7"/>
    <mergeCell ref="A9:B9"/>
  </mergeCells>
  <pageMargins left="0.7" right="0.7" top="0.75" bottom="0.75" header="0.3" footer="0.3"/>
  <pageSetup paperSize="9" scale="94" orientation="portrait" r:id="rId1"/>
  <colBreaks count="1" manualBreakCount="1">
    <brk id="4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E90"/>
  <sheetViews>
    <sheetView view="pageBreakPreview" topLeftCell="A65" zoomScale="60" zoomScaleNormal="100" workbookViewId="0">
      <selection activeCell="D87" sqref="D87"/>
    </sheetView>
  </sheetViews>
  <sheetFormatPr defaultRowHeight="15" x14ac:dyDescent="0.25"/>
  <cols>
    <col min="1" max="1" width="10" style="84" customWidth="1"/>
    <col min="2" max="2" width="59.85546875" style="84" customWidth="1"/>
    <col min="3" max="3" width="12.42578125" style="84" customWidth="1"/>
    <col min="4" max="4" width="12.1406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40.5" customHeight="1" x14ac:dyDescent="0.25">
      <c r="A5" s="166" t="s">
        <v>247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108</v>
      </c>
      <c r="B9" s="170"/>
      <c r="C9" s="11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19"/>
    </row>
    <row r="14" spans="1:4" ht="96" x14ac:dyDescent="0.25">
      <c r="A14" s="3"/>
      <c r="B14" s="4" t="s">
        <v>1058</v>
      </c>
      <c r="C14" s="1">
        <v>5.6</v>
      </c>
      <c r="D14" s="1">
        <f>C14*20</f>
        <v>112</v>
      </c>
    </row>
    <row r="15" spans="1:4" ht="24" x14ac:dyDescent="0.25">
      <c r="A15" s="3">
        <v>1200</v>
      </c>
      <c r="B15" s="4" t="s">
        <v>1059</v>
      </c>
      <c r="C15" s="1">
        <f>ROUND(C14*0.2359,2)</f>
        <v>1.32</v>
      </c>
      <c r="D15" s="1">
        <f t="shared" ref="D15:D17" si="0">C15*20</f>
        <v>26.400000000000002</v>
      </c>
    </row>
    <row r="16" spans="1:4" x14ac:dyDescent="0.25">
      <c r="A16" s="3">
        <v>2341</v>
      </c>
      <c r="B16" s="3" t="s">
        <v>116</v>
      </c>
      <c r="C16" s="24"/>
      <c r="D16" s="1"/>
    </row>
    <row r="17" spans="1:5" ht="97.5" customHeight="1" x14ac:dyDescent="0.25">
      <c r="A17" s="3"/>
      <c r="B17" s="4" t="s">
        <v>1572</v>
      </c>
      <c r="C17" s="1">
        <v>5.5</v>
      </c>
      <c r="D17" s="1">
        <f t="shared" si="0"/>
        <v>110</v>
      </c>
      <c r="E17" s="104"/>
    </row>
    <row r="18" spans="1:5" x14ac:dyDescent="0.25">
      <c r="A18" s="3"/>
      <c r="B18" s="40" t="s">
        <v>87</v>
      </c>
      <c r="C18" s="32">
        <f>SUM(C13:C17)</f>
        <v>12.42</v>
      </c>
      <c r="D18" s="32">
        <f>SUM(D13:D17)</f>
        <v>248.4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1"/>
        <v>0</v>
      </c>
    </row>
    <row r="53" spans="1:4" ht="48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57" customHeight="1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ht="14.25" customHeight="1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4.45" customHeight="1" x14ac:dyDescent="0.25">
      <c r="A87" s="33"/>
      <c r="B87" s="34" t="s">
        <v>95</v>
      </c>
      <c r="C87" s="32">
        <f>ROUND(C86+C18,4)</f>
        <v>13.8001</v>
      </c>
      <c r="D87" s="32">
        <f>ROUND(D86+D18,4)</f>
        <v>276.00200000000001</v>
      </c>
    </row>
    <row r="88" spans="1:4" ht="30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20</v>
      </c>
      <c r="D89" s="38"/>
    </row>
    <row r="90" spans="1:4" ht="21" customHeight="1" x14ac:dyDescent="0.25">
      <c r="A90" s="161" t="s">
        <v>112</v>
      </c>
      <c r="B90" s="162"/>
      <c r="C90" s="2">
        <f>D87/C89</f>
        <v>13.8001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5" orientation="portrait" r:id="rId1"/>
  <colBreaks count="1" manualBreakCount="1">
    <brk id="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G90"/>
  <sheetViews>
    <sheetView view="pageBreakPreview" zoomScale="60" zoomScaleNormal="100" workbookViewId="0">
      <selection activeCell="D87" sqref="D87"/>
    </sheetView>
  </sheetViews>
  <sheetFormatPr defaultRowHeight="15" x14ac:dyDescent="0.25"/>
  <cols>
    <col min="1" max="1" width="9.85546875" style="84" customWidth="1"/>
    <col min="2" max="2" width="55.140625" style="84" customWidth="1"/>
    <col min="3" max="3" width="12.42578125" style="84" customWidth="1"/>
    <col min="4" max="4" width="13.42578125" style="84" customWidth="1"/>
    <col min="5" max="5" width="16.85546875" style="84" customWidth="1"/>
    <col min="6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29.25" customHeight="1" x14ac:dyDescent="0.25">
      <c r="A5" s="178" t="s">
        <v>378</v>
      </c>
      <c r="B5" s="178"/>
      <c r="C5" s="178"/>
      <c r="D5" s="178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106</v>
      </c>
      <c r="B9" s="170"/>
      <c r="C9" s="11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4" t="s">
        <v>1060</v>
      </c>
      <c r="C14" s="1">
        <v>4.5999999999999996</v>
      </c>
      <c r="D14" s="22">
        <f>C14*20</f>
        <v>92</v>
      </c>
    </row>
    <row r="15" spans="1:4" ht="24" x14ac:dyDescent="0.25">
      <c r="A15" s="3">
        <v>1200</v>
      </c>
      <c r="B15" s="4" t="s">
        <v>1057</v>
      </c>
      <c r="C15" s="1">
        <f>ROUND(C14*0.2359,2)</f>
        <v>1.0900000000000001</v>
      </c>
      <c r="D15" s="22">
        <f t="shared" ref="D15:D17" si="0">C15*20</f>
        <v>21.8</v>
      </c>
    </row>
    <row r="16" spans="1:4" x14ac:dyDescent="0.25">
      <c r="A16" s="3">
        <v>2341</v>
      </c>
      <c r="B16" s="3" t="s">
        <v>86</v>
      </c>
      <c r="C16" s="24"/>
      <c r="D16" s="22"/>
    </row>
    <row r="17" spans="1:7" ht="88.5" customHeight="1" x14ac:dyDescent="0.25">
      <c r="A17" s="3"/>
      <c r="B17" s="4" t="s">
        <v>1571</v>
      </c>
      <c r="C17" s="1">
        <v>5.84</v>
      </c>
      <c r="D17" s="22">
        <f t="shared" si="0"/>
        <v>116.8</v>
      </c>
      <c r="E17" s="104"/>
      <c r="F17" s="105"/>
      <c r="G17" s="105"/>
    </row>
    <row r="18" spans="1:7" x14ac:dyDescent="0.25">
      <c r="A18" s="3"/>
      <c r="B18" s="40" t="s">
        <v>87</v>
      </c>
      <c r="C18" s="32">
        <f>SUM(C13:C17)</f>
        <v>11.53</v>
      </c>
      <c r="D18" s="32">
        <f>SUM(D13:D17)</f>
        <v>230.6</v>
      </c>
      <c r="E18" s="107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1"/>
        <v>0</v>
      </c>
    </row>
    <row r="53" spans="1:4" ht="60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4.45" customHeight="1" x14ac:dyDescent="0.25">
      <c r="A87" s="33"/>
      <c r="B87" s="34" t="s">
        <v>95</v>
      </c>
      <c r="C87" s="32">
        <f>ROUND(C86+C18,4)</f>
        <v>12.9101</v>
      </c>
      <c r="D87" s="32">
        <f>ROUND(D86+D18,4)</f>
        <v>258.202</v>
      </c>
    </row>
    <row r="88" spans="1:4" ht="27.7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20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12.9101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L90"/>
  <sheetViews>
    <sheetView view="pageBreakPreview" topLeftCell="A63" zoomScale="60" zoomScaleNormal="100" workbookViewId="0">
      <selection activeCell="A5" sqref="A5:D5"/>
    </sheetView>
  </sheetViews>
  <sheetFormatPr defaultRowHeight="15" x14ac:dyDescent="0.25"/>
  <cols>
    <col min="1" max="1" width="9.85546875" style="84" customWidth="1"/>
    <col min="2" max="2" width="56.140625" style="84" customWidth="1"/>
    <col min="3" max="3" width="11.42578125" style="84" customWidth="1"/>
    <col min="4" max="4" width="12.5703125" style="84" customWidth="1"/>
    <col min="5" max="5" width="12.7109375" style="84" customWidth="1"/>
    <col min="6" max="6" width="9.140625" style="84"/>
    <col min="7" max="7" width="39.7109375" style="84" customWidth="1"/>
    <col min="8" max="16384" width="9.140625" style="84"/>
  </cols>
  <sheetData>
    <row r="1" spans="1:7" ht="15.75" customHeight="1" x14ac:dyDescent="0.25">
      <c r="A1" s="154" t="s">
        <v>78</v>
      </c>
      <c r="B1" s="154"/>
      <c r="C1" s="154"/>
      <c r="D1" s="154"/>
    </row>
    <row r="2" spans="1:7" ht="15" customHeight="1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41.25" customHeight="1" x14ac:dyDescent="0.25">
      <c r="A5" s="166" t="s">
        <v>341</v>
      </c>
      <c r="B5" s="166"/>
      <c r="C5" s="166"/>
      <c r="D5" s="166"/>
    </row>
    <row r="6" spans="1:7" ht="12" customHeight="1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ht="15" customHeight="1" x14ac:dyDescent="0.25">
      <c r="A8" s="6"/>
      <c r="B8" s="12"/>
      <c r="C8" s="13"/>
      <c r="D8" s="10"/>
    </row>
    <row r="9" spans="1:7" x14ac:dyDescent="0.25">
      <c r="A9" s="160" t="s">
        <v>105</v>
      </c>
      <c r="B9" s="160"/>
      <c r="C9" s="13"/>
      <c r="D9" s="10"/>
    </row>
    <row r="10" spans="1:7" ht="98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68" customHeight="1" x14ac:dyDescent="0.25">
      <c r="A14" s="5"/>
      <c r="B14" s="83" t="s">
        <v>1062</v>
      </c>
      <c r="C14" s="1">
        <v>11.25</v>
      </c>
      <c r="D14" s="22">
        <f>C14*30</f>
        <v>337.5</v>
      </c>
      <c r="E14" s="121"/>
      <c r="F14" s="113"/>
      <c r="G14" s="113"/>
    </row>
    <row r="15" spans="1:7" ht="24" customHeight="1" x14ac:dyDescent="0.25">
      <c r="A15" s="5">
        <v>1200</v>
      </c>
      <c r="B15" s="23" t="s">
        <v>1061</v>
      </c>
      <c r="C15" s="1">
        <f>ROUND(C14*0.2359,2)</f>
        <v>2.65</v>
      </c>
      <c r="D15" s="22">
        <f t="shared" ref="D15:D17" si="0">C15*30</f>
        <v>79.5</v>
      </c>
      <c r="E15" s="109"/>
    </row>
    <row r="16" spans="1:7" x14ac:dyDescent="0.25">
      <c r="A16" s="3">
        <v>2341</v>
      </c>
      <c r="B16" s="3" t="s">
        <v>97</v>
      </c>
      <c r="C16" s="24"/>
      <c r="D16" s="22"/>
      <c r="E16" s="109"/>
    </row>
    <row r="17" spans="1:12" ht="96" customHeight="1" x14ac:dyDescent="0.25">
      <c r="A17" s="5"/>
      <c r="B17" s="23" t="s">
        <v>1570</v>
      </c>
      <c r="C17" s="1">
        <v>1.94</v>
      </c>
      <c r="D17" s="22">
        <f t="shared" si="0"/>
        <v>58.199999999999996</v>
      </c>
      <c r="E17" s="109"/>
      <c r="K17" s="122"/>
      <c r="L17" s="123"/>
    </row>
    <row r="18" spans="1:12" x14ac:dyDescent="0.25">
      <c r="A18" s="5"/>
      <c r="B18" s="25" t="s">
        <v>87</v>
      </c>
      <c r="C18" s="26">
        <f>SUM(C13:C17)</f>
        <v>15.84</v>
      </c>
      <c r="D18" s="26">
        <f>SUM(D13:D17)</f>
        <v>475.2</v>
      </c>
      <c r="E18" s="110"/>
    </row>
    <row r="19" spans="1:12" x14ac:dyDescent="0.25">
      <c r="A19" s="27"/>
      <c r="B19" s="103" t="s">
        <v>88</v>
      </c>
      <c r="C19" s="28"/>
      <c r="D19" s="28"/>
    </row>
    <row r="20" spans="1:12" x14ac:dyDescent="0.25">
      <c r="A20" s="3">
        <v>2100</v>
      </c>
      <c r="B20" s="69" t="s">
        <v>370</v>
      </c>
      <c r="C20" s="28"/>
      <c r="D20" s="28"/>
    </row>
    <row r="21" spans="1:12" ht="60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12" x14ac:dyDescent="0.25">
      <c r="A22" s="3">
        <v>2210</v>
      </c>
      <c r="B22" s="4" t="s">
        <v>354</v>
      </c>
      <c r="C22" s="24"/>
      <c r="D22" s="1"/>
    </row>
    <row r="23" spans="1:12" ht="60" x14ac:dyDescent="0.25">
      <c r="A23" s="3"/>
      <c r="B23" s="4" t="s">
        <v>860</v>
      </c>
      <c r="C23" s="24">
        <v>2.1000000000000001E-2</v>
      </c>
      <c r="D23" s="1">
        <f t="shared" ref="D23:D85" si="1">C23*30</f>
        <v>0.63</v>
      </c>
    </row>
    <row r="24" spans="1:12" x14ac:dyDescent="0.25">
      <c r="A24" s="3">
        <v>2221</v>
      </c>
      <c r="B24" s="4" t="s">
        <v>89</v>
      </c>
      <c r="C24" s="1"/>
      <c r="D24" s="1"/>
    </row>
    <row r="25" spans="1:12" ht="60" x14ac:dyDescent="0.25">
      <c r="A25" s="3"/>
      <c r="B25" s="4" t="s">
        <v>861</v>
      </c>
      <c r="C25" s="24">
        <v>5.1999999999999998E-2</v>
      </c>
      <c r="D25" s="1">
        <f t="shared" si="1"/>
        <v>1.5599999999999998</v>
      </c>
    </row>
    <row r="26" spans="1:12" x14ac:dyDescent="0.25">
      <c r="A26" s="3">
        <v>2222</v>
      </c>
      <c r="B26" s="67" t="s">
        <v>90</v>
      </c>
      <c r="C26" s="1"/>
      <c r="D26" s="1"/>
    </row>
    <row r="27" spans="1:12" ht="60" x14ac:dyDescent="0.25">
      <c r="A27" s="3"/>
      <c r="B27" s="4" t="s">
        <v>862</v>
      </c>
      <c r="C27" s="24">
        <f>ROUND(38.69/9509,4)</f>
        <v>4.1000000000000003E-3</v>
      </c>
      <c r="D27" s="1">
        <f t="shared" si="1"/>
        <v>0.12300000000000001</v>
      </c>
    </row>
    <row r="28" spans="1:12" x14ac:dyDescent="0.25">
      <c r="A28" s="3">
        <v>2223</v>
      </c>
      <c r="B28" s="3" t="s">
        <v>91</v>
      </c>
      <c r="C28" s="24"/>
      <c r="D28" s="1"/>
    </row>
    <row r="29" spans="1:12" ht="60" x14ac:dyDescent="0.25">
      <c r="A29" s="3"/>
      <c r="B29" s="4" t="s">
        <v>863</v>
      </c>
      <c r="C29" s="24">
        <v>9.4E-2</v>
      </c>
      <c r="D29" s="1">
        <f t="shared" si="1"/>
        <v>2.82</v>
      </c>
    </row>
    <row r="30" spans="1:12" ht="24" x14ac:dyDescent="0.25">
      <c r="A30" s="3">
        <v>2224</v>
      </c>
      <c r="B30" s="4" t="s">
        <v>114</v>
      </c>
      <c r="C30" s="24"/>
      <c r="D30" s="1"/>
    </row>
    <row r="31" spans="1:12" ht="60" x14ac:dyDescent="0.25">
      <c r="A31" s="3"/>
      <c r="B31" s="4" t="s">
        <v>864</v>
      </c>
      <c r="C31" s="24">
        <v>1.4999999999999999E-2</v>
      </c>
      <c r="D31" s="1">
        <f t="shared" si="1"/>
        <v>0.44999999999999996</v>
      </c>
    </row>
    <row r="32" spans="1:12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865</v>
      </c>
      <c r="C33" s="24">
        <v>2.5999999999999999E-2</v>
      </c>
      <c r="D33" s="1">
        <f t="shared" si="1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866</v>
      </c>
      <c r="C35" s="24">
        <v>7.0000000000000001E-3</v>
      </c>
      <c r="D35" s="1">
        <f t="shared" si="1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867</v>
      </c>
      <c r="C37" s="24">
        <v>0.01</v>
      </c>
      <c r="D37" s="1">
        <f t="shared" si="1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868</v>
      </c>
      <c r="C39" s="24">
        <v>7.0000000000000001E-3</v>
      </c>
      <c r="D39" s="1">
        <f t="shared" si="1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869</v>
      </c>
      <c r="C41" s="24">
        <v>4.9000000000000002E-2</v>
      </c>
      <c r="D41" s="1">
        <f t="shared" si="1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870</v>
      </c>
      <c r="C43" s="24">
        <v>6.0999999999999999E-2</v>
      </c>
      <c r="D43" s="1">
        <f t="shared" si="1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871</v>
      </c>
      <c r="C45" s="24">
        <v>0.09</v>
      </c>
      <c r="D45" s="1">
        <f t="shared" si="1"/>
        <v>2.6999999999999997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872</v>
      </c>
      <c r="C47" s="24">
        <v>0.05</v>
      </c>
      <c r="D47" s="1">
        <f t="shared" si="1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873</v>
      </c>
      <c r="C49" s="24">
        <v>6.9000000000000006E-2</v>
      </c>
      <c r="D49" s="1">
        <f t="shared" si="1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874</v>
      </c>
      <c r="C51" s="24">
        <v>3.0000000000000001E-3</v>
      </c>
      <c r="D51" s="1">
        <f t="shared" si="1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875</v>
      </c>
      <c r="C53" s="24">
        <v>2E-3</v>
      </c>
      <c r="D53" s="1">
        <f t="shared" si="1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876</v>
      </c>
      <c r="C55" s="24">
        <v>0.23699999999999999</v>
      </c>
      <c r="D55" s="1">
        <f t="shared" si="1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976</v>
      </c>
      <c r="C57" s="24">
        <v>0.29599999999999999</v>
      </c>
      <c r="D57" s="1">
        <f t="shared" si="1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1063</v>
      </c>
      <c r="C59" s="24">
        <v>1E-3</v>
      </c>
      <c r="D59" s="1">
        <f t="shared" si="1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878</v>
      </c>
      <c r="C61" s="24">
        <v>2.5999999999999999E-2</v>
      </c>
      <c r="D61" s="1">
        <f t="shared" si="1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879</v>
      </c>
      <c r="C63" s="24">
        <v>8.9999999999999993E-3</v>
      </c>
      <c r="D63" s="1">
        <f t="shared" si="1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880</v>
      </c>
      <c r="C65" s="24">
        <v>1.0999999999999999E-2</v>
      </c>
      <c r="D65" s="1">
        <f t="shared" si="1"/>
        <v>0.32999999999999996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881</v>
      </c>
      <c r="C67" s="24">
        <v>2.3E-2</v>
      </c>
      <c r="D67" s="1">
        <f t="shared" si="1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882</v>
      </c>
      <c r="C69" s="24">
        <v>2.1999999999999999E-2</v>
      </c>
      <c r="D69" s="1">
        <f t="shared" si="1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883</v>
      </c>
      <c r="C71" s="30">
        <v>3.4000000000000002E-2</v>
      </c>
      <c r="D71" s="1">
        <f t="shared" si="1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884</v>
      </c>
      <c r="C73" s="24">
        <v>2E-3</v>
      </c>
      <c r="D73" s="1">
        <f t="shared" si="1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885</v>
      </c>
      <c r="C75" s="24">
        <v>3.0000000000000001E-3</v>
      </c>
      <c r="D75" s="1">
        <f t="shared" si="1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886</v>
      </c>
      <c r="C77" s="24">
        <v>1E-3</v>
      </c>
      <c r="D77" s="1">
        <f t="shared" si="1"/>
        <v>0.03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887</v>
      </c>
      <c r="C79" s="24">
        <v>4.0000000000000001E-3</v>
      </c>
      <c r="D79" s="1">
        <f t="shared" si="1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888</v>
      </c>
      <c r="C81" s="24">
        <v>7.0999999999999994E-2</v>
      </c>
      <c r="D81" s="1">
        <f t="shared" si="1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889</v>
      </c>
      <c r="C83" s="24">
        <v>2.1000000000000001E-2</v>
      </c>
      <c r="D83" s="1">
        <f t="shared" si="1"/>
        <v>0.63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890</v>
      </c>
      <c r="C85" s="24">
        <v>3.7999999999999999E-2</v>
      </c>
      <c r="D85" s="1">
        <f t="shared" si="1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ht="15" customHeight="1" x14ac:dyDescent="0.25">
      <c r="A87" s="33"/>
      <c r="B87" s="34" t="s">
        <v>95</v>
      </c>
      <c r="C87" s="32">
        <f>ROUND(C86+C18,4)</f>
        <v>17.220099999999999</v>
      </c>
      <c r="D87" s="32">
        <f>ROUND(D86+D18,4)</f>
        <v>516.60299999999995</v>
      </c>
    </row>
    <row r="88" spans="1:4" s="105" customFormat="1" ht="30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30</v>
      </c>
      <c r="D89" s="38"/>
    </row>
    <row r="90" spans="1:4" ht="36" customHeight="1" x14ac:dyDescent="0.25">
      <c r="A90" s="161" t="s">
        <v>112</v>
      </c>
      <c r="B90" s="162"/>
      <c r="C90" s="2">
        <f>D87/C89</f>
        <v>17.220099999999999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I90"/>
  <sheetViews>
    <sheetView view="pageBreakPreview" topLeftCell="A68" zoomScale="60" zoomScaleNormal="100" workbookViewId="0">
      <selection activeCell="A5" sqref="A5:D5"/>
    </sheetView>
  </sheetViews>
  <sheetFormatPr defaultRowHeight="15" x14ac:dyDescent="0.25"/>
  <cols>
    <col min="1" max="1" width="9.42578125" style="84" customWidth="1"/>
    <col min="2" max="2" width="55" style="84" customWidth="1"/>
    <col min="3" max="3" width="11.140625" style="84" customWidth="1"/>
    <col min="4" max="4" width="14.85546875" style="84" customWidth="1"/>
    <col min="5" max="5" width="15.42578125" style="84" customWidth="1"/>
    <col min="6" max="16384" width="9.140625" style="84"/>
  </cols>
  <sheetData>
    <row r="1" spans="1:9" ht="15.75" customHeight="1" x14ac:dyDescent="0.25">
      <c r="A1" s="154" t="s">
        <v>78</v>
      </c>
      <c r="B1" s="154"/>
      <c r="C1" s="154"/>
      <c r="D1" s="154"/>
    </row>
    <row r="2" spans="1:9" ht="15" customHeight="1" x14ac:dyDescent="0.25">
      <c r="A2" s="6"/>
      <c r="B2" s="6"/>
      <c r="C2" s="155"/>
      <c r="D2" s="156"/>
    </row>
    <row r="3" spans="1:9" x14ac:dyDescent="0.25">
      <c r="A3" s="7" t="s">
        <v>110</v>
      </c>
      <c r="B3" s="8"/>
      <c r="C3" s="8"/>
      <c r="D3" s="8"/>
    </row>
    <row r="4" spans="1:9" x14ac:dyDescent="0.25">
      <c r="A4" s="6"/>
      <c r="B4" s="9"/>
      <c r="C4" s="9"/>
      <c r="D4" s="10"/>
    </row>
    <row r="5" spans="1:9" ht="36.75" customHeight="1" x14ac:dyDescent="0.25">
      <c r="A5" s="166" t="s">
        <v>342</v>
      </c>
      <c r="B5" s="166"/>
      <c r="C5" s="166"/>
      <c r="D5" s="166"/>
    </row>
    <row r="6" spans="1:9" ht="10.5" customHeight="1" x14ac:dyDescent="0.25">
      <c r="A6" s="49"/>
      <c r="B6" s="11"/>
      <c r="C6" s="11"/>
      <c r="D6" s="10"/>
    </row>
    <row r="7" spans="1:9" x14ac:dyDescent="0.25">
      <c r="A7" s="158" t="s">
        <v>111</v>
      </c>
      <c r="B7" s="159"/>
      <c r="C7" s="11"/>
      <c r="D7" s="10"/>
    </row>
    <row r="8" spans="1:9" ht="9.75" customHeight="1" x14ac:dyDescent="0.25">
      <c r="A8" s="49"/>
      <c r="B8" s="79"/>
      <c r="C8" s="11"/>
      <c r="D8" s="10"/>
    </row>
    <row r="9" spans="1:9" x14ac:dyDescent="0.25">
      <c r="A9" s="160" t="s">
        <v>371</v>
      </c>
      <c r="B9" s="160"/>
      <c r="C9" s="13"/>
      <c r="D9" s="10"/>
    </row>
    <row r="10" spans="1:9" ht="79.5" customHeight="1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7"/>
      <c r="B12" s="18" t="s">
        <v>84</v>
      </c>
      <c r="C12" s="19"/>
      <c r="D12" s="19"/>
    </row>
    <row r="13" spans="1:9" x14ac:dyDescent="0.25">
      <c r="A13" s="20">
        <v>1100</v>
      </c>
      <c r="B13" s="21" t="s">
        <v>85</v>
      </c>
      <c r="C13" s="22"/>
      <c r="D13" s="22"/>
    </row>
    <row r="14" spans="1:9" ht="156" customHeight="1" x14ac:dyDescent="0.25">
      <c r="A14" s="5"/>
      <c r="B14" s="81" t="s">
        <v>1064</v>
      </c>
      <c r="C14" s="1">
        <v>16.850000000000001</v>
      </c>
      <c r="D14" s="1">
        <f>C14*80</f>
        <v>1348</v>
      </c>
      <c r="E14" s="121"/>
      <c r="F14" s="113"/>
      <c r="G14" s="113"/>
      <c r="H14" s="113"/>
      <c r="I14" s="113"/>
    </row>
    <row r="15" spans="1:9" ht="24" x14ac:dyDescent="0.25">
      <c r="A15" s="5">
        <v>1200</v>
      </c>
      <c r="B15" s="23" t="s">
        <v>1065</v>
      </c>
      <c r="C15" s="1">
        <f>ROUND(C14*0.2359,2)</f>
        <v>3.97</v>
      </c>
      <c r="D15" s="1">
        <f>C15*80</f>
        <v>317.60000000000002</v>
      </c>
      <c r="E15" s="109"/>
    </row>
    <row r="16" spans="1:9" x14ac:dyDescent="0.25">
      <c r="A16" s="5">
        <v>2341</v>
      </c>
      <c r="B16" s="5" t="s">
        <v>97</v>
      </c>
      <c r="C16" s="39"/>
      <c r="D16" s="1"/>
      <c r="E16" s="109"/>
    </row>
    <row r="17" spans="1:5" ht="122.25" customHeight="1" x14ac:dyDescent="0.25">
      <c r="A17" s="5"/>
      <c r="B17" s="23" t="s">
        <v>1538</v>
      </c>
      <c r="C17" s="1">
        <v>5.04</v>
      </c>
      <c r="D17" s="1">
        <f>C17*80</f>
        <v>403.2</v>
      </c>
      <c r="E17" s="109"/>
    </row>
    <row r="18" spans="1:5" x14ac:dyDescent="0.25">
      <c r="A18" s="3"/>
      <c r="B18" s="40" t="s">
        <v>87</v>
      </c>
      <c r="C18" s="32">
        <f>SUM(C13:C17)</f>
        <v>25.86</v>
      </c>
      <c r="D18" s="32">
        <f>SUM(D13:D17)</f>
        <v>2068.7999999999997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827</v>
      </c>
      <c r="C21" s="24">
        <v>2.1000000000000001E-2</v>
      </c>
      <c r="D21" s="1">
        <f>C21*80</f>
        <v>1.6800000000000002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828</v>
      </c>
      <c r="C23" s="24">
        <v>2.1000000000000001E-2</v>
      </c>
      <c r="D23" s="1">
        <f t="shared" ref="D23:D85" si="0">C23*80</f>
        <v>1.6800000000000002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829</v>
      </c>
      <c r="C25" s="24">
        <v>5.1999999999999998E-2</v>
      </c>
      <c r="D25" s="1">
        <f t="shared" si="0"/>
        <v>4.16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830</v>
      </c>
      <c r="C27" s="24">
        <f>ROUND(38.69/9509,4)</f>
        <v>4.1000000000000003E-3</v>
      </c>
      <c r="D27" s="1">
        <f t="shared" si="0"/>
        <v>0.32800000000000001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831</v>
      </c>
      <c r="C29" s="24">
        <v>9.4E-2</v>
      </c>
      <c r="D29" s="1">
        <f t="shared" si="0"/>
        <v>7.52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832</v>
      </c>
      <c r="C31" s="24">
        <v>1.4999999999999999E-2</v>
      </c>
      <c r="D31" s="1">
        <f t="shared" si="0"/>
        <v>1.2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833</v>
      </c>
      <c r="C33" s="24">
        <v>2.5999999999999999E-2</v>
      </c>
      <c r="D33" s="1">
        <f t="shared" si="0"/>
        <v>2.08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834</v>
      </c>
      <c r="C35" s="24">
        <v>7.0000000000000001E-3</v>
      </c>
      <c r="D35" s="1">
        <f t="shared" si="0"/>
        <v>0.56000000000000005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835</v>
      </c>
      <c r="C37" s="24">
        <v>0.01</v>
      </c>
      <c r="D37" s="1">
        <f t="shared" si="0"/>
        <v>0.8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836</v>
      </c>
      <c r="C39" s="24">
        <v>7.0000000000000001E-3</v>
      </c>
      <c r="D39" s="1">
        <f t="shared" si="0"/>
        <v>0.56000000000000005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837</v>
      </c>
      <c r="C41" s="24">
        <v>4.9000000000000002E-2</v>
      </c>
      <c r="D41" s="1">
        <f t="shared" si="0"/>
        <v>3.92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838</v>
      </c>
      <c r="C43" s="24">
        <v>6.0999999999999999E-2</v>
      </c>
      <c r="D43" s="1">
        <f t="shared" si="0"/>
        <v>4.88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839</v>
      </c>
      <c r="C45" s="24">
        <v>0.09</v>
      </c>
      <c r="D45" s="1">
        <f t="shared" si="0"/>
        <v>7.1999999999999993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840</v>
      </c>
      <c r="C47" s="24">
        <v>0.05</v>
      </c>
      <c r="D47" s="1">
        <f t="shared" si="0"/>
        <v>4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841</v>
      </c>
      <c r="C49" s="24">
        <v>6.9000000000000006E-2</v>
      </c>
      <c r="D49" s="1">
        <f t="shared" si="0"/>
        <v>5.5200000000000005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842</v>
      </c>
      <c r="C51" s="24">
        <v>3.0000000000000001E-3</v>
      </c>
      <c r="D51" s="1">
        <f t="shared" si="0"/>
        <v>0.24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843</v>
      </c>
      <c r="C53" s="24">
        <v>2E-3</v>
      </c>
      <c r="D53" s="1">
        <f t="shared" si="0"/>
        <v>0.16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845</v>
      </c>
      <c r="C55" s="24">
        <v>0.23699999999999999</v>
      </c>
      <c r="D55" s="1">
        <f t="shared" si="0"/>
        <v>18.96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1067</v>
      </c>
      <c r="C57" s="24">
        <v>0.29599999999999999</v>
      </c>
      <c r="D57" s="1">
        <f t="shared" si="0"/>
        <v>23.68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1066</v>
      </c>
      <c r="C59" s="24">
        <v>1E-3</v>
      </c>
      <c r="D59" s="1">
        <f t="shared" si="0"/>
        <v>0.08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846</v>
      </c>
      <c r="C61" s="24">
        <v>2.5999999999999999E-2</v>
      </c>
      <c r="D61" s="1">
        <f t="shared" si="0"/>
        <v>2.08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847</v>
      </c>
      <c r="C63" s="24">
        <v>8.9999999999999993E-3</v>
      </c>
      <c r="D63" s="1">
        <f t="shared" si="0"/>
        <v>0.72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848</v>
      </c>
      <c r="C65" s="24">
        <v>1.0999999999999999E-2</v>
      </c>
      <c r="D65" s="1">
        <f t="shared" si="0"/>
        <v>0.87999999999999989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849</v>
      </c>
      <c r="C67" s="24">
        <v>2.3E-2</v>
      </c>
      <c r="D67" s="1">
        <f t="shared" si="0"/>
        <v>1.8399999999999999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850</v>
      </c>
      <c r="C69" s="24">
        <v>2.1999999999999999E-2</v>
      </c>
      <c r="D69" s="1">
        <f t="shared" si="0"/>
        <v>1.7599999999999998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851</v>
      </c>
      <c r="C71" s="30">
        <v>3.4000000000000002E-2</v>
      </c>
      <c r="D71" s="1">
        <f t="shared" si="0"/>
        <v>2.72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852</v>
      </c>
      <c r="C73" s="24">
        <v>2E-3</v>
      </c>
      <c r="D73" s="1">
        <f t="shared" si="0"/>
        <v>0.16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853</v>
      </c>
      <c r="C75" s="24">
        <v>3.0000000000000001E-3</v>
      </c>
      <c r="D75" s="1">
        <f t="shared" si="0"/>
        <v>0.24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854</v>
      </c>
      <c r="C77" s="24">
        <v>1E-3</v>
      </c>
      <c r="D77" s="1">
        <f t="shared" si="0"/>
        <v>0.08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855</v>
      </c>
      <c r="C79" s="24">
        <v>4.0000000000000001E-3</v>
      </c>
      <c r="D79" s="1">
        <f t="shared" si="0"/>
        <v>0.32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856</v>
      </c>
      <c r="C81" s="24">
        <v>7.0999999999999994E-2</v>
      </c>
      <c r="D81" s="1">
        <f t="shared" si="0"/>
        <v>5.68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857</v>
      </c>
      <c r="C83" s="24">
        <v>2.1000000000000001E-2</v>
      </c>
      <c r="D83" s="1">
        <f t="shared" si="0"/>
        <v>1.6800000000000002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858</v>
      </c>
      <c r="C85" s="24">
        <v>3.7999999999999999E-2</v>
      </c>
      <c r="D85" s="1">
        <f t="shared" si="0"/>
        <v>3.04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110.408</v>
      </c>
    </row>
    <row r="87" spans="1:4" ht="15" customHeight="1" x14ac:dyDescent="0.25">
      <c r="A87" s="33"/>
      <c r="B87" s="34" t="s">
        <v>95</v>
      </c>
      <c r="C87" s="32">
        <f>ROUND(C86+C18,4)</f>
        <v>27.240100000000002</v>
      </c>
      <c r="D87" s="32">
        <f>ROUND(D86+D18,4)</f>
        <v>2179.2080000000001</v>
      </c>
    </row>
    <row r="88" spans="1:4" ht="27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80</v>
      </c>
      <c r="D89" s="38"/>
    </row>
    <row r="90" spans="1:4" ht="19.5" customHeight="1" x14ac:dyDescent="0.25">
      <c r="A90" s="161" t="s">
        <v>112</v>
      </c>
      <c r="B90" s="162"/>
      <c r="C90" s="2">
        <f>D87/C89</f>
        <v>27.240100000000002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G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9.7109375" style="84" customWidth="1"/>
    <col min="2" max="2" width="56.42578125" style="84" customWidth="1"/>
    <col min="3" max="3" width="12.42578125" style="84" customWidth="1"/>
    <col min="4" max="4" width="14" style="84" customWidth="1"/>
    <col min="5" max="5" width="14.140625" style="84" customWidth="1"/>
    <col min="6" max="6" width="9.140625" style="84"/>
    <col min="7" max="7" width="13" style="84" customWidth="1"/>
    <col min="8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ht="12" customHeight="1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ht="10.5" customHeight="1" x14ac:dyDescent="0.25">
      <c r="A4" s="6"/>
      <c r="B4" s="9"/>
      <c r="C4" s="9"/>
      <c r="D4" s="10"/>
    </row>
    <row r="5" spans="1:7" ht="35.25" customHeight="1" x14ac:dyDescent="0.25">
      <c r="A5" s="166" t="s">
        <v>343</v>
      </c>
      <c r="B5" s="166"/>
      <c r="C5" s="166"/>
      <c r="D5" s="166"/>
    </row>
    <row r="6" spans="1:7" ht="6.75" customHeight="1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ht="9" customHeight="1" x14ac:dyDescent="0.25">
      <c r="A8" s="49"/>
      <c r="B8" s="79"/>
      <c r="C8" s="11"/>
      <c r="D8" s="10"/>
    </row>
    <row r="9" spans="1:7" x14ac:dyDescent="0.25">
      <c r="A9" s="160" t="s">
        <v>105</v>
      </c>
      <c r="B9" s="160"/>
      <c r="C9" s="13"/>
      <c r="D9" s="10"/>
    </row>
    <row r="10" spans="1:7" ht="105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62" customHeight="1" x14ac:dyDescent="0.25">
      <c r="A14" s="5"/>
      <c r="B14" s="81" t="s">
        <v>1070</v>
      </c>
      <c r="C14" s="1">
        <v>16.850000000000001</v>
      </c>
      <c r="D14" s="1">
        <f>C14*30</f>
        <v>505.50000000000006</v>
      </c>
      <c r="E14" s="121"/>
      <c r="F14" s="113"/>
      <c r="G14" s="113"/>
    </row>
    <row r="15" spans="1:7" ht="24" x14ac:dyDescent="0.25">
      <c r="A15" s="5">
        <v>1200</v>
      </c>
      <c r="B15" s="23" t="s">
        <v>1068</v>
      </c>
      <c r="C15" s="1">
        <f>ROUND(C14*0.2359,2)</f>
        <v>3.97</v>
      </c>
      <c r="D15" s="1">
        <f t="shared" ref="D15:D17" si="0">C15*30</f>
        <v>119.10000000000001</v>
      </c>
      <c r="E15" s="109"/>
    </row>
    <row r="16" spans="1:7" x14ac:dyDescent="0.25">
      <c r="A16" s="5">
        <v>2341</v>
      </c>
      <c r="B16" s="5" t="s">
        <v>116</v>
      </c>
      <c r="C16" s="39"/>
      <c r="D16" s="1"/>
    </row>
    <row r="17" spans="1:5" ht="110.25" customHeight="1" x14ac:dyDescent="0.25">
      <c r="A17" s="5"/>
      <c r="B17" s="23" t="s">
        <v>1569</v>
      </c>
      <c r="C17" s="1">
        <v>0.66</v>
      </c>
      <c r="D17" s="1">
        <f t="shared" si="0"/>
        <v>19.8</v>
      </c>
    </row>
    <row r="18" spans="1:5" x14ac:dyDescent="0.25">
      <c r="A18" s="5"/>
      <c r="B18" s="40" t="s">
        <v>87</v>
      </c>
      <c r="C18" s="26">
        <f>SUM(C13:C17)</f>
        <v>21.48</v>
      </c>
      <c r="D18" s="26">
        <f>SUM(D13:D17)</f>
        <v>644.4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3.75" customHeight="1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860</v>
      </c>
      <c r="C23" s="24">
        <v>2.1000000000000001E-2</v>
      </c>
      <c r="D23" s="1">
        <f t="shared" ref="D23:D85" si="1">C23*30</f>
        <v>0.63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861</v>
      </c>
      <c r="C25" s="24">
        <v>5.1999999999999998E-2</v>
      </c>
      <c r="D25" s="1">
        <f t="shared" si="1"/>
        <v>1.5599999999999998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862</v>
      </c>
      <c r="C27" s="24">
        <f>ROUND(38.69/9509,4)</f>
        <v>4.1000000000000003E-3</v>
      </c>
      <c r="D27" s="1">
        <f t="shared" si="1"/>
        <v>0.12300000000000001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863</v>
      </c>
      <c r="C29" s="24">
        <v>9.4E-2</v>
      </c>
      <c r="D29" s="1">
        <f t="shared" si="1"/>
        <v>2.82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864</v>
      </c>
      <c r="C31" s="24">
        <v>1.4999999999999999E-2</v>
      </c>
      <c r="D31" s="1">
        <f t="shared" si="1"/>
        <v>0.44999999999999996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865</v>
      </c>
      <c r="C33" s="24">
        <v>2.5999999999999999E-2</v>
      </c>
      <c r="D33" s="1">
        <f t="shared" si="1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866</v>
      </c>
      <c r="C35" s="24">
        <v>7.0000000000000001E-3</v>
      </c>
      <c r="D35" s="1">
        <f t="shared" si="1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867</v>
      </c>
      <c r="C37" s="24">
        <v>0.01</v>
      </c>
      <c r="D37" s="1">
        <f t="shared" si="1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868</v>
      </c>
      <c r="C39" s="24">
        <v>7.0000000000000001E-3</v>
      </c>
      <c r="D39" s="1">
        <f t="shared" si="1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869</v>
      </c>
      <c r="C41" s="24">
        <v>4.9000000000000002E-2</v>
      </c>
      <c r="D41" s="1">
        <f t="shared" si="1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870</v>
      </c>
      <c r="C43" s="24">
        <v>6.0999999999999999E-2</v>
      </c>
      <c r="D43" s="1">
        <f t="shared" si="1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871</v>
      </c>
      <c r="C45" s="24">
        <v>0.09</v>
      </c>
      <c r="D45" s="1">
        <f t="shared" si="1"/>
        <v>2.6999999999999997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872</v>
      </c>
      <c r="C47" s="24">
        <v>0.05</v>
      </c>
      <c r="D47" s="1">
        <f t="shared" si="1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873</v>
      </c>
      <c r="C49" s="24">
        <v>6.9000000000000006E-2</v>
      </c>
      <c r="D49" s="1">
        <f t="shared" si="1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874</v>
      </c>
      <c r="C51" s="24">
        <v>3.0000000000000001E-3</v>
      </c>
      <c r="D51" s="1">
        <f t="shared" si="1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875</v>
      </c>
      <c r="C53" s="24">
        <v>2E-3</v>
      </c>
      <c r="D53" s="1">
        <f t="shared" si="1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876</v>
      </c>
      <c r="C55" s="24">
        <v>0.23699999999999999</v>
      </c>
      <c r="D55" s="1">
        <f t="shared" si="1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976</v>
      </c>
      <c r="C57" s="24">
        <v>0.29599999999999999</v>
      </c>
      <c r="D57" s="1">
        <f t="shared" si="1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1063</v>
      </c>
      <c r="C59" s="24">
        <v>1E-3</v>
      </c>
      <c r="D59" s="1">
        <f t="shared" si="1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878</v>
      </c>
      <c r="C61" s="24">
        <v>2.5999999999999999E-2</v>
      </c>
      <c r="D61" s="1">
        <f t="shared" si="1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879</v>
      </c>
      <c r="C63" s="24">
        <v>8.9999999999999993E-3</v>
      </c>
      <c r="D63" s="1">
        <f t="shared" si="1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880</v>
      </c>
      <c r="C65" s="24">
        <v>1.0999999999999999E-2</v>
      </c>
      <c r="D65" s="1">
        <f t="shared" si="1"/>
        <v>0.32999999999999996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881</v>
      </c>
      <c r="C67" s="24">
        <v>2.3E-2</v>
      </c>
      <c r="D67" s="1">
        <f t="shared" si="1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882</v>
      </c>
      <c r="C69" s="24">
        <v>2.1999999999999999E-2</v>
      </c>
      <c r="D69" s="1">
        <f t="shared" si="1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883</v>
      </c>
      <c r="C71" s="30">
        <v>3.4000000000000002E-2</v>
      </c>
      <c r="D71" s="1">
        <f t="shared" si="1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884</v>
      </c>
      <c r="C73" s="24">
        <v>2E-3</v>
      </c>
      <c r="D73" s="1">
        <f t="shared" si="1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885</v>
      </c>
      <c r="C75" s="24">
        <v>3.0000000000000001E-3</v>
      </c>
      <c r="D75" s="1">
        <f t="shared" si="1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886</v>
      </c>
      <c r="C77" s="24">
        <v>1E-3</v>
      </c>
      <c r="D77" s="1">
        <f t="shared" si="1"/>
        <v>0.03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887</v>
      </c>
      <c r="C79" s="24">
        <v>4.0000000000000001E-3</v>
      </c>
      <c r="D79" s="1">
        <f t="shared" si="1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888</v>
      </c>
      <c r="C81" s="24">
        <v>7.0999999999999994E-2</v>
      </c>
      <c r="D81" s="1">
        <f t="shared" si="1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889</v>
      </c>
      <c r="C83" s="24">
        <v>2.1000000000000001E-2</v>
      </c>
      <c r="D83" s="1">
        <f t="shared" si="1"/>
        <v>0.63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890</v>
      </c>
      <c r="C85" s="24">
        <v>3.7999999999999999E-2</v>
      </c>
      <c r="D85" s="1">
        <f t="shared" si="1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ht="15" customHeight="1" x14ac:dyDescent="0.25">
      <c r="A87" s="33"/>
      <c r="B87" s="34" t="s">
        <v>95</v>
      </c>
      <c r="C87" s="32">
        <f>ROUND(C86+C18,4)</f>
        <v>22.860099999999999</v>
      </c>
      <c r="D87" s="32">
        <f>ROUND(D86+D18,4)</f>
        <v>685.803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30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22.860099999999999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7" orientation="portrait" r:id="rId1"/>
  <colBreaks count="1" manualBreakCount="1">
    <brk id="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G90"/>
  <sheetViews>
    <sheetView view="pageBreakPreview" topLeftCell="A12" zoomScale="60" zoomScaleNormal="100" workbookViewId="0">
      <selection activeCell="A5" sqref="A5:D5"/>
    </sheetView>
  </sheetViews>
  <sheetFormatPr defaultRowHeight="15" x14ac:dyDescent="0.25"/>
  <cols>
    <col min="1" max="1" width="9.7109375" style="84" customWidth="1"/>
    <col min="2" max="2" width="59.42578125" style="84" customWidth="1"/>
    <col min="3" max="3" width="10.85546875" style="84" customWidth="1"/>
    <col min="4" max="4" width="12.85546875" style="84" customWidth="1"/>
    <col min="5" max="5" width="9.7109375" style="84" customWidth="1"/>
    <col min="6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36.75" customHeight="1" x14ac:dyDescent="0.25">
      <c r="A5" s="166" t="s">
        <v>344</v>
      </c>
      <c r="B5" s="166"/>
      <c r="C5" s="166"/>
      <c r="D5" s="166"/>
    </row>
    <row r="6" spans="1:7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x14ac:dyDescent="0.25">
      <c r="A8" s="49"/>
      <c r="B8" s="79"/>
      <c r="C8" s="11"/>
      <c r="D8" s="10"/>
    </row>
    <row r="9" spans="1:7" x14ac:dyDescent="0.25">
      <c r="A9" s="160" t="s">
        <v>98</v>
      </c>
      <c r="B9" s="160"/>
      <c r="C9" s="13"/>
      <c r="D9" s="10"/>
    </row>
    <row r="10" spans="1:7" ht="99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159" customHeight="1" x14ac:dyDescent="0.25">
      <c r="A14" s="3"/>
      <c r="B14" s="81" t="s">
        <v>1069</v>
      </c>
      <c r="C14" s="1">
        <v>16.850000000000001</v>
      </c>
      <c r="D14" s="1">
        <f>C14*60</f>
        <v>1011.0000000000001</v>
      </c>
      <c r="E14" s="120"/>
      <c r="F14" s="115"/>
      <c r="G14" s="115"/>
    </row>
    <row r="15" spans="1:7" ht="24" x14ac:dyDescent="0.25">
      <c r="A15" s="3">
        <v>1200</v>
      </c>
      <c r="B15" s="4" t="s">
        <v>1068</v>
      </c>
      <c r="C15" s="1">
        <f>ROUND(C14*0.2359,2)</f>
        <v>3.97</v>
      </c>
      <c r="D15" s="1">
        <f>C15*60</f>
        <v>238.20000000000002</v>
      </c>
      <c r="E15" s="109"/>
    </row>
    <row r="16" spans="1:7" x14ac:dyDescent="0.25">
      <c r="A16" s="3">
        <v>2341</v>
      </c>
      <c r="B16" s="3" t="s">
        <v>97</v>
      </c>
      <c r="C16" s="39"/>
      <c r="D16" s="1"/>
    </row>
    <row r="17" spans="1:5" ht="83.25" customHeight="1" x14ac:dyDescent="0.25">
      <c r="A17" s="3"/>
      <c r="B17" s="23" t="s">
        <v>1568</v>
      </c>
      <c r="C17" s="1">
        <v>5.5</v>
      </c>
      <c r="D17" s="1">
        <f>C17*60</f>
        <v>330</v>
      </c>
    </row>
    <row r="18" spans="1:5" x14ac:dyDescent="0.25">
      <c r="A18" s="5"/>
      <c r="B18" s="40" t="s">
        <v>87</v>
      </c>
      <c r="C18" s="32">
        <f>SUM(C13:C17)</f>
        <v>26.32</v>
      </c>
      <c r="D18" s="32">
        <f>SUM(D13:D17)</f>
        <v>1579.2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53.25" customHeight="1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1149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0.25" customHeight="1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ht="15" customHeight="1" x14ac:dyDescent="0.25">
      <c r="A87" s="33"/>
      <c r="B87" s="34" t="s">
        <v>95</v>
      </c>
      <c r="C87" s="32">
        <f>ROUND(C86+C18,4)</f>
        <v>27.700099999999999</v>
      </c>
      <c r="D87" s="32">
        <f>ROUND(D86+D18,4)</f>
        <v>1662.0060000000001</v>
      </c>
    </row>
    <row r="88" spans="1:4" ht="29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1" customHeight="1" x14ac:dyDescent="0.25">
      <c r="A90" s="161" t="s">
        <v>112</v>
      </c>
      <c r="B90" s="162"/>
      <c r="C90" s="2">
        <f>D87/C89</f>
        <v>27.700100000000003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7" orientation="portrait" r:id="rId1"/>
  <colBreaks count="1" manualBreakCount="1">
    <brk id="4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I91"/>
  <sheetViews>
    <sheetView view="pageBreakPreview" zoomScale="60" zoomScaleNormal="100" workbookViewId="0">
      <selection activeCell="B18" sqref="B18"/>
    </sheetView>
  </sheetViews>
  <sheetFormatPr defaultRowHeight="15" x14ac:dyDescent="0.25"/>
  <cols>
    <col min="1" max="1" width="9.7109375" style="84" customWidth="1"/>
    <col min="2" max="2" width="58" style="84" customWidth="1"/>
    <col min="3" max="3" width="11.140625" style="84" customWidth="1"/>
    <col min="4" max="4" width="12.5703125" style="84" customWidth="1"/>
    <col min="5" max="5" width="10" style="84" customWidth="1"/>
    <col min="6" max="6" width="11.42578125" style="84" customWidth="1"/>
    <col min="7" max="16384" width="9.140625" style="84"/>
  </cols>
  <sheetData>
    <row r="1" spans="1:9" x14ac:dyDescent="0.25">
      <c r="A1" s="167" t="s">
        <v>78</v>
      </c>
      <c r="B1" s="167"/>
      <c r="C1" s="167"/>
      <c r="D1" s="167"/>
    </row>
    <row r="2" spans="1:9" ht="12" customHeight="1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ht="10.5" customHeight="1" x14ac:dyDescent="0.25">
      <c r="A4" s="45"/>
      <c r="B4" s="11"/>
      <c r="C4" s="11"/>
      <c r="D4" s="44"/>
    </row>
    <row r="5" spans="1:9" ht="37.5" customHeight="1" x14ac:dyDescent="0.25">
      <c r="A5" s="166" t="s">
        <v>345</v>
      </c>
      <c r="B5" s="166"/>
      <c r="C5" s="166"/>
      <c r="D5" s="166"/>
    </row>
    <row r="6" spans="1:9" ht="10.5" customHeight="1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ht="13.5" customHeight="1" x14ac:dyDescent="0.25">
      <c r="A8" s="49"/>
      <c r="B8" s="79"/>
      <c r="C8" s="11"/>
      <c r="D8" s="44"/>
    </row>
    <row r="9" spans="1:9" x14ac:dyDescent="0.25">
      <c r="A9" s="170" t="s">
        <v>105</v>
      </c>
      <c r="B9" s="170"/>
      <c r="C9" s="48"/>
      <c r="D9" s="44"/>
    </row>
    <row r="10" spans="1:9" ht="2.25" customHeight="1" x14ac:dyDescent="0.25">
      <c r="A10" s="45"/>
      <c r="B10" s="36"/>
      <c r="C10" s="48"/>
      <c r="D10" s="44"/>
    </row>
    <row r="11" spans="1:9" ht="106.5" customHeight="1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9" x14ac:dyDescent="0.25">
      <c r="A12" s="15">
        <v>1</v>
      </c>
      <c r="B12" s="16">
        <v>2</v>
      </c>
      <c r="C12" s="15">
        <v>3</v>
      </c>
      <c r="D12" s="15">
        <v>4</v>
      </c>
    </row>
    <row r="13" spans="1:9" x14ac:dyDescent="0.25">
      <c r="A13" s="15"/>
      <c r="B13" s="31" t="s">
        <v>84</v>
      </c>
      <c r="C13" s="19"/>
      <c r="D13" s="19"/>
    </row>
    <row r="14" spans="1:9" x14ac:dyDescent="0.25">
      <c r="A14" s="42">
        <v>1100</v>
      </c>
      <c r="B14" s="43" t="s">
        <v>85</v>
      </c>
      <c r="C14" s="22"/>
      <c r="D14" s="22"/>
    </row>
    <row r="15" spans="1:9" ht="155.25" customHeight="1" x14ac:dyDescent="0.25">
      <c r="A15" s="3"/>
      <c r="B15" s="81" t="s">
        <v>1070</v>
      </c>
      <c r="C15" s="1">
        <v>16.850000000000001</v>
      </c>
      <c r="D15" s="1">
        <f>C15*30</f>
        <v>505.50000000000006</v>
      </c>
      <c r="E15" s="119"/>
      <c r="F15" s="87"/>
      <c r="G15" s="87"/>
      <c r="H15" s="87"/>
      <c r="I15" s="87"/>
    </row>
    <row r="16" spans="1:9" ht="24" x14ac:dyDescent="0.25">
      <c r="A16" s="3">
        <v>1200</v>
      </c>
      <c r="B16" s="23" t="s">
        <v>1068</v>
      </c>
      <c r="C16" s="1">
        <f>ROUND(C15*0.2359,2)</f>
        <v>3.97</v>
      </c>
      <c r="D16" s="1">
        <f t="shared" ref="D16:D18" si="0">C16*30</f>
        <v>119.10000000000001</v>
      </c>
      <c r="E16" s="109"/>
    </row>
    <row r="17" spans="1:5" x14ac:dyDescent="0.25">
      <c r="A17" s="3">
        <v>2341</v>
      </c>
      <c r="B17" s="3" t="s">
        <v>116</v>
      </c>
      <c r="C17" s="24"/>
      <c r="D17" s="1"/>
    </row>
    <row r="18" spans="1:5" ht="120.75" customHeight="1" x14ac:dyDescent="0.25">
      <c r="A18" s="3"/>
      <c r="B18" s="4" t="s">
        <v>1567</v>
      </c>
      <c r="C18" s="1">
        <v>4.6500000000000004</v>
      </c>
      <c r="D18" s="1">
        <f t="shared" si="0"/>
        <v>139.5</v>
      </c>
      <c r="E18" s="105"/>
    </row>
    <row r="19" spans="1:5" x14ac:dyDescent="0.25">
      <c r="A19" s="34"/>
      <c r="B19" s="40" t="s">
        <v>87</v>
      </c>
      <c r="C19" s="32">
        <f>SUM(C14:C18)</f>
        <v>25.47</v>
      </c>
      <c r="D19" s="32">
        <f>SUM(D14:D18)</f>
        <v>764.1</v>
      </c>
      <c r="E19" s="110"/>
    </row>
    <row r="20" spans="1:5" x14ac:dyDescent="0.25">
      <c r="A20" s="27"/>
      <c r="B20" s="103" t="s">
        <v>88</v>
      </c>
      <c r="C20" s="28"/>
      <c r="D20" s="28"/>
    </row>
    <row r="21" spans="1:5" x14ac:dyDescent="0.25">
      <c r="A21" s="3">
        <v>2100</v>
      </c>
      <c r="B21" s="69" t="s">
        <v>370</v>
      </c>
      <c r="C21" s="28"/>
      <c r="D21" s="28"/>
    </row>
    <row r="22" spans="1:5" ht="60" x14ac:dyDescent="0.25">
      <c r="A22" s="27"/>
      <c r="B22" s="4" t="s">
        <v>859</v>
      </c>
      <c r="C22" s="24">
        <v>2.1000000000000001E-2</v>
      </c>
      <c r="D22" s="1">
        <f>C22*30</f>
        <v>0.63</v>
      </c>
    </row>
    <row r="23" spans="1:5" x14ac:dyDescent="0.25">
      <c r="A23" s="3">
        <v>2210</v>
      </c>
      <c r="B23" s="4" t="s">
        <v>354</v>
      </c>
      <c r="C23" s="24"/>
      <c r="D23" s="1"/>
    </row>
    <row r="24" spans="1:5" ht="60" x14ac:dyDescent="0.25">
      <c r="A24" s="3"/>
      <c r="B24" s="4" t="s">
        <v>860</v>
      </c>
      <c r="C24" s="24">
        <v>2.1000000000000001E-2</v>
      </c>
      <c r="D24" s="1">
        <f t="shared" ref="D24:D86" si="1">C24*30</f>
        <v>0.63</v>
      </c>
    </row>
    <row r="25" spans="1:5" x14ac:dyDescent="0.25">
      <c r="A25" s="3">
        <v>2221</v>
      </c>
      <c r="B25" s="4" t="s">
        <v>89</v>
      </c>
      <c r="C25" s="1"/>
      <c r="D25" s="1"/>
    </row>
    <row r="26" spans="1:5" ht="60" x14ac:dyDescent="0.25">
      <c r="A26" s="3"/>
      <c r="B26" s="4" t="s">
        <v>861</v>
      </c>
      <c r="C26" s="24">
        <v>5.1999999999999998E-2</v>
      </c>
      <c r="D26" s="1">
        <f t="shared" si="1"/>
        <v>1.5599999999999998</v>
      </c>
    </row>
    <row r="27" spans="1:5" x14ac:dyDescent="0.25">
      <c r="A27" s="3">
        <v>2222</v>
      </c>
      <c r="B27" s="67" t="s">
        <v>90</v>
      </c>
      <c r="C27" s="1"/>
      <c r="D27" s="1"/>
    </row>
    <row r="28" spans="1:5" ht="60" x14ac:dyDescent="0.25">
      <c r="A28" s="3"/>
      <c r="B28" s="4" t="s">
        <v>862</v>
      </c>
      <c r="C28" s="24">
        <f>ROUND(38.69/9509,4)</f>
        <v>4.1000000000000003E-3</v>
      </c>
      <c r="D28" s="1">
        <f t="shared" si="1"/>
        <v>0.12300000000000001</v>
      </c>
    </row>
    <row r="29" spans="1:5" x14ac:dyDescent="0.25">
      <c r="A29" s="3">
        <v>2223</v>
      </c>
      <c r="B29" s="3" t="s">
        <v>91</v>
      </c>
      <c r="C29" s="24"/>
      <c r="D29" s="1"/>
    </row>
    <row r="30" spans="1:5" ht="60" x14ac:dyDescent="0.25">
      <c r="A30" s="3"/>
      <c r="B30" s="4" t="s">
        <v>863</v>
      </c>
      <c r="C30" s="24">
        <v>9.4E-2</v>
      </c>
      <c r="D30" s="1">
        <f t="shared" si="1"/>
        <v>2.82</v>
      </c>
    </row>
    <row r="31" spans="1:5" ht="24" x14ac:dyDescent="0.25">
      <c r="A31" s="3">
        <v>2224</v>
      </c>
      <c r="B31" s="4" t="s">
        <v>114</v>
      </c>
      <c r="C31" s="24"/>
      <c r="D31" s="1"/>
    </row>
    <row r="32" spans="1:5" ht="60" x14ac:dyDescent="0.25">
      <c r="A32" s="3"/>
      <c r="B32" s="4" t="s">
        <v>864</v>
      </c>
      <c r="C32" s="24">
        <v>1.4999999999999999E-2</v>
      </c>
      <c r="D32" s="1">
        <f t="shared" si="1"/>
        <v>0.44999999999999996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865</v>
      </c>
      <c r="C34" s="24">
        <v>2.5999999999999999E-2</v>
      </c>
      <c r="D34" s="1">
        <f t="shared" si="1"/>
        <v>0.77999999999999992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60" x14ac:dyDescent="0.25">
      <c r="A36" s="3"/>
      <c r="B36" s="4" t="s">
        <v>866</v>
      </c>
      <c r="C36" s="24">
        <v>7.0000000000000001E-3</v>
      </c>
      <c r="D36" s="1">
        <f t="shared" si="1"/>
        <v>0.21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60" x14ac:dyDescent="0.25">
      <c r="A38" s="3"/>
      <c r="B38" s="4" t="s">
        <v>867</v>
      </c>
      <c r="C38" s="24">
        <v>0.01</v>
      </c>
      <c r="D38" s="1">
        <f t="shared" si="1"/>
        <v>0.3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60" x14ac:dyDescent="0.25">
      <c r="A40" s="3"/>
      <c r="B40" s="4" t="s">
        <v>868</v>
      </c>
      <c r="C40" s="24">
        <v>7.0000000000000001E-3</v>
      </c>
      <c r="D40" s="1">
        <f t="shared" si="1"/>
        <v>0.21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869</v>
      </c>
      <c r="C42" s="24">
        <v>4.9000000000000002E-2</v>
      </c>
      <c r="D42" s="1">
        <f t="shared" si="1"/>
        <v>1.47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870</v>
      </c>
      <c r="C44" s="24">
        <v>6.0999999999999999E-2</v>
      </c>
      <c r="D44" s="1">
        <f t="shared" si="1"/>
        <v>1.83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60" x14ac:dyDescent="0.25">
      <c r="A46" s="3"/>
      <c r="B46" s="4" t="s">
        <v>871</v>
      </c>
      <c r="C46" s="24">
        <v>0.09</v>
      </c>
      <c r="D46" s="1">
        <f t="shared" si="1"/>
        <v>2.6999999999999997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0" x14ac:dyDescent="0.25">
      <c r="A48" s="3"/>
      <c r="B48" s="4" t="s">
        <v>872</v>
      </c>
      <c r="C48" s="24">
        <v>0.05</v>
      </c>
      <c r="D48" s="1">
        <f t="shared" si="1"/>
        <v>1.5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customHeight="1" x14ac:dyDescent="0.25">
      <c r="A50" s="29"/>
      <c r="B50" s="4" t="s">
        <v>873</v>
      </c>
      <c r="C50" s="24">
        <v>6.9000000000000006E-2</v>
      </c>
      <c r="D50" s="1">
        <f t="shared" si="1"/>
        <v>2.0700000000000003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60" x14ac:dyDescent="0.25">
      <c r="A52" s="29"/>
      <c r="B52" s="4" t="s">
        <v>874</v>
      </c>
      <c r="C52" s="24">
        <v>3.0000000000000001E-3</v>
      </c>
      <c r="D52" s="1">
        <f t="shared" si="1"/>
        <v>0.09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60" x14ac:dyDescent="0.25">
      <c r="A54" s="29"/>
      <c r="B54" s="4" t="s">
        <v>875</v>
      </c>
      <c r="C54" s="24">
        <v>2E-3</v>
      </c>
      <c r="D54" s="1">
        <f t="shared" si="1"/>
        <v>0.06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60" x14ac:dyDescent="0.25">
      <c r="A56" s="3"/>
      <c r="B56" s="4" t="s">
        <v>876</v>
      </c>
      <c r="C56" s="24">
        <v>0.23699999999999999</v>
      </c>
      <c r="D56" s="1">
        <f t="shared" si="1"/>
        <v>7.1099999999999994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976</v>
      </c>
      <c r="C58" s="24">
        <v>0.29599999999999999</v>
      </c>
      <c r="D58" s="1">
        <f t="shared" si="1"/>
        <v>8.879999999999999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60" x14ac:dyDescent="0.25">
      <c r="A60" s="3"/>
      <c r="B60" s="4" t="s">
        <v>877</v>
      </c>
      <c r="C60" s="24">
        <v>1E-3</v>
      </c>
      <c r="D60" s="1">
        <f t="shared" si="1"/>
        <v>0.03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878</v>
      </c>
      <c r="C62" s="24">
        <v>2.5999999999999999E-2</v>
      </c>
      <c r="D62" s="1">
        <f t="shared" si="1"/>
        <v>0.77999999999999992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60" x14ac:dyDescent="0.25">
      <c r="A64" s="3"/>
      <c r="B64" s="4" t="s">
        <v>879</v>
      </c>
      <c r="C64" s="24">
        <v>8.9999999999999993E-3</v>
      </c>
      <c r="D64" s="1">
        <f t="shared" si="1"/>
        <v>0.26999999999999996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60" x14ac:dyDescent="0.25">
      <c r="A66" s="3"/>
      <c r="B66" s="4" t="s">
        <v>880</v>
      </c>
      <c r="C66" s="24">
        <v>1.0999999999999999E-2</v>
      </c>
      <c r="D66" s="1">
        <f t="shared" si="1"/>
        <v>0.32999999999999996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881</v>
      </c>
      <c r="C68" s="24">
        <v>2.3E-2</v>
      </c>
      <c r="D68" s="1">
        <f t="shared" si="1"/>
        <v>0.69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882</v>
      </c>
      <c r="C70" s="24">
        <v>2.1999999999999999E-2</v>
      </c>
      <c r="D70" s="1">
        <f t="shared" si="1"/>
        <v>0.65999999999999992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883</v>
      </c>
      <c r="C72" s="30">
        <v>3.4000000000000002E-2</v>
      </c>
      <c r="D72" s="1">
        <f t="shared" si="1"/>
        <v>1.02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60" x14ac:dyDescent="0.25">
      <c r="A74" s="3"/>
      <c r="B74" s="4" t="s">
        <v>884</v>
      </c>
      <c r="C74" s="24">
        <v>2E-3</v>
      </c>
      <c r="D74" s="1">
        <f t="shared" si="1"/>
        <v>0.06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885</v>
      </c>
      <c r="C76" s="24">
        <v>3.0000000000000001E-3</v>
      </c>
      <c r="D76" s="1">
        <f t="shared" si="1"/>
        <v>0.09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60" x14ac:dyDescent="0.25">
      <c r="A78" s="3"/>
      <c r="B78" s="4" t="s">
        <v>886</v>
      </c>
      <c r="C78" s="24">
        <v>1E-3</v>
      </c>
      <c r="D78" s="1">
        <f t="shared" si="1"/>
        <v>0.03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60" x14ac:dyDescent="0.25">
      <c r="A80" s="3"/>
      <c r="B80" s="4" t="s">
        <v>887</v>
      </c>
      <c r="C80" s="24">
        <v>4.0000000000000001E-3</v>
      </c>
      <c r="D80" s="1">
        <f t="shared" si="1"/>
        <v>0.12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888</v>
      </c>
      <c r="C82" s="24">
        <v>7.0999999999999994E-2</v>
      </c>
      <c r="D82" s="1">
        <f t="shared" si="1"/>
        <v>2.13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889</v>
      </c>
      <c r="C84" s="24">
        <v>2.1000000000000001E-2</v>
      </c>
      <c r="D84" s="1">
        <f t="shared" si="1"/>
        <v>0.63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890</v>
      </c>
      <c r="C86" s="24">
        <v>3.7999999999999999E-2</v>
      </c>
      <c r="D86" s="1">
        <f t="shared" si="1"/>
        <v>1.1399999999999999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41.403000000000013</v>
      </c>
    </row>
    <row r="88" spans="1:4" ht="15" customHeight="1" x14ac:dyDescent="0.25">
      <c r="A88" s="33"/>
      <c r="B88" s="34" t="s">
        <v>95</v>
      </c>
      <c r="C88" s="32">
        <f>ROUND(C87+C19,4)</f>
        <v>26.850100000000001</v>
      </c>
      <c r="D88" s="32">
        <f>ROUND(D87+D19,4)</f>
        <v>805.50300000000004</v>
      </c>
    </row>
    <row r="89" spans="1:4" ht="28.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30</v>
      </c>
      <c r="D90" s="38"/>
    </row>
    <row r="91" spans="1:4" ht="23.25" customHeight="1" x14ac:dyDescent="0.25">
      <c r="A91" s="161" t="s">
        <v>112</v>
      </c>
      <c r="B91" s="162"/>
      <c r="C91" s="2">
        <f>D88/C90</f>
        <v>26.850100000000001</v>
      </c>
      <c r="D91" s="38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" right="0.7" top="0.75" bottom="0.75" header="0.3" footer="0.3"/>
  <pageSetup scale="98" orientation="portrait" r:id="rId1"/>
  <colBreaks count="1" manualBreakCount="1">
    <brk id="4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I90"/>
  <sheetViews>
    <sheetView view="pageBreakPreview" topLeftCell="A65" zoomScale="60" zoomScaleNormal="100" workbookViewId="0">
      <selection activeCell="B17" sqref="B17"/>
    </sheetView>
  </sheetViews>
  <sheetFormatPr defaultRowHeight="15" x14ac:dyDescent="0.25"/>
  <cols>
    <col min="1" max="1" width="8" style="84" customWidth="1"/>
    <col min="2" max="2" width="59.28515625" style="84" customWidth="1"/>
    <col min="3" max="3" width="12.140625" style="84" customWidth="1"/>
    <col min="4" max="4" width="11.28515625" style="84" customWidth="1"/>
    <col min="5" max="5" width="14" style="84" customWidth="1"/>
    <col min="6" max="6" width="12.140625" style="84" customWidth="1"/>
    <col min="7" max="7" width="63.5703125" style="84" customWidth="1"/>
    <col min="8" max="16384" width="9.140625" style="84"/>
  </cols>
  <sheetData>
    <row r="1" spans="1:9" x14ac:dyDescent="0.25">
      <c r="A1" s="167" t="s">
        <v>78</v>
      </c>
      <c r="B1" s="167"/>
      <c r="C1" s="167"/>
      <c r="D1" s="167"/>
    </row>
    <row r="2" spans="1:9" ht="9" customHeight="1" x14ac:dyDescent="0.25">
      <c r="A2" s="45"/>
      <c r="B2" s="45"/>
      <c r="C2" s="168"/>
      <c r="D2" s="168"/>
    </row>
    <row r="3" spans="1:9" x14ac:dyDescent="0.25">
      <c r="A3" s="46" t="s">
        <v>110</v>
      </c>
      <c r="B3" s="47"/>
      <c r="C3" s="47"/>
      <c r="D3" s="47"/>
    </row>
    <row r="4" spans="1:9" x14ac:dyDescent="0.25">
      <c r="A4" s="45"/>
      <c r="B4" s="11"/>
      <c r="C4" s="11"/>
      <c r="D4" s="11"/>
    </row>
    <row r="5" spans="1:9" ht="39.75" customHeight="1" x14ac:dyDescent="0.25">
      <c r="A5" s="166" t="s">
        <v>346</v>
      </c>
      <c r="B5" s="166"/>
      <c r="C5" s="166"/>
      <c r="D5" s="166"/>
    </row>
    <row r="6" spans="1:9" ht="7.5" customHeight="1" x14ac:dyDescent="0.25">
      <c r="A6" s="49"/>
      <c r="B6" s="11"/>
      <c r="C6" s="11"/>
      <c r="D6" s="11"/>
    </row>
    <row r="7" spans="1:9" x14ac:dyDescent="0.25">
      <c r="A7" s="158" t="s">
        <v>111</v>
      </c>
      <c r="B7" s="159"/>
      <c r="C7" s="11"/>
      <c r="D7" s="11"/>
    </row>
    <row r="8" spans="1:9" ht="9" customHeight="1" x14ac:dyDescent="0.25">
      <c r="A8" s="49"/>
      <c r="B8" s="79"/>
      <c r="C8" s="11"/>
      <c r="D8" s="11"/>
    </row>
    <row r="9" spans="1:9" x14ac:dyDescent="0.25">
      <c r="A9" s="170" t="s">
        <v>371</v>
      </c>
      <c r="B9" s="170"/>
      <c r="C9" s="48"/>
      <c r="D9" s="48"/>
    </row>
    <row r="10" spans="1:9" ht="96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51.5" customHeight="1" x14ac:dyDescent="0.25">
      <c r="A14" s="3"/>
      <c r="B14" s="81" t="s">
        <v>1064</v>
      </c>
      <c r="C14" s="1">
        <v>16.850000000000001</v>
      </c>
      <c r="D14" s="1">
        <f>C14*80</f>
        <v>1348</v>
      </c>
      <c r="E14" s="119"/>
      <c r="F14" s="87"/>
      <c r="G14" s="87"/>
      <c r="H14" s="87"/>
      <c r="I14" s="87"/>
    </row>
    <row r="15" spans="1:9" ht="24" x14ac:dyDescent="0.25">
      <c r="A15" s="3">
        <v>1200</v>
      </c>
      <c r="B15" s="4" t="s">
        <v>1071</v>
      </c>
      <c r="C15" s="1">
        <f>ROUND(C14*0.2359,2)</f>
        <v>3.97</v>
      </c>
      <c r="D15" s="1">
        <f>C15*80</f>
        <v>317.60000000000002</v>
      </c>
      <c r="E15" s="111"/>
    </row>
    <row r="16" spans="1:9" x14ac:dyDescent="0.25">
      <c r="A16" s="3">
        <v>2341</v>
      </c>
      <c r="B16" s="3" t="s">
        <v>97</v>
      </c>
      <c r="C16" s="24"/>
      <c r="D16" s="24"/>
    </row>
    <row r="17" spans="1:5" ht="117.75" customHeight="1" x14ac:dyDescent="0.25">
      <c r="A17" s="3"/>
      <c r="B17" s="4" t="s">
        <v>1566</v>
      </c>
      <c r="C17" s="1">
        <v>17.47</v>
      </c>
      <c r="D17" s="1">
        <f>C17*80</f>
        <v>1397.6</v>
      </c>
      <c r="E17" s="105"/>
    </row>
    <row r="18" spans="1:5" x14ac:dyDescent="0.25">
      <c r="A18" s="3"/>
      <c r="B18" s="40" t="s">
        <v>87</v>
      </c>
      <c r="C18" s="32">
        <f>SUM(C13:C17)</f>
        <v>38.29</v>
      </c>
      <c r="D18" s="32">
        <f>SUM(D13:D17)</f>
        <v>3063.2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827</v>
      </c>
      <c r="C21" s="24">
        <v>2.1000000000000001E-2</v>
      </c>
      <c r="D21" s="1">
        <f>C21*80</f>
        <v>1.6800000000000002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828</v>
      </c>
      <c r="C23" s="24">
        <v>2.1000000000000001E-2</v>
      </c>
      <c r="D23" s="1">
        <f t="shared" ref="D23:D85" si="0">C23*80</f>
        <v>1.6800000000000002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829</v>
      </c>
      <c r="C25" s="24">
        <v>5.1999999999999998E-2</v>
      </c>
      <c r="D25" s="1">
        <f t="shared" si="0"/>
        <v>4.16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830</v>
      </c>
      <c r="C27" s="24">
        <f>ROUND(38.69/9509,4)</f>
        <v>4.1000000000000003E-3</v>
      </c>
      <c r="D27" s="1">
        <f t="shared" si="0"/>
        <v>0.32800000000000001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831</v>
      </c>
      <c r="C29" s="24">
        <v>9.4E-2</v>
      </c>
      <c r="D29" s="1">
        <f t="shared" si="0"/>
        <v>7.52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832</v>
      </c>
      <c r="C31" s="24">
        <v>1.4999999999999999E-2</v>
      </c>
      <c r="D31" s="1">
        <f t="shared" si="0"/>
        <v>1.2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833</v>
      </c>
      <c r="C33" s="24">
        <v>2.5999999999999999E-2</v>
      </c>
      <c r="D33" s="1">
        <f t="shared" si="0"/>
        <v>2.08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834</v>
      </c>
      <c r="C35" s="24">
        <v>7.0000000000000001E-3</v>
      </c>
      <c r="D35" s="1">
        <f t="shared" si="0"/>
        <v>0.56000000000000005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835</v>
      </c>
      <c r="C37" s="24">
        <v>0.01</v>
      </c>
      <c r="D37" s="1">
        <f t="shared" si="0"/>
        <v>0.8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836</v>
      </c>
      <c r="C39" s="24">
        <v>7.0000000000000001E-3</v>
      </c>
      <c r="D39" s="1">
        <f t="shared" si="0"/>
        <v>0.56000000000000005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837</v>
      </c>
      <c r="C41" s="24">
        <v>4.9000000000000002E-2</v>
      </c>
      <c r="D41" s="1">
        <f t="shared" si="0"/>
        <v>3.92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838</v>
      </c>
      <c r="C43" s="24">
        <v>6.0999999999999999E-2</v>
      </c>
      <c r="D43" s="1">
        <f t="shared" si="0"/>
        <v>4.88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839</v>
      </c>
      <c r="C45" s="24">
        <v>0.09</v>
      </c>
      <c r="D45" s="1">
        <f t="shared" si="0"/>
        <v>7.1999999999999993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840</v>
      </c>
      <c r="C47" s="24">
        <v>0.05</v>
      </c>
      <c r="D47" s="1">
        <f t="shared" si="0"/>
        <v>4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841</v>
      </c>
      <c r="C49" s="24">
        <v>6.9000000000000006E-2</v>
      </c>
      <c r="D49" s="1">
        <f t="shared" si="0"/>
        <v>5.5200000000000005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842</v>
      </c>
      <c r="C51" s="24">
        <v>3.0000000000000001E-3</v>
      </c>
      <c r="D51" s="1">
        <f t="shared" si="0"/>
        <v>0.24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843</v>
      </c>
      <c r="C53" s="24">
        <v>2E-3</v>
      </c>
      <c r="D53" s="1">
        <f t="shared" si="0"/>
        <v>0.16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845</v>
      </c>
      <c r="C55" s="24">
        <v>0.23699999999999999</v>
      </c>
      <c r="D55" s="1">
        <f t="shared" si="0"/>
        <v>18.96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1067</v>
      </c>
      <c r="C57" s="24">
        <v>0.29599999999999999</v>
      </c>
      <c r="D57" s="1">
        <f t="shared" si="0"/>
        <v>23.68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1066</v>
      </c>
      <c r="C59" s="24">
        <v>1E-3</v>
      </c>
      <c r="D59" s="1">
        <f t="shared" si="0"/>
        <v>0.08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846</v>
      </c>
      <c r="C61" s="24">
        <v>2.5999999999999999E-2</v>
      </c>
      <c r="D61" s="1">
        <f t="shared" si="0"/>
        <v>2.08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847</v>
      </c>
      <c r="C63" s="24">
        <v>8.9999999999999993E-3</v>
      </c>
      <c r="D63" s="1">
        <f t="shared" si="0"/>
        <v>0.72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848</v>
      </c>
      <c r="C65" s="24">
        <v>1.0999999999999999E-2</v>
      </c>
      <c r="D65" s="1">
        <f t="shared" si="0"/>
        <v>0.87999999999999989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849</v>
      </c>
      <c r="C67" s="24">
        <v>2.3E-2</v>
      </c>
      <c r="D67" s="1">
        <f t="shared" si="0"/>
        <v>1.8399999999999999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850</v>
      </c>
      <c r="C69" s="24">
        <v>2.1999999999999999E-2</v>
      </c>
      <c r="D69" s="1">
        <f t="shared" si="0"/>
        <v>1.7599999999999998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851</v>
      </c>
      <c r="C71" s="30">
        <v>3.4000000000000002E-2</v>
      </c>
      <c r="D71" s="1">
        <f t="shared" si="0"/>
        <v>2.72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852</v>
      </c>
      <c r="C73" s="24">
        <v>2E-3</v>
      </c>
      <c r="D73" s="1">
        <f t="shared" si="0"/>
        <v>0.16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853</v>
      </c>
      <c r="C75" s="24">
        <v>3.0000000000000001E-3</v>
      </c>
      <c r="D75" s="1">
        <f t="shared" si="0"/>
        <v>0.24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854</v>
      </c>
      <c r="C77" s="24">
        <v>1E-3</v>
      </c>
      <c r="D77" s="1">
        <f t="shared" si="0"/>
        <v>0.08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855</v>
      </c>
      <c r="C79" s="24">
        <v>4.0000000000000001E-3</v>
      </c>
      <c r="D79" s="1">
        <f t="shared" si="0"/>
        <v>0.32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856</v>
      </c>
      <c r="C81" s="24">
        <v>7.0999999999999994E-2</v>
      </c>
      <c r="D81" s="1">
        <f t="shared" si="0"/>
        <v>5.68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857</v>
      </c>
      <c r="C83" s="24">
        <v>2.1000000000000001E-2</v>
      </c>
      <c r="D83" s="1">
        <f t="shared" si="0"/>
        <v>1.6800000000000002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858</v>
      </c>
      <c r="C85" s="24">
        <v>3.7999999999999999E-2</v>
      </c>
      <c r="D85" s="1">
        <f t="shared" si="0"/>
        <v>3.04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110.408</v>
      </c>
    </row>
    <row r="87" spans="1:4" ht="15" customHeight="1" x14ac:dyDescent="0.25">
      <c r="A87" s="33"/>
      <c r="B87" s="34" t="s">
        <v>95</v>
      </c>
      <c r="C87" s="32">
        <f>ROUND(C86+C18,4)</f>
        <v>39.670099999999998</v>
      </c>
      <c r="D87" s="32">
        <f>ROUND(D86+D18,4)</f>
        <v>3173.6080000000002</v>
      </c>
    </row>
    <row r="88" spans="1:4" ht="24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80</v>
      </c>
      <c r="D89" s="38"/>
    </row>
    <row r="90" spans="1:4" ht="18.75" customHeight="1" x14ac:dyDescent="0.25">
      <c r="A90" s="161" t="s">
        <v>112</v>
      </c>
      <c r="B90" s="162"/>
      <c r="C90" s="2">
        <f>D87/C89</f>
        <v>39.670100000000005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9" orientation="portrait" r:id="rId1"/>
  <colBreaks count="1" manualBreakCount="1">
    <brk id="4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I90"/>
  <sheetViews>
    <sheetView view="pageBreakPreview" topLeftCell="A70" zoomScale="60" zoomScaleNormal="100" workbookViewId="0">
      <selection activeCell="D87" sqref="D87"/>
    </sheetView>
  </sheetViews>
  <sheetFormatPr defaultRowHeight="15" x14ac:dyDescent="0.25"/>
  <cols>
    <col min="1" max="1" width="9.7109375" style="84" customWidth="1"/>
    <col min="2" max="2" width="58.42578125" style="84" customWidth="1"/>
    <col min="3" max="3" width="11.28515625" style="84" customWidth="1"/>
    <col min="4" max="4" width="14.140625" style="84" customWidth="1"/>
    <col min="5" max="5" width="10.140625" style="84" customWidth="1"/>
    <col min="6" max="16384" width="9.140625" style="84"/>
  </cols>
  <sheetData>
    <row r="1" spans="1:9" x14ac:dyDescent="0.25">
      <c r="A1" s="171" t="s">
        <v>78</v>
      </c>
      <c r="B1" s="171"/>
      <c r="C1" s="171"/>
      <c r="D1" s="171"/>
    </row>
    <row r="2" spans="1:9" ht="12.75" customHeight="1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ht="10.5" customHeight="1" x14ac:dyDescent="0.25">
      <c r="A4" s="45"/>
      <c r="B4" s="11"/>
      <c r="C4" s="11"/>
      <c r="D4" s="44"/>
    </row>
    <row r="5" spans="1:9" ht="36" customHeight="1" x14ac:dyDescent="0.25">
      <c r="A5" s="166" t="s">
        <v>347</v>
      </c>
      <c r="B5" s="166"/>
      <c r="C5" s="166"/>
      <c r="D5" s="166"/>
    </row>
    <row r="6" spans="1:9" ht="11.25" customHeight="1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ht="8.25" customHeight="1" x14ac:dyDescent="0.25">
      <c r="A8" s="49"/>
      <c r="B8" s="79"/>
      <c r="C8" s="11"/>
      <c r="D8" s="44"/>
    </row>
    <row r="9" spans="1:9" x14ac:dyDescent="0.25">
      <c r="A9" s="170" t="s">
        <v>371</v>
      </c>
      <c r="B9" s="170"/>
      <c r="C9" s="48"/>
      <c r="D9" s="44"/>
    </row>
    <row r="10" spans="1:9" ht="111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58.25" customHeight="1" x14ac:dyDescent="0.25">
      <c r="A14" s="3"/>
      <c r="B14" s="81" t="s">
        <v>1064</v>
      </c>
      <c r="C14" s="1">
        <v>16.850000000000001</v>
      </c>
      <c r="D14" s="1">
        <f>C14*80</f>
        <v>1348</v>
      </c>
      <c r="E14" s="116"/>
      <c r="F14" s="87"/>
      <c r="G14" s="87"/>
      <c r="H14" s="87"/>
      <c r="I14" s="87"/>
    </row>
    <row r="15" spans="1:9" ht="24" x14ac:dyDescent="0.25">
      <c r="A15" s="3">
        <v>1200</v>
      </c>
      <c r="B15" s="4" t="s">
        <v>1068</v>
      </c>
      <c r="C15" s="1">
        <f>ROUND(C14*0.2359,2)</f>
        <v>3.97</v>
      </c>
      <c r="D15" s="1">
        <f>C15*80</f>
        <v>317.60000000000002</v>
      </c>
      <c r="E15" s="111"/>
    </row>
    <row r="16" spans="1:9" x14ac:dyDescent="0.25">
      <c r="A16" s="3">
        <v>2341</v>
      </c>
      <c r="B16" s="3" t="s">
        <v>116</v>
      </c>
      <c r="C16" s="1"/>
      <c r="D16" s="24"/>
      <c r="E16" s="109"/>
    </row>
    <row r="17" spans="1:5" ht="136.5" customHeight="1" x14ac:dyDescent="0.25">
      <c r="A17" s="3"/>
      <c r="B17" s="4" t="s">
        <v>1565</v>
      </c>
      <c r="C17" s="1">
        <v>14.93</v>
      </c>
      <c r="D17" s="1">
        <f>C17*80</f>
        <v>1194.4000000000001</v>
      </c>
      <c r="E17" s="111"/>
    </row>
    <row r="18" spans="1:5" x14ac:dyDescent="0.25">
      <c r="A18" s="34"/>
      <c r="B18" s="40" t="s">
        <v>87</v>
      </c>
      <c r="C18" s="32">
        <f>SUM(C13:C17)</f>
        <v>35.75</v>
      </c>
      <c r="D18" s="32">
        <f>SUM(D13:D17)</f>
        <v>2860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customHeight="1" x14ac:dyDescent="0.25">
      <c r="A21" s="27"/>
      <c r="B21" s="4" t="s">
        <v>827</v>
      </c>
      <c r="C21" s="24">
        <v>2.1000000000000001E-2</v>
      </c>
      <c r="D21" s="1">
        <f>C21*80</f>
        <v>1.6800000000000002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customHeight="1" x14ac:dyDescent="0.25">
      <c r="A23" s="3"/>
      <c r="B23" s="4" t="s">
        <v>828</v>
      </c>
      <c r="C23" s="24">
        <v>2.1000000000000001E-2</v>
      </c>
      <c r="D23" s="1">
        <f t="shared" ref="D23:D85" si="0">C23*80</f>
        <v>1.6800000000000002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customHeight="1" x14ac:dyDescent="0.25">
      <c r="A25" s="3"/>
      <c r="B25" s="4" t="s">
        <v>829</v>
      </c>
      <c r="C25" s="24">
        <v>5.1999999999999998E-2</v>
      </c>
      <c r="D25" s="1">
        <f t="shared" si="0"/>
        <v>4.16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customHeight="1" x14ac:dyDescent="0.25">
      <c r="A27" s="3"/>
      <c r="B27" s="4" t="s">
        <v>830</v>
      </c>
      <c r="C27" s="24">
        <f>ROUND(38.69/9509,4)</f>
        <v>4.1000000000000003E-3</v>
      </c>
      <c r="D27" s="1">
        <f t="shared" si="0"/>
        <v>0.32800000000000001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customHeight="1" x14ac:dyDescent="0.25">
      <c r="A29" s="3"/>
      <c r="B29" s="4" t="s">
        <v>831</v>
      </c>
      <c r="C29" s="24">
        <v>9.4E-2</v>
      </c>
      <c r="D29" s="1">
        <f t="shared" si="0"/>
        <v>7.52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customHeight="1" x14ac:dyDescent="0.25">
      <c r="A31" s="3"/>
      <c r="B31" s="4" t="s">
        <v>832</v>
      </c>
      <c r="C31" s="24">
        <v>1.4999999999999999E-2</v>
      </c>
      <c r="D31" s="1">
        <f t="shared" si="0"/>
        <v>1.2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customHeight="1" x14ac:dyDescent="0.25">
      <c r="A33" s="3"/>
      <c r="B33" s="4" t="s">
        <v>833</v>
      </c>
      <c r="C33" s="24">
        <v>2.5999999999999999E-2</v>
      </c>
      <c r="D33" s="1">
        <f t="shared" si="0"/>
        <v>2.08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customHeight="1" x14ac:dyDescent="0.25">
      <c r="A35" s="3"/>
      <c r="B35" s="4" t="s">
        <v>834</v>
      </c>
      <c r="C35" s="24">
        <v>7.0000000000000001E-3</v>
      </c>
      <c r="D35" s="1">
        <f t="shared" si="0"/>
        <v>0.56000000000000005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customHeight="1" x14ac:dyDescent="0.25">
      <c r="A37" s="3"/>
      <c r="B37" s="4" t="s">
        <v>835</v>
      </c>
      <c r="C37" s="24">
        <v>0.01</v>
      </c>
      <c r="D37" s="1">
        <f t="shared" si="0"/>
        <v>0.8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customHeight="1" x14ac:dyDescent="0.25">
      <c r="A39" s="3"/>
      <c r="B39" s="4" t="s">
        <v>836</v>
      </c>
      <c r="C39" s="24">
        <v>7.0000000000000001E-3</v>
      </c>
      <c r="D39" s="1">
        <f t="shared" si="0"/>
        <v>0.56000000000000005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customHeight="1" x14ac:dyDescent="0.25">
      <c r="A41" s="3"/>
      <c r="B41" s="4" t="s">
        <v>837</v>
      </c>
      <c r="C41" s="24">
        <v>4.9000000000000002E-2</v>
      </c>
      <c r="D41" s="1">
        <f t="shared" si="0"/>
        <v>3.92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customHeight="1" x14ac:dyDescent="0.25">
      <c r="A43" s="3"/>
      <c r="B43" s="4" t="s">
        <v>838</v>
      </c>
      <c r="C43" s="24">
        <v>6.0999999999999999E-2</v>
      </c>
      <c r="D43" s="1">
        <f t="shared" si="0"/>
        <v>4.88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customHeight="1" x14ac:dyDescent="0.25">
      <c r="A45" s="3"/>
      <c r="B45" s="4" t="s">
        <v>839</v>
      </c>
      <c r="C45" s="24">
        <v>0.09</v>
      </c>
      <c r="D45" s="1">
        <f t="shared" si="0"/>
        <v>7.1999999999999993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customHeight="1" x14ac:dyDescent="0.25">
      <c r="A47" s="3"/>
      <c r="B47" s="4" t="s">
        <v>840</v>
      </c>
      <c r="C47" s="24">
        <v>0.05</v>
      </c>
      <c r="D47" s="1">
        <f t="shared" si="0"/>
        <v>4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841</v>
      </c>
      <c r="C49" s="24">
        <v>6.9000000000000006E-2</v>
      </c>
      <c r="D49" s="1">
        <f t="shared" si="0"/>
        <v>5.5200000000000005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customHeight="1" x14ac:dyDescent="0.25">
      <c r="A51" s="29"/>
      <c r="B51" s="4" t="s">
        <v>842</v>
      </c>
      <c r="C51" s="24">
        <v>3.0000000000000001E-3</v>
      </c>
      <c r="D51" s="1">
        <f t="shared" si="0"/>
        <v>0.24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customHeight="1" x14ac:dyDescent="0.25">
      <c r="A53" s="29"/>
      <c r="B53" s="4" t="s">
        <v>843</v>
      </c>
      <c r="C53" s="24">
        <v>2E-3</v>
      </c>
      <c r="D53" s="1">
        <f t="shared" si="0"/>
        <v>0.16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customHeight="1" x14ac:dyDescent="0.25">
      <c r="A55" s="3"/>
      <c r="B55" s="4" t="s">
        <v>845</v>
      </c>
      <c r="C55" s="24">
        <v>0.23699999999999999</v>
      </c>
      <c r="D55" s="1">
        <f t="shared" si="0"/>
        <v>18.96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.75" customHeight="1" x14ac:dyDescent="0.25">
      <c r="A57" s="3"/>
      <c r="B57" s="4" t="s">
        <v>1067</v>
      </c>
      <c r="C57" s="24">
        <v>0.29599999999999999</v>
      </c>
      <c r="D57" s="1">
        <f t="shared" si="0"/>
        <v>23.68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customHeight="1" x14ac:dyDescent="0.25">
      <c r="A59" s="3"/>
      <c r="B59" s="4" t="s">
        <v>1066</v>
      </c>
      <c r="C59" s="24">
        <v>1E-3</v>
      </c>
      <c r="D59" s="1">
        <f t="shared" si="0"/>
        <v>0.08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customHeight="1" x14ac:dyDescent="0.25">
      <c r="A61" s="3"/>
      <c r="B61" s="4" t="s">
        <v>846</v>
      </c>
      <c r="C61" s="24">
        <v>2.5999999999999999E-2</v>
      </c>
      <c r="D61" s="1">
        <f t="shared" si="0"/>
        <v>2.08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customHeight="1" x14ac:dyDescent="0.25">
      <c r="A63" s="3"/>
      <c r="B63" s="4" t="s">
        <v>847</v>
      </c>
      <c r="C63" s="24">
        <v>8.9999999999999993E-3</v>
      </c>
      <c r="D63" s="1">
        <f t="shared" si="0"/>
        <v>0.72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customHeight="1" x14ac:dyDescent="0.25">
      <c r="A65" s="3"/>
      <c r="B65" s="4" t="s">
        <v>848</v>
      </c>
      <c r="C65" s="24">
        <v>1.0999999999999999E-2</v>
      </c>
      <c r="D65" s="1">
        <f t="shared" si="0"/>
        <v>0.87999999999999989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customHeight="1" x14ac:dyDescent="0.25">
      <c r="A67" s="3"/>
      <c r="B67" s="4" t="s">
        <v>849</v>
      </c>
      <c r="C67" s="24">
        <v>2.3E-2</v>
      </c>
      <c r="D67" s="1">
        <f t="shared" si="0"/>
        <v>1.8399999999999999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customHeight="1" x14ac:dyDescent="0.25">
      <c r="A69" s="3"/>
      <c r="B69" s="4" t="s">
        <v>850</v>
      </c>
      <c r="C69" s="24">
        <v>2.1999999999999999E-2</v>
      </c>
      <c r="D69" s="1">
        <f t="shared" si="0"/>
        <v>1.7599999999999998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customHeight="1" x14ac:dyDescent="0.25">
      <c r="A71" s="3"/>
      <c r="B71" s="4" t="s">
        <v>851</v>
      </c>
      <c r="C71" s="30">
        <v>3.4000000000000002E-2</v>
      </c>
      <c r="D71" s="1">
        <f t="shared" si="0"/>
        <v>2.72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customHeight="1" x14ac:dyDescent="0.25">
      <c r="A73" s="3"/>
      <c r="B73" s="4" t="s">
        <v>852</v>
      </c>
      <c r="C73" s="24">
        <v>2E-3</v>
      </c>
      <c r="D73" s="1">
        <f t="shared" si="0"/>
        <v>0.16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customHeight="1" x14ac:dyDescent="0.25">
      <c r="A75" s="3"/>
      <c r="B75" s="4" t="s">
        <v>853</v>
      </c>
      <c r="C75" s="24">
        <v>3.0000000000000001E-3</v>
      </c>
      <c r="D75" s="1">
        <f t="shared" si="0"/>
        <v>0.24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customHeight="1" x14ac:dyDescent="0.25">
      <c r="A77" s="3"/>
      <c r="B77" s="4" t="s">
        <v>854</v>
      </c>
      <c r="C77" s="24">
        <v>1E-3</v>
      </c>
      <c r="D77" s="1">
        <f t="shared" si="0"/>
        <v>0.08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customHeight="1" x14ac:dyDescent="0.25">
      <c r="A79" s="3"/>
      <c r="B79" s="4" t="s">
        <v>855</v>
      </c>
      <c r="C79" s="24">
        <v>4.0000000000000001E-3</v>
      </c>
      <c r="D79" s="1">
        <f t="shared" si="0"/>
        <v>0.32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customHeight="1" x14ac:dyDescent="0.25">
      <c r="A81" s="3"/>
      <c r="B81" s="4" t="s">
        <v>856</v>
      </c>
      <c r="C81" s="24">
        <v>7.0999999999999994E-2</v>
      </c>
      <c r="D81" s="1">
        <f t="shared" si="0"/>
        <v>5.68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customHeight="1" x14ac:dyDescent="0.25">
      <c r="A83" s="3"/>
      <c r="B83" s="4" t="s">
        <v>857</v>
      </c>
      <c r="C83" s="24">
        <v>2.1000000000000001E-2</v>
      </c>
      <c r="D83" s="1">
        <f t="shared" si="0"/>
        <v>1.6800000000000002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858</v>
      </c>
      <c r="C85" s="24">
        <v>3.7999999999999999E-2</v>
      </c>
      <c r="D85" s="1">
        <f t="shared" si="0"/>
        <v>3.04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110.408</v>
      </c>
    </row>
    <row r="87" spans="1:4" ht="15" customHeight="1" x14ac:dyDescent="0.25">
      <c r="A87" s="33"/>
      <c r="B87" s="34" t="s">
        <v>95</v>
      </c>
      <c r="C87" s="32">
        <f>ROUND(C86+C18,4)</f>
        <v>37.130099999999999</v>
      </c>
      <c r="D87" s="32">
        <f>ROUND(D86+D18,4)</f>
        <v>2970.4079999999999</v>
      </c>
    </row>
    <row r="88" spans="1:4" ht="24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80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37.130099999999999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scale="96" orientation="portrait" r:id="rId1"/>
  <headerFooter>
    <oddFooter>&amp;C&amp;P</oddFooter>
  </headerFooter>
  <colBreaks count="1" manualBreakCount="1">
    <brk id="4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I90"/>
  <sheetViews>
    <sheetView view="pageBreakPreview" topLeftCell="A33" zoomScale="60" zoomScaleNormal="100" workbookViewId="0">
      <selection activeCell="C87" sqref="C87"/>
    </sheetView>
  </sheetViews>
  <sheetFormatPr defaultRowHeight="15" x14ac:dyDescent="0.25"/>
  <cols>
    <col min="1" max="1" width="9.85546875" style="84" customWidth="1"/>
    <col min="2" max="2" width="59.5703125" style="84" customWidth="1"/>
    <col min="3" max="3" width="10.7109375" style="84" customWidth="1"/>
    <col min="4" max="5" width="10.85546875" style="84" customWidth="1"/>
    <col min="6" max="7" width="9.140625" style="84"/>
    <col min="8" max="8" width="67.7109375" style="84" customWidth="1"/>
    <col min="9" max="16384" width="9.140625" style="84"/>
  </cols>
  <sheetData>
    <row r="1" spans="1:9" x14ac:dyDescent="0.25">
      <c r="A1" s="171" t="s">
        <v>78</v>
      </c>
      <c r="B1" s="171"/>
      <c r="C1" s="171"/>
      <c r="D1" s="171"/>
    </row>
    <row r="2" spans="1:9" ht="12.75" customHeight="1" x14ac:dyDescent="0.25">
      <c r="A2" s="45"/>
      <c r="B2" s="45"/>
      <c r="C2" s="168"/>
      <c r="D2" s="168"/>
    </row>
    <row r="3" spans="1:9" x14ac:dyDescent="0.25">
      <c r="A3" s="46" t="s">
        <v>110</v>
      </c>
      <c r="B3" s="47"/>
      <c r="C3" s="47"/>
      <c r="D3" s="47"/>
    </row>
    <row r="4" spans="1:9" ht="14.25" customHeight="1" x14ac:dyDescent="0.25">
      <c r="A4" s="45"/>
      <c r="B4" s="11"/>
      <c r="C4" s="11"/>
      <c r="D4" s="11"/>
    </row>
    <row r="5" spans="1:9" ht="37.5" customHeight="1" x14ac:dyDescent="0.25">
      <c r="A5" s="166" t="s">
        <v>348</v>
      </c>
      <c r="B5" s="166"/>
      <c r="C5" s="166"/>
      <c r="D5" s="166"/>
    </row>
    <row r="6" spans="1:9" ht="12" customHeight="1" x14ac:dyDescent="0.25">
      <c r="A6" s="49"/>
      <c r="B6" s="11"/>
      <c r="C6" s="11"/>
      <c r="D6" s="11"/>
    </row>
    <row r="7" spans="1:9" x14ac:dyDescent="0.25">
      <c r="A7" s="158" t="s">
        <v>111</v>
      </c>
      <c r="B7" s="159"/>
      <c r="C7" s="11"/>
      <c r="D7" s="11"/>
    </row>
    <row r="8" spans="1:9" ht="9.75" customHeight="1" x14ac:dyDescent="0.25">
      <c r="A8" s="49"/>
      <c r="B8" s="79"/>
      <c r="C8" s="11"/>
      <c r="D8" s="11"/>
    </row>
    <row r="9" spans="1:9" x14ac:dyDescent="0.25">
      <c r="A9" s="170" t="s">
        <v>164</v>
      </c>
      <c r="B9" s="170"/>
      <c r="C9" s="48"/>
      <c r="D9" s="48"/>
    </row>
    <row r="10" spans="1:9" ht="110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45.5" customHeight="1" x14ac:dyDescent="0.25">
      <c r="A14" s="3"/>
      <c r="B14" s="81" t="s">
        <v>1072</v>
      </c>
      <c r="C14" s="1">
        <v>16.850000000000001</v>
      </c>
      <c r="D14" s="1">
        <f>C14*7</f>
        <v>117.95000000000002</v>
      </c>
      <c r="E14" s="116"/>
      <c r="F14" s="87"/>
      <c r="G14" s="87"/>
      <c r="H14" s="87"/>
      <c r="I14" s="87"/>
    </row>
    <row r="15" spans="1:9" ht="24" x14ac:dyDescent="0.25">
      <c r="A15" s="3">
        <v>1200</v>
      </c>
      <c r="B15" s="4" t="s">
        <v>1068</v>
      </c>
      <c r="C15" s="1">
        <f>ROUND(C14*0.2359,2)</f>
        <v>3.97</v>
      </c>
      <c r="D15" s="1">
        <f t="shared" ref="D15:D17" si="0">C15*7</f>
        <v>27.790000000000003</v>
      </c>
    </row>
    <row r="16" spans="1:9" x14ac:dyDescent="0.25">
      <c r="A16" s="3">
        <v>2341</v>
      </c>
      <c r="B16" s="3" t="s">
        <v>116</v>
      </c>
      <c r="C16" s="24"/>
      <c r="D16" s="1"/>
    </row>
    <row r="17" spans="1:6" ht="115.5" customHeight="1" x14ac:dyDescent="0.25">
      <c r="A17" s="3"/>
      <c r="B17" s="4" t="s">
        <v>1655</v>
      </c>
      <c r="C17" s="1">
        <v>9.81</v>
      </c>
      <c r="D17" s="1">
        <f t="shared" si="0"/>
        <v>68.67</v>
      </c>
      <c r="E17" s="86"/>
      <c r="F17" s="113"/>
    </row>
    <row r="18" spans="1:6" x14ac:dyDescent="0.25">
      <c r="A18" s="3"/>
      <c r="B18" s="40" t="s">
        <v>87</v>
      </c>
      <c r="C18" s="32">
        <f>SUM(C13:C17)</f>
        <v>30.630000000000003</v>
      </c>
      <c r="D18" s="32">
        <f>SUM(D13:D17)</f>
        <v>214.41000000000003</v>
      </c>
    </row>
    <row r="19" spans="1:6" x14ac:dyDescent="0.25">
      <c r="A19" s="27"/>
      <c r="B19" s="103" t="s">
        <v>88</v>
      </c>
      <c r="C19" s="28"/>
      <c r="D19" s="28"/>
    </row>
    <row r="20" spans="1:6" x14ac:dyDescent="0.25">
      <c r="A20" s="3">
        <v>2100</v>
      </c>
      <c r="B20" s="69" t="s">
        <v>370</v>
      </c>
      <c r="C20" s="28"/>
      <c r="D20" s="28"/>
    </row>
    <row r="21" spans="1:6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6" x14ac:dyDescent="0.25">
      <c r="A22" s="3">
        <v>2210</v>
      </c>
      <c r="B22" s="4" t="s">
        <v>354</v>
      </c>
      <c r="C22" s="24"/>
      <c r="D22" s="1"/>
    </row>
    <row r="23" spans="1:6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6" x14ac:dyDescent="0.25">
      <c r="A24" s="3">
        <v>2221</v>
      </c>
      <c r="B24" s="4" t="s">
        <v>89</v>
      </c>
      <c r="C24" s="1"/>
      <c r="D24" s="1"/>
    </row>
    <row r="25" spans="1:6" ht="48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6" x14ac:dyDescent="0.25">
      <c r="A26" s="3">
        <v>2222</v>
      </c>
      <c r="B26" s="67" t="s">
        <v>90</v>
      </c>
      <c r="C26" s="1"/>
      <c r="D26" s="1"/>
    </row>
    <row r="27" spans="1:6" ht="48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6" x14ac:dyDescent="0.25">
      <c r="A28" s="3">
        <v>2223</v>
      </c>
      <c r="B28" s="3" t="s">
        <v>91</v>
      </c>
      <c r="C28" s="24"/>
      <c r="D28" s="1"/>
    </row>
    <row r="29" spans="1:6" ht="48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6" ht="24" x14ac:dyDescent="0.25">
      <c r="A30" s="3">
        <v>2224</v>
      </c>
      <c r="B30" s="4" t="s">
        <v>114</v>
      </c>
      <c r="C30" s="24"/>
      <c r="D30" s="1"/>
    </row>
    <row r="31" spans="1:6" ht="48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6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32.010100000000001</v>
      </c>
      <c r="D87" s="32">
        <f>ROUND(D86+D18,3)</f>
        <v>224.071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2.5" customHeight="1" x14ac:dyDescent="0.25">
      <c r="A90" s="161" t="s">
        <v>112</v>
      </c>
      <c r="B90" s="162"/>
      <c r="C90" s="2">
        <f>D87/C89</f>
        <v>32.01014285714286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scale="99" orientation="portrait" r:id="rId1"/>
  <headerFooter>
    <oddFooter>&amp;C&amp;P</oddFooter>
  </headerFooter>
  <colBreaks count="1" manualBreakCount="1">
    <brk id="4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I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85546875" style="84" customWidth="1"/>
    <col min="2" max="2" width="62" style="84" customWidth="1"/>
    <col min="3" max="3" width="11.5703125" style="84" customWidth="1"/>
    <col min="4" max="4" width="11.28515625" style="84" customWidth="1"/>
    <col min="5" max="5" width="10.140625" style="84" customWidth="1"/>
    <col min="6" max="16384" width="9.140625" style="84"/>
  </cols>
  <sheetData>
    <row r="1" spans="1:9" x14ac:dyDescent="0.25">
      <c r="A1" s="171" t="s">
        <v>78</v>
      </c>
      <c r="B1" s="171"/>
      <c r="C1" s="171"/>
      <c r="D1" s="171"/>
    </row>
    <row r="2" spans="1:9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x14ac:dyDescent="0.25">
      <c r="A4" s="45"/>
      <c r="B4" s="11"/>
      <c r="C4" s="11"/>
      <c r="D4" s="44"/>
    </row>
    <row r="5" spans="1:9" ht="42" customHeight="1" x14ac:dyDescent="0.25">
      <c r="A5" s="166" t="s">
        <v>349</v>
      </c>
      <c r="B5" s="166"/>
      <c r="C5" s="166"/>
      <c r="D5" s="166"/>
    </row>
    <row r="6" spans="1:9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x14ac:dyDescent="0.25">
      <c r="A8" s="49"/>
      <c r="B8" s="79"/>
      <c r="C8" s="11"/>
      <c r="D8" s="44"/>
    </row>
    <row r="9" spans="1:9" x14ac:dyDescent="0.25">
      <c r="A9" s="170" t="s">
        <v>164</v>
      </c>
      <c r="B9" s="170"/>
      <c r="C9" s="48"/>
      <c r="D9" s="44"/>
    </row>
    <row r="10" spans="1:9" ht="113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65" customHeight="1" x14ac:dyDescent="0.25">
      <c r="A14" s="3"/>
      <c r="B14" s="81" t="s">
        <v>1072</v>
      </c>
      <c r="C14" s="1">
        <v>16.850000000000001</v>
      </c>
      <c r="D14" s="1">
        <f>C14*7</f>
        <v>117.95000000000002</v>
      </c>
      <c r="E14" s="117"/>
      <c r="F14" s="87"/>
      <c r="G14" s="87"/>
      <c r="H14" s="87"/>
      <c r="I14" s="87"/>
    </row>
    <row r="15" spans="1:9" ht="24" x14ac:dyDescent="0.25">
      <c r="A15" s="3">
        <v>1200</v>
      </c>
      <c r="B15" s="4" t="s">
        <v>1068</v>
      </c>
      <c r="C15" s="1">
        <f>ROUND(C14*0.2359,2)</f>
        <v>3.97</v>
      </c>
      <c r="D15" s="1">
        <f t="shared" ref="D15:D17" si="0">C15*7</f>
        <v>27.790000000000003</v>
      </c>
      <c r="E15" s="111"/>
    </row>
    <row r="16" spans="1:9" x14ac:dyDescent="0.25">
      <c r="A16" s="3">
        <v>2341</v>
      </c>
      <c r="B16" s="3" t="s">
        <v>116</v>
      </c>
      <c r="C16" s="24"/>
      <c r="D16" s="1"/>
      <c r="E16" s="111"/>
    </row>
    <row r="17" spans="1:5" ht="129" customHeight="1" x14ac:dyDescent="0.25">
      <c r="A17" s="3"/>
      <c r="B17" s="4" t="s">
        <v>1564</v>
      </c>
      <c r="C17" s="1">
        <v>23.8</v>
      </c>
      <c r="D17" s="1">
        <f t="shared" si="0"/>
        <v>166.6</v>
      </c>
      <c r="E17" s="118"/>
    </row>
    <row r="18" spans="1:5" x14ac:dyDescent="0.25">
      <c r="A18" s="3"/>
      <c r="B18" s="40" t="s">
        <v>87</v>
      </c>
      <c r="C18" s="32">
        <f>SUM(C13:C17)</f>
        <v>44.620000000000005</v>
      </c>
      <c r="D18" s="32">
        <f>SUM(D13:D17)</f>
        <v>312.34000000000003</v>
      </c>
      <c r="E18" s="112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46.000100000000003</v>
      </c>
      <c r="D87" s="32">
        <f>ROUND(D86+D18,3)</f>
        <v>322.00099999999998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0.25" customHeight="1" x14ac:dyDescent="0.25">
      <c r="A90" s="161" t="s">
        <v>112</v>
      </c>
      <c r="B90" s="162"/>
      <c r="C90" s="2">
        <f>D87/C89</f>
        <v>46.000142857142855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scale="95" orientation="portrait" r:id="rId1"/>
  <headerFooter>
    <oddFooter>&amp;C&amp;P</oddFooter>
  </headerFooter>
  <colBreaks count="1" manualBreakCount="1">
    <brk id="4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I90"/>
  <sheetViews>
    <sheetView view="pageBreakPreview" topLeftCell="A29" zoomScale="60" zoomScaleNormal="100" workbookViewId="0">
      <selection activeCell="B17" sqref="B17"/>
    </sheetView>
  </sheetViews>
  <sheetFormatPr defaultRowHeight="15" x14ac:dyDescent="0.25"/>
  <cols>
    <col min="1" max="1" width="9.7109375" style="84" customWidth="1"/>
    <col min="2" max="2" width="57.140625" style="84" customWidth="1"/>
    <col min="3" max="3" width="10.5703125" style="84" customWidth="1"/>
    <col min="4" max="4" width="12.28515625" style="84" customWidth="1"/>
    <col min="5" max="5" width="14.7109375" style="84" customWidth="1"/>
    <col min="6" max="6" width="9.140625" style="84"/>
    <col min="7" max="7" width="69" style="84" customWidth="1"/>
    <col min="8" max="16384" width="9.140625" style="84"/>
  </cols>
  <sheetData>
    <row r="1" spans="1:9" x14ac:dyDescent="0.25">
      <c r="A1" s="167" t="s">
        <v>78</v>
      </c>
      <c r="B1" s="167"/>
      <c r="C1" s="167"/>
      <c r="D1" s="167"/>
    </row>
    <row r="2" spans="1:9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x14ac:dyDescent="0.25">
      <c r="A4" s="45"/>
      <c r="B4" s="11"/>
      <c r="C4" s="11"/>
      <c r="D4" s="44"/>
    </row>
    <row r="5" spans="1:9" ht="36.75" customHeight="1" x14ac:dyDescent="0.25">
      <c r="A5" s="166" t="s">
        <v>350</v>
      </c>
      <c r="B5" s="166"/>
      <c r="C5" s="166"/>
      <c r="D5" s="166"/>
    </row>
    <row r="6" spans="1:9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x14ac:dyDescent="0.25">
      <c r="A8" s="49"/>
      <c r="B8" s="79"/>
      <c r="C8" s="11"/>
      <c r="D8" s="44"/>
    </row>
    <row r="9" spans="1:9" x14ac:dyDescent="0.25">
      <c r="A9" s="170" t="s">
        <v>79</v>
      </c>
      <c r="B9" s="170"/>
      <c r="C9" s="48"/>
      <c r="D9" s="44"/>
    </row>
    <row r="10" spans="1:9" ht="99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59.75" customHeight="1" x14ac:dyDescent="0.25">
      <c r="A14" s="3"/>
      <c r="B14" s="81" t="s">
        <v>1073</v>
      </c>
      <c r="C14" s="1">
        <v>16.850000000000001</v>
      </c>
      <c r="D14" s="1">
        <f>C14*200</f>
        <v>3370.0000000000005</v>
      </c>
      <c r="E14" s="116"/>
      <c r="F14" s="87"/>
      <c r="G14" s="87"/>
      <c r="H14" s="87"/>
      <c r="I14" s="87"/>
    </row>
    <row r="15" spans="1:9" ht="24" x14ac:dyDescent="0.25">
      <c r="A15" s="3">
        <v>1200</v>
      </c>
      <c r="B15" s="4" t="s">
        <v>1068</v>
      </c>
      <c r="C15" s="1">
        <f>ROUND(C14*0.2359,2)</f>
        <v>3.97</v>
      </c>
      <c r="D15" s="1">
        <f>C15*200</f>
        <v>794</v>
      </c>
      <c r="E15" s="111"/>
    </row>
    <row r="16" spans="1:9" x14ac:dyDescent="0.25">
      <c r="A16" s="3">
        <v>2341</v>
      </c>
      <c r="B16" s="3" t="s">
        <v>116</v>
      </c>
      <c r="C16" s="24"/>
      <c r="D16" s="24"/>
      <c r="E16" s="109"/>
    </row>
    <row r="17" spans="1:5" ht="93" customHeight="1" x14ac:dyDescent="0.25">
      <c r="A17" s="3"/>
      <c r="B17" s="4" t="s">
        <v>1563</v>
      </c>
      <c r="C17" s="1">
        <v>2.11</v>
      </c>
      <c r="D17" s="1">
        <f>C17*200</f>
        <v>422</v>
      </c>
      <c r="E17" s="109"/>
    </row>
    <row r="18" spans="1:5" x14ac:dyDescent="0.25">
      <c r="A18" s="34"/>
      <c r="B18" s="40" t="s">
        <v>87</v>
      </c>
      <c r="C18" s="32">
        <f>SUM(C13:C17)</f>
        <v>22.93</v>
      </c>
      <c r="D18" s="32">
        <f>SUM(D13:D17)</f>
        <v>4586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729</v>
      </c>
      <c r="C21" s="24">
        <v>2.1000000000000001E-2</v>
      </c>
      <c r="D21" s="1">
        <f>C21*200</f>
        <v>4.2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730</v>
      </c>
      <c r="C23" s="24">
        <v>2.1000000000000001E-2</v>
      </c>
      <c r="D23" s="1">
        <f t="shared" ref="D23:D85" si="0">C23*200</f>
        <v>4.2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731</v>
      </c>
      <c r="C25" s="24">
        <v>5.1999999999999998E-2</v>
      </c>
      <c r="D25" s="1">
        <f t="shared" si="0"/>
        <v>10.4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732</v>
      </c>
      <c r="C27" s="24">
        <f>ROUND(38.69/9509,4)</f>
        <v>4.1000000000000003E-3</v>
      </c>
      <c r="D27" s="1">
        <f t="shared" si="0"/>
        <v>0.82000000000000006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36" x14ac:dyDescent="0.25">
      <c r="A29" s="3"/>
      <c r="B29" s="4" t="s">
        <v>733</v>
      </c>
      <c r="C29" s="24">
        <v>9.4E-2</v>
      </c>
      <c r="D29" s="1">
        <f t="shared" si="0"/>
        <v>18.8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734</v>
      </c>
      <c r="C31" s="24">
        <v>1.4999999999999999E-2</v>
      </c>
      <c r="D31" s="1">
        <f t="shared" si="0"/>
        <v>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735</v>
      </c>
      <c r="C33" s="24">
        <v>2.5999999999999999E-2</v>
      </c>
      <c r="D33" s="1">
        <f t="shared" si="0"/>
        <v>5.2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736</v>
      </c>
      <c r="C35" s="24">
        <v>7.0000000000000001E-3</v>
      </c>
      <c r="D35" s="1">
        <f t="shared" si="0"/>
        <v>1.4000000000000001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737</v>
      </c>
      <c r="C37" s="24">
        <v>0.01</v>
      </c>
      <c r="D37" s="1">
        <f t="shared" si="0"/>
        <v>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738</v>
      </c>
      <c r="C39" s="24">
        <v>7.0000000000000001E-3</v>
      </c>
      <c r="D39" s="1">
        <f t="shared" si="0"/>
        <v>1.4000000000000001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739</v>
      </c>
      <c r="C41" s="24">
        <v>4.9000000000000002E-2</v>
      </c>
      <c r="D41" s="1">
        <f t="shared" si="0"/>
        <v>9.8000000000000007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740</v>
      </c>
      <c r="C43" s="24">
        <v>6.0999999999999999E-2</v>
      </c>
      <c r="D43" s="1">
        <f t="shared" si="0"/>
        <v>12.2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741</v>
      </c>
      <c r="C45" s="24">
        <v>0.09</v>
      </c>
      <c r="D45" s="1">
        <f t="shared" si="0"/>
        <v>18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742</v>
      </c>
      <c r="C47" s="24">
        <v>0.05</v>
      </c>
      <c r="D47" s="1">
        <f t="shared" si="0"/>
        <v>10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743</v>
      </c>
      <c r="C49" s="24">
        <v>6.9000000000000006E-2</v>
      </c>
      <c r="D49" s="1">
        <f t="shared" si="0"/>
        <v>13.8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744</v>
      </c>
      <c r="C51" s="24">
        <v>3.0000000000000001E-3</v>
      </c>
      <c r="D51" s="1">
        <f t="shared" si="0"/>
        <v>0.6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746</v>
      </c>
      <c r="C55" s="24">
        <v>0.23699999999999999</v>
      </c>
      <c r="D55" s="1">
        <f t="shared" si="0"/>
        <v>47.4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959</v>
      </c>
      <c r="C57" s="24">
        <v>0.29599999999999999</v>
      </c>
      <c r="D57" s="1">
        <f t="shared" si="0"/>
        <v>59.199999999999996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960</v>
      </c>
      <c r="C59" s="24">
        <v>1E-3</v>
      </c>
      <c r="D59" s="1">
        <f t="shared" si="0"/>
        <v>0.2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747</v>
      </c>
      <c r="C61" s="24">
        <v>2.5999999999999999E-2</v>
      </c>
      <c r="D61" s="1">
        <f t="shared" si="0"/>
        <v>5.2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748</v>
      </c>
      <c r="C63" s="24">
        <v>8.9999999999999993E-3</v>
      </c>
      <c r="D63" s="1">
        <f t="shared" si="0"/>
        <v>1.7999999999999998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749</v>
      </c>
      <c r="C65" s="24">
        <v>1.0999999999999999E-2</v>
      </c>
      <c r="D65" s="1">
        <f t="shared" si="0"/>
        <v>2.1999999999999997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750</v>
      </c>
      <c r="C67" s="24">
        <v>2.3E-2</v>
      </c>
      <c r="D67" s="1">
        <f t="shared" si="0"/>
        <v>4.5999999999999996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759</v>
      </c>
      <c r="C69" s="24">
        <v>2.1999999999999999E-2</v>
      </c>
      <c r="D69" s="1">
        <f t="shared" si="0"/>
        <v>4.3999999999999995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751</v>
      </c>
      <c r="C71" s="30">
        <v>3.4000000000000002E-2</v>
      </c>
      <c r="D71" s="1">
        <f t="shared" si="0"/>
        <v>6.8000000000000007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752</v>
      </c>
      <c r="C73" s="24">
        <v>2E-3</v>
      </c>
      <c r="D73" s="1">
        <f t="shared" si="0"/>
        <v>0.4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753</v>
      </c>
      <c r="C75" s="24">
        <v>3.0000000000000001E-3</v>
      </c>
      <c r="D75" s="1">
        <f t="shared" si="0"/>
        <v>0.6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754</v>
      </c>
      <c r="C77" s="24">
        <v>1E-3</v>
      </c>
      <c r="D77" s="1">
        <f t="shared" si="0"/>
        <v>0.2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755</v>
      </c>
      <c r="C79" s="24">
        <v>4.0000000000000001E-3</v>
      </c>
      <c r="D79" s="1">
        <f t="shared" si="0"/>
        <v>0.8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5" ht="60" x14ac:dyDescent="0.25">
      <c r="A81" s="3"/>
      <c r="B81" s="4" t="s">
        <v>756</v>
      </c>
      <c r="C81" s="24">
        <v>7.0999999999999994E-2</v>
      </c>
      <c r="D81" s="1">
        <f t="shared" si="0"/>
        <v>14.2</v>
      </c>
    </row>
    <row r="82" spans="1:5" x14ac:dyDescent="0.25">
      <c r="A82" s="3">
        <v>5238</v>
      </c>
      <c r="B82" s="4" t="s">
        <v>115</v>
      </c>
      <c r="C82" s="30"/>
      <c r="D82" s="1"/>
    </row>
    <row r="83" spans="1:5" ht="60" x14ac:dyDescent="0.25">
      <c r="A83" s="3"/>
      <c r="B83" s="4" t="s">
        <v>757</v>
      </c>
      <c r="C83" s="24">
        <v>2.1000000000000001E-2</v>
      </c>
      <c r="D83" s="1">
        <f t="shared" si="0"/>
        <v>4.2</v>
      </c>
    </row>
    <row r="84" spans="1:5" x14ac:dyDescent="0.25">
      <c r="A84" s="3">
        <v>5239</v>
      </c>
      <c r="B84" s="68" t="s">
        <v>369</v>
      </c>
      <c r="C84" s="24"/>
      <c r="D84" s="1"/>
    </row>
    <row r="85" spans="1:5" ht="15.75" customHeight="1" x14ac:dyDescent="0.25">
      <c r="A85" s="3"/>
      <c r="B85" s="4" t="s">
        <v>758</v>
      </c>
      <c r="C85" s="24">
        <v>3.7999999999999999E-2</v>
      </c>
      <c r="D85" s="1">
        <f t="shared" si="0"/>
        <v>7.6</v>
      </c>
      <c r="E85" s="105"/>
    </row>
    <row r="86" spans="1:5" x14ac:dyDescent="0.25">
      <c r="A86" s="3"/>
      <c r="B86" s="31" t="s">
        <v>94</v>
      </c>
      <c r="C86" s="70">
        <f>SUM(C21:C85)</f>
        <v>1.3800999999999994</v>
      </c>
      <c r="D86" s="70">
        <f>SUM(D21:D85)</f>
        <v>276.02</v>
      </c>
    </row>
    <row r="87" spans="1:5" ht="18.75" customHeight="1" x14ac:dyDescent="0.25">
      <c r="A87" s="33"/>
      <c r="B87" s="34" t="s">
        <v>95</v>
      </c>
      <c r="C87" s="32">
        <f>ROUND(C86+C18,4)</f>
        <v>24.310099999999998</v>
      </c>
      <c r="D87" s="32">
        <f>ROUND(D86+D18,4)</f>
        <v>4862.0200000000004</v>
      </c>
    </row>
    <row r="88" spans="1:5" ht="21" customHeight="1" x14ac:dyDescent="0.25">
      <c r="A88" s="35"/>
      <c r="B88" s="36"/>
      <c r="C88" s="37"/>
      <c r="D88" s="37"/>
    </row>
    <row r="89" spans="1:5" ht="26.25" customHeight="1" x14ac:dyDescent="0.25">
      <c r="A89" s="161" t="s">
        <v>96</v>
      </c>
      <c r="B89" s="162"/>
      <c r="C89" s="41">
        <v>200</v>
      </c>
      <c r="D89" s="38"/>
    </row>
    <row r="90" spans="1:5" ht="20.25" customHeight="1" x14ac:dyDescent="0.25">
      <c r="A90" s="161" t="s">
        <v>112</v>
      </c>
      <c r="B90" s="162"/>
      <c r="C90" s="2">
        <f>D87/C89</f>
        <v>24.310100000000002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I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" style="84" customWidth="1"/>
    <col min="2" max="2" width="62" style="84" customWidth="1"/>
    <col min="3" max="3" width="12.140625" style="84" customWidth="1"/>
    <col min="4" max="4" width="11.85546875" style="84" customWidth="1"/>
    <col min="5" max="5" width="11.140625" style="84" customWidth="1"/>
    <col min="6" max="6" width="9.140625" style="84"/>
    <col min="7" max="7" width="61.7109375" style="84" customWidth="1"/>
    <col min="8" max="16384" width="9.140625" style="84"/>
  </cols>
  <sheetData>
    <row r="1" spans="1:9" x14ac:dyDescent="0.25">
      <c r="A1" s="171" t="s">
        <v>78</v>
      </c>
      <c r="B1" s="171"/>
      <c r="C1" s="171"/>
      <c r="D1" s="171"/>
    </row>
    <row r="2" spans="1:9" ht="10.5" customHeight="1" x14ac:dyDescent="0.25">
      <c r="A2" s="45"/>
      <c r="B2" s="45"/>
      <c r="C2" s="168"/>
      <c r="D2" s="168"/>
    </row>
    <row r="3" spans="1:9" x14ac:dyDescent="0.25">
      <c r="A3" s="46" t="s">
        <v>110</v>
      </c>
      <c r="B3" s="47"/>
      <c r="C3" s="47"/>
      <c r="D3" s="47"/>
    </row>
    <row r="4" spans="1:9" x14ac:dyDescent="0.25">
      <c r="A4" s="45"/>
      <c r="B4" s="11"/>
      <c r="C4" s="11"/>
      <c r="D4" s="11"/>
    </row>
    <row r="5" spans="1:9" ht="39" customHeight="1" x14ac:dyDescent="0.25">
      <c r="A5" s="166" t="s">
        <v>351</v>
      </c>
      <c r="B5" s="166"/>
      <c r="C5" s="166"/>
      <c r="D5" s="166"/>
    </row>
    <row r="6" spans="1:9" ht="12" customHeight="1" x14ac:dyDescent="0.25">
      <c r="A6" s="49"/>
      <c r="B6" s="11"/>
      <c r="C6" s="11"/>
      <c r="D6" s="11"/>
    </row>
    <row r="7" spans="1:9" x14ac:dyDescent="0.25">
      <c r="A7" s="158" t="s">
        <v>111</v>
      </c>
      <c r="B7" s="159"/>
      <c r="C7" s="11"/>
      <c r="D7" s="11"/>
    </row>
    <row r="8" spans="1:9" ht="8.25" customHeight="1" x14ac:dyDescent="0.25">
      <c r="A8" s="49"/>
      <c r="B8" s="79"/>
      <c r="C8" s="11"/>
      <c r="D8" s="11"/>
    </row>
    <row r="9" spans="1:9" x14ac:dyDescent="0.25">
      <c r="A9" s="170" t="s">
        <v>106</v>
      </c>
      <c r="B9" s="170"/>
      <c r="C9" s="48"/>
      <c r="D9" s="48"/>
    </row>
    <row r="10" spans="1:9" ht="112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59.75" customHeight="1" x14ac:dyDescent="0.25">
      <c r="A14" s="3"/>
      <c r="B14" s="81" t="s">
        <v>1074</v>
      </c>
      <c r="C14" s="1">
        <v>12.85</v>
      </c>
      <c r="D14" s="1">
        <f>C14*10</f>
        <v>128.5</v>
      </c>
      <c r="E14" s="116"/>
      <c r="F14" s="87"/>
      <c r="G14" s="87"/>
      <c r="H14" s="87"/>
      <c r="I14" s="87"/>
    </row>
    <row r="15" spans="1:9" ht="24" x14ac:dyDescent="0.25">
      <c r="A15" s="3">
        <v>1200</v>
      </c>
      <c r="B15" s="4" t="s">
        <v>1075</v>
      </c>
      <c r="C15" s="1">
        <f>ROUND(C14*0.2359,2)</f>
        <v>3.03</v>
      </c>
      <c r="D15" s="1">
        <f>C15*10</f>
        <v>30.299999999999997</v>
      </c>
      <c r="E15" s="109"/>
    </row>
    <row r="16" spans="1:9" x14ac:dyDescent="0.25">
      <c r="A16" s="3">
        <v>2341</v>
      </c>
      <c r="B16" s="3" t="s">
        <v>116</v>
      </c>
      <c r="C16" s="24"/>
      <c r="D16" s="24"/>
      <c r="E16" s="109"/>
    </row>
    <row r="17" spans="1:5" ht="99" customHeight="1" x14ac:dyDescent="0.25">
      <c r="A17" s="3"/>
      <c r="B17" s="4" t="s">
        <v>1562</v>
      </c>
      <c r="C17" s="1">
        <v>1.71</v>
      </c>
      <c r="D17" s="1">
        <f>C17*10</f>
        <v>17.100000000000001</v>
      </c>
      <c r="E17" s="109"/>
    </row>
    <row r="18" spans="1:5" x14ac:dyDescent="0.25">
      <c r="A18" s="3"/>
      <c r="B18" s="40" t="s">
        <v>87</v>
      </c>
      <c r="C18" s="32">
        <f>SUM(C13:C17)</f>
        <v>17.59</v>
      </c>
      <c r="D18" s="32">
        <f>SUM(D13:D17)</f>
        <v>175.9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52.5" customHeight="1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5" customHeight="1" x14ac:dyDescent="0.25">
      <c r="A87" s="33"/>
      <c r="B87" s="34" t="s">
        <v>95</v>
      </c>
      <c r="C87" s="32">
        <f>ROUND(C86+C18,4)</f>
        <v>18.970099999999999</v>
      </c>
      <c r="D87" s="32">
        <f>ROUND(D86+D18,3)</f>
        <v>189.70099999999999</v>
      </c>
    </row>
    <row r="88" spans="1:4" ht="27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18.970099999999999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scale="95" orientation="portrait" r:id="rId1"/>
  <headerFooter>
    <oddFooter>&amp;C&amp;P</oddFooter>
  </headerFooter>
  <colBreaks count="1" manualBreakCount="1">
    <brk id="4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I91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0.140625" style="84" customWidth="1"/>
    <col min="3" max="3" width="9.140625" style="84"/>
    <col min="4" max="4" width="11" style="84" customWidth="1"/>
    <col min="5" max="5" width="11.5703125" style="84" customWidth="1"/>
    <col min="6" max="6" width="9.140625" style="84"/>
    <col min="7" max="7" width="63.28515625" style="84" customWidth="1"/>
    <col min="8" max="16384" width="9.140625" style="84"/>
  </cols>
  <sheetData>
    <row r="1" spans="1:9" x14ac:dyDescent="0.25">
      <c r="A1" s="167" t="s">
        <v>78</v>
      </c>
      <c r="B1" s="167"/>
      <c r="C1" s="167"/>
      <c r="D1" s="167"/>
    </row>
    <row r="2" spans="1:9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x14ac:dyDescent="0.25">
      <c r="A4" s="45"/>
      <c r="B4" s="11"/>
      <c r="C4" s="11"/>
      <c r="D4" s="44"/>
    </row>
    <row r="5" spans="1:9" ht="38.25" customHeight="1" x14ac:dyDescent="0.25">
      <c r="A5" s="166" t="s">
        <v>352</v>
      </c>
      <c r="B5" s="166"/>
      <c r="C5" s="166"/>
      <c r="D5" s="166"/>
    </row>
    <row r="6" spans="1:9" ht="6.75" customHeight="1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ht="9" customHeight="1" x14ac:dyDescent="0.25">
      <c r="A8" s="49"/>
      <c r="B8" s="79"/>
      <c r="C8" s="11"/>
      <c r="D8" s="44"/>
    </row>
    <row r="9" spans="1:9" x14ac:dyDescent="0.25">
      <c r="A9" s="170" t="s">
        <v>106</v>
      </c>
      <c r="B9" s="170"/>
      <c r="C9" s="11"/>
      <c r="D9" s="44"/>
    </row>
    <row r="10" spans="1:9" ht="3" customHeight="1" x14ac:dyDescent="0.25">
      <c r="A10" s="45"/>
      <c r="B10" s="36"/>
      <c r="C10" s="48"/>
      <c r="D10" s="44"/>
    </row>
    <row r="11" spans="1:9" ht="61.5" customHeight="1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9" x14ac:dyDescent="0.25">
      <c r="A12" s="15">
        <v>1</v>
      </c>
      <c r="B12" s="16">
        <v>2</v>
      </c>
      <c r="C12" s="15">
        <v>3</v>
      </c>
      <c r="D12" s="15">
        <v>4</v>
      </c>
    </row>
    <row r="13" spans="1:9" x14ac:dyDescent="0.25">
      <c r="A13" s="15"/>
      <c r="B13" s="31" t="s">
        <v>84</v>
      </c>
      <c r="C13" s="19"/>
      <c r="D13" s="19"/>
    </row>
    <row r="14" spans="1:9" x14ac:dyDescent="0.25">
      <c r="A14" s="42">
        <v>1100</v>
      </c>
      <c r="B14" s="43" t="s">
        <v>85</v>
      </c>
      <c r="C14" s="22"/>
      <c r="D14" s="22"/>
    </row>
    <row r="15" spans="1:9" ht="151.5" customHeight="1" x14ac:dyDescent="0.25">
      <c r="A15" s="3"/>
      <c r="B15" s="81" t="s">
        <v>1109</v>
      </c>
      <c r="C15" s="1">
        <v>14.85</v>
      </c>
      <c r="D15" s="1">
        <f>C15*10</f>
        <v>148.5</v>
      </c>
      <c r="E15" s="116"/>
      <c r="F15" s="87"/>
      <c r="G15" s="87"/>
      <c r="H15" s="87"/>
      <c r="I15" s="87"/>
    </row>
    <row r="16" spans="1:9" ht="24" x14ac:dyDescent="0.25">
      <c r="A16" s="3">
        <v>1200</v>
      </c>
      <c r="B16" s="4" t="s">
        <v>1110</v>
      </c>
      <c r="C16" s="1">
        <f>ROUND(C15*0.2359,2)</f>
        <v>3.5</v>
      </c>
      <c r="D16" s="1">
        <f>C16*10</f>
        <v>35</v>
      </c>
      <c r="E16" s="111"/>
    </row>
    <row r="17" spans="1:5" x14ac:dyDescent="0.25">
      <c r="A17" s="3">
        <v>2341</v>
      </c>
      <c r="B17" s="3" t="s">
        <v>107</v>
      </c>
      <c r="C17" s="24"/>
      <c r="D17" s="24"/>
    </row>
    <row r="18" spans="1:5" ht="87" customHeight="1" x14ac:dyDescent="0.25">
      <c r="A18" s="3"/>
      <c r="B18" s="4" t="s">
        <v>1561</v>
      </c>
      <c r="C18" s="1">
        <v>5.5</v>
      </c>
      <c r="D18" s="1">
        <f>C18*10</f>
        <v>55</v>
      </c>
      <c r="E18" s="105"/>
    </row>
    <row r="19" spans="1:5" x14ac:dyDescent="0.25">
      <c r="A19" s="3"/>
      <c r="B19" s="40" t="s">
        <v>87</v>
      </c>
      <c r="C19" s="32">
        <f>SUM(C14:C18)</f>
        <v>23.85</v>
      </c>
      <c r="D19" s="32">
        <f>SUM(D14:D18)</f>
        <v>238.5</v>
      </c>
      <c r="E19" s="110"/>
    </row>
    <row r="20" spans="1:5" x14ac:dyDescent="0.25">
      <c r="A20" s="27"/>
      <c r="B20" s="103" t="s">
        <v>88</v>
      </c>
      <c r="C20" s="28"/>
      <c r="D20" s="28"/>
    </row>
    <row r="21" spans="1:5" x14ac:dyDescent="0.25">
      <c r="A21" s="3">
        <v>2100</v>
      </c>
      <c r="B21" s="69" t="s">
        <v>370</v>
      </c>
      <c r="C21" s="28"/>
      <c r="D21" s="28"/>
    </row>
    <row r="22" spans="1:5" ht="48" x14ac:dyDescent="0.25">
      <c r="A22" s="27"/>
      <c r="B22" s="4" t="s">
        <v>1076</v>
      </c>
      <c r="C22" s="24">
        <v>2.1000000000000001E-2</v>
      </c>
      <c r="D22" s="1">
        <f>C22*10</f>
        <v>0.21000000000000002</v>
      </c>
    </row>
    <row r="23" spans="1:5" x14ac:dyDescent="0.25">
      <c r="A23" s="3">
        <v>2210</v>
      </c>
      <c r="B23" s="4" t="s">
        <v>354</v>
      </c>
      <c r="C23" s="24"/>
      <c r="D23" s="1"/>
    </row>
    <row r="24" spans="1:5" ht="48" x14ac:dyDescent="0.25">
      <c r="A24" s="3"/>
      <c r="B24" s="4" t="s">
        <v>1077</v>
      </c>
      <c r="C24" s="24">
        <v>2.1000000000000001E-2</v>
      </c>
      <c r="D24" s="1">
        <f t="shared" ref="D24:D86" si="0">C24*10</f>
        <v>0.21000000000000002</v>
      </c>
    </row>
    <row r="25" spans="1:5" x14ac:dyDescent="0.25">
      <c r="A25" s="3">
        <v>2221</v>
      </c>
      <c r="B25" s="4" t="s">
        <v>89</v>
      </c>
      <c r="C25" s="1"/>
      <c r="D25" s="1"/>
    </row>
    <row r="26" spans="1:5" ht="48" x14ac:dyDescent="0.25">
      <c r="A26" s="3"/>
      <c r="B26" s="4" t="s">
        <v>1078</v>
      </c>
      <c r="C26" s="24">
        <v>5.1999999999999998E-2</v>
      </c>
      <c r="D26" s="1">
        <f t="shared" si="0"/>
        <v>0.52</v>
      </c>
    </row>
    <row r="27" spans="1:5" x14ac:dyDescent="0.25">
      <c r="A27" s="3">
        <v>2222</v>
      </c>
      <c r="B27" s="67" t="s">
        <v>90</v>
      </c>
      <c r="C27" s="1"/>
      <c r="D27" s="1"/>
    </row>
    <row r="28" spans="1:5" ht="48" x14ac:dyDescent="0.25">
      <c r="A28" s="3"/>
      <c r="B28" s="4" t="s">
        <v>1079</v>
      </c>
      <c r="C28" s="24">
        <f>ROUND(38.69/9509,4)</f>
        <v>4.1000000000000003E-3</v>
      </c>
      <c r="D28" s="1">
        <f t="shared" si="0"/>
        <v>4.1000000000000002E-2</v>
      </c>
    </row>
    <row r="29" spans="1:5" x14ac:dyDescent="0.25">
      <c r="A29" s="3">
        <v>2223</v>
      </c>
      <c r="B29" s="3" t="s">
        <v>91</v>
      </c>
      <c r="C29" s="24"/>
      <c r="D29" s="1"/>
    </row>
    <row r="30" spans="1:5" ht="48" x14ac:dyDescent="0.25">
      <c r="A30" s="3"/>
      <c r="B30" s="4" t="s">
        <v>1080</v>
      </c>
      <c r="C30" s="24">
        <v>9.4E-2</v>
      </c>
      <c r="D30" s="1">
        <f t="shared" si="0"/>
        <v>0.94</v>
      </c>
    </row>
    <row r="31" spans="1:5" ht="24" x14ac:dyDescent="0.25">
      <c r="A31" s="3">
        <v>2224</v>
      </c>
      <c r="B31" s="4" t="s">
        <v>114</v>
      </c>
      <c r="C31" s="24"/>
      <c r="D31" s="1"/>
    </row>
    <row r="32" spans="1:5" ht="48" x14ac:dyDescent="0.25">
      <c r="A32" s="3"/>
      <c r="B32" s="4" t="s">
        <v>1081</v>
      </c>
      <c r="C32" s="24">
        <v>1.4999999999999999E-2</v>
      </c>
      <c r="D32" s="1">
        <f t="shared" si="0"/>
        <v>0.15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1082</v>
      </c>
      <c r="C34" s="24">
        <v>2.5999999999999999E-2</v>
      </c>
      <c r="D34" s="1">
        <f t="shared" si="0"/>
        <v>0.26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1083</v>
      </c>
      <c r="C36" s="24">
        <v>7.0000000000000001E-3</v>
      </c>
      <c r="D36" s="1">
        <f t="shared" si="0"/>
        <v>7.0000000000000007E-2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1084</v>
      </c>
      <c r="C38" s="24">
        <v>0.01</v>
      </c>
      <c r="D38" s="1">
        <f t="shared" si="0"/>
        <v>0.1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1085</v>
      </c>
      <c r="C40" s="24">
        <v>7.0000000000000001E-3</v>
      </c>
      <c r="D40" s="1">
        <f t="shared" si="0"/>
        <v>7.0000000000000007E-2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1086</v>
      </c>
      <c r="C42" s="24">
        <v>4.9000000000000002E-2</v>
      </c>
      <c r="D42" s="1">
        <f t="shared" si="0"/>
        <v>0.49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1087</v>
      </c>
      <c r="C44" s="24">
        <v>6.0999999999999999E-2</v>
      </c>
      <c r="D44" s="1">
        <f t="shared" si="0"/>
        <v>0.61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1088</v>
      </c>
      <c r="C46" s="24">
        <v>0.09</v>
      </c>
      <c r="D46" s="1">
        <f t="shared" si="0"/>
        <v>0.89999999999999991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1089</v>
      </c>
      <c r="C48" s="24">
        <v>0.05</v>
      </c>
      <c r="D48" s="1">
        <f t="shared" si="0"/>
        <v>0.5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1090</v>
      </c>
      <c r="C50" s="24">
        <v>6.9000000000000006E-2</v>
      </c>
      <c r="D50" s="1">
        <f t="shared" si="0"/>
        <v>0.69000000000000006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1091</v>
      </c>
      <c r="C52" s="24">
        <v>3.0000000000000001E-3</v>
      </c>
      <c r="D52" s="1">
        <f t="shared" si="0"/>
        <v>0.03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1092</v>
      </c>
      <c r="C54" s="24">
        <v>2E-3</v>
      </c>
      <c r="D54" s="1">
        <f t="shared" si="0"/>
        <v>0.02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1093</v>
      </c>
      <c r="C56" s="24">
        <v>0.23699999999999999</v>
      </c>
      <c r="D56" s="1">
        <f t="shared" si="0"/>
        <v>2.37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1094</v>
      </c>
      <c r="C58" s="24">
        <v>0.29599999999999999</v>
      </c>
      <c r="D58" s="1">
        <f t="shared" si="0"/>
        <v>2.96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1095</v>
      </c>
      <c r="C60" s="24">
        <v>1E-3</v>
      </c>
      <c r="D60" s="1">
        <f t="shared" si="0"/>
        <v>0.01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1096</v>
      </c>
      <c r="C62" s="24">
        <v>2.5999999999999999E-2</v>
      </c>
      <c r="D62" s="1">
        <f t="shared" si="0"/>
        <v>0.26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1097</v>
      </c>
      <c r="C64" s="24">
        <v>8.9999999999999993E-3</v>
      </c>
      <c r="D64" s="1">
        <f t="shared" si="0"/>
        <v>0.09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1098</v>
      </c>
      <c r="C66" s="24">
        <v>1.0999999999999999E-2</v>
      </c>
      <c r="D66" s="1">
        <f t="shared" si="0"/>
        <v>0.10999999999999999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1099</v>
      </c>
      <c r="C68" s="24">
        <v>2.3E-2</v>
      </c>
      <c r="D68" s="1">
        <f t="shared" si="0"/>
        <v>0.22999999999999998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1100</v>
      </c>
      <c r="C70" s="24">
        <v>2.1999999999999999E-2</v>
      </c>
      <c r="D70" s="1">
        <f t="shared" si="0"/>
        <v>0.21999999999999997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1101</v>
      </c>
      <c r="C72" s="30">
        <v>3.4000000000000002E-2</v>
      </c>
      <c r="D72" s="1">
        <f t="shared" si="0"/>
        <v>0.34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1102</v>
      </c>
      <c r="C74" s="24">
        <v>2E-3</v>
      </c>
      <c r="D74" s="1">
        <f t="shared" si="0"/>
        <v>0.02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1103</v>
      </c>
      <c r="C76" s="24">
        <v>3.0000000000000001E-3</v>
      </c>
      <c r="D76" s="1">
        <f t="shared" si="0"/>
        <v>0.03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1104</v>
      </c>
      <c r="C78" s="24">
        <v>1E-3</v>
      </c>
      <c r="D78" s="1">
        <f t="shared" si="0"/>
        <v>0.01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1105</v>
      </c>
      <c r="C80" s="24">
        <v>4.0000000000000001E-3</v>
      </c>
      <c r="D80" s="1">
        <f t="shared" si="0"/>
        <v>0.04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1106</v>
      </c>
      <c r="C82" s="24">
        <v>7.0999999999999994E-2</v>
      </c>
      <c r="D82" s="1">
        <f t="shared" si="0"/>
        <v>0.71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1107</v>
      </c>
      <c r="C84" s="24">
        <v>2.1000000000000001E-2</v>
      </c>
      <c r="D84" s="1">
        <f t="shared" si="0"/>
        <v>0.21000000000000002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1108</v>
      </c>
      <c r="C86" s="24">
        <v>3.7999999999999999E-2</v>
      </c>
      <c r="D86" s="1">
        <f t="shared" si="0"/>
        <v>0.38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32">
        <f>SUM(D22:D86)</f>
        <v>13.801</v>
      </c>
    </row>
    <row r="88" spans="1:4" ht="15" customHeight="1" x14ac:dyDescent="0.25">
      <c r="A88" s="33"/>
      <c r="B88" s="34" t="s">
        <v>95</v>
      </c>
      <c r="C88" s="32">
        <f>ROUND(C87+C19,4)</f>
        <v>25.2301</v>
      </c>
      <c r="D88" s="32">
        <f>ROUND(D87+D19,3)</f>
        <v>252.30099999999999</v>
      </c>
    </row>
    <row r="89" spans="1:4" ht="28.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10</v>
      </c>
      <c r="D90" s="38"/>
    </row>
    <row r="91" spans="1:4" ht="20.25" customHeight="1" x14ac:dyDescent="0.25">
      <c r="A91" s="161" t="s">
        <v>112</v>
      </c>
      <c r="B91" s="162"/>
      <c r="C91" s="2">
        <f>D88/C90</f>
        <v>25.2301</v>
      </c>
      <c r="D91" s="38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I90"/>
  <sheetViews>
    <sheetView view="pageBreakPreview" topLeftCell="A66" zoomScale="60" zoomScaleNormal="100" workbookViewId="0">
      <selection activeCell="D87" sqref="D87"/>
    </sheetView>
  </sheetViews>
  <sheetFormatPr defaultRowHeight="15" x14ac:dyDescent="0.25"/>
  <cols>
    <col min="1" max="1" width="9.5703125" style="84" customWidth="1"/>
    <col min="2" max="2" width="58.140625" style="84" customWidth="1"/>
    <col min="3" max="4" width="11.28515625" style="84" customWidth="1"/>
    <col min="5" max="5" width="14.42578125" style="84" customWidth="1"/>
    <col min="6" max="16384" width="9.140625" style="84"/>
  </cols>
  <sheetData>
    <row r="1" spans="1:9" x14ac:dyDescent="0.25">
      <c r="A1" s="167" t="s">
        <v>78</v>
      </c>
      <c r="B1" s="167"/>
      <c r="C1" s="167"/>
      <c r="D1" s="167"/>
    </row>
    <row r="2" spans="1:9" ht="10.5" customHeight="1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ht="10.5" customHeight="1" x14ac:dyDescent="0.25">
      <c r="A4" s="45"/>
      <c r="B4" s="11"/>
      <c r="C4" s="11"/>
      <c r="D4" s="44"/>
    </row>
    <row r="5" spans="1:9" ht="36" customHeight="1" x14ac:dyDescent="0.25">
      <c r="A5" s="166" t="s">
        <v>353</v>
      </c>
      <c r="B5" s="166"/>
      <c r="C5" s="166"/>
      <c r="D5" s="166"/>
    </row>
    <row r="6" spans="1:9" ht="9.75" customHeight="1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ht="4.5" customHeight="1" x14ac:dyDescent="0.25">
      <c r="A8" s="49"/>
      <c r="B8" s="79"/>
      <c r="C8" s="11"/>
      <c r="D8" s="44"/>
    </row>
    <row r="9" spans="1:9" x14ac:dyDescent="0.25">
      <c r="A9" s="170" t="s">
        <v>164</v>
      </c>
      <c r="B9" s="170"/>
      <c r="C9" s="11"/>
      <c r="D9" s="44"/>
    </row>
    <row r="10" spans="1:9" ht="108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19"/>
      <c r="F13" s="105"/>
    </row>
    <row r="14" spans="1:9" ht="156" customHeight="1" x14ac:dyDescent="0.25">
      <c r="A14" s="3"/>
      <c r="B14" s="81" t="s">
        <v>1111</v>
      </c>
      <c r="C14" s="1">
        <v>12.85</v>
      </c>
      <c r="D14" s="1">
        <f>C14*7</f>
        <v>89.95</v>
      </c>
      <c r="E14" s="116"/>
      <c r="F14" s="104"/>
      <c r="G14" s="87"/>
      <c r="H14" s="87"/>
      <c r="I14" s="87"/>
    </row>
    <row r="15" spans="1:9" ht="24" x14ac:dyDescent="0.25">
      <c r="A15" s="3">
        <v>1200</v>
      </c>
      <c r="B15" s="4" t="s">
        <v>1075</v>
      </c>
      <c r="C15" s="1">
        <f>ROUND(C14*0.2359,2)</f>
        <v>3.03</v>
      </c>
      <c r="D15" s="1">
        <f t="shared" ref="D15:D17" si="0">C15*7</f>
        <v>21.209999999999997</v>
      </c>
      <c r="E15" s="109"/>
    </row>
    <row r="16" spans="1:9" x14ac:dyDescent="0.25">
      <c r="A16" s="3">
        <v>2341</v>
      </c>
      <c r="B16" s="3" t="s">
        <v>97</v>
      </c>
      <c r="C16" s="24"/>
      <c r="D16" s="1"/>
    </row>
    <row r="17" spans="1:7" ht="74.25" customHeight="1" x14ac:dyDescent="0.25">
      <c r="A17" s="3"/>
      <c r="B17" s="4" t="s">
        <v>1560</v>
      </c>
      <c r="C17" s="1">
        <v>5.84</v>
      </c>
      <c r="D17" s="1">
        <f t="shared" si="0"/>
        <v>40.879999999999995</v>
      </c>
      <c r="E17" s="86"/>
      <c r="F17" s="113"/>
      <c r="G17" s="113"/>
    </row>
    <row r="18" spans="1:7" x14ac:dyDescent="0.25">
      <c r="A18" s="34"/>
      <c r="B18" s="40" t="s">
        <v>87</v>
      </c>
      <c r="C18" s="32">
        <f>SUM(C13:C17)</f>
        <v>21.72</v>
      </c>
      <c r="D18" s="32">
        <f>SUM(D13:D17)</f>
        <v>152.04</v>
      </c>
      <c r="E18" s="110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23.100100000000001</v>
      </c>
      <c r="D87" s="32">
        <f>ROUND(D86+D18,3)</f>
        <v>161.70099999999999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19.5" customHeight="1" x14ac:dyDescent="0.25">
      <c r="A90" s="161" t="s">
        <v>112</v>
      </c>
      <c r="B90" s="162"/>
      <c r="C90" s="2">
        <f>D87/C89</f>
        <v>23.100142857142856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F90"/>
  <sheetViews>
    <sheetView view="pageBreakPreview" zoomScale="60" zoomScaleNormal="100" workbookViewId="0">
      <selection activeCell="E14" sqref="E14:F14"/>
    </sheetView>
  </sheetViews>
  <sheetFormatPr defaultRowHeight="15" x14ac:dyDescent="0.25"/>
  <cols>
    <col min="1" max="1" width="9.140625" style="84"/>
    <col min="2" max="2" width="57.85546875" style="84" customWidth="1"/>
    <col min="3" max="3" width="10.5703125" style="84" customWidth="1"/>
    <col min="4" max="4" width="13" style="84" customWidth="1"/>
    <col min="5" max="5" width="9.140625" style="84"/>
    <col min="6" max="6" width="10.42578125" style="84" customWidth="1"/>
    <col min="7" max="16384" width="9.140625" style="84"/>
  </cols>
  <sheetData>
    <row r="1" spans="1:6" x14ac:dyDescent="0.25">
      <c r="A1" s="154" t="s">
        <v>78</v>
      </c>
      <c r="B1" s="154"/>
      <c r="C1" s="154"/>
      <c r="D1" s="154"/>
    </row>
    <row r="2" spans="1:6" ht="10.5" customHeight="1" x14ac:dyDescent="0.25">
      <c r="A2" s="6"/>
      <c r="B2" s="6"/>
      <c r="C2" s="155"/>
      <c r="D2" s="156"/>
    </row>
    <row r="3" spans="1:6" x14ac:dyDescent="0.25">
      <c r="A3" s="7" t="s">
        <v>110</v>
      </c>
      <c r="B3" s="8"/>
      <c r="C3" s="8"/>
      <c r="D3" s="8"/>
    </row>
    <row r="4" spans="1:6" ht="5.25" customHeight="1" x14ac:dyDescent="0.25">
      <c r="A4" s="6"/>
      <c r="B4" s="9"/>
      <c r="C4" s="9"/>
      <c r="D4" s="10"/>
    </row>
    <row r="5" spans="1:6" ht="36.75" customHeight="1" x14ac:dyDescent="0.25">
      <c r="A5" s="166" t="s">
        <v>291</v>
      </c>
      <c r="B5" s="166"/>
      <c r="C5" s="166"/>
      <c r="D5" s="166"/>
    </row>
    <row r="6" spans="1:6" ht="9.75" customHeight="1" x14ac:dyDescent="0.25">
      <c r="A6" s="49"/>
      <c r="B6" s="11"/>
      <c r="C6" s="11"/>
      <c r="D6" s="10"/>
    </row>
    <row r="7" spans="1:6" x14ac:dyDescent="0.25">
      <c r="A7" s="158" t="s">
        <v>111</v>
      </c>
      <c r="B7" s="159"/>
      <c r="C7" s="11"/>
      <c r="D7" s="10"/>
    </row>
    <row r="8" spans="1:6" ht="6" customHeight="1" x14ac:dyDescent="0.25">
      <c r="A8" s="6"/>
      <c r="B8" s="12"/>
      <c r="C8" s="13"/>
      <c r="D8" s="10"/>
    </row>
    <row r="9" spans="1:6" x14ac:dyDescent="0.25">
      <c r="A9" s="160" t="s">
        <v>974</v>
      </c>
      <c r="B9" s="160"/>
      <c r="C9" s="13"/>
      <c r="D9" s="10"/>
    </row>
    <row r="10" spans="1:6" ht="96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6" x14ac:dyDescent="0.25">
      <c r="A11" s="15">
        <v>1</v>
      </c>
      <c r="B11" s="16">
        <v>2</v>
      </c>
      <c r="C11" s="15">
        <v>3</v>
      </c>
      <c r="D11" s="15">
        <v>4</v>
      </c>
    </row>
    <row r="12" spans="1:6" x14ac:dyDescent="0.25">
      <c r="A12" s="17"/>
      <c r="B12" s="18" t="s">
        <v>84</v>
      </c>
      <c r="C12" s="19"/>
      <c r="D12" s="19"/>
    </row>
    <row r="13" spans="1:6" x14ac:dyDescent="0.25">
      <c r="A13" s="20">
        <v>1100</v>
      </c>
      <c r="B13" s="21" t="s">
        <v>85</v>
      </c>
      <c r="C13" s="22"/>
      <c r="D13" s="22"/>
    </row>
    <row r="14" spans="1:6" ht="173.25" customHeight="1" x14ac:dyDescent="0.25">
      <c r="A14" s="5"/>
      <c r="B14" s="83" t="s">
        <v>1153</v>
      </c>
      <c r="C14" s="1">
        <v>11.85</v>
      </c>
      <c r="D14" s="1">
        <f>C14*7</f>
        <v>82.95</v>
      </c>
      <c r="E14" s="179"/>
      <c r="F14" s="180"/>
    </row>
    <row r="15" spans="1:6" ht="24" x14ac:dyDescent="0.25">
      <c r="A15" s="5">
        <v>1200</v>
      </c>
      <c r="B15" s="23" t="s">
        <v>1152</v>
      </c>
      <c r="C15" s="1">
        <f>ROUND(C14*0.2359,2)</f>
        <v>2.8</v>
      </c>
      <c r="D15" s="1">
        <f t="shared" ref="D15:D17" si="0">C15*7</f>
        <v>19.599999999999998</v>
      </c>
    </row>
    <row r="16" spans="1:6" x14ac:dyDescent="0.25">
      <c r="A16" s="3">
        <v>2341</v>
      </c>
      <c r="B16" s="3" t="s">
        <v>97</v>
      </c>
      <c r="C16" s="24"/>
      <c r="D16" s="1"/>
    </row>
    <row r="17" spans="1:4" ht="108" x14ac:dyDescent="0.25">
      <c r="A17" s="5"/>
      <c r="B17" s="23" t="s">
        <v>1559</v>
      </c>
      <c r="C17" s="1">
        <v>1.94</v>
      </c>
      <c r="D17" s="1">
        <f t="shared" si="0"/>
        <v>13.58</v>
      </c>
    </row>
    <row r="18" spans="1:4" x14ac:dyDescent="0.25">
      <c r="A18" s="5"/>
      <c r="B18" s="40" t="s">
        <v>87</v>
      </c>
      <c r="C18" s="32">
        <f>SUM(C13:C17)</f>
        <v>16.59</v>
      </c>
      <c r="D18" s="32">
        <f>SUM(D13:D17)</f>
        <v>116.13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17.970099999999999</v>
      </c>
      <c r="D87" s="32">
        <f>ROUND(D86+D18,3)</f>
        <v>125.791</v>
      </c>
    </row>
    <row r="88" spans="1:4" ht="35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17.970142857142857</v>
      </c>
      <c r="D90" s="38"/>
    </row>
  </sheetData>
  <mergeCells count="8">
    <mergeCell ref="A89:B89"/>
    <mergeCell ref="A90:B90"/>
    <mergeCell ref="E14:F14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orientation="landscape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E91"/>
  <sheetViews>
    <sheetView view="pageBreakPreview" topLeftCell="A71" zoomScale="60" zoomScaleNormal="100" workbookViewId="0">
      <selection activeCell="A5" sqref="A5:D5"/>
    </sheetView>
  </sheetViews>
  <sheetFormatPr defaultRowHeight="15" x14ac:dyDescent="0.25"/>
  <cols>
    <col min="1" max="1" width="9.85546875" style="84" customWidth="1"/>
    <col min="2" max="2" width="57.5703125" style="84" customWidth="1"/>
    <col min="3" max="3" width="11.5703125" style="84" customWidth="1"/>
    <col min="4" max="4" width="11" style="84" customWidth="1"/>
    <col min="5" max="16384" width="9.140625" style="84"/>
  </cols>
  <sheetData>
    <row r="1" spans="1:5" x14ac:dyDescent="0.25">
      <c r="A1" s="154" t="s">
        <v>78</v>
      </c>
      <c r="B1" s="154"/>
      <c r="C1" s="154"/>
      <c r="D1" s="154"/>
    </row>
    <row r="2" spans="1:5" x14ac:dyDescent="0.25">
      <c r="A2" s="6"/>
      <c r="B2" s="6"/>
      <c r="C2" s="155"/>
      <c r="D2" s="156"/>
    </row>
    <row r="3" spans="1:5" x14ac:dyDescent="0.25">
      <c r="A3" s="7" t="s">
        <v>110</v>
      </c>
      <c r="B3" s="8"/>
      <c r="C3" s="8"/>
      <c r="D3" s="8"/>
    </row>
    <row r="4" spans="1:5" x14ac:dyDescent="0.25">
      <c r="A4" s="6"/>
      <c r="B4" s="9"/>
      <c r="C4" s="9"/>
      <c r="D4" s="10"/>
    </row>
    <row r="5" spans="1:5" ht="39" customHeight="1" x14ac:dyDescent="0.25">
      <c r="A5" s="166" t="s">
        <v>290</v>
      </c>
      <c r="B5" s="166"/>
      <c r="C5" s="166"/>
      <c r="D5" s="166"/>
    </row>
    <row r="6" spans="1:5" ht="12.75" customHeight="1" x14ac:dyDescent="0.25">
      <c r="A6" s="49"/>
      <c r="B6" s="11"/>
      <c r="C6" s="11"/>
      <c r="D6" s="10"/>
    </row>
    <row r="7" spans="1:5" x14ac:dyDescent="0.25">
      <c r="A7" s="158" t="s">
        <v>111</v>
      </c>
      <c r="B7" s="159"/>
      <c r="C7" s="11"/>
      <c r="D7" s="10"/>
    </row>
    <row r="8" spans="1:5" x14ac:dyDescent="0.25">
      <c r="A8" s="49"/>
      <c r="B8" s="79"/>
      <c r="C8" s="11"/>
      <c r="D8" s="10"/>
    </row>
    <row r="9" spans="1:5" x14ac:dyDescent="0.25">
      <c r="A9" s="160" t="s">
        <v>103</v>
      </c>
      <c r="B9" s="160"/>
      <c r="C9" s="13"/>
      <c r="D9" s="10"/>
    </row>
    <row r="10" spans="1:5" x14ac:dyDescent="0.25">
      <c r="A10" s="160"/>
      <c r="B10" s="160"/>
      <c r="C10" s="13"/>
      <c r="D10" s="10"/>
    </row>
    <row r="11" spans="1:5" ht="108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5" x14ac:dyDescent="0.25">
      <c r="A12" s="15">
        <v>1</v>
      </c>
      <c r="B12" s="16">
        <v>2</v>
      </c>
      <c r="C12" s="15">
        <v>3</v>
      </c>
      <c r="D12" s="15">
        <v>4</v>
      </c>
    </row>
    <row r="13" spans="1:5" x14ac:dyDescent="0.25">
      <c r="A13" s="17"/>
      <c r="B13" s="18" t="s">
        <v>84</v>
      </c>
      <c r="C13" s="19"/>
      <c r="D13" s="19"/>
    </row>
    <row r="14" spans="1:5" x14ac:dyDescent="0.25">
      <c r="A14" s="20">
        <v>1100</v>
      </c>
      <c r="B14" s="21" t="s">
        <v>85</v>
      </c>
      <c r="C14" s="22"/>
      <c r="D14" s="22"/>
    </row>
    <row r="15" spans="1:5" ht="173.25" customHeight="1" x14ac:dyDescent="0.25">
      <c r="A15" s="5"/>
      <c r="B15" s="81" t="s">
        <v>1154</v>
      </c>
      <c r="C15" s="1">
        <v>18.850000000000001</v>
      </c>
      <c r="D15" s="1">
        <f>C15*20</f>
        <v>377</v>
      </c>
      <c r="E15" s="114"/>
    </row>
    <row r="16" spans="1:5" ht="24" x14ac:dyDescent="0.25">
      <c r="A16" s="5">
        <v>1200</v>
      </c>
      <c r="B16" s="23" t="s">
        <v>1155</v>
      </c>
      <c r="C16" s="1">
        <f>ROUND(C15*0.2359,2)</f>
        <v>4.45</v>
      </c>
      <c r="D16" s="1">
        <f>C16*20</f>
        <v>89</v>
      </c>
    </row>
    <row r="17" spans="1:4" x14ac:dyDescent="0.25">
      <c r="A17" s="5">
        <v>2341</v>
      </c>
      <c r="B17" s="5" t="s">
        <v>97</v>
      </c>
      <c r="C17" s="39"/>
      <c r="D17" s="1"/>
    </row>
    <row r="18" spans="1:4" ht="111" customHeight="1" x14ac:dyDescent="0.25">
      <c r="A18" s="5"/>
      <c r="B18" s="23" t="s">
        <v>1558</v>
      </c>
      <c r="C18" s="1">
        <v>5.04</v>
      </c>
      <c r="D18" s="1">
        <f>C18*20</f>
        <v>100.8</v>
      </c>
    </row>
    <row r="19" spans="1:4" x14ac:dyDescent="0.25">
      <c r="A19" s="3"/>
      <c r="B19" s="40" t="s">
        <v>87</v>
      </c>
      <c r="C19" s="32">
        <f>SUM(C14:C18)</f>
        <v>28.34</v>
      </c>
      <c r="D19" s="32">
        <f>SUM(D14:D18)</f>
        <v>566.79999999999995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60" x14ac:dyDescent="0.25">
      <c r="A22" s="27"/>
      <c r="B22" s="4" t="s">
        <v>776</v>
      </c>
      <c r="C22" s="24">
        <v>2.1000000000000001E-2</v>
      </c>
      <c r="D22" s="1">
        <f>C22*20</f>
        <v>0.42000000000000004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60" x14ac:dyDescent="0.25">
      <c r="A24" s="3"/>
      <c r="B24" s="4" t="s">
        <v>777</v>
      </c>
      <c r="C24" s="24">
        <v>2.1000000000000001E-2</v>
      </c>
      <c r="D24" s="1">
        <f t="shared" ref="D24:D86" si="0">C24*20</f>
        <v>0.42000000000000004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60" x14ac:dyDescent="0.25">
      <c r="A26" s="3"/>
      <c r="B26" s="4" t="s">
        <v>778</v>
      </c>
      <c r="C26" s="24">
        <v>5.1999999999999998E-2</v>
      </c>
      <c r="D26" s="1">
        <f t="shared" si="0"/>
        <v>1.04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60" x14ac:dyDescent="0.25">
      <c r="A28" s="3"/>
      <c r="B28" s="4" t="s">
        <v>779</v>
      </c>
      <c r="C28" s="24">
        <f>ROUND(38.69/9509,4)</f>
        <v>4.1000000000000003E-3</v>
      </c>
      <c r="D28" s="1">
        <f t="shared" si="0"/>
        <v>8.2000000000000003E-2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60" x14ac:dyDescent="0.25">
      <c r="A30" s="3"/>
      <c r="B30" s="4" t="s">
        <v>780</v>
      </c>
      <c r="C30" s="24">
        <v>9.4E-2</v>
      </c>
      <c r="D30" s="1">
        <f t="shared" si="0"/>
        <v>1.88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60" x14ac:dyDescent="0.25">
      <c r="A32" s="3"/>
      <c r="B32" s="4" t="s">
        <v>781</v>
      </c>
      <c r="C32" s="24">
        <v>1.4999999999999999E-2</v>
      </c>
      <c r="D32" s="1">
        <f t="shared" si="0"/>
        <v>0.3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782</v>
      </c>
      <c r="C34" s="24">
        <v>2.5999999999999999E-2</v>
      </c>
      <c r="D34" s="1">
        <f t="shared" si="0"/>
        <v>0.52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60" x14ac:dyDescent="0.25">
      <c r="A36" s="3"/>
      <c r="B36" s="4" t="s">
        <v>783</v>
      </c>
      <c r="C36" s="24">
        <v>7.0000000000000001E-3</v>
      </c>
      <c r="D36" s="1">
        <f t="shared" si="0"/>
        <v>0.14000000000000001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60" x14ac:dyDescent="0.25">
      <c r="A38" s="3"/>
      <c r="B38" s="4" t="s">
        <v>784</v>
      </c>
      <c r="C38" s="24">
        <v>0.01</v>
      </c>
      <c r="D38" s="1">
        <f t="shared" si="0"/>
        <v>0.2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60" x14ac:dyDescent="0.25">
      <c r="A40" s="3"/>
      <c r="B40" s="4" t="s">
        <v>785</v>
      </c>
      <c r="C40" s="24">
        <v>7.0000000000000001E-3</v>
      </c>
      <c r="D40" s="1">
        <f t="shared" si="0"/>
        <v>0.14000000000000001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786</v>
      </c>
      <c r="C42" s="24">
        <v>4.9000000000000002E-2</v>
      </c>
      <c r="D42" s="1">
        <f t="shared" si="0"/>
        <v>0.98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787</v>
      </c>
      <c r="C44" s="24">
        <v>6.0999999999999999E-2</v>
      </c>
      <c r="D44" s="1">
        <f t="shared" si="0"/>
        <v>1.22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60" x14ac:dyDescent="0.25">
      <c r="A46" s="3"/>
      <c r="B46" s="4" t="s">
        <v>788</v>
      </c>
      <c r="C46" s="24">
        <v>0.09</v>
      </c>
      <c r="D46" s="1">
        <f t="shared" si="0"/>
        <v>1.7999999999999998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0" x14ac:dyDescent="0.25">
      <c r="A48" s="3"/>
      <c r="B48" s="4" t="s">
        <v>789</v>
      </c>
      <c r="C48" s="24">
        <v>0.05</v>
      </c>
      <c r="D48" s="1">
        <f t="shared" si="0"/>
        <v>1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60" x14ac:dyDescent="0.25">
      <c r="A50" s="29"/>
      <c r="B50" s="4" t="s">
        <v>790</v>
      </c>
      <c r="C50" s="24">
        <v>6.9000000000000006E-2</v>
      </c>
      <c r="D50" s="1">
        <f t="shared" si="0"/>
        <v>1.3800000000000001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60" x14ac:dyDescent="0.25">
      <c r="A52" s="29"/>
      <c r="B52" s="4" t="s">
        <v>791</v>
      </c>
      <c r="C52" s="24">
        <v>3.0000000000000001E-3</v>
      </c>
      <c r="D52" s="1">
        <f t="shared" si="0"/>
        <v>0.06</v>
      </c>
    </row>
    <row r="53" spans="1:4" x14ac:dyDescent="0.25">
      <c r="A53" s="3">
        <v>2249</v>
      </c>
      <c r="B53" s="67" t="s">
        <v>359</v>
      </c>
      <c r="C53" s="1"/>
      <c r="D53" s="1">
        <f t="shared" si="0"/>
        <v>0</v>
      </c>
    </row>
    <row r="54" spans="1:4" ht="60" x14ac:dyDescent="0.25">
      <c r="A54" s="29"/>
      <c r="B54" s="4" t="s">
        <v>844</v>
      </c>
      <c r="C54" s="24">
        <v>2E-3</v>
      </c>
      <c r="D54" s="1">
        <f t="shared" si="0"/>
        <v>0.04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60" x14ac:dyDescent="0.25">
      <c r="A56" s="3"/>
      <c r="B56" s="4" t="s">
        <v>772</v>
      </c>
      <c r="C56" s="24">
        <v>0.23699999999999999</v>
      </c>
      <c r="D56" s="1">
        <f t="shared" si="0"/>
        <v>4.74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963</v>
      </c>
      <c r="C58" s="24">
        <v>0.29599999999999999</v>
      </c>
      <c r="D58" s="1">
        <f t="shared" si="0"/>
        <v>5.92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60" x14ac:dyDescent="0.25">
      <c r="A60" s="3"/>
      <c r="B60" s="4" t="s">
        <v>961</v>
      </c>
      <c r="C60" s="24">
        <v>1E-3</v>
      </c>
      <c r="D60" s="1">
        <f t="shared" si="0"/>
        <v>0.02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775</v>
      </c>
      <c r="C62" s="24">
        <v>2.5999999999999999E-2</v>
      </c>
      <c r="D62" s="1">
        <f t="shared" si="0"/>
        <v>0.52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60" x14ac:dyDescent="0.25">
      <c r="A64" s="3"/>
      <c r="B64" s="4" t="s">
        <v>770</v>
      </c>
      <c r="C64" s="24">
        <v>8.9999999999999993E-3</v>
      </c>
      <c r="D64" s="1">
        <f t="shared" si="0"/>
        <v>0.18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60" x14ac:dyDescent="0.25">
      <c r="A66" s="3"/>
      <c r="B66" s="4" t="s">
        <v>771</v>
      </c>
      <c r="C66" s="24">
        <v>1.0999999999999999E-2</v>
      </c>
      <c r="D66" s="1">
        <f t="shared" si="0"/>
        <v>0.21999999999999997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769</v>
      </c>
      <c r="C68" s="24">
        <v>2.3E-2</v>
      </c>
      <c r="D68" s="1">
        <f t="shared" si="0"/>
        <v>0.45999999999999996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768</v>
      </c>
      <c r="C70" s="24">
        <v>2.1999999999999999E-2</v>
      </c>
      <c r="D70" s="1">
        <f t="shared" si="0"/>
        <v>0.43999999999999995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767</v>
      </c>
      <c r="C72" s="30">
        <v>3.4000000000000002E-2</v>
      </c>
      <c r="D72" s="1">
        <f>C72*20</f>
        <v>0.68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60" x14ac:dyDescent="0.25">
      <c r="A74" s="3"/>
      <c r="B74" s="4" t="s">
        <v>766</v>
      </c>
      <c r="C74" s="24">
        <v>2E-3</v>
      </c>
      <c r="D74" s="1">
        <f t="shared" si="0"/>
        <v>0.04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60" x14ac:dyDescent="0.25">
      <c r="A76" s="3"/>
      <c r="B76" s="4" t="s">
        <v>765</v>
      </c>
      <c r="C76" s="24">
        <v>3.0000000000000001E-3</v>
      </c>
      <c r="D76" s="1">
        <f t="shared" si="0"/>
        <v>0.06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60" x14ac:dyDescent="0.25">
      <c r="A78" s="3"/>
      <c r="B78" s="4" t="s">
        <v>764</v>
      </c>
      <c r="C78" s="24">
        <v>1E-3</v>
      </c>
      <c r="D78" s="1">
        <f t="shared" si="0"/>
        <v>0.02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60" x14ac:dyDescent="0.25">
      <c r="A80" s="3"/>
      <c r="B80" s="4" t="s">
        <v>763</v>
      </c>
      <c r="C80" s="24">
        <v>4.0000000000000001E-3</v>
      </c>
      <c r="D80" s="1">
        <f t="shared" si="0"/>
        <v>0.08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762</v>
      </c>
      <c r="C82" s="24">
        <v>7.0999999999999994E-2</v>
      </c>
      <c r="D82" s="1">
        <f t="shared" si="0"/>
        <v>1.42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761</v>
      </c>
      <c r="C84" s="24">
        <v>2.1000000000000001E-2</v>
      </c>
      <c r="D84" s="1">
        <f t="shared" si="0"/>
        <v>0.42000000000000004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760</v>
      </c>
      <c r="C86" s="24">
        <v>3.7999999999999999E-2</v>
      </c>
      <c r="D86" s="1">
        <f t="shared" si="0"/>
        <v>0.76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27.602</v>
      </c>
    </row>
    <row r="88" spans="1:4" ht="15" customHeight="1" x14ac:dyDescent="0.25">
      <c r="A88" s="33"/>
      <c r="B88" s="34" t="s">
        <v>95</v>
      </c>
      <c r="C88" s="32">
        <f>ROUND(C87+C19,4)</f>
        <v>29.720099999999999</v>
      </c>
      <c r="D88" s="32">
        <f>ROUND(D87+D19,4)</f>
        <v>594.40200000000004</v>
      </c>
    </row>
    <row r="89" spans="1:4" ht="29.2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20</v>
      </c>
      <c r="D90" s="38"/>
    </row>
    <row r="91" spans="1:4" ht="24.75" customHeight="1" x14ac:dyDescent="0.25">
      <c r="A91" s="161" t="s">
        <v>112</v>
      </c>
      <c r="B91" s="162"/>
      <c r="C91" s="2">
        <f>D88/C90</f>
        <v>29.720100000000002</v>
      </c>
      <c r="D91" s="38"/>
    </row>
  </sheetData>
  <mergeCells count="8">
    <mergeCell ref="A90:B90"/>
    <mergeCell ref="A91:B91"/>
    <mergeCell ref="A1:D1"/>
    <mergeCell ref="C2:D2"/>
    <mergeCell ref="A5:D5"/>
    <mergeCell ref="A7:B7"/>
    <mergeCell ref="A9:B9"/>
    <mergeCell ref="A10:B10"/>
  </mergeCells>
  <pageMargins left="0.7" right="0.7" top="0.75" bottom="0.75" header="0.3" footer="0.3"/>
  <pageSetup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H90"/>
  <sheetViews>
    <sheetView view="pageBreakPreview" topLeftCell="A73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58.28515625" style="84" customWidth="1"/>
    <col min="3" max="3" width="11" style="84" customWidth="1"/>
    <col min="4" max="4" width="10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9" customHeight="1" x14ac:dyDescent="0.25">
      <c r="A5" s="166" t="s">
        <v>292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x14ac:dyDescent="0.25">
      <c r="A8" s="49"/>
      <c r="B8" s="79"/>
      <c r="C8" s="11"/>
      <c r="D8" s="10"/>
    </row>
    <row r="9" spans="1:8" x14ac:dyDescent="0.25">
      <c r="A9" s="160" t="s">
        <v>164</v>
      </c>
      <c r="B9" s="160"/>
      <c r="C9" s="13"/>
      <c r="D9" s="10"/>
    </row>
    <row r="10" spans="1:8" ht="120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68" x14ac:dyDescent="0.25">
      <c r="A14" s="5"/>
      <c r="B14" s="81" t="s">
        <v>1156</v>
      </c>
      <c r="C14" s="1">
        <v>18.850000000000001</v>
      </c>
      <c r="D14" s="1">
        <f>C14*7</f>
        <v>131.95000000000002</v>
      </c>
      <c r="E14" s="172"/>
      <c r="F14" s="173"/>
      <c r="G14" s="173"/>
      <c r="H14" s="173"/>
    </row>
    <row r="15" spans="1:8" ht="24" x14ac:dyDescent="0.25">
      <c r="A15" s="5">
        <v>1200</v>
      </c>
      <c r="B15" s="23" t="s">
        <v>1155</v>
      </c>
      <c r="C15" s="1">
        <f>ROUND(C14*0.2359,2)</f>
        <v>4.45</v>
      </c>
      <c r="D15" s="1">
        <f>C15*7</f>
        <v>31.150000000000002</v>
      </c>
    </row>
    <row r="16" spans="1:8" x14ac:dyDescent="0.25">
      <c r="A16" s="5">
        <v>2341</v>
      </c>
      <c r="B16" s="5" t="s">
        <v>116</v>
      </c>
      <c r="C16" s="39"/>
      <c r="D16" s="1"/>
    </row>
    <row r="17" spans="1:4" ht="84" x14ac:dyDescent="0.25">
      <c r="A17" s="5"/>
      <c r="B17" s="23" t="s">
        <v>1557</v>
      </c>
      <c r="C17" s="1">
        <v>0.66</v>
      </c>
      <c r="D17" s="1">
        <f t="shared" ref="D17" si="0">C17*7</f>
        <v>4.62</v>
      </c>
    </row>
    <row r="18" spans="1:4" x14ac:dyDescent="0.25">
      <c r="A18" s="5"/>
      <c r="B18" s="66" t="s">
        <v>87</v>
      </c>
      <c r="C18" s="64">
        <f>SUM(C13:C17)</f>
        <v>23.96</v>
      </c>
      <c r="D18" s="64">
        <f>SUM(D13:D17)</f>
        <v>167.72000000000003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25.3401</v>
      </c>
      <c r="D87" s="32">
        <f>ROUND(D86+D18,3)</f>
        <v>177.381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25.340142857142858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Footer>&amp;C&amp;P</oddFooter>
  </headerFooter>
  <colBreaks count="1" manualBreakCount="1">
    <brk id="4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H91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1.7109375" style="84" customWidth="1"/>
    <col min="3" max="3" width="11.140625" style="84" customWidth="1"/>
    <col min="4" max="4" width="10.85546875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50.25" customHeight="1" x14ac:dyDescent="0.25">
      <c r="A5" s="166" t="s">
        <v>293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x14ac:dyDescent="0.25">
      <c r="A8" s="49"/>
      <c r="B8" s="79"/>
      <c r="C8" s="11"/>
      <c r="D8" s="10"/>
    </row>
    <row r="9" spans="1:8" x14ac:dyDescent="0.25">
      <c r="A9" s="160" t="s">
        <v>103</v>
      </c>
      <c r="B9" s="160"/>
      <c r="C9" s="13"/>
      <c r="D9" s="10"/>
    </row>
    <row r="10" spans="1:8" x14ac:dyDescent="0.25">
      <c r="A10" s="6"/>
      <c r="B10" s="12"/>
      <c r="C10" s="13"/>
      <c r="D10" s="10"/>
    </row>
    <row r="11" spans="1:8" ht="108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x14ac:dyDescent="0.25">
      <c r="A13" s="17"/>
      <c r="B13" s="18" t="s">
        <v>84</v>
      </c>
      <c r="C13" s="19"/>
      <c r="D13" s="19"/>
    </row>
    <row r="14" spans="1:8" x14ac:dyDescent="0.25">
      <c r="A14" s="20">
        <v>1100</v>
      </c>
      <c r="B14" s="21" t="s">
        <v>85</v>
      </c>
      <c r="C14" s="22"/>
      <c r="D14" s="22"/>
    </row>
    <row r="15" spans="1:8" ht="170.25" customHeight="1" x14ac:dyDescent="0.25">
      <c r="A15" s="5"/>
      <c r="B15" s="81" t="s">
        <v>1154</v>
      </c>
      <c r="C15" s="1">
        <v>18.850000000000001</v>
      </c>
      <c r="D15" s="1">
        <f>C15*20</f>
        <v>377</v>
      </c>
      <c r="E15" s="172"/>
      <c r="F15" s="173"/>
      <c r="G15" s="173"/>
      <c r="H15" s="173"/>
    </row>
    <row r="16" spans="1:8" ht="24" x14ac:dyDescent="0.25">
      <c r="A16" s="5">
        <v>1200</v>
      </c>
      <c r="B16" s="23" t="s">
        <v>1155</v>
      </c>
      <c r="C16" s="1">
        <f>ROUND(C15*0.2359,2)</f>
        <v>4.45</v>
      </c>
      <c r="D16" s="1">
        <f>C16*20</f>
        <v>89</v>
      </c>
    </row>
    <row r="17" spans="1:4" x14ac:dyDescent="0.25">
      <c r="A17" s="5">
        <v>2341</v>
      </c>
      <c r="B17" s="5" t="s">
        <v>97</v>
      </c>
      <c r="C17" s="39"/>
      <c r="D17" s="1"/>
    </row>
    <row r="18" spans="1:4" ht="73.5" customHeight="1" x14ac:dyDescent="0.25">
      <c r="A18" s="5"/>
      <c r="B18" s="23" t="s">
        <v>1556</v>
      </c>
      <c r="C18" s="1">
        <v>5.5</v>
      </c>
      <c r="D18" s="1">
        <f t="shared" ref="D18" si="0">C18*20</f>
        <v>110</v>
      </c>
    </row>
    <row r="19" spans="1:4" x14ac:dyDescent="0.25">
      <c r="A19" s="5"/>
      <c r="B19" s="40" t="s">
        <v>87</v>
      </c>
      <c r="C19" s="32">
        <f>SUM(C14:C18)</f>
        <v>28.8</v>
      </c>
      <c r="D19" s="32">
        <f>SUM(D14:D18)</f>
        <v>576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776</v>
      </c>
      <c r="C22" s="24">
        <v>2.1000000000000001E-2</v>
      </c>
      <c r="D22" s="1">
        <f>C22*20</f>
        <v>0.42000000000000004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777</v>
      </c>
      <c r="C24" s="24">
        <v>2.1000000000000001E-2</v>
      </c>
      <c r="D24" s="1">
        <f t="shared" ref="D24:D86" si="1">C24*20</f>
        <v>0.42000000000000004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778</v>
      </c>
      <c r="C26" s="24">
        <v>5.1999999999999998E-2</v>
      </c>
      <c r="D26" s="1">
        <f t="shared" si="1"/>
        <v>1.04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779</v>
      </c>
      <c r="C28" s="24">
        <f>ROUND(38.69/9509,4)</f>
        <v>4.1000000000000003E-3</v>
      </c>
      <c r="D28" s="1">
        <f t="shared" si="1"/>
        <v>8.2000000000000003E-2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780</v>
      </c>
      <c r="C30" s="24">
        <v>9.4E-2</v>
      </c>
      <c r="D30" s="1">
        <f t="shared" si="1"/>
        <v>1.88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781</v>
      </c>
      <c r="C32" s="24">
        <v>1.4999999999999999E-2</v>
      </c>
      <c r="D32" s="1">
        <f t="shared" si="1"/>
        <v>0.3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782</v>
      </c>
      <c r="C34" s="24">
        <v>2.5999999999999999E-2</v>
      </c>
      <c r="D34" s="1">
        <f t="shared" si="1"/>
        <v>0.52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783</v>
      </c>
      <c r="C36" s="24">
        <v>7.0000000000000001E-3</v>
      </c>
      <c r="D36" s="1">
        <f t="shared" si="1"/>
        <v>0.14000000000000001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784</v>
      </c>
      <c r="C38" s="24">
        <v>0.01</v>
      </c>
      <c r="D38" s="1">
        <f t="shared" si="1"/>
        <v>0.2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785</v>
      </c>
      <c r="C40" s="24">
        <v>7.0000000000000001E-3</v>
      </c>
      <c r="D40" s="1">
        <f t="shared" si="1"/>
        <v>0.14000000000000001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786</v>
      </c>
      <c r="C42" s="24">
        <v>4.9000000000000002E-2</v>
      </c>
      <c r="D42" s="1">
        <f t="shared" si="1"/>
        <v>0.98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787</v>
      </c>
      <c r="C44" s="24">
        <v>6.0999999999999999E-2</v>
      </c>
      <c r="D44" s="1">
        <f t="shared" si="1"/>
        <v>1.22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788</v>
      </c>
      <c r="C46" s="24">
        <v>0.09</v>
      </c>
      <c r="D46" s="1">
        <f t="shared" si="1"/>
        <v>1.7999999999999998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789</v>
      </c>
      <c r="C48" s="24">
        <v>0.05</v>
      </c>
      <c r="D48" s="1">
        <f t="shared" si="1"/>
        <v>1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790</v>
      </c>
      <c r="C50" s="24">
        <v>6.9000000000000006E-2</v>
      </c>
      <c r="D50" s="1">
        <f t="shared" si="1"/>
        <v>1.3800000000000001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791</v>
      </c>
      <c r="C52" s="24">
        <v>3.0000000000000001E-3</v>
      </c>
      <c r="D52" s="1">
        <f t="shared" si="1"/>
        <v>0.06</v>
      </c>
    </row>
    <row r="53" spans="1:4" x14ac:dyDescent="0.25">
      <c r="A53" s="3">
        <v>2249</v>
      </c>
      <c r="B53" s="67" t="s">
        <v>359</v>
      </c>
      <c r="C53" s="1"/>
      <c r="D53" s="1">
        <f t="shared" si="1"/>
        <v>0</v>
      </c>
    </row>
    <row r="54" spans="1:4" ht="48" x14ac:dyDescent="0.25">
      <c r="A54" s="29"/>
      <c r="B54" s="4" t="s">
        <v>844</v>
      </c>
      <c r="C54" s="24">
        <v>2E-3</v>
      </c>
      <c r="D54" s="1">
        <f t="shared" si="1"/>
        <v>0.04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772</v>
      </c>
      <c r="C56" s="24">
        <v>0.23699999999999999</v>
      </c>
      <c r="D56" s="1">
        <f t="shared" si="1"/>
        <v>4.74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963</v>
      </c>
      <c r="C58" s="24">
        <v>0.29599999999999999</v>
      </c>
      <c r="D58" s="1">
        <f t="shared" si="1"/>
        <v>5.92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961</v>
      </c>
      <c r="C60" s="24">
        <v>1E-3</v>
      </c>
      <c r="D60" s="1">
        <f t="shared" si="1"/>
        <v>0.02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775</v>
      </c>
      <c r="C62" s="24">
        <v>2.5999999999999999E-2</v>
      </c>
      <c r="D62" s="1">
        <f t="shared" si="1"/>
        <v>0.52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770</v>
      </c>
      <c r="C64" s="24">
        <v>8.9999999999999993E-3</v>
      </c>
      <c r="D64" s="1">
        <f t="shared" si="1"/>
        <v>0.18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771</v>
      </c>
      <c r="C66" s="24">
        <v>1.0999999999999999E-2</v>
      </c>
      <c r="D66" s="1">
        <f t="shared" si="1"/>
        <v>0.21999999999999997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769</v>
      </c>
      <c r="C68" s="24">
        <v>2.3E-2</v>
      </c>
      <c r="D68" s="1">
        <f t="shared" si="1"/>
        <v>0.45999999999999996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768</v>
      </c>
      <c r="C70" s="24">
        <v>2.1999999999999999E-2</v>
      </c>
      <c r="D70" s="1">
        <f t="shared" si="1"/>
        <v>0.43999999999999995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767</v>
      </c>
      <c r="C72" s="30">
        <v>3.4000000000000002E-2</v>
      </c>
      <c r="D72" s="1">
        <f>C72*20</f>
        <v>0.68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766</v>
      </c>
      <c r="C74" s="24">
        <v>2E-3</v>
      </c>
      <c r="D74" s="1">
        <f t="shared" si="1"/>
        <v>0.04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765</v>
      </c>
      <c r="C76" s="24">
        <v>3.0000000000000001E-3</v>
      </c>
      <c r="D76" s="1">
        <f t="shared" si="1"/>
        <v>0.06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764</v>
      </c>
      <c r="C78" s="24">
        <v>1E-3</v>
      </c>
      <c r="D78" s="1">
        <f t="shared" si="1"/>
        <v>0.02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763</v>
      </c>
      <c r="C80" s="24">
        <v>4.0000000000000001E-3</v>
      </c>
      <c r="D80" s="1">
        <f t="shared" si="1"/>
        <v>0.08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762</v>
      </c>
      <c r="C82" s="24">
        <v>7.0999999999999994E-2</v>
      </c>
      <c r="D82" s="1">
        <f t="shared" si="1"/>
        <v>1.42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761</v>
      </c>
      <c r="C84" s="24">
        <v>2.1000000000000001E-2</v>
      </c>
      <c r="D84" s="1">
        <f t="shared" si="1"/>
        <v>0.42000000000000004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760</v>
      </c>
      <c r="C86" s="24">
        <v>3.7999999999999999E-2</v>
      </c>
      <c r="D86" s="1">
        <f t="shared" si="1"/>
        <v>0.76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27.602</v>
      </c>
    </row>
    <row r="88" spans="1:4" ht="15" customHeight="1" x14ac:dyDescent="0.25">
      <c r="A88" s="33"/>
      <c r="B88" s="34" t="s">
        <v>95</v>
      </c>
      <c r="C88" s="32">
        <f>ROUND(C87+C19,4)</f>
        <v>30.180099999999999</v>
      </c>
      <c r="D88" s="32">
        <f>ROUND(D87+D19,4)</f>
        <v>603.60199999999998</v>
      </c>
    </row>
    <row r="89" spans="1:4" ht="30.7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20</v>
      </c>
      <c r="D90" s="38"/>
    </row>
    <row r="91" spans="1:4" ht="24.75" customHeight="1" x14ac:dyDescent="0.25">
      <c r="A91" s="161" t="s">
        <v>112</v>
      </c>
      <c r="B91" s="162"/>
      <c r="C91" s="2">
        <f>D88/C90</f>
        <v>30.180099999999999</v>
      </c>
      <c r="D91" s="38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Footer>&amp;C&amp;P</oddFooter>
  </headerFooter>
  <colBreaks count="1" manualBreakCount="1">
    <brk id="4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G91"/>
  <sheetViews>
    <sheetView view="pageBreakPreview" topLeftCell="A84" zoomScale="60" zoomScaleNormal="100" workbookViewId="0">
      <selection activeCell="B18" sqref="B18"/>
    </sheetView>
  </sheetViews>
  <sheetFormatPr defaultRowHeight="15" x14ac:dyDescent="0.25"/>
  <cols>
    <col min="1" max="1" width="9.140625" style="84"/>
    <col min="2" max="2" width="57.85546875" style="84" customWidth="1"/>
    <col min="3" max="3" width="10.140625" style="84" customWidth="1"/>
    <col min="4" max="4" width="10.7109375" style="84" customWidth="1"/>
    <col min="5" max="6" width="9.140625" style="84"/>
    <col min="7" max="7" width="14.85546875" style="84" customWidth="1"/>
    <col min="8" max="16384" width="9.140625" style="84"/>
  </cols>
  <sheetData>
    <row r="1" spans="1:7" x14ac:dyDescent="0.25">
      <c r="A1" s="167" t="s">
        <v>78</v>
      </c>
      <c r="B1" s="167"/>
      <c r="C1" s="167"/>
      <c r="D1" s="167"/>
    </row>
    <row r="2" spans="1:7" x14ac:dyDescent="0.25">
      <c r="A2" s="45"/>
      <c r="B2" s="45"/>
      <c r="C2" s="168"/>
      <c r="D2" s="169"/>
    </row>
    <row r="3" spans="1:7" x14ac:dyDescent="0.25">
      <c r="A3" s="46" t="s">
        <v>110</v>
      </c>
      <c r="B3" s="47"/>
      <c r="C3" s="47"/>
      <c r="D3" s="47"/>
    </row>
    <row r="4" spans="1:7" x14ac:dyDescent="0.25">
      <c r="A4" s="45"/>
      <c r="B4" s="11"/>
      <c r="C4" s="11"/>
      <c r="D4" s="44"/>
    </row>
    <row r="5" spans="1:7" ht="40.5" customHeight="1" x14ac:dyDescent="0.25">
      <c r="A5" s="166" t="s">
        <v>294</v>
      </c>
      <c r="B5" s="166"/>
      <c r="C5" s="166"/>
      <c r="D5" s="166"/>
    </row>
    <row r="6" spans="1:7" x14ac:dyDescent="0.25">
      <c r="A6" s="49"/>
      <c r="B6" s="11"/>
      <c r="C6" s="11"/>
      <c r="D6" s="44"/>
    </row>
    <row r="7" spans="1:7" x14ac:dyDescent="0.25">
      <c r="A7" s="158" t="s">
        <v>111</v>
      </c>
      <c r="B7" s="159"/>
      <c r="C7" s="11"/>
      <c r="D7" s="44"/>
    </row>
    <row r="8" spans="1:7" x14ac:dyDescent="0.25">
      <c r="A8" s="49"/>
      <c r="B8" s="79"/>
      <c r="C8" s="11"/>
      <c r="D8" s="44"/>
    </row>
    <row r="9" spans="1:7" x14ac:dyDescent="0.25">
      <c r="A9" s="170" t="s">
        <v>164</v>
      </c>
      <c r="B9" s="170"/>
      <c r="C9" s="48"/>
      <c r="D9" s="44"/>
    </row>
    <row r="10" spans="1:7" x14ac:dyDescent="0.25">
      <c r="A10" s="45"/>
      <c r="B10" s="36"/>
      <c r="C10" s="48"/>
      <c r="D10" s="44"/>
    </row>
    <row r="11" spans="1:7" ht="108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7" x14ac:dyDescent="0.25">
      <c r="A12" s="15">
        <v>1</v>
      </c>
      <c r="B12" s="16">
        <v>2</v>
      </c>
      <c r="C12" s="15">
        <v>3</v>
      </c>
      <c r="D12" s="15">
        <v>4</v>
      </c>
    </row>
    <row r="13" spans="1:7" x14ac:dyDescent="0.25">
      <c r="A13" s="15"/>
      <c r="B13" s="31" t="s">
        <v>84</v>
      </c>
      <c r="C13" s="19"/>
      <c r="D13" s="19"/>
    </row>
    <row r="14" spans="1:7" x14ac:dyDescent="0.25">
      <c r="A14" s="42">
        <v>1100</v>
      </c>
      <c r="B14" s="43" t="s">
        <v>85</v>
      </c>
      <c r="C14" s="22"/>
      <c r="D14" s="22"/>
    </row>
    <row r="15" spans="1:7" ht="168.75" customHeight="1" x14ac:dyDescent="0.25">
      <c r="A15" s="3"/>
      <c r="B15" s="81" t="s">
        <v>1157</v>
      </c>
      <c r="C15" s="1">
        <v>18.850000000000001</v>
      </c>
      <c r="D15" s="1">
        <f>C15*7</f>
        <v>131.95000000000002</v>
      </c>
      <c r="E15" s="172"/>
      <c r="F15" s="173"/>
      <c r="G15" s="173"/>
    </row>
    <row r="16" spans="1:7" ht="24" x14ac:dyDescent="0.25">
      <c r="A16" s="3">
        <v>1200</v>
      </c>
      <c r="B16" s="23" t="s">
        <v>1155</v>
      </c>
      <c r="C16" s="1">
        <f>ROUND(C15*0.2359,2)</f>
        <v>4.45</v>
      </c>
      <c r="D16" s="1">
        <f>C16*7</f>
        <v>31.150000000000002</v>
      </c>
    </row>
    <row r="17" spans="1:4" x14ac:dyDescent="0.25">
      <c r="A17" s="3">
        <v>2341</v>
      </c>
      <c r="B17" s="3" t="s">
        <v>116</v>
      </c>
      <c r="C17" s="24"/>
      <c r="D17" s="1"/>
    </row>
    <row r="18" spans="1:4" ht="96" x14ac:dyDescent="0.25">
      <c r="A18" s="3"/>
      <c r="B18" s="4" t="s">
        <v>1555</v>
      </c>
      <c r="C18" s="1">
        <v>4.6500000000000004</v>
      </c>
      <c r="D18" s="1">
        <f>C18*7</f>
        <v>32.550000000000004</v>
      </c>
    </row>
    <row r="19" spans="1:4" x14ac:dyDescent="0.25">
      <c r="A19" s="34"/>
      <c r="B19" s="40" t="s">
        <v>87</v>
      </c>
      <c r="C19" s="32">
        <f>SUM(C14:C18)</f>
        <v>27.950000000000003</v>
      </c>
      <c r="D19" s="32">
        <f>SUM(D14:D18)</f>
        <v>195.65000000000003</v>
      </c>
    </row>
    <row r="20" spans="1:4" ht="15" customHeight="1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60" x14ac:dyDescent="0.25">
      <c r="A22" s="27"/>
      <c r="B22" s="4" t="s">
        <v>603</v>
      </c>
      <c r="C22" s="24">
        <v>2.1000000000000001E-2</v>
      </c>
      <c r="D22" s="1">
        <f>C22*7</f>
        <v>0.14700000000000002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60" x14ac:dyDescent="0.25">
      <c r="A24" s="3"/>
      <c r="B24" s="4" t="s">
        <v>594</v>
      </c>
      <c r="C24" s="24">
        <v>2.1000000000000001E-2</v>
      </c>
      <c r="D24" s="1">
        <f t="shared" ref="D24:D84" si="0">C24*7</f>
        <v>0.14700000000000002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60" x14ac:dyDescent="0.25">
      <c r="A26" s="3"/>
      <c r="B26" s="4" t="s">
        <v>595</v>
      </c>
      <c r="C26" s="24">
        <v>5.1999999999999998E-2</v>
      </c>
      <c r="D26" s="1">
        <f t="shared" si="0"/>
        <v>0.36399999999999999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60" x14ac:dyDescent="0.25">
      <c r="A28" s="3"/>
      <c r="B28" s="4" t="s">
        <v>596</v>
      </c>
      <c r="C28" s="24">
        <f>ROUND(38.69/9509,4)</f>
        <v>4.1000000000000003E-3</v>
      </c>
      <c r="D28" s="1">
        <f t="shared" si="0"/>
        <v>2.8700000000000003E-2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60" x14ac:dyDescent="0.25">
      <c r="A30" s="3"/>
      <c r="B30" s="4" t="s">
        <v>597</v>
      </c>
      <c r="C30" s="24">
        <v>9.4E-2</v>
      </c>
      <c r="D30" s="1">
        <f t="shared" si="0"/>
        <v>0.65800000000000003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60" x14ac:dyDescent="0.25">
      <c r="A32" s="3"/>
      <c r="B32" s="4" t="s">
        <v>598</v>
      </c>
      <c r="C32" s="24">
        <v>1.4999999999999999E-2</v>
      </c>
      <c r="D32" s="1">
        <f t="shared" si="0"/>
        <v>0.105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599</v>
      </c>
      <c r="C34" s="24">
        <v>2.5999999999999999E-2</v>
      </c>
      <c r="D34" s="1">
        <f t="shared" si="0"/>
        <v>0.182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60" x14ac:dyDescent="0.25">
      <c r="A36" s="3"/>
      <c r="B36" s="4" t="s">
        <v>600</v>
      </c>
      <c r="C36" s="24">
        <v>7.0000000000000001E-3</v>
      </c>
      <c r="D36" s="1">
        <f t="shared" si="0"/>
        <v>4.9000000000000002E-2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60" x14ac:dyDescent="0.25">
      <c r="A38" s="3"/>
      <c r="B38" s="4" t="s">
        <v>601</v>
      </c>
      <c r="C38" s="24">
        <v>0.01</v>
      </c>
      <c r="D38" s="1">
        <f t="shared" si="0"/>
        <v>7.0000000000000007E-2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60" x14ac:dyDescent="0.25">
      <c r="A40" s="3"/>
      <c r="B40" s="4" t="s">
        <v>602</v>
      </c>
      <c r="C40" s="24">
        <v>7.0000000000000001E-3</v>
      </c>
      <c r="D40" s="1">
        <f t="shared" si="0"/>
        <v>4.9000000000000002E-2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590</v>
      </c>
      <c r="C42" s="24">
        <v>4.9000000000000002E-2</v>
      </c>
      <c r="D42" s="1">
        <f t="shared" si="0"/>
        <v>0.34300000000000003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591</v>
      </c>
      <c r="C44" s="24">
        <v>6.0999999999999999E-2</v>
      </c>
      <c r="D44" s="1">
        <f t="shared" si="0"/>
        <v>0.42699999999999999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60" x14ac:dyDescent="0.25">
      <c r="A46" s="3"/>
      <c r="B46" s="4" t="s">
        <v>592</v>
      </c>
      <c r="C46" s="24">
        <v>0.09</v>
      </c>
      <c r="D46" s="1">
        <f t="shared" si="0"/>
        <v>0.63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0" x14ac:dyDescent="0.25">
      <c r="A48" s="3"/>
      <c r="B48" s="4" t="s">
        <v>593</v>
      </c>
      <c r="C48" s="24">
        <v>0.05</v>
      </c>
      <c r="D48" s="1">
        <f t="shared" si="0"/>
        <v>0.35000000000000003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60" x14ac:dyDescent="0.25">
      <c r="A50" s="29"/>
      <c r="B50" s="4" t="s">
        <v>589</v>
      </c>
      <c r="C50" s="24">
        <v>6.9000000000000006E-2</v>
      </c>
      <c r="D50" s="1">
        <f t="shared" si="0"/>
        <v>0.48300000000000004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60" x14ac:dyDescent="0.25">
      <c r="A52" s="29"/>
      <c r="B52" s="4" t="s">
        <v>588</v>
      </c>
      <c r="C52" s="24">
        <v>3.0000000000000001E-3</v>
      </c>
      <c r="D52" s="1">
        <f t="shared" si="0"/>
        <v>2.1000000000000001E-2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60" x14ac:dyDescent="0.25">
      <c r="A54" s="29"/>
      <c r="B54" s="4" t="s">
        <v>587</v>
      </c>
      <c r="C54" s="24">
        <v>2E-3</v>
      </c>
      <c r="D54" s="1">
        <f t="shared" si="0"/>
        <v>1.4E-2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60" x14ac:dyDescent="0.25">
      <c r="A56" s="3"/>
      <c r="B56" s="4" t="s">
        <v>586</v>
      </c>
      <c r="C56" s="24">
        <v>0.23699999999999999</v>
      </c>
      <c r="D56" s="1">
        <f t="shared" si="0"/>
        <v>1.6589999999999998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972</v>
      </c>
      <c r="C58" s="24">
        <v>0.29599999999999999</v>
      </c>
      <c r="D58" s="1">
        <f t="shared" si="0"/>
        <v>2.0720000000000001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60" x14ac:dyDescent="0.25">
      <c r="A60" s="3"/>
      <c r="B60" s="4" t="s">
        <v>973</v>
      </c>
      <c r="C60" s="24">
        <v>1E-3</v>
      </c>
      <c r="D60" s="1">
        <f t="shared" si="0"/>
        <v>7.0000000000000001E-3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585</v>
      </c>
      <c r="C62" s="24">
        <v>2.5999999999999999E-2</v>
      </c>
      <c r="D62" s="1">
        <f t="shared" si="0"/>
        <v>0.182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60" x14ac:dyDescent="0.25">
      <c r="A64" s="3"/>
      <c r="B64" s="4" t="s">
        <v>584</v>
      </c>
      <c r="C64" s="24">
        <v>8.9999999999999993E-3</v>
      </c>
      <c r="D64" s="1">
        <f t="shared" si="0"/>
        <v>6.3E-2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60" x14ac:dyDescent="0.25">
      <c r="A66" s="3"/>
      <c r="B66" s="4" t="s">
        <v>583</v>
      </c>
      <c r="C66" s="24">
        <v>1.0999999999999999E-2</v>
      </c>
      <c r="D66" s="1">
        <f t="shared" si="0"/>
        <v>7.6999999999999999E-2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582</v>
      </c>
      <c r="C68" s="24">
        <v>2.3E-2</v>
      </c>
      <c r="D68" s="1">
        <f t="shared" si="0"/>
        <v>0.161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581</v>
      </c>
      <c r="C70" s="24">
        <v>2.1999999999999999E-2</v>
      </c>
      <c r="D70" s="1">
        <f t="shared" si="0"/>
        <v>0.154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580</v>
      </c>
      <c r="C72" s="30">
        <v>3.4000000000000002E-2</v>
      </c>
      <c r="D72" s="1">
        <f t="shared" si="0"/>
        <v>0.23800000000000002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60" x14ac:dyDescent="0.25">
      <c r="A74" s="3"/>
      <c r="B74" s="4" t="s">
        <v>579</v>
      </c>
      <c r="C74" s="24">
        <v>2E-3</v>
      </c>
      <c r="D74" s="1">
        <f t="shared" si="0"/>
        <v>1.4E-2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60" x14ac:dyDescent="0.25">
      <c r="A76" s="3"/>
      <c r="B76" s="4" t="s">
        <v>578</v>
      </c>
      <c r="C76" s="24">
        <v>3.0000000000000001E-3</v>
      </c>
      <c r="D76" s="1">
        <f t="shared" si="0"/>
        <v>2.1000000000000001E-2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60" x14ac:dyDescent="0.25">
      <c r="A78" s="3"/>
      <c r="B78" s="4" t="s">
        <v>577</v>
      </c>
      <c r="C78" s="24">
        <v>1E-3</v>
      </c>
      <c r="D78" s="1">
        <f t="shared" si="0"/>
        <v>7.0000000000000001E-3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60" x14ac:dyDescent="0.25">
      <c r="A80" s="3"/>
      <c r="B80" s="4" t="s">
        <v>576</v>
      </c>
      <c r="C80" s="24">
        <v>4.0000000000000001E-3</v>
      </c>
      <c r="D80" s="1">
        <f t="shared" si="0"/>
        <v>2.8000000000000001E-2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575</v>
      </c>
      <c r="C82" s="24">
        <v>7.0999999999999994E-2</v>
      </c>
      <c r="D82" s="1">
        <f>C82*7</f>
        <v>0.49699999999999994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574</v>
      </c>
      <c r="C84" s="24">
        <v>2.1000000000000001E-2</v>
      </c>
      <c r="D84" s="1">
        <f t="shared" si="0"/>
        <v>0.14700000000000002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573</v>
      </c>
      <c r="C86" s="24">
        <v>3.7999999999999999E-2</v>
      </c>
      <c r="D86" s="1">
        <f t="shared" ref="D86" si="1">C86*7</f>
        <v>0.26600000000000001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32">
        <f>SUM(D22:D86)</f>
        <v>9.6607000000000003</v>
      </c>
    </row>
    <row r="88" spans="1:4" ht="15" customHeight="1" x14ac:dyDescent="0.25">
      <c r="A88" s="33"/>
      <c r="B88" s="34" t="s">
        <v>95</v>
      </c>
      <c r="C88" s="32">
        <f>ROUND(C87+C19,4)</f>
        <v>29.330100000000002</v>
      </c>
      <c r="D88" s="32">
        <f>ROUND(D87+D19,3)</f>
        <v>205.31100000000001</v>
      </c>
    </row>
    <row r="89" spans="1:4" ht="31.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7</v>
      </c>
      <c r="D90" s="38"/>
    </row>
    <row r="91" spans="1:4" ht="22.5" customHeight="1" x14ac:dyDescent="0.25">
      <c r="A91" s="161" t="s">
        <v>112</v>
      </c>
      <c r="B91" s="162"/>
      <c r="C91" s="2">
        <f>D88/C90</f>
        <v>29.330142857142857</v>
      </c>
      <c r="D91" s="38"/>
    </row>
  </sheetData>
  <mergeCells count="8">
    <mergeCell ref="A90:B90"/>
    <mergeCell ref="A91:B91"/>
    <mergeCell ref="E15:G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4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G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8.28515625" style="84" customWidth="1"/>
    <col min="3" max="3" width="11.140625" style="84" customWidth="1"/>
    <col min="4" max="16384" width="9.140625" style="84"/>
  </cols>
  <sheetData>
    <row r="1" spans="1:7" x14ac:dyDescent="0.25">
      <c r="A1" s="167" t="s">
        <v>78</v>
      </c>
      <c r="B1" s="167"/>
      <c r="C1" s="167"/>
      <c r="D1" s="36"/>
    </row>
    <row r="2" spans="1:7" ht="6.75" customHeight="1" x14ac:dyDescent="0.25">
      <c r="A2" s="45"/>
      <c r="B2" s="45"/>
      <c r="C2" s="168"/>
      <c r="D2" s="169"/>
    </row>
    <row r="3" spans="1:7" x14ac:dyDescent="0.25">
      <c r="A3" s="46" t="s">
        <v>110</v>
      </c>
      <c r="B3" s="47"/>
      <c r="C3" s="47"/>
      <c r="D3" s="47"/>
    </row>
    <row r="4" spans="1:7" ht="6.75" customHeight="1" x14ac:dyDescent="0.25">
      <c r="A4" s="45"/>
      <c r="B4" s="11"/>
      <c r="C4" s="11"/>
      <c r="D4" s="44"/>
    </row>
    <row r="5" spans="1:7" ht="38.25" customHeight="1" x14ac:dyDescent="0.25">
      <c r="A5" s="166" t="s">
        <v>295</v>
      </c>
      <c r="B5" s="166"/>
      <c r="C5" s="166"/>
      <c r="D5" s="166"/>
    </row>
    <row r="6" spans="1:7" ht="9.75" customHeight="1" x14ac:dyDescent="0.25">
      <c r="A6" s="49"/>
      <c r="B6" s="11"/>
      <c r="C6" s="11"/>
      <c r="D6" s="44"/>
    </row>
    <row r="7" spans="1:7" x14ac:dyDescent="0.25">
      <c r="A7" s="158" t="s">
        <v>111</v>
      </c>
      <c r="B7" s="159"/>
      <c r="C7" s="11"/>
      <c r="D7" s="44"/>
    </row>
    <row r="8" spans="1:7" ht="9.75" customHeight="1" x14ac:dyDescent="0.25">
      <c r="A8" s="49"/>
      <c r="B8" s="79"/>
      <c r="C8" s="11"/>
      <c r="D8" s="44"/>
    </row>
    <row r="9" spans="1:7" x14ac:dyDescent="0.25">
      <c r="A9" s="170" t="s">
        <v>103</v>
      </c>
      <c r="B9" s="170"/>
      <c r="C9" s="48"/>
      <c r="D9" s="44"/>
    </row>
    <row r="10" spans="1:7" ht="120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5"/>
      <c r="B12" s="31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166.5" customHeight="1" x14ac:dyDescent="0.25">
      <c r="A14" s="3"/>
      <c r="B14" s="81" t="s">
        <v>1154</v>
      </c>
      <c r="C14" s="1">
        <v>18.850000000000001</v>
      </c>
      <c r="D14" s="1">
        <f>C14*20</f>
        <v>377</v>
      </c>
      <c r="E14" s="172"/>
      <c r="F14" s="173"/>
      <c r="G14" s="173"/>
    </row>
    <row r="15" spans="1:7" ht="24" x14ac:dyDescent="0.25">
      <c r="A15" s="3">
        <v>1200</v>
      </c>
      <c r="B15" s="23" t="s">
        <v>1155</v>
      </c>
      <c r="C15" s="1">
        <f>ROUND(C14*0.2359,2)</f>
        <v>4.45</v>
      </c>
      <c r="D15" s="1">
        <f>C15*20</f>
        <v>89</v>
      </c>
    </row>
    <row r="16" spans="1:7" x14ac:dyDescent="0.25">
      <c r="A16" s="3">
        <v>2341</v>
      </c>
      <c r="B16" s="3" t="s">
        <v>116</v>
      </c>
      <c r="C16" s="24"/>
      <c r="D16" s="24"/>
    </row>
    <row r="17" spans="1:4" ht="108" x14ac:dyDescent="0.25">
      <c r="A17" s="3"/>
      <c r="B17" s="4" t="s">
        <v>1554</v>
      </c>
      <c r="C17" s="1">
        <v>17.47</v>
      </c>
      <c r="D17" s="1">
        <f>C17*20</f>
        <v>349.4</v>
      </c>
    </row>
    <row r="18" spans="1:4" x14ac:dyDescent="0.25">
      <c r="A18" s="34"/>
      <c r="B18" s="40" t="s">
        <v>87</v>
      </c>
      <c r="C18" s="32">
        <f>SUM(C13:C17)</f>
        <v>40.769999999999996</v>
      </c>
      <c r="D18" s="32">
        <f>SUM(D13:D17)</f>
        <v>815.4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customHeight="1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customHeight="1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customHeight="1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customHeight="1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customHeight="1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customHeight="1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0"/>
        <v>0</v>
      </c>
    </row>
    <row r="53" spans="1:4" ht="48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customHeight="1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customHeight="1" x14ac:dyDescent="0.25">
      <c r="A57" s="3"/>
      <c r="B57" s="4" t="s">
        <v>1115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customHeight="1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customHeight="1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customHeight="1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53.25" customHeight="1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customHeight="1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54.75" customHeight="1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2.5" customHeight="1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52.5" customHeight="1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51.75" customHeight="1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42.150100000000002</v>
      </c>
      <c r="D87" s="32">
        <f>ROUND(D86+D18,4)</f>
        <v>843.00199999999995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42.150099999999995</v>
      </c>
      <c r="D90" s="38"/>
    </row>
  </sheetData>
  <mergeCells count="8">
    <mergeCell ref="A89:B89"/>
    <mergeCell ref="A90:B90"/>
    <mergeCell ref="E14:G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4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G90"/>
  <sheetViews>
    <sheetView view="pageBreakPreview" topLeftCell="A68" zoomScale="60" zoomScaleNormal="100" workbookViewId="0">
      <selection activeCell="D87" sqref="D87"/>
    </sheetView>
  </sheetViews>
  <sheetFormatPr defaultRowHeight="15" x14ac:dyDescent="0.25"/>
  <cols>
    <col min="1" max="1" width="9.140625" style="84"/>
    <col min="2" max="2" width="59" style="84" customWidth="1"/>
    <col min="3" max="3" width="12.28515625" style="84" customWidth="1"/>
    <col min="4" max="4" width="15.140625" style="84" customWidth="1"/>
    <col min="5" max="16384" width="9.140625" style="84"/>
  </cols>
  <sheetData>
    <row r="1" spans="1:7" x14ac:dyDescent="0.25">
      <c r="A1" s="171" t="s">
        <v>78</v>
      </c>
      <c r="B1" s="171"/>
      <c r="C1" s="171"/>
      <c r="D1" s="171"/>
    </row>
    <row r="2" spans="1:7" x14ac:dyDescent="0.25">
      <c r="A2" s="45"/>
      <c r="B2" s="45"/>
      <c r="C2" s="168"/>
      <c r="D2" s="169"/>
    </row>
    <row r="3" spans="1:7" x14ac:dyDescent="0.25">
      <c r="A3" s="46" t="s">
        <v>110</v>
      </c>
      <c r="B3" s="47"/>
      <c r="C3" s="47"/>
      <c r="D3" s="47"/>
    </row>
    <row r="4" spans="1:7" x14ac:dyDescent="0.25">
      <c r="A4" s="45"/>
      <c r="B4" s="11"/>
      <c r="C4" s="11"/>
      <c r="D4" s="44"/>
    </row>
    <row r="5" spans="1:7" ht="49.5" customHeight="1" x14ac:dyDescent="0.25">
      <c r="A5" s="166" t="s">
        <v>296</v>
      </c>
      <c r="B5" s="166"/>
      <c r="C5" s="166"/>
      <c r="D5" s="166"/>
    </row>
    <row r="6" spans="1:7" x14ac:dyDescent="0.25">
      <c r="A6" s="49"/>
      <c r="B6" s="11"/>
      <c r="C6" s="11"/>
      <c r="D6" s="44"/>
    </row>
    <row r="7" spans="1:7" x14ac:dyDescent="0.25">
      <c r="A7" s="158" t="s">
        <v>111</v>
      </c>
      <c r="B7" s="159"/>
      <c r="C7" s="11"/>
      <c r="D7" s="44"/>
    </row>
    <row r="8" spans="1:7" x14ac:dyDescent="0.25">
      <c r="A8" s="49"/>
      <c r="B8" s="79"/>
      <c r="C8" s="11"/>
      <c r="D8" s="44"/>
    </row>
    <row r="9" spans="1:7" x14ac:dyDescent="0.25">
      <c r="A9" s="170" t="s">
        <v>103</v>
      </c>
      <c r="B9" s="170"/>
      <c r="C9" s="48"/>
      <c r="D9" s="44"/>
    </row>
    <row r="10" spans="1:7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5"/>
      <c r="B12" s="31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195.75" customHeight="1" x14ac:dyDescent="0.25">
      <c r="A14" s="3"/>
      <c r="B14" s="81" t="s">
        <v>1154</v>
      </c>
      <c r="C14" s="1">
        <v>18.850000000000001</v>
      </c>
      <c r="D14" s="1">
        <f>C14*20</f>
        <v>377</v>
      </c>
      <c r="E14" s="181"/>
      <c r="F14" s="182"/>
      <c r="G14" s="182"/>
    </row>
    <row r="15" spans="1:7" ht="24" x14ac:dyDescent="0.25">
      <c r="A15" s="3">
        <v>1200</v>
      </c>
      <c r="B15" s="23" t="s">
        <v>1155</v>
      </c>
      <c r="C15" s="1">
        <f>ROUND(C14*0.2359,2)</f>
        <v>4.45</v>
      </c>
      <c r="D15" s="1">
        <f>C15*20</f>
        <v>89</v>
      </c>
    </row>
    <row r="16" spans="1:7" x14ac:dyDescent="0.25">
      <c r="A16" s="3">
        <v>2341</v>
      </c>
      <c r="B16" s="3" t="s">
        <v>116</v>
      </c>
      <c r="C16" s="24"/>
      <c r="D16" s="24"/>
    </row>
    <row r="17" spans="1:4" ht="108" x14ac:dyDescent="0.25">
      <c r="A17" s="3"/>
      <c r="B17" s="4" t="s">
        <v>1553</v>
      </c>
      <c r="C17" s="1">
        <v>14.93</v>
      </c>
      <c r="D17" s="1">
        <f>C17*20</f>
        <v>298.60000000000002</v>
      </c>
    </row>
    <row r="18" spans="1:4" x14ac:dyDescent="0.25">
      <c r="A18" s="34"/>
      <c r="B18" s="40" t="s">
        <v>87</v>
      </c>
      <c r="C18" s="32">
        <f>SUM(C13:C17)</f>
        <v>38.230000000000004</v>
      </c>
      <c r="D18" s="32">
        <f>SUM(D13:D17)</f>
        <v>764.6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0"/>
        <v>0</v>
      </c>
    </row>
    <row r="53" spans="1:4" ht="48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1115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39.610100000000003</v>
      </c>
      <c r="D87" s="32">
        <f>ROUND(D86+D18,4)</f>
        <v>792.202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1" customHeight="1" x14ac:dyDescent="0.25">
      <c r="A90" s="161" t="s">
        <v>112</v>
      </c>
      <c r="B90" s="162"/>
      <c r="C90" s="2">
        <f>D87/C89</f>
        <v>39.610100000000003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G88"/>
  <sheetViews>
    <sheetView view="pageBreakPreview" topLeftCell="A65" zoomScale="60" zoomScaleNormal="100" workbookViewId="0">
      <selection activeCell="C85" sqref="C85"/>
    </sheetView>
  </sheetViews>
  <sheetFormatPr defaultRowHeight="15" x14ac:dyDescent="0.25"/>
  <cols>
    <col min="1" max="1" width="9.140625" style="84"/>
    <col min="2" max="2" width="60" style="84" customWidth="1"/>
    <col min="3" max="16384" width="9.140625" style="84"/>
  </cols>
  <sheetData>
    <row r="1" spans="1:7" x14ac:dyDescent="0.25">
      <c r="A1" s="171" t="s">
        <v>78</v>
      </c>
      <c r="B1" s="171"/>
      <c r="C1" s="171"/>
      <c r="D1" s="171"/>
    </row>
    <row r="2" spans="1:7" x14ac:dyDescent="0.25">
      <c r="A2" s="80"/>
      <c r="B2" s="80"/>
      <c r="C2" s="80"/>
      <c r="D2" s="80"/>
    </row>
    <row r="3" spans="1:7" x14ac:dyDescent="0.25">
      <c r="A3" s="46" t="s">
        <v>110</v>
      </c>
      <c r="B3" s="47"/>
      <c r="C3" s="47"/>
      <c r="D3" s="47"/>
    </row>
    <row r="4" spans="1:7" ht="66.75" customHeight="1" x14ac:dyDescent="0.25">
      <c r="A4" s="166" t="s">
        <v>297</v>
      </c>
      <c r="B4" s="166"/>
      <c r="C4" s="166"/>
      <c r="D4" s="166"/>
    </row>
    <row r="5" spans="1:7" x14ac:dyDescent="0.25">
      <c r="A5" s="158" t="s">
        <v>111</v>
      </c>
      <c r="B5" s="159"/>
      <c r="C5" s="11"/>
      <c r="D5" s="11"/>
    </row>
    <row r="6" spans="1:7" x14ac:dyDescent="0.25">
      <c r="A6" s="49"/>
      <c r="B6" s="79"/>
      <c r="C6" s="11"/>
      <c r="D6" s="11"/>
    </row>
    <row r="7" spans="1:7" x14ac:dyDescent="0.25">
      <c r="A7" s="170" t="s">
        <v>103</v>
      </c>
      <c r="B7" s="170"/>
      <c r="C7" s="48"/>
      <c r="D7" s="48"/>
    </row>
    <row r="8" spans="1:7" ht="120" x14ac:dyDescent="0.25">
      <c r="A8" s="14" t="s">
        <v>80</v>
      </c>
      <c r="B8" s="14" t="s">
        <v>81</v>
      </c>
      <c r="C8" s="14" t="s">
        <v>82</v>
      </c>
      <c r="D8" s="14" t="s">
        <v>83</v>
      </c>
    </row>
    <row r="9" spans="1:7" x14ac:dyDescent="0.25">
      <c r="A9" s="15">
        <v>1</v>
      </c>
      <c r="B9" s="16">
        <v>2</v>
      </c>
      <c r="C9" s="15">
        <v>3</v>
      </c>
      <c r="D9" s="15">
        <v>4</v>
      </c>
    </row>
    <row r="10" spans="1:7" x14ac:dyDescent="0.25">
      <c r="A10" s="15"/>
      <c r="B10" s="31" t="s">
        <v>84</v>
      </c>
      <c r="C10" s="19"/>
      <c r="D10" s="19"/>
    </row>
    <row r="11" spans="1:7" x14ac:dyDescent="0.25">
      <c r="A11" s="42">
        <v>1100</v>
      </c>
      <c r="B11" s="43" t="s">
        <v>85</v>
      </c>
      <c r="C11" s="22"/>
      <c r="D11" s="22"/>
    </row>
    <row r="12" spans="1:7" ht="161.25" customHeight="1" x14ac:dyDescent="0.25">
      <c r="A12" s="3"/>
      <c r="B12" s="81" t="s">
        <v>1154</v>
      </c>
      <c r="C12" s="1">
        <v>18.850000000000001</v>
      </c>
      <c r="D12" s="1">
        <f>C12*20</f>
        <v>377</v>
      </c>
      <c r="E12" s="181"/>
      <c r="F12" s="182"/>
      <c r="G12" s="182"/>
    </row>
    <row r="13" spans="1:7" ht="24" x14ac:dyDescent="0.25">
      <c r="A13" s="3">
        <v>1200</v>
      </c>
      <c r="B13" s="23" t="s">
        <v>1155</v>
      </c>
      <c r="C13" s="1">
        <f>ROUND(C12*0.2359,2)</f>
        <v>4.45</v>
      </c>
      <c r="D13" s="1">
        <f>C13*20</f>
        <v>89</v>
      </c>
    </row>
    <row r="14" spans="1:7" x14ac:dyDescent="0.25">
      <c r="A14" s="3">
        <v>2341</v>
      </c>
      <c r="B14" s="3" t="s">
        <v>97</v>
      </c>
      <c r="C14" s="24"/>
      <c r="D14" s="22"/>
    </row>
    <row r="15" spans="1:7" ht="96.75" customHeight="1" x14ac:dyDescent="0.25">
      <c r="A15" s="3"/>
      <c r="B15" s="4" t="s">
        <v>1656</v>
      </c>
      <c r="C15" s="1">
        <v>9.81</v>
      </c>
      <c r="D15" s="22">
        <f>C15*20</f>
        <v>196.20000000000002</v>
      </c>
    </row>
    <row r="16" spans="1:7" ht="19.5" customHeight="1" x14ac:dyDescent="0.25">
      <c r="A16" s="3"/>
      <c r="B16" s="40" t="s">
        <v>87</v>
      </c>
      <c r="C16" s="32">
        <f>SUM(C11:C15)</f>
        <v>33.11</v>
      </c>
      <c r="D16" s="32">
        <f>SUM(D11:D15)</f>
        <v>662.2</v>
      </c>
    </row>
    <row r="17" spans="1:4" x14ac:dyDescent="0.25">
      <c r="A17" s="27"/>
      <c r="B17" s="103" t="s">
        <v>88</v>
      </c>
      <c r="C17" s="28"/>
      <c r="D17" s="28"/>
    </row>
    <row r="18" spans="1:4" x14ac:dyDescent="0.25">
      <c r="A18" s="3">
        <v>2100</v>
      </c>
      <c r="B18" s="69" t="s">
        <v>370</v>
      </c>
      <c r="C18" s="28"/>
      <c r="D18" s="28"/>
    </row>
    <row r="19" spans="1:4" ht="48" x14ac:dyDescent="0.25">
      <c r="A19" s="27"/>
      <c r="B19" s="4" t="s">
        <v>776</v>
      </c>
      <c r="C19" s="24">
        <v>2.1000000000000001E-2</v>
      </c>
      <c r="D19" s="1">
        <f>C19*20</f>
        <v>0.42000000000000004</v>
      </c>
    </row>
    <row r="20" spans="1:4" x14ac:dyDescent="0.25">
      <c r="A20" s="3">
        <v>2210</v>
      </c>
      <c r="B20" s="4" t="s">
        <v>354</v>
      </c>
      <c r="C20" s="24"/>
      <c r="D20" s="1"/>
    </row>
    <row r="21" spans="1:4" ht="48" x14ac:dyDescent="0.25">
      <c r="A21" s="3"/>
      <c r="B21" s="4" t="s">
        <v>777</v>
      </c>
      <c r="C21" s="24">
        <v>2.1000000000000001E-2</v>
      </c>
      <c r="D21" s="1">
        <f t="shared" ref="D21:D83" si="0">C21*20</f>
        <v>0.42000000000000004</v>
      </c>
    </row>
    <row r="22" spans="1:4" x14ac:dyDescent="0.25">
      <c r="A22" s="3">
        <v>2221</v>
      </c>
      <c r="B22" s="4" t="s">
        <v>89</v>
      </c>
      <c r="C22" s="1"/>
      <c r="D22" s="1"/>
    </row>
    <row r="23" spans="1:4" ht="60" x14ac:dyDescent="0.25">
      <c r="A23" s="3"/>
      <c r="B23" s="4" t="s">
        <v>778</v>
      </c>
      <c r="C23" s="24">
        <v>5.1999999999999998E-2</v>
      </c>
      <c r="D23" s="1">
        <f t="shared" si="0"/>
        <v>1.04</v>
      </c>
    </row>
    <row r="24" spans="1:4" x14ac:dyDescent="0.25">
      <c r="A24" s="3">
        <v>2222</v>
      </c>
      <c r="B24" s="67" t="s">
        <v>90</v>
      </c>
      <c r="C24" s="1"/>
      <c r="D24" s="1"/>
    </row>
    <row r="25" spans="1:4" ht="48" x14ac:dyDescent="0.25">
      <c r="A25" s="3"/>
      <c r="B25" s="4" t="s">
        <v>779</v>
      </c>
      <c r="C25" s="24">
        <f>ROUND(38.69/9509,4)</f>
        <v>4.1000000000000003E-3</v>
      </c>
      <c r="D25" s="1">
        <f t="shared" si="0"/>
        <v>8.2000000000000003E-2</v>
      </c>
    </row>
    <row r="26" spans="1:4" x14ac:dyDescent="0.25">
      <c r="A26" s="3">
        <v>2223</v>
      </c>
      <c r="B26" s="3" t="s">
        <v>91</v>
      </c>
      <c r="C26" s="24"/>
      <c r="D26" s="1"/>
    </row>
    <row r="27" spans="1:4" ht="60" x14ac:dyDescent="0.25">
      <c r="A27" s="3"/>
      <c r="B27" s="4" t="s">
        <v>780</v>
      </c>
      <c r="C27" s="24">
        <v>9.4E-2</v>
      </c>
      <c r="D27" s="1">
        <f t="shared" si="0"/>
        <v>1.88</v>
      </c>
    </row>
    <row r="28" spans="1:4" ht="24" x14ac:dyDescent="0.25">
      <c r="A28" s="3">
        <v>2224</v>
      </c>
      <c r="B28" s="4" t="s">
        <v>114</v>
      </c>
      <c r="C28" s="24"/>
      <c r="D28" s="1"/>
    </row>
    <row r="29" spans="1:4" ht="48" x14ac:dyDescent="0.25">
      <c r="A29" s="3"/>
      <c r="B29" s="4" t="s">
        <v>781</v>
      </c>
      <c r="C29" s="24">
        <v>1.4999999999999999E-2</v>
      </c>
      <c r="D29" s="1">
        <f t="shared" si="0"/>
        <v>0.3</v>
      </c>
    </row>
    <row r="30" spans="1:4" x14ac:dyDescent="0.25">
      <c r="A30" s="3">
        <v>2231</v>
      </c>
      <c r="B30" s="4" t="s">
        <v>117</v>
      </c>
      <c r="C30" s="24"/>
      <c r="D30" s="1"/>
    </row>
    <row r="31" spans="1:4" ht="48" x14ac:dyDescent="0.25">
      <c r="A31" s="3"/>
      <c r="B31" s="4" t="s">
        <v>782</v>
      </c>
      <c r="C31" s="24">
        <v>2.5999999999999999E-2</v>
      </c>
      <c r="D31" s="1">
        <f t="shared" si="0"/>
        <v>0.52</v>
      </c>
    </row>
    <row r="32" spans="1:4" x14ac:dyDescent="0.25">
      <c r="A32" s="3">
        <v>2232</v>
      </c>
      <c r="B32" s="4" t="s">
        <v>453</v>
      </c>
      <c r="C32" s="1"/>
      <c r="D32" s="1"/>
    </row>
    <row r="33" spans="1:4" ht="48" x14ac:dyDescent="0.25">
      <c r="A33" s="3"/>
      <c r="B33" s="4" t="s">
        <v>783</v>
      </c>
      <c r="C33" s="24">
        <v>7.0000000000000001E-3</v>
      </c>
      <c r="D33" s="1">
        <f t="shared" si="0"/>
        <v>0.14000000000000001</v>
      </c>
    </row>
    <row r="34" spans="1:4" x14ac:dyDescent="0.25">
      <c r="A34" s="3">
        <v>2233</v>
      </c>
      <c r="B34" s="67" t="s">
        <v>127</v>
      </c>
      <c r="C34" s="1"/>
      <c r="D34" s="1"/>
    </row>
    <row r="35" spans="1:4" ht="48" x14ac:dyDescent="0.25">
      <c r="A35" s="3"/>
      <c r="B35" s="4" t="s">
        <v>784</v>
      </c>
      <c r="C35" s="24">
        <v>0.01</v>
      </c>
      <c r="D35" s="1">
        <f t="shared" si="0"/>
        <v>0.2</v>
      </c>
    </row>
    <row r="36" spans="1:4" x14ac:dyDescent="0.25">
      <c r="A36" s="3">
        <v>2235</v>
      </c>
      <c r="B36" s="67" t="s">
        <v>355</v>
      </c>
      <c r="C36" s="24"/>
      <c r="D36" s="1"/>
    </row>
    <row r="37" spans="1:4" ht="48" x14ac:dyDescent="0.25">
      <c r="A37" s="3"/>
      <c r="B37" s="4" t="s">
        <v>785</v>
      </c>
      <c r="C37" s="24">
        <v>7.0000000000000001E-3</v>
      </c>
      <c r="D37" s="1">
        <f t="shared" si="0"/>
        <v>0.14000000000000001</v>
      </c>
    </row>
    <row r="38" spans="1:4" x14ac:dyDescent="0.25">
      <c r="A38" s="3">
        <v>2239</v>
      </c>
      <c r="B38" s="67" t="s">
        <v>356</v>
      </c>
      <c r="C38" s="24"/>
      <c r="D38" s="1"/>
    </row>
    <row r="39" spans="1:4" ht="48" x14ac:dyDescent="0.25">
      <c r="A39" s="3"/>
      <c r="B39" s="4" t="s">
        <v>786</v>
      </c>
      <c r="C39" s="24">
        <v>4.9000000000000002E-2</v>
      </c>
      <c r="D39" s="1">
        <f t="shared" si="0"/>
        <v>0.98</v>
      </c>
    </row>
    <row r="40" spans="1:4" x14ac:dyDescent="0.25">
      <c r="A40" s="3">
        <v>2241</v>
      </c>
      <c r="B40" s="67" t="s">
        <v>460</v>
      </c>
      <c r="C40" s="24"/>
      <c r="D40" s="1"/>
    </row>
    <row r="41" spans="1:4" ht="48" x14ac:dyDescent="0.25">
      <c r="A41" s="3"/>
      <c r="B41" s="4" t="s">
        <v>787</v>
      </c>
      <c r="C41" s="24">
        <v>6.0999999999999999E-2</v>
      </c>
      <c r="D41" s="1">
        <f t="shared" si="0"/>
        <v>1.22</v>
      </c>
    </row>
    <row r="42" spans="1:4" x14ac:dyDescent="0.25">
      <c r="A42" s="3">
        <v>2242</v>
      </c>
      <c r="B42" s="67" t="s">
        <v>357</v>
      </c>
      <c r="C42" s="24"/>
      <c r="D42" s="1"/>
    </row>
    <row r="43" spans="1:4" ht="48" x14ac:dyDescent="0.25">
      <c r="A43" s="3"/>
      <c r="B43" s="4" t="s">
        <v>788</v>
      </c>
      <c r="C43" s="24">
        <v>0.09</v>
      </c>
      <c r="D43" s="1">
        <f t="shared" si="0"/>
        <v>1.7999999999999998</v>
      </c>
    </row>
    <row r="44" spans="1:4" x14ac:dyDescent="0.25">
      <c r="A44" s="3">
        <v>2243</v>
      </c>
      <c r="B44" s="4" t="s">
        <v>100</v>
      </c>
      <c r="C44" s="1"/>
      <c r="D44" s="1"/>
    </row>
    <row r="45" spans="1:4" ht="48" x14ac:dyDescent="0.25">
      <c r="A45" s="3"/>
      <c r="B45" s="4" t="s">
        <v>789</v>
      </c>
      <c r="C45" s="24">
        <v>0.05</v>
      </c>
      <c r="D45" s="1">
        <f t="shared" si="0"/>
        <v>1</v>
      </c>
    </row>
    <row r="46" spans="1:4" x14ac:dyDescent="0.25">
      <c r="A46" s="3">
        <v>2244</v>
      </c>
      <c r="B46" s="4" t="s">
        <v>92</v>
      </c>
      <c r="C46" s="1"/>
      <c r="D46" s="1"/>
    </row>
    <row r="47" spans="1:4" ht="48" x14ac:dyDescent="0.25">
      <c r="A47" s="29"/>
      <c r="B47" s="4" t="s">
        <v>790</v>
      </c>
      <c r="C47" s="24">
        <v>6.9000000000000006E-2</v>
      </c>
      <c r="D47" s="1">
        <f t="shared" si="0"/>
        <v>1.3800000000000001</v>
      </c>
    </row>
    <row r="48" spans="1:4" x14ac:dyDescent="0.25">
      <c r="A48" s="3">
        <v>2247</v>
      </c>
      <c r="B48" s="67" t="s">
        <v>358</v>
      </c>
      <c r="C48" s="1"/>
      <c r="D48" s="1"/>
    </row>
    <row r="49" spans="1:4" ht="48" x14ac:dyDescent="0.25">
      <c r="A49" s="29"/>
      <c r="B49" s="4" t="s">
        <v>791</v>
      </c>
      <c r="C49" s="24">
        <v>3.0000000000000001E-3</v>
      </c>
      <c r="D49" s="1">
        <f t="shared" si="0"/>
        <v>0.06</v>
      </c>
    </row>
    <row r="50" spans="1:4" x14ac:dyDescent="0.25">
      <c r="A50" s="3">
        <v>2249</v>
      </c>
      <c r="B50" s="67" t="s">
        <v>359</v>
      </c>
      <c r="C50" s="1"/>
      <c r="D50" s="1">
        <f t="shared" si="0"/>
        <v>0</v>
      </c>
    </row>
    <row r="51" spans="1:4" ht="48" x14ac:dyDescent="0.25">
      <c r="A51" s="29"/>
      <c r="B51" s="4" t="s">
        <v>844</v>
      </c>
      <c r="C51" s="24">
        <v>2E-3</v>
      </c>
      <c r="D51" s="1">
        <f t="shared" si="0"/>
        <v>0.04</v>
      </c>
    </row>
    <row r="52" spans="1:4" x14ac:dyDescent="0.25">
      <c r="A52" s="3">
        <v>2250</v>
      </c>
      <c r="B52" s="4" t="s">
        <v>118</v>
      </c>
      <c r="C52" s="24"/>
      <c r="D52" s="1"/>
    </row>
    <row r="53" spans="1:4" ht="48" x14ac:dyDescent="0.25">
      <c r="A53" s="3"/>
      <c r="B53" s="4" t="s">
        <v>772</v>
      </c>
      <c r="C53" s="24">
        <v>0.23699999999999999</v>
      </c>
      <c r="D53" s="1">
        <f t="shared" si="0"/>
        <v>4.74</v>
      </c>
    </row>
    <row r="54" spans="1:4" x14ac:dyDescent="0.25">
      <c r="A54" s="3">
        <v>2261</v>
      </c>
      <c r="B54" s="67" t="s">
        <v>130</v>
      </c>
      <c r="C54" s="1"/>
      <c r="D54" s="1"/>
    </row>
    <row r="55" spans="1:4" ht="60" x14ac:dyDescent="0.25">
      <c r="A55" s="3"/>
      <c r="B55" s="4" t="s">
        <v>1115</v>
      </c>
      <c r="C55" s="24">
        <v>0.29599999999999999</v>
      </c>
      <c r="D55" s="1">
        <f t="shared" si="0"/>
        <v>5.92</v>
      </c>
    </row>
    <row r="56" spans="1:4" x14ac:dyDescent="0.25">
      <c r="A56" s="3">
        <v>2263</v>
      </c>
      <c r="B56" s="67" t="s">
        <v>360</v>
      </c>
      <c r="C56" s="1"/>
      <c r="D56" s="1"/>
    </row>
    <row r="57" spans="1:4" ht="48" x14ac:dyDescent="0.25">
      <c r="A57" s="3"/>
      <c r="B57" s="4" t="s">
        <v>961</v>
      </c>
      <c r="C57" s="24">
        <v>1E-3</v>
      </c>
      <c r="D57" s="1">
        <f t="shared" si="0"/>
        <v>0.02</v>
      </c>
    </row>
    <row r="58" spans="1:4" x14ac:dyDescent="0.25">
      <c r="A58" s="3">
        <v>2264</v>
      </c>
      <c r="B58" s="67" t="s">
        <v>361</v>
      </c>
      <c r="C58" s="1"/>
      <c r="D58" s="1"/>
    </row>
    <row r="59" spans="1:4" ht="48" x14ac:dyDescent="0.25">
      <c r="A59" s="3"/>
      <c r="B59" s="4" t="s">
        <v>775</v>
      </c>
      <c r="C59" s="24">
        <v>2.5999999999999999E-2</v>
      </c>
      <c r="D59" s="1">
        <f t="shared" si="0"/>
        <v>0.52</v>
      </c>
    </row>
    <row r="60" spans="1:4" x14ac:dyDescent="0.25">
      <c r="A60" s="3">
        <v>2311</v>
      </c>
      <c r="B60" s="4" t="s">
        <v>93</v>
      </c>
      <c r="C60" s="24"/>
      <c r="D60" s="1"/>
    </row>
    <row r="61" spans="1:4" ht="48" x14ac:dyDescent="0.25">
      <c r="A61" s="3"/>
      <c r="B61" s="4" t="s">
        <v>770</v>
      </c>
      <c r="C61" s="24">
        <v>8.9999999999999993E-3</v>
      </c>
      <c r="D61" s="1">
        <f t="shared" si="0"/>
        <v>0.18</v>
      </c>
    </row>
    <row r="62" spans="1:4" x14ac:dyDescent="0.25">
      <c r="A62" s="3">
        <v>2312</v>
      </c>
      <c r="B62" s="4" t="s">
        <v>120</v>
      </c>
      <c r="C62" s="1"/>
      <c r="D62" s="1"/>
    </row>
    <row r="63" spans="1:4" ht="48" x14ac:dyDescent="0.25">
      <c r="A63" s="3"/>
      <c r="B63" s="4" t="s">
        <v>771</v>
      </c>
      <c r="C63" s="24">
        <v>1.0999999999999999E-2</v>
      </c>
      <c r="D63" s="1">
        <f t="shared" si="0"/>
        <v>0.21999999999999997</v>
      </c>
    </row>
    <row r="64" spans="1:4" x14ac:dyDescent="0.25">
      <c r="A64" s="3">
        <v>2314</v>
      </c>
      <c r="B64" s="67" t="s">
        <v>362</v>
      </c>
      <c r="C64" s="1"/>
      <c r="D64" s="1"/>
    </row>
    <row r="65" spans="1:4" ht="48" x14ac:dyDescent="0.25">
      <c r="A65" s="3"/>
      <c r="B65" s="4" t="s">
        <v>769</v>
      </c>
      <c r="C65" s="24">
        <v>2.3E-2</v>
      </c>
      <c r="D65" s="1">
        <f t="shared" si="0"/>
        <v>0.45999999999999996</v>
      </c>
    </row>
    <row r="66" spans="1:4" x14ac:dyDescent="0.25">
      <c r="A66" s="3">
        <v>2322</v>
      </c>
      <c r="B66" s="68" t="s">
        <v>363</v>
      </c>
      <c r="C66" s="1"/>
      <c r="D66" s="1"/>
    </row>
    <row r="67" spans="1:4" ht="48" x14ac:dyDescent="0.25">
      <c r="A67" s="3"/>
      <c r="B67" s="4" t="s">
        <v>768</v>
      </c>
      <c r="C67" s="24">
        <v>2.1999999999999999E-2</v>
      </c>
      <c r="D67" s="1">
        <f t="shared" si="0"/>
        <v>0.43999999999999995</v>
      </c>
    </row>
    <row r="68" spans="1:4" x14ac:dyDescent="0.25">
      <c r="A68" s="3">
        <v>2350</v>
      </c>
      <c r="B68" s="4" t="s">
        <v>119</v>
      </c>
      <c r="C68" s="24"/>
      <c r="D68" s="1"/>
    </row>
    <row r="69" spans="1:4" ht="60" x14ac:dyDescent="0.25">
      <c r="A69" s="3"/>
      <c r="B69" s="4" t="s">
        <v>767</v>
      </c>
      <c r="C69" s="30">
        <v>3.4000000000000002E-2</v>
      </c>
      <c r="D69" s="1">
        <f>C69*20</f>
        <v>0.68</v>
      </c>
    </row>
    <row r="70" spans="1:4" x14ac:dyDescent="0.25">
      <c r="A70" s="3">
        <v>2361</v>
      </c>
      <c r="B70" s="67" t="s">
        <v>364</v>
      </c>
      <c r="C70" s="1"/>
      <c r="D70" s="1"/>
    </row>
    <row r="71" spans="1:4" ht="48" x14ac:dyDescent="0.25">
      <c r="A71" s="3"/>
      <c r="B71" s="4" t="s">
        <v>766</v>
      </c>
      <c r="C71" s="24">
        <v>2E-3</v>
      </c>
      <c r="D71" s="1">
        <f t="shared" si="0"/>
        <v>0.04</v>
      </c>
    </row>
    <row r="72" spans="1:4" x14ac:dyDescent="0.25">
      <c r="A72" s="3">
        <v>2513</v>
      </c>
      <c r="B72" s="67" t="s">
        <v>365</v>
      </c>
      <c r="C72" s="1"/>
      <c r="D72" s="1"/>
    </row>
    <row r="73" spans="1:4" ht="48" x14ac:dyDescent="0.25">
      <c r="A73" s="3"/>
      <c r="B73" s="4" t="s">
        <v>765</v>
      </c>
      <c r="C73" s="24">
        <v>3.0000000000000001E-3</v>
      </c>
      <c r="D73" s="1">
        <f t="shared" si="0"/>
        <v>0.06</v>
      </c>
    </row>
    <row r="74" spans="1:4" x14ac:dyDescent="0.25">
      <c r="A74" s="3">
        <v>2519</v>
      </c>
      <c r="B74" s="67" t="s">
        <v>366</v>
      </c>
      <c r="C74" s="24"/>
      <c r="D74" s="1"/>
    </row>
    <row r="75" spans="1:4" ht="48" x14ac:dyDescent="0.25">
      <c r="A75" s="3"/>
      <c r="B75" s="4" t="s">
        <v>764</v>
      </c>
      <c r="C75" s="24">
        <v>1E-3</v>
      </c>
      <c r="D75" s="1">
        <f t="shared" si="0"/>
        <v>0.02</v>
      </c>
    </row>
    <row r="76" spans="1:4" x14ac:dyDescent="0.25">
      <c r="A76" s="3">
        <v>5120</v>
      </c>
      <c r="B76" s="4" t="s">
        <v>101</v>
      </c>
      <c r="C76" s="24"/>
      <c r="D76" s="1"/>
    </row>
    <row r="77" spans="1:4" ht="48" x14ac:dyDescent="0.25">
      <c r="A77" s="3"/>
      <c r="B77" s="4" t="s">
        <v>763</v>
      </c>
      <c r="C77" s="24">
        <v>4.0000000000000001E-3</v>
      </c>
      <c r="D77" s="1">
        <f t="shared" si="0"/>
        <v>0.08</v>
      </c>
    </row>
    <row r="78" spans="1:4" x14ac:dyDescent="0.25">
      <c r="A78" s="3">
        <v>5231</v>
      </c>
      <c r="B78" s="68" t="s">
        <v>368</v>
      </c>
      <c r="C78" s="1"/>
      <c r="D78" s="1"/>
    </row>
    <row r="79" spans="1:4" ht="48" x14ac:dyDescent="0.25">
      <c r="A79" s="3"/>
      <c r="B79" s="4" t="s">
        <v>762</v>
      </c>
      <c r="C79" s="24">
        <v>7.0999999999999994E-2</v>
      </c>
      <c r="D79" s="1">
        <f t="shared" si="0"/>
        <v>1.42</v>
      </c>
    </row>
    <row r="80" spans="1:4" x14ac:dyDescent="0.25">
      <c r="A80" s="3">
        <v>5238</v>
      </c>
      <c r="B80" s="4" t="s">
        <v>115</v>
      </c>
      <c r="C80" s="30"/>
      <c r="D80" s="1"/>
    </row>
    <row r="81" spans="1:4" ht="60" x14ac:dyDescent="0.25">
      <c r="A81" s="3"/>
      <c r="B81" s="4" t="s">
        <v>761</v>
      </c>
      <c r="C81" s="24">
        <v>2.1000000000000001E-2</v>
      </c>
      <c r="D81" s="1">
        <f t="shared" si="0"/>
        <v>0.42000000000000004</v>
      </c>
    </row>
    <row r="82" spans="1:4" x14ac:dyDescent="0.25">
      <c r="A82" s="3">
        <v>5239</v>
      </c>
      <c r="B82" s="68" t="s">
        <v>369</v>
      </c>
      <c r="C82" s="24"/>
      <c r="D82" s="1"/>
    </row>
    <row r="83" spans="1:4" ht="60" x14ac:dyDescent="0.25">
      <c r="A83" s="3"/>
      <c r="B83" s="4" t="s">
        <v>760</v>
      </c>
      <c r="C83" s="24">
        <v>3.7999999999999999E-2</v>
      </c>
      <c r="D83" s="1">
        <f t="shared" si="0"/>
        <v>0.76</v>
      </c>
    </row>
    <row r="84" spans="1:4" x14ac:dyDescent="0.25">
      <c r="A84" s="3"/>
      <c r="B84" s="31" t="s">
        <v>94</v>
      </c>
      <c r="C84" s="70">
        <f>SUM(C19:C83)</f>
        <v>1.3800999999999994</v>
      </c>
      <c r="D84" s="70">
        <f>SUM(D19:D83)</f>
        <v>27.602</v>
      </c>
    </row>
    <row r="85" spans="1:4" ht="19.5" customHeight="1" x14ac:dyDescent="0.25">
      <c r="A85" s="33"/>
      <c r="B85" s="34" t="s">
        <v>95</v>
      </c>
      <c r="C85" s="32">
        <f>ROUND(C84+C16,4)</f>
        <v>34.490099999999998</v>
      </c>
      <c r="D85" s="32">
        <f>ROUND(D84+D16,4)</f>
        <v>689.80200000000002</v>
      </c>
    </row>
    <row r="86" spans="1:4" ht="26.25" customHeight="1" x14ac:dyDescent="0.25">
      <c r="A86" s="35"/>
      <c r="B86" s="36"/>
      <c r="C86" s="37"/>
      <c r="D86" s="37"/>
    </row>
    <row r="87" spans="1:4" ht="29.25" customHeight="1" x14ac:dyDescent="0.25">
      <c r="A87" s="161" t="s">
        <v>96</v>
      </c>
      <c r="B87" s="162"/>
      <c r="C87" s="41">
        <v>20</v>
      </c>
      <c r="D87" s="38"/>
    </row>
    <row r="88" spans="1:4" ht="22.5" customHeight="1" x14ac:dyDescent="0.25">
      <c r="A88" s="161" t="s">
        <v>112</v>
      </c>
      <c r="B88" s="162"/>
      <c r="C88" s="2">
        <f>D85/C87</f>
        <v>34.490099999999998</v>
      </c>
      <c r="D88" s="38"/>
    </row>
  </sheetData>
  <mergeCells count="7">
    <mergeCell ref="A87:B87"/>
    <mergeCell ref="A88:B88"/>
    <mergeCell ref="E12:G12"/>
    <mergeCell ref="A1:D1"/>
    <mergeCell ref="A4:D4"/>
    <mergeCell ref="A5:B5"/>
    <mergeCell ref="A7:B7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4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F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0.140625" style="84" customWidth="1"/>
    <col min="3" max="3" width="10" style="84" customWidth="1"/>
    <col min="4" max="4" width="12" style="84" customWidth="1"/>
    <col min="5" max="6" width="9.140625" style="84"/>
    <col min="7" max="7" width="9.42578125" style="84" customWidth="1"/>
    <col min="8" max="16384" width="9.140625" style="84"/>
  </cols>
  <sheetData>
    <row r="1" spans="1:6" x14ac:dyDescent="0.25">
      <c r="A1" s="171" t="s">
        <v>78</v>
      </c>
      <c r="B1" s="171"/>
      <c r="C1" s="171"/>
      <c r="D1" s="171"/>
    </row>
    <row r="2" spans="1:6" x14ac:dyDescent="0.25">
      <c r="A2" s="45"/>
      <c r="B2" s="45"/>
      <c r="C2" s="168"/>
      <c r="D2" s="169"/>
    </row>
    <row r="3" spans="1:6" x14ac:dyDescent="0.25">
      <c r="A3" s="46" t="s">
        <v>110</v>
      </c>
      <c r="B3" s="47"/>
      <c r="C3" s="47"/>
      <c r="D3" s="47"/>
    </row>
    <row r="4" spans="1:6" ht="12.75" customHeight="1" x14ac:dyDescent="0.25">
      <c r="A4" s="45"/>
      <c r="B4" s="11"/>
      <c r="C4" s="11"/>
      <c r="D4" s="44"/>
    </row>
    <row r="5" spans="1:6" ht="43.5" customHeight="1" x14ac:dyDescent="0.25">
      <c r="A5" s="166" t="s">
        <v>298</v>
      </c>
      <c r="B5" s="166"/>
      <c r="C5" s="166"/>
      <c r="D5" s="166"/>
    </row>
    <row r="6" spans="1:6" ht="5.25" customHeight="1" x14ac:dyDescent="0.25">
      <c r="A6" s="49"/>
      <c r="B6" s="11"/>
      <c r="C6" s="11"/>
      <c r="D6" s="44"/>
    </row>
    <row r="7" spans="1:6" x14ac:dyDescent="0.25">
      <c r="A7" s="158" t="s">
        <v>111</v>
      </c>
      <c r="B7" s="159"/>
      <c r="C7" s="11"/>
      <c r="D7" s="44"/>
    </row>
    <row r="8" spans="1:6" x14ac:dyDescent="0.25">
      <c r="A8" s="49"/>
      <c r="B8" s="79"/>
      <c r="C8" s="11"/>
      <c r="D8" s="44"/>
    </row>
    <row r="9" spans="1:6" x14ac:dyDescent="0.25">
      <c r="A9" s="170" t="s">
        <v>103</v>
      </c>
      <c r="B9" s="170"/>
      <c r="C9" s="48"/>
      <c r="D9" s="44"/>
    </row>
    <row r="10" spans="1:6" ht="107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6" x14ac:dyDescent="0.25">
      <c r="A11" s="15">
        <v>1</v>
      </c>
      <c r="B11" s="16">
        <v>2</v>
      </c>
      <c r="C11" s="15">
        <v>3</v>
      </c>
      <c r="D11" s="15">
        <v>4</v>
      </c>
    </row>
    <row r="12" spans="1:6" x14ac:dyDescent="0.25">
      <c r="A12" s="15"/>
      <c r="B12" s="31" t="s">
        <v>84</v>
      </c>
      <c r="C12" s="19"/>
      <c r="D12" s="19"/>
    </row>
    <row r="13" spans="1:6" x14ac:dyDescent="0.25">
      <c r="A13" s="42">
        <v>1100</v>
      </c>
      <c r="B13" s="43" t="s">
        <v>85</v>
      </c>
      <c r="C13" s="22"/>
      <c r="D13" s="22"/>
    </row>
    <row r="14" spans="1:6" ht="154.5" customHeight="1" x14ac:dyDescent="0.25">
      <c r="A14" s="3"/>
      <c r="B14" s="81" t="s">
        <v>1154</v>
      </c>
      <c r="C14" s="1">
        <v>18.850000000000001</v>
      </c>
      <c r="D14" s="1">
        <f>C14*20</f>
        <v>377</v>
      </c>
      <c r="E14" s="181"/>
      <c r="F14" s="182"/>
    </row>
    <row r="15" spans="1:6" ht="24" x14ac:dyDescent="0.25">
      <c r="A15" s="3">
        <v>1200</v>
      </c>
      <c r="B15" s="23" t="s">
        <v>1155</v>
      </c>
      <c r="C15" s="1">
        <f>ROUND(C14*0.2359,2)</f>
        <v>4.45</v>
      </c>
      <c r="D15" s="1">
        <f>C15*20</f>
        <v>89</v>
      </c>
    </row>
    <row r="16" spans="1:6" x14ac:dyDescent="0.25">
      <c r="A16" s="3">
        <v>2341</v>
      </c>
      <c r="B16" s="3" t="s">
        <v>116</v>
      </c>
      <c r="C16" s="24"/>
      <c r="D16" s="24"/>
    </row>
    <row r="17" spans="1:4" ht="120" x14ac:dyDescent="0.25">
      <c r="A17" s="3"/>
      <c r="B17" s="4" t="s">
        <v>1552</v>
      </c>
      <c r="C17" s="1">
        <v>23.8</v>
      </c>
      <c r="D17" s="1">
        <f>C17*20</f>
        <v>476</v>
      </c>
    </row>
    <row r="18" spans="1:4" x14ac:dyDescent="0.25">
      <c r="A18" s="3"/>
      <c r="B18" s="40" t="s">
        <v>87</v>
      </c>
      <c r="C18" s="32">
        <f>SUM(C13:C17)</f>
        <v>47.1</v>
      </c>
      <c r="D18" s="32">
        <f>SUM(D13:D17)</f>
        <v>942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0"/>
        <v>0</v>
      </c>
    </row>
    <row r="53" spans="1:4" ht="48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1115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ht="19.5" customHeight="1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48.4801</v>
      </c>
      <c r="D87" s="32">
        <f>ROUND(D86+D18,4)</f>
        <v>969.60199999999998</v>
      </c>
    </row>
    <row r="88" spans="1:4" ht="23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48.4801</v>
      </c>
      <c r="D90" s="38"/>
    </row>
  </sheetData>
  <mergeCells count="8">
    <mergeCell ref="A89:B89"/>
    <mergeCell ref="A90:B90"/>
    <mergeCell ref="E14:F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  <colBreaks count="1" manualBreakCount="1">
    <brk id="4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H90"/>
  <sheetViews>
    <sheetView view="pageBreakPreview" topLeftCell="A2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9.5703125" style="84" customWidth="1"/>
    <col min="3" max="3" width="11.28515625" style="84" customWidth="1"/>
    <col min="4" max="4" width="12" style="84" customWidth="1"/>
    <col min="5" max="6" width="9.140625" style="84"/>
    <col min="7" max="7" width="11.85546875" style="84" customWidth="1"/>
    <col min="8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52.5" customHeight="1" x14ac:dyDescent="0.25">
      <c r="A5" s="166" t="s">
        <v>299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98</v>
      </c>
      <c r="B9" s="170"/>
      <c r="C9" s="48"/>
      <c r="D9" s="44"/>
    </row>
    <row r="10" spans="1:8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68" x14ac:dyDescent="0.25">
      <c r="A14" s="3"/>
      <c r="B14" s="81" t="s">
        <v>1158</v>
      </c>
      <c r="C14" s="1">
        <v>18.850000000000001</v>
      </c>
      <c r="D14" s="1">
        <f>C14*60</f>
        <v>1131</v>
      </c>
      <c r="E14" s="179"/>
      <c r="F14" s="180"/>
      <c r="G14" s="180"/>
      <c r="H14" s="180"/>
    </row>
    <row r="15" spans="1:8" ht="24" x14ac:dyDescent="0.25">
      <c r="A15" s="3">
        <v>1200</v>
      </c>
      <c r="B15" s="23" t="s">
        <v>1155</v>
      </c>
      <c r="C15" s="1">
        <f>ROUND(C14*0.2359,2)</f>
        <v>4.45</v>
      </c>
      <c r="D15" s="1">
        <f>C15*60</f>
        <v>267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89.25" customHeight="1" x14ac:dyDescent="0.25">
      <c r="A17" s="3"/>
      <c r="B17" s="4" t="s">
        <v>1551</v>
      </c>
      <c r="C17" s="1">
        <v>2.11</v>
      </c>
      <c r="D17" s="1">
        <f>C17*60</f>
        <v>126.6</v>
      </c>
    </row>
    <row r="18" spans="1:4" x14ac:dyDescent="0.25">
      <c r="A18" s="34"/>
      <c r="B18" s="40" t="s">
        <v>87</v>
      </c>
      <c r="C18" s="32">
        <f>SUM(C13:C17)</f>
        <v>25.41</v>
      </c>
      <c r="D18" s="32">
        <f>SUM(D13:D17)</f>
        <v>1524.6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5.5" customHeight="1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ht="15" customHeight="1" x14ac:dyDescent="0.25">
      <c r="A87" s="33"/>
      <c r="B87" s="34" t="s">
        <v>95</v>
      </c>
      <c r="C87" s="32">
        <f>ROUND(C86+C18,4)</f>
        <v>26.790099999999999</v>
      </c>
      <c r="D87" s="32">
        <f>ROUND(D86+D18,4)</f>
        <v>1607.4059999999999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0.25" customHeight="1" x14ac:dyDescent="0.25">
      <c r="A90" s="161" t="s">
        <v>112</v>
      </c>
      <c r="B90" s="162"/>
      <c r="C90" s="2">
        <f>D87/C89</f>
        <v>26.790099999999999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" right="0.7" top="0.75" bottom="0.75" header="0.3" footer="0.3"/>
  <pageSetup scale="98" orientation="portrait" r:id="rId1"/>
  <colBreaks count="1" manualBreakCount="1">
    <brk id="4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H90"/>
  <sheetViews>
    <sheetView view="pageBreakPreview" topLeftCell="A2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7.42578125" style="84" customWidth="1"/>
    <col min="3" max="3" width="9.140625" style="84"/>
    <col min="4" max="4" width="13.140625" style="84" customWidth="1"/>
    <col min="5" max="5" width="9.140625" style="84"/>
    <col min="6" max="6" width="9.140625" style="84" customWidth="1"/>
    <col min="7" max="7" width="10.5703125" style="84" customWidth="1"/>
    <col min="8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63"/>
      <c r="D2" s="63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40.5" customHeight="1" x14ac:dyDescent="0.25">
      <c r="A5" s="166" t="s">
        <v>300</v>
      </c>
      <c r="B5" s="166"/>
      <c r="C5" s="166"/>
      <c r="D5" s="166"/>
    </row>
    <row r="6" spans="1:8" ht="9" customHeight="1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x14ac:dyDescent="0.25">
      <c r="A8" s="49"/>
      <c r="B8" s="79"/>
      <c r="C8" s="11"/>
      <c r="D8" s="11"/>
    </row>
    <row r="9" spans="1:8" x14ac:dyDescent="0.25">
      <c r="A9" s="170" t="s">
        <v>109</v>
      </c>
      <c r="B9" s="170"/>
      <c r="C9" s="48"/>
      <c r="D9" s="44"/>
    </row>
    <row r="10" spans="1:8" ht="104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2.5" customHeight="1" x14ac:dyDescent="0.25">
      <c r="A14" s="3"/>
      <c r="B14" s="4" t="s">
        <v>1159</v>
      </c>
      <c r="C14" s="1">
        <v>13.85</v>
      </c>
      <c r="D14" s="1">
        <f>C14*5</f>
        <v>69.25</v>
      </c>
      <c r="E14" s="181"/>
      <c r="F14" s="182"/>
      <c r="G14" s="182"/>
      <c r="H14" s="182"/>
    </row>
    <row r="15" spans="1:8" ht="24" x14ac:dyDescent="0.25">
      <c r="A15" s="3">
        <v>1200</v>
      </c>
      <c r="B15" s="4" t="s">
        <v>1160</v>
      </c>
      <c r="C15" s="1">
        <f>ROUND(C14*0.2359,2)</f>
        <v>3.27</v>
      </c>
      <c r="D15" s="1">
        <f>C15*5</f>
        <v>16.350000000000001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96" x14ac:dyDescent="0.25">
      <c r="A17" s="3"/>
      <c r="B17" s="4" t="s">
        <v>1531</v>
      </c>
      <c r="C17" s="1">
        <v>1.71</v>
      </c>
      <c r="D17" s="1">
        <f>C17*5</f>
        <v>8.5500000000000007</v>
      </c>
    </row>
    <row r="18" spans="1:4" x14ac:dyDescent="0.25">
      <c r="A18" s="3"/>
      <c r="B18" s="40" t="s">
        <v>87</v>
      </c>
      <c r="C18" s="32">
        <f>SUM(C13:C17)</f>
        <v>18.830000000000002</v>
      </c>
      <c r="D18" s="32">
        <f>SUM(D13:D17)</f>
        <v>94.149999999999991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20.210100000000001</v>
      </c>
      <c r="D87" s="32">
        <f>ROUND(D86+D18,4)</f>
        <v>101.0505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20.210100000000001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Footer>&amp;C&amp;P</oddFooter>
  </headerFooter>
  <colBreaks count="1" manualBreakCount="1">
    <brk id="4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H90"/>
  <sheetViews>
    <sheetView view="pageBreakPreview" topLeftCell="A69" zoomScale="60" zoomScaleNormal="100" workbookViewId="0">
      <selection activeCell="D87" sqref="D87"/>
    </sheetView>
  </sheetViews>
  <sheetFormatPr defaultRowHeight="15" x14ac:dyDescent="0.25"/>
  <cols>
    <col min="1" max="1" width="10" style="84" customWidth="1"/>
    <col min="2" max="2" width="56.140625" style="84" customWidth="1"/>
    <col min="3" max="3" width="11.85546875" style="84" customWidth="1"/>
    <col min="4" max="4" width="14.8554687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ht="12.75" customHeight="1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1.25" customHeight="1" x14ac:dyDescent="0.25">
      <c r="A5" s="166" t="s">
        <v>301</v>
      </c>
      <c r="B5" s="166"/>
      <c r="C5" s="166"/>
      <c r="D5" s="166"/>
    </row>
    <row r="6" spans="1:8" ht="10.5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ht="10.5" customHeight="1" x14ac:dyDescent="0.25">
      <c r="A8" s="49"/>
      <c r="B8" s="79"/>
      <c r="C8" s="11"/>
      <c r="D8" s="44"/>
    </row>
    <row r="9" spans="1:8" x14ac:dyDescent="0.25">
      <c r="A9" s="170" t="s">
        <v>372</v>
      </c>
      <c r="B9" s="170"/>
      <c r="C9" s="11"/>
      <c r="D9" s="44"/>
    </row>
    <row r="10" spans="1:8" ht="96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19"/>
    </row>
    <row r="14" spans="1:8" ht="180" x14ac:dyDescent="0.25">
      <c r="A14" s="3"/>
      <c r="B14" s="4" t="s">
        <v>1161</v>
      </c>
      <c r="C14" s="1">
        <v>16.350000000000001</v>
      </c>
      <c r="D14" s="1">
        <f>C14*5</f>
        <v>81.75</v>
      </c>
      <c r="E14" s="179"/>
      <c r="F14" s="180"/>
      <c r="G14" s="180"/>
      <c r="H14" s="180"/>
    </row>
    <row r="15" spans="1:8" ht="24" x14ac:dyDescent="0.25">
      <c r="A15" s="3">
        <v>1200</v>
      </c>
      <c r="B15" s="4" t="s">
        <v>1162</v>
      </c>
      <c r="C15" s="1">
        <f>ROUND(C14*0.2359,2)</f>
        <v>3.86</v>
      </c>
      <c r="D15" s="1">
        <f>C15*5</f>
        <v>19.3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5" customHeight="1" x14ac:dyDescent="0.25">
      <c r="A17" s="3"/>
      <c r="B17" s="4" t="s">
        <v>1520</v>
      </c>
      <c r="C17" s="1">
        <v>5.5</v>
      </c>
      <c r="D17" s="1">
        <f>C17*5</f>
        <v>27.5</v>
      </c>
    </row>
    <row r="18" spans="1:4" x14ac:dyDescent="0.25">
      <c r="A18" s="3"/>
      <c r="B18" s="40" t="s">
        <v>87</v>
      </c>
      <c r="C18" s="32">
        <f>SUM(C13:C17)</f>
        <v>25.71</v>
      </c>
      <c r="D18" s="32">
        <f>SUM(D13:D17)</f>
        <v>128.55000000000001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7.25" customHeight="1" x14ac:dyDescent="0.25">
      <c r="A87" s="33"/>
      <c r="B87" s="34" t="s">
        <v>95</v>
      </c>
      <c r="C87" s="32">
        <f>ROUND(C86+C18,4)</f>
        <v>27.0901</v>
      </c>
      <c r="D87" s="32">
        <f>ROUND(D86+D18,4)</f>
        <v>135.45050000000001</v>
      </c>
    </row>
    <row r="88" spans="1:4" ht="39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5.5" customHeight="1" x14ac:dyDescent="0.25">
      <c r="A90" s="161" t="s">
        <v>112</v>
      </c>
      <c r="B90" s="162"/>
      <c r="C90" s="2">
        <f>D87/C89</f>
        <v>27.0901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Footer>&amp;C&amp;P</oddFooter>
  </headerFooter>
  <colBreaks count="1" manualBreakCount="1">
    <brk id="4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G91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57.7109375" style="84" customWidth="1"/>
    <col min="3" max="3" width="9.140625" style="84"/>
    <col min="4" max="4" width="12.140625" style="84" customWidth="1"/>
    <col min="5" max="16384" width="9.140625" style="84"/>
  </cols>
  <sheetData>
    <row r="1" spans="1:7" x14ac:dyDescent="0.25">
      <c r="A1" s="167" t="s">
        <v>78</v>
      </c>
      <c r="B1" s="167"/>
      <c r="C1" s="167"/>
      <c r="D1" s="167"/>
    </row>
    <row r="2" spans="1:7" x14ac:dyDescent="0.25">
      <c r="A2" s="45"/>
      <c r="B2" s="45"/>
      <c r="C2" s="168"/>
      <c r="D2" s="169"/>
    </row>
    <row r="3" spans="1:7" x14ac:dyDescent="0.25">
      <c r="A3" s="46" t="s">
        <v>110</v>
      </c>
      <c r="B3" s="47"/>
      <c r="C3" s="47"/>
      <c r="D3" s="47"/>
    </row>
    <row r="4" spans="1:7" ht="8.25" customHeight="1" x14ac:dyDescent="0.25">
      <c r="A4" s="45"/>
      <c r="B4" s="11"/>
      <c r="C4" s="11"/>
      <c r="D4" s="44"/>
    </row>
    <row r="5" spans="1:7" ht="36" customHeight="1" x14ac:dyDescent="0.25">
      <c r="A5" s="166" t="s">
        <v>302</v>
      </c>
      <c r="B5" s="166"/>
      <c r="C5" s="166"/>
      <c r="D5" s="166"/>
    </row>
    <row r="6" spans="1:7" x14ac:dyDescent="0.25">
      <c r="A6" s="49"/>
      <c r="B6" s="11"/>
      <c r="C6" s="11"/>
      <c r="D6" s="44"/>
    </row>
    <row r="7" spans="1:7" x14ac:dyDescent="0.25">
      <c r="A7" s="158" t="s">
        <v>111</v>
      </c>
      <c r="B7" s="159"/>
      <c r="C7" s="11"/>
      <c r="D7" s="44"/>
    </row>
    <row r="8" spans="1:7" x14ac:dyDescent="0.25">
      <c r="A8" s="49"/>
      <c r="B8" s="79"/>
      <c r="C8" s="11"/>
      <c r="D8" s="44"/>
    </row>
    <row r="9" spans="1:7" x14ac:dyDescent="0.25">
      <c r="A9" s="170" t="s">
        <v>109</v>
      </c>
      <c r="B9" s="170"/>
      <c r="C9" s="11"/>
      <c r="D9" s="44"/>
    </row>
    <row r="10" spans="1:7" x14ac:dyDescent="0.25">
      <c r="A10" s="45"/>
      <c r="B10" s="36"/>
      <c r="C10" s="48"/>
      <c r="D10" s="44"/>
    </row>
    <row r="11" spans="1:7" ht="107.25" customHeight="1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7" x14ac:dyDescent="0.25">
      <c r="A12" s="15">
        <v>1</v>
      </c>
      <c r="B12" s="16">
        <v>2</v>
      </c>
      <c r="C12" s="15">
        <v>3</v>
      </c>
      <c r="D12" s="15">
        <v>4</v>
      </c>
    </row>
    <row r="13" spans="1:7" x14ac:dyDescent="0.25">
      <c r="A13" s="15"/>
      <c r="B13" s="31" t="s">
        <v>84</v>
      </c>
      <c r="C13" s="19"/>
      <c r="D13" s="19"/>
    </row>
    <row r="14" spans="1:7" x14ac:dyDescent="0.25">
      <c r="A14" s="42">
        <v>1100</v>
      </c>
      <c r="B14" s="43" t="s">
        <v>85</v>
      </c>
      <c r="C14" s="22"/>
      <c r="D14" s="22"/>
    </row>
    <row r="15" spans="1:7" ht="180.75" customHeight="1" x14ac:dyDescent="0.25">
      <c r="A15" s="3"/>
      <c r="B15" s="4" t="s">
        <v>1159</v>
      </c>
      <c r="C15" s="1">
        <v>13.85</v>
      </c>
      <c r="D15" s="1">
        <f>C15*5</f>
        <v>69.25</v>
      </c>
      <c r="E15" s="183"/>
      <c r="F15" s="184"/>
      <c r="G15" s="184"/>
    </row>
    <row r="16" spans="1:7" ht="24" x14ac:dyDescent="0.25">
      <c r="A16" s="3">
        <v>1200</v>
      </c>
      <c r="B16" s="4" t="s">
        <v>1160</v>
      </c>
      <c r="C16" s="1">
        <f>ROUND(C15*0.2359,2)</f>
        <v>3.27</v>
      </c>
      <c r="D16" s="1">
        <f t="shared" ref="D16:D18" si="0">C16*5</f>
        <v>16.350000000000001</v>
      </c>
    </row>
    <row r="17" spans="1:4" x14ac:dyDescent="0.25">
      <c r="A17" s="3">
        <v>2341</v>
      </c>
      <c r="B17" s="3" t="s">
        <v>86</v>
      </c>
      <c r="C17" s="24"/>
      <c r="D17" s="1"/>
    </row>
    <row r="18" spans="1:4" ht="84" x14ac:dyDescent="0.25">
      <c r="A18" s="3"/>
      <c r="B18" s="4" t="s">
        <v>1519</v>
      </c>
      <c r="C18" s="1">
        <v>5.84</v>
      </c>
      <c r="D18" s="1">
        <f t="shared" si="0"/>
        <v>29.2</v>
      </c>
    </row>
    <row r="19" spans="1:4" x14ac:dyDescent="0.25">
      <c r="A19" s="3"/>
      <c r="B19" s="40" t="s">
        <v>87</v>
      </c>
      <c r="C19" s="32">
        <f>SUM(C14:C18)</f>
        <v>22.96</v>
      </c>
      <c r="D19" s="32">
        <f>SUM(D14:D18)</f>
        <v>114.8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60" x14ac:dyDescent="0.25">
      <c r="A22" s="27"/>
      <c r="B22" s="4" t="s">
        <v>1148</v>
      </c>
      <c r="C22" s="24">
        <v>2.1000000000000001E-2</v>
      </c>
      <c r="D22" s="1">
        <f>C22*5</f>
        <v>0.10500000000000001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60" x14ac:dyDescent="0.25">
      <c r="A24" s="3"/>
      <c r="B24" s="4" t="s">
        <v>1147</v>
      </c>
      <c r="C24" s="24">
        <v>2.1000000000000001E-2</v>
      </c>
      <c r="D24" s="1">
        <f t="shared" ref="D24:D86" si="1">C24*5</f>
        <v>0.10500000000000001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60" x14ac:dyDescent="0.25">
      <c r="A26" s="3"/>
      <c r="B26" s="4" t="s">
        <v>1146</v>
      </c>
      <c r="C26" s="24">
        <v>5.1999999999999998E-2</v>
      </c>
      <c r="D26" s="1">
        <f t="shared" si="1"/>
        <v>0.26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60" x14ac:dyDescent="0.25">
      <c r="A28" s="3"/>
      <c r="B28" s="4" t="s">
        <v>1145</v>
      </c>
      <c r="C28" s="24">
        <f>ROUND(38.69/9509,4)</f>
        <v>4.1000000000000003E-3</v>
      </c>
      <c r="D28" s="1">
        <f t="shared" si="1"/>
        <v>2.0500000000000001E-2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60" x14ac:dyDescent="0.25">
      <c r="A30" s="3"/>
      <c r="B30" s="4" t="s">
        <v>1144</v>
      </c>
      <c r="C30" s="24">
        <v>9.4E-2</v>
      </c>
      <c r="D30" s="1">
        <f t="shared" si="1"/>
        <v>0.47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60" x14ac:dyDescent="0.25">
      <c r="A32" s="3"/>
      <c r="B32" s="4" t="s">
        <v>1143</v>
      </c>
      <c r="C32" s="24">
        <v>1.4999999999999999E-2</v>
      </c>
      <c r="D32" s="1">
        <f t="shared" si="1"/>
        <v>7.4999999999999997E-2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1142</v>
      </c>
      <c r="C34" s="24">
        <v>2.5999999999999999E-2</v>
      </c>
      <c r="D34" s="1">
        <f t="shared" si="1"/>
        <v>0.13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1141</v>
      </c>
      <c r="C36" s="24">
        <v>7.0000000000000001E-3</v>
      </c>
      <c r="D36" s="1">
        <f t="shared" si="1"/>
        <v>3.5000000000000003E-2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60" x14ac:dyDescent="0.25">
      <c r="A38" s="3"/>
      <c r="B38" s="4" t="s">
        <v>1140</v>
      </c>
      <c r="C38" s="24">
        <v>0.01</v>
      </c>
      <c r="D38" s="1">
        <f t="shared" si="1"/>
        <v>0.05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60" x14ac:dyDescent="0.25">
      <c r="A40" s="3"/>
      <c r="B40" s="4" t="s">
        <v>1139</v>
      </c>
      <c r="C40" s="24">
        <v>7.0000000000000001E-3</v>
      </c>
      <c r="D40" s="1">
        <f t="shared" si="1"/>
        <v>3.5000000000000003E-2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1138</v>
      </c>
      <c r="C42" s="24">
        <v>4.9000000000000002E-2</v>
      </c>
      <c r="D42" s="1">
        <f t="shared" si="1"/>
        <v>0.245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1137</v>
      </c>
      <c r="C44" s="24">
        <v>6.0999999999999999E-2</v>
      </c>
      <c r="D44" s="1">
        <f t="shared" si="1"/>
        <v>0.30499999999999999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60" x14ac:dyDescent="0.25">
      <c r="A46" s="3"/>
      <c r="B46" s="4" t="s">
        <v>1136</v>
      </c>
      <c r="C46" s="24">
        <v>0.09</v>
      </c>
      <c r="D46" s="1">
        <f t="shared" si="1"/>
        <v>0.44999999999999996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0" x14ac:dyDescent="0.25">
      <c r="A48" s="3"/>
      <c r="B48" s="4" t="s">
        <v>1135</v>
      </c>
      <c r="C48" s="24">
        <v>0.05</v>
      </c>
      <c r="D48" s="1">
        <f t="shared" si="1"/>
        <v>0.25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60" x14ac:dyDescent="0.25">
      <c r="A50" s="29"/>
      <c r="B50" s="4" t="s">
        <v>1134</v>
      </c>
      <c r="C50" s="24">
        <v>6.9000000000000006E-2</v>
      </c>
      <c r="D50" s="1">
        <f t="shared" si="1"/>
        <v>0.34500000000000003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60" x14ac:dyDescent="0.25">
      <c r="A52" s="29"/>
      <c r="B52" s="4" t="s">
        <v>1133</v>
      </c>
      <c r="C52" s="24">
        <v>3.0000000000000001E-3</v>
      </c>
      <c r="D52" s="1">
        <f t="shared" si="1"/>
        <v>1.4999999999999999E-2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60" x14ac:dyDescent="0.25">
      <c r="A54" s="29"/>
      <c r="B54" s="4" t="s">
        <v>1132</v>
      </c>
      <c r="C54" s="24">
        <v>2E-3</v>
      </c>
      <c r="D54" s="1">
        <f t="shared" si="1"/>
        <v>0.01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60" x14ac:dyDescent="0.25">
      <c r="A56" s="3"/>
      <c r="B56" s="4" t="s">
        <v>1131</v>
      </c>
      <c r="C56" s="24">
        <v>0.23699999999999999</v>
      </c>
      <c r="D56" s="1">
        <f t="shared" si="1"/>
        <v>1.1850000000000001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1130</v>
      </c>
      <c r="C58" s="24">
        <v>0.29599999999999999</v>
      </c>
      <c r="D58" s="1">
        <f t="shared" si="1"/>
        <v>1.48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60" x14ac:dyDescent="0.25">
      <c r="A60" s="3"/>
      <c r="B60" s="4" t="s">
        <v>1129</v>
      </c>
      <c r="C60" s="24">
        <v>1E-3</v>
      </c>
      <c r="D60" s="1">
        <f t="shared" si="1"/>
        <v>5.0000000000000001E-3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1128</v>
      </c>
      <c r="C62" s="24">
        <v>2.5999999999999999E-2</v>
      </c>
      <c r="D62" s="1">
        <f t="shared" si="1"/>
        <v>0.13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60" x14ac:dyDescent="0.25">
      <c r="A64" s="3"/>
      <c r="B64" s="4" t="s">
        <v>1127</v>
      </c>
      <c r="C64" s="24">
        <v>8.9999999999999993E-3</v>
      </c>
      <c r="D64" s="1">
        <f t="shared" si="1"/>
        <v>4.4999999999999998E-2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60" x14ac:dyDescent="0.25">
      <c r="A66" s="3"/>
      <c r="B66" s="4" t="s">
        <v>1126</v>
      </c>
      <c r="C66" s="24">
        <v>1.0999999999999999E-2</v>
      </c>
      <c r="D66" s="1">
        <f t="shared" si="1"/>
        <v>5.4999999999999993E-2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1125</v>
      </c>
      <c r="C68" s="24">
        <v>2.3E-2</v>
      </c>
      <c r="D68" s="1">
        <f t="shared" si="1"/>
        <v>0.11499999999999999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1124</v>
      </c>
      <c r="C70" s="24">
        <v>2.1999999999999999E-2</v>
      </c>
      <c r="D70" s="1">
        <f t="shared" si="1"/>
        <v>0.10999999999999999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1123</v>
      </c>
      <c r="C72" s="30">
        <v>3.4000000000000002E-2</v>
      </c>
      <c r="D72" s="1">
        <f t="shared" si="1"/>
        <v>0.17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1122</v>
      </c>
      <c r="C74" s="24">
        <v>2E-3</v>
      </c>
      <c r="D74" s="1">
        <f t="shared" si="1"/>
        <v>0.01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1121</v>
      </c>
      <c r="C76" s="24">
        <v>3.0000000000000001E-3</v>
      </c>
      <c r="D76" s="1">
        <f t="shared" si="1"/>
        <v>1.4999999999999999E-2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60" x14ac:dyDescent="0.25">
      <c r="A78" s="3"/>
      <c r="B78" s="4" t="s">
        <v>1120</v>
      </c>
      <c r="C78" s="24">
        <v>1E-3</v>
      </c>
      <c r="D78" s="1">
        <f t="shared" si="1"/>
        <v>5.0000000000000001E-3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1119</v>
      </c>
      <c r="C80" s="24">
        <v>4.0000000000000001E-3</v>
      </c>
      <c r="D80" s="1">
        <f t="shared" si="1"/>
        <v>0.02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1118</v>
      </c>
      <c r="C82" s="24">
        <v>7.0999999999999994E-2</v>
      </c>
      <c r="D82" s="1">
        <f t="shared" si="1"/>
        <v>0.35499999999999998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1117</v>
      </c>
      <c r="C84" s="24">
        <v>2.1000000000000001E-2</v>
      </c>
      <c r="D84" s="1">
        <f t="shared" si="1"/>
        <v>0.10500000000000001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1116</v>
      </c>
      <c r="C86" s="24">
        <v>3.7999999999999999E-2</v>
      </c>
      <c r="D86" s="1">
        <f t="shared" si="1"/>
        <v>0.19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6.9005000000000001</v>
      </c>
    </row>
    <row r="88" spans="1:4" ht="15" customHeight="1" x14ac:dyDescent="0.25">
      <c r="A88" s="33"/>
      <c r="B88" s="34" t="s">
        <v>95</v>
      </c>
      <c r="C88" s="32">
        <f>ROUND(C87+C19,4)</f>
        <v>24.3401</v>
      </c>
      <c r="D88" s="32">
        <f>ROUND(D87+D19,4)</f>
        <v>121.70050000000001</v>
      </c>
    </row>
    <row r="89" spans="1:4" ht="34.5" customHeight="1" x14ac:dyDescent="0.25">
      <c r="A89" s="35"/>
      <c r="B89" s="36"/>
      <c r="C89" s="37"/>
      <c r="D89" s="37"/>
    </row>
    <row r="90" spans="1:4" ht="15" customHeight="1" x14ac:dyDescent="0.25">
      <c r="A90" s="161" t="s">
        <v>96</v>
      </c>
      <c r="B90" s="162"/>
      <c r="C90" s="41">
        <v>5</v>
      </c>
      <c r="D90" s="38"/>
    </row>
    <row r="91" spans="1:4" ht="20.25" customHeight="1" x14ac:dyDescent="0.25">
      <c r="A91" s="161" t="s">
        <v>112</v>
      </c>
      <c r="B91" s="162"/>
      <c r="C91" s="2">
        <f>D88/C90</f>
        <v>24.3401</v>
      </c>
      <c r="D91" s="38"/>
    </row>
  </sheetData>
  <mergeCells count="8">
    <mergeCell ref="A90:B90"/>
    <mergeCell ref="A91:B91"/>
    <mergeCell ref="E15:G15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E90"/>
  <sheetViews>
    <sheetView view="pageBreakPreview" zoomScale="60" zoomScaleNormal="85" workbookViewId="0">
      <selection activeCell="A5" sqref="A5:D5"/>
    </sheetView>
  </sheetViews>
  <sheetFormatPr defaultRowHeight="15" x14ac:dyDescent="0.25"/>
  <cols>
    <col min="1" max="1" width="6.140625" style="84" customWidth="1"/>
    <col min="2" max="2" width="60.7109375" style="84" customWidth="1"/>
    <col min="3" max="3" width="10.5703125" style="84" customWidth="1"/>
    <col min="4" max="4" width="10" style="84" customWidth="1"/>
    <col min="5" max="5" width="15.28515625" style="84" customWidth="1"/>
    <col min="6" max="16384" width="9.140625" style="84"/>
  </cols>
  <sheetData>
    <row r="1" spans="1:5" x14ac:dyDescent="0.25">
      <c r="A1" s="154" t="s">
        <v>78</v>
      </c>
      <c r="B1" s="154"/>
      <c r="C1" s="154"/>
      <c r="D1" s="154"/>
    </row>
    <row r="2" spans="1:5" ht="10.5" customHeight="1" x14ac:dyDescent="0.25">
      <c r="A2" s="6"/>
      <c r="B2" s="6"/>
      <c r="C2" s="155"/>
      <c r="D2" s="156"/>
    </row>
    <row r="3" spans="1:5" x14ac:dyDescent="0.25">
      <c r="A3" s="7" t="s">
        <v>110</v>
      </c>
      <c r="B3" s="8"/>
      <c r="C3" s="8"/>
      <c r="D3" s="8"/>
    </row>
    <row r="4" spans="1:5" x14ac:dyDescent="0.25">
      <c r="A4" s="6"/>
      <c r="B4" s="9"/>
      <c r="C4" s="9"/>
      <c r="D4" s="10"/>
    </row>
    <row r="5" spans="1:5" ht="47.25" customHeight="1" x14ac:dyDescent="0.25">
      <c r="A5" s="166" t="s">
        <v>277</v>
      </c>
      <c r="B5" s="166"/>
      <c r="C5" s="166"/>
      <c r="D5" s="166"/>
    </row>
    <row r="6" spans="1:5" ht="7.5" customHeight="1" x14ac:dyDescent="0.25">
      <c r="A6" s="49"/>
      <c r="B6" s="11"/>
      <c r="C6" s="11"/>
      <c r="D6" s="10"/>
    </row>
    <row r="7" spans="1:5" x14ac:dyDescent="0.25">
      <c r="A7" s="158" t="s">
        <v>111</v>
      </c>
      <c r="B7" s="159"/>
      <c r="C7" s="11"/>
      <c r="D7" s="10"/>
    </row>
    <row r="8" spans="1:5" ht="5.25" customHeight="1" x14ac:dyDescent="0.25">
      <c r="A8" s="6"/>
      <c r="B8" s="12"/>
      <c r="C8" s="13"/>
      <c r="D8" s="10"/>
    </row>
    <row r="9" spans="1:5" x14ac:dyDescent="0.25">
      <c r="A9" s="160" t="s">
        <v>109</v>
      </c>
      <c r="B9" s="160"/>
      <c r="C9" s="13"/>
      <c r="D9" s="10"/>
    </row>
    <row r="10" spans="1:5" ht="83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5" x14ac:dyDescent="0.25">
      <c r="A11" s="15">
        <v>1</v>
      </c>
      <c r="B11" s="16">
        <v>2</v>
      </c>
      <c r="C11" s="15">
        <v>3</v>
      </c>
      <c r="D11" s="15">
        <v>4</v>
      </c>
    </row>
    <row r="12" spans="1:5" ht="21" customHeight="1" x14ac:dyDescent="0.25">
      <c r="A12" s="17"/>
      <c r="B12" s="18" t="s">
        <v>84</v>
      </c>
      <c r="C12" s="19"/>
      <c r="D12" s="19"/>
    </row>
    <row r="13" spans="1:5" x14ac:dyDescent="0.25">
      <c r="A13" s="20">
        <v>1100</v>
      </c>
      <c r="B13" s="21" t="s">
        <v>85</v>
      </c>
      <c r="C13" s="22"/>
      <c r="D13" s="22"/>
    </row>
    <row r="14" spans="1:5" ht="162.75" customHeight="1" x14ac:dyDescent="0.25">
      <c r="A14" s="5"/>
      <c r="B14" s="83" t="s">
        <v>1163</v>
      </c>
      <c r="C14" s="1">
        <v>16.559999999999999</v>
      </c>
      <c r="D14" s="1">
        <f>C14*5</f>
        <v>82.8</v>
      </c>
      <c r="E14" s="85"/>
    </row>
    <row r="15" spans="1:5" ht="27.75" customHeight="1" x14ac:dyDescent="0.25">
      <c r="A15" s="5">
        <v>1200</v>
      </c>
      <c r="B15" s="23" t="s">
        <v>1112</v>
      </c>
      <c r="C15" s="1">
        <f>ROUND(C14*0.2359,2)</f>
        <v>3.91</v>
      </c>
      <c r="D15" s="1">
        <f t="shared" ref="D15:D17" si="0">C15*5</f>
        <v>19.55</v>
      </c>
      <c r="E15" s="111"/>
    </row>
    <row r="16" spans="1:5" x14ac:dyDescent="0.25">
      <c r="A16" s="3">
        <v>2341</v>
      </c>
      <c r="B16" s="3" t="s">
        <v>97</v>
      </c>
      <c r="C16" s="24"/>
      <c r="D16" s="1"/>
      <c r="E16" s="109"/>
    </row>
    <row r="17" spans="1:5" ht="95.25" customHeight="1" x14ac:dyDescent="0.25">
      <c r="A17" s="5"/>
      <c r="B17" s="23" t="s">
        <v>1539</v>
      </c>
      <c r="C17" s="1">
        <v>1.94</v>
      </c>
      <c r="D17" s="1">
        <f t="shared" si="0"/>
        <v>9.6999999999999993</v>
      </c>
      <c r="E17" s="109"/>
    </row>
    <row r="18" spans="1:5" x14ac:dyDescent="0.25">
      <c r="A18" s="5"/>
      <c r="B18" s="25" t="s">
        <v>87</v>
      </c>
      <c r="C18" s="32">
        <f>SUM(C13:C17)</f>
        <v>22.41</v>
      </c>
      <c r="D18" s="32">
        <f>SUM(D13:D17)</f>
        <v>112.05</v>
      </c>
      <c r="E18" s="112"/>
    </row>
    <row r="19" spans="1:5" ht="12.75" customHeight="1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23.790099999999999</v>
      </c>
      <c r="D87" s="32">
        <f>ROUND(D86+D18,4)</f>
        <v>118.95050000000001</v>
      </c>
    </row>
    <row r="88" spans="1:4" ht="26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" customHeight="1" x14ac:dyDescent="0.25">
      <c r="A90" s="161" t="s">
        <v>112</v>
      </c>
      <c r="B90" s="162"/>
      <c r="C90" s="2">
        <f>D87/C89</f>
        <v>23.790100000000002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E91"/>
  <sheetViews>
    <sheetView view="pageBreakPreview" topLeftCell="A32" zoomScale="60" zoomScaleNormal="100" workbookViewId="0">
      <selection activeCell="S18" sqref="S18"/>
    </sheetView>
  </sheetViews>
  <sheetFormatPr defaultRowHeight="15" x14ac:dyDescent="0.25"/>
  <cols>
    <col min="1" max="1" width="9.140625" style="84"/>
    <col min="2" max="2" width="61" style="84" customWidth="1"/>
    <col min="3" max="3" width="14.42578125" style="84" customWidth="1"/>
    <col min="4" max="4" width="12.7109375" style="84" customWidth="1"/>
    <col min="5" max="16384" width="9.140625" style="84"/>
  </cols>
  <sheetData>
    <row r="1" spans="1:5" ht="15.75" customHeight="1" x14ac:dyDescent="0.25">
      <c r="A1" s="154" t="s">
        <v>78</v>
      </c>
      <c r="B1" s="154"/>
      <c r="C1" s="154"/>
      <c r="D1" s="154"/>
    </row>
    <row r="2" spans="1:5" x14ac:dyDescent="0.25">
      <c r="A2" s="6"/>
      <c r="B2" s="6"/>
      <c r="C2" s="155"/>
      <c r="D2" s="156"/>
    </row>
    <row r="3" spans="1:5" ht="13.5" customHeight="1" x14ac:dyDescent="0.25">
      <c r="A3" s="7" t="s">
        <v>110</v>
      </c>
      <c r="B3" s="8"/>
      <c r="C3" s="8"/>
      <c r="D3" s="8"/>
    </row>
    <row r="4" spans="1:5" ht="12" customHeight="1" x14ac:dyDescent="0.25">
      <c r="A4" s="6"/>
      <c r="B4" s="9"/>
      <c r="C4" s="9"/>
      <c r="D4" s="10"/>
    </row>
    <row r="5" spans="1:5" ht="45.75" customHeight="1" x14ac:dyDescent="0.25">
      <c r="A5" s="166" t="s">
        <v>278</v>
      </c>
      <c r="B5" s="166"/>
      <c r="C5" s="166"/>
      <c r="D5" s="166"/>
    </row>
    <row r="6" spans="1:5" ht="7.5" customHeight="1" x14ac:dyDescent="0.25">
      <c r="A6" s="49"/>
      <c r="B6" s="11"/>
      <c r="C6" s="11"/>
      <c r="D6" s="10"/>
    </row>
    <row r="7" spans="1:5" x14ac:dyDescent="0.25">
      <c r="A7" s="158" t="s">
        <v>111</v>
      </c>
      <c r="B7" s="159"/>
      <c r="C7" s="11"/>
      <c r="D7" s="10"/>
    </row>
    <row r="8" spans="1:5" ht="6" customHeight="1" x14ac:dyDescent="0.25">
      <c r="A8" s="49"/>
      <c r="B8" s="79"/>
      <c r="C8" s="11"/>
      <c r="D8" s="10"/>
    </row>
    <row r="9" spans="1:5" x14ac:dyDescent="0.25">
      <c r="A9" s="160" t="s">
        <v>121</v>
      </c>
      <c r="B9" s="160"/>
      <c r="C9" s="13"/>
      <c r="D9" s="10"/>
    </row>
    <row r="10" spans="1:5" ht="10.5" customHeight="1" x14ac:dyDescent="0.25">
      <c r="A10" s="160"/>
      <c r="B10" s="160"/>
      <c r="C10" s="13"/>
      <c r="D10" s="10"/>
    </row>
    <row r="11" spans="1:5" ht="96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5" x14ac:dyDescent="0.25">
      <c r="A12" s="15">
        <v>1</v>
      </c>
      <c r="B12" s="16">
        <v>2</v>
      </c>
      <c r="C12" s="15">
        <v>3</v>
      </c>
      <c r="D12" s="15">
        <v>4</v>
      </c>
    </row>
    <row r="13" spans="1:5" x14ac:dyDescent="0.25">
      <c r="A13" s="17"/>
      <c r="B13" s="18" t="s">
        <v>84</v>
      </c>
      <c r="C13" s="19"/>
      <c r="D13" s="19"/>
    </row>
    <row r="14" spans="1:5" x14ac:dyDescent="0.25">
      <c r="A14" s="20">
        <v>1100</v>
      </c>
      <c r="B14" s="21" t="s">
        <v>85</v>
      </c>
      <c r="C14" s="22"/>
      <c r="D14" s="22"/>
    </row>
    <row r="15" spans="1:5" ht="163.5" customHeight="1" x14ac:dyDescent="0.25">
      <c r="A15" s="5"/>
      <c r="B15" s="83" t="s">
        <v>1164</v>
      </c>
      <c r="C15" s="1">
        <v>22.16</v>
      </c>
      <c r="D15" s="1">
        <f>C15*50</f>
        <v>1108</v>
      </c>
    </row>
    <row r="16" spans="1:5" ht="24" x14ac:dyDescent="0.25">
      <c r="A16" s="5">
        <v>1200</v>
      </c>
      <c r="B16" s="23" t="s">
        <v>1113</v>
      </c>
      <c r="C16" s="1">
        <f>ROUND(C15*0.2359,2)</f>
        <v>5.23</v>
      </c>
      <c r="D16" s="1">
        <f>C16*50</f>
        <v>261.5</v>
      </c>
      <c r="E16" s="111"/>
    </row>
    <row r="17" spans="1:5" x14ac:dyDescent="0.25">
      <c r="A17" s="5">
        <v>2341</v>
      </c>
      <c r="B17" s="5" t="s">
        <v>97</v>
      </c>
      <c r="C17" s="39"/>
      <c r="D17" s="1"/>
      <c r="E17" s="111"/>
    </row>
    <row r="18" spans="1:5" ht="111.75" customHeight="1" x14ac:dyDescent="0.25">
      <c r="A18" s="5"/>
      <c r="B18" s="23" t="s">
        <v>1550</v>
      </c>
      <c r="C18" s="1">
        <v>5.04</v>
      </c>
      <c r="D18" s="1">
        <f>C18*50</f>
        <v>252</v>
      </c>
      <c r="E18" s="111"/>
    </row>
    <row r="19" spans="1:5" x14ac:dyDescent="0.25">
      <c r="A19" s="3"/>
      <c r="B19" s="40" t="s">
        <v>87</v>
      </c>
      <c r="C19" s="32">
        <f>SUM(C14:C18)</f>
        <v>32.43</v>
      </c>
      <c r="D19" s="32">
        <f>SUM(D14:D18)</f>
        <v>1621.5</v>
      </c>
      <c r="E19" s="112"/>
    </row>
    <row r="20" spans="1:5" x14ac:dyDescent="0.25">
      <c r="A20" s="27"/>
      <c r="B20" s="103" t="s">
        <v>88</v>
      </c>
      <c r="C20" s="28"/>
      <c r="D20" s="28"/>
    </row>
    <row r="21" spans="1:5" x14ac:dyDescent="0.25">
      <c r="A21" s="3">
        <v>2100</v>
      </c>
      <c r="B21" s="69" t="s">
        <v>370</v>
      </c>
      <c r="C21" s="28"/>
      <c r="D21" s="28"/>
    </row>
    <row r="22" spans="1:5" ht="48" x14ac:dyDescent="0.25">
      <c r="A22" s="27"/>
      <c r="B22" s="4" t="s">
        <v>666</v>
      </c>
      <c r="C22" s="24">
        <v>2.1000000000000001E-2</v>
      </c>
      <c r="D22" s="1">
        <f>C22*50</f>
        <v>1.05</v>
      </c>
    </row>
    <row r="23" spans="1:5" x14ac:dyDescent="0.25">
      <c r="A23" s="3">
        <v>2210</v>
      </c>
      <c r="B23" s="4" t="s">
        <v>354</v>
      </c>
      <c r="C23" s="24"/>
      <c r="D23" s="1"/>
    </row>
    <row r="24" spans="1:5" ht="48" x14ac:dyDescent="0.25">
      <c r="A24" s="3"/>
      <c r="B24" s="4" t="s">
        <v>667</v>
      </c>
      <c r="C24" s="24">
        <v>2.1000000000000001E-2</v>
      </c>
      <c r="D24" s="1">
        <f t="shared" ref="D24:D86" si="0">C24*50</f>
        <v>1.05</v>
      </c>
    </row>
    <row r="25" spans="1:5" x14ac:dyDescent="0.25">
      <c r="A25" s="3">
        <v>2221</v>
      </c>
      <c r="B25" s="4" t="s">
        <v>89</v>
      </c>
      <c r="C25" s="1"/>
      <c r="D25" s="1"/>
    </row>
    <row r="26" spans="1:5" ht="48" x14ac:dyDescent="0.25">
      <c r="A26" s="3"/>
      <c r="B26" s="4" t="s">
        <v>668</v>
      </c>
      <c r="C26" s="24">
        <v>5.1999999999999998E-2</v>
      </c>
      <c r="D26" s="1">
        <f t="shared" si="0"/>
        <v>2.6</v>
      </c>
    </row>
    <row r="27" spans="1:5" x14ac:dyDescent="0.25">
      <c r="A27" s="3">
        <v>2222</v>
      </c>
      <c r="B27" s="67" t="s">
        <v>90</v>
      </c>
      <c r="C27" s="1"/>
      <c r="D27" s="1"/>
    </row>
    <row r="28" spans="1:5" ht="48" x14ac:dyDescent="0.25">
      <c r="A28" s="3"/>
      <c r="B28" s="4" t="s">
        <v>669</v>
      </c>
      <c r="C28" s="24">
        <f>ROUND(38.69/9509,4)</f>
        <v>4.1000000000000003E-3</v>
      </c>
      <c r="D28" s="1">
        <f t="shared" si="0"/>
        <v>0.20500000000000002</v>
      </c>
    </row>
    <row r="29" spans="1:5" x14ac:dyDescent="0.25">
      <c r="A29" s="3">
        <v>2223</v>
      </c>
      <c r="B29" s="3" t="s">
        <v>91</v>
      </c>
      <c r="C29" s="24"/>
      <c r="D29" s="1"/>
    </row>
    <row r="30" spans="1:5" ht="48" x14ac:dyDescent="0.25">
      <c r="A30" s="3"/>
      <c r="B30" s="4" t="s">
        <v>693</v>
      </c>
      <c r="C30" s="24">
        <v>9.4E-2</v>
      </c>
      <c r="D30" s="1">
        <f t="shared" si="0"/>
        <v>4.7</v>
      </c>
    </row>
    <row r="31" spans="1:5" ht="24" x14ac:dyDescent="0.25">
      <c r="A31" s="3">
        <v>2224</v>
      </c>
      <c r="B31" s="4" t="s">
        <v>114</v>
      </c>
      <c r="C31" s="24"/>
      <c r="D31" s="1"/>
    </row>
    <row r="32" spans="1:5" ht="48" x14ac:dyDescent="0.25">
      <c r="A32" s="3"/>
      <c r="B32" s="4" t="s">
        <v>694</v>
      </c>
      <c r="C32" s="24">
        <v>1.4999999999999999E-2</v>
      </c>
      <c r="D32" s="1">
        <f t="shared" si="0"/>
        <v>0.75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695</v>
      </c>
      <c r="C34" s="24">
        <v>2.5999999999999999E-2</v>
      </c>
      <c r="D34" s="1">
        <f t="shared" si="0"/>
        <v>1.3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696</v>
      </c>
      <c r="C36" s="24">
        <v>7.0000000000000001E-3</v>
      </c>
      <c r="D36" s="1">
        <f t="shared" si="0"/>
        <v>0.35000000000000003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697</v>
      </c>
      <c r="C38" s="24">
        <v>0.01</v>
      </c>
      <c r="D38" s="1">
        <f t="shared" si="0"/>
        <v>0.5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691</v>
      </c>
      <c r="C40" s="24">
        <v>7.0000000000000001E-3</v>
      </c>
      <c r="D40" s="1">
        <f t="shared" si="0"/>
        <v>0.35000000000000003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690</v>
      </c>
      <c r="C42" s="24">
        <v>4.9000000000000002E-2</v>
      </c>
      <c r="D42" s="1">
        <f t="shared" si="0"/>
        <v>2.4500000000000002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689</v>
      </c>
      <c r="C44" s="24">
        <v>6.0999999999999999E-2</v>
      </c>
      <c r="D44" s="1">
        <f t="shared" si="0"/>
        <v>3.05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688</v>
      </c>
      <c r="C46" s="24">
        <v>0.09</v>
      </c>
      <c r="D46" s="1">
        <f t="shared" si="0"/>
        <v>4.5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687</v>
      </c>
      <c r="C48" s="24">
        <v>0.05</v>
      </c>
      <c r="D48" s="1">
        <f t="shared" si="0"/>
        <v>2.5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686</v>
      </c>
      <c r="C50" s="24">
        <v>6.9000000000000006E-2</v>
      </c>
      <c r="D50" s="1">
        <f t="shared" si="0"/>
        <v>3.45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685</v>
      </c>
      <c r="C52" s="24">
        <v>3.0000000000000001E-3</v>
      </c>
      <c r="D52" s="1">
        <f t="shared" si="0"/>
        <v>0.15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684</v>
      </c>
      <c r="C54" s="24">
        <v>2E-3</v>
      </c>
      <c r="D54" s="1">
        <f t="shared" si="0"/>
        <v>0.1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683</v>
      </c>
      <c r="C56" s="24">
        <v>0.23699999999999999</v>
      </c>
      <c r="D56" s="1">
        <f t="shared" si="0"/>
        <v>11.85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964</v>
      </c>
      <c r="C58" s="24">
        <v>0.29599999999999999</v>
      </c>
      <c r="D58" s="1">
        <f t="shared" si="0"/>
        <v>14.799999999999999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955</v>
      </c>
      <c r="C60" s="24">
        <v>1E-3</v>
      </c>
      <c r="D60" s="1">
        <f t="shared" si="0"/>
        <v>0.05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682</v>
      </c>
      <c r="C62" s="24">
        <v>2.5999999999999999E-2</v>
      </c>
      <c r="D62" s="1">
        <f t="shared" si="0"/>
        <v>1.3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681</v>
      </c>
      <c r="C64" s="24">
        <v>8.9999999999999993E-3</v>
      </c>
      <c r="D64" s="1">
        <f t="shared" si="0"/>
        <v>0.44999999999999996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680</v>
      </c>
      <c r="C66" s="24">
        <v>1.0999999999999999E-2</v>
      </c>
      <c r="D66" s="1">
        <f t="shared" si="0"/>
        <v>0.54999999999999993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679</v>
      </c>
      <c r="C68" s="24">
        <v>2.3E-2</v>
      </c>
      <c r="D68" s="1">
        <f t="shared" si="0"/>
        <v>1.1499999999999999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670</v>
      </c>
      <c r="C70" s="24">
        <v>2.1999999999999999E-2</v>
      </c>
      <c r="D70" s="1">
        <f t="shared" si="0"/>
        <v>1.0999999999999999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671</v>
      </c>
      <c r="C72" s="30">
        <v>3.4000000000000002E-2</v>
      </c>
      <c r="D72" s="1">
        <f t="shared" si="0"/>
        <v>1.7000000000000002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672</v>
      </c>
      <c r="C74" s="24">
        <v>2E-3</v>
      </c>
      <c r="D74" s="1">
        <f t="shared" si="0"/>
        <v>0.1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673</v>
      </c>
      <c r="C76" s="24">
        <v>3.0000000000000001E-3</v>
      </c>
      <c r="D76" s="1">
        <f t="shared" si="0"/>
        <v>0.15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674</v>
      </c>
      <c r="C78" s="24">
        <v>1E-3</v>
      </c>
      <c r="D78" s="1">
        <f t="shared" si="0"/>
        <v>0.05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675</v>
      </c>
      <c r="C80" s="24">
        <v>4.0000000000000001E-3</v>
      </c>
      <c r="D80" s="1">
        <f t="shared" si="0"/>
        <v>0.2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676</v>
      </c>
      <c r="C82" s="24">
        <v>7.0999999999999994E-2</v>
      </c>
      <c r="D82" s="1">
        <f t="shared" si="0"/>
        <v>3.55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677</v>
      </c>
      <c r="C84" s="24">
        <v>2.1000000000000001E-2</v>
      </c>
      <c r="D84" s="1">
        <f t="shared" si="0"/>
        <v>1.05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678</v>
      </c>
      <c r="C86" s="24">
        <v>3.7999999999999999E-2</v>
      </c>
      <c r="D86" s="1">
        <f t="shared" si="0"/>
        <v>1.9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69.004999999999995</v>
      </c>
    </row>
    <row r="88" spans="1:4" ht="15" customHeight="1" x14ac:dyDescent="0.25">
      <c r="A88" s="33"/>
      <c r="B88" s="34" t="s">
        <v>95</v>
      </c>
      <c r="C88" s="32">
        <f>ROUND(C87+C19,4)</f>
        <v>33.810099999999998</v>
      </c>
      <c r="D88" s="32">
        <f>ROUND(D87+D19,4)</f>
        <v>1690.5050000000001</v>
      </c>
    </row>
    <row r="89" spans="1:4" ht="28.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50</v>
      </c>
      <c r="D90" s="38"/>
    </row>
    <row r="91" spans="1:4" ht="22.5" customHeight="1" x14ac:dyDescent="0.25">
      <c r="A91" s="161" t="s">
        <v>112</v>
      </c>
      <c r="B91" s="162"/>
      <c r="C91" s="2">
        <f>D88/C90</f>
        <v>33.810100000000006</v>
      </c>
      <c r="D91" s="38"/>
    </row>
  </sheetData>
  <mergeCells count="8">
    <mergeCell ref="A90:B90"/>
    <mergeCell ref="A91:B91"/>
    <mergeCell ref="A1:D1"/>
    <mergeCell ref="C2:D2"/>
    <mergeCell ref="A5:D5"/>
    <mergeCell ref="A7:B7"/>
    <mergeCell ref="A9:B9"/>
    <mergeCell ref="A10:B10"/>
  </mergeCells>
  <pageMargins left="0.7" right="0.7" top="0.75" bottom="0.75" header="0.3" footer="0.3"/>
  <pageSetup scale="92" orientation="portrait" r:id="rId1"/>
  <colBreaks count="1" manualBreakCount="1">
    <brk id="4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E91"/>
  <sheetViews>
    <sheetView view="pageBreakPreview" topLeftCell="A66" zoomScale="60" zoomScaleNormal="100" workbookViewId="0">
      <selection activeCell="B88" sqref="B88"/>
    </sheetView>
  </sheetViews>
  <sheetFormatPr defaultRowHeight="15" x14ac:dyDescent="0.25"/>
  <cols>
    <col min="1" max="1" width="9.140625" style="84"/>
    <col min="2" max="2" width="58.7109375" style="84" customWidth="1"/>
    <col min="3" max="3" width="11.140625" style="84" customWidth="1"/>
    <col min="4" max="4" width="13.85546875" style="84" customWidth="1"/>
    <col min="5" max="16384" width="9.140625" style="84"/>
  </cols>
  <sheetData>
    <row r="1" spans="1:5" x14ac:dyDescent="0.25">
      <c r="A1" s="154" t="s">
        <v>78</v>
      </c>
      <c r="B1" s="154"/>
      <c r="C1" s="154"/>
      <c r="D1" s="154"/>
    </row>
    <row r="2" spans="1:5" ht="11.25" customHeight="1" x14ac:dyDescent="0.25">
      <c r="A2" s="6"/>
      <c r="B2" s="6"/>
      <c r="C2" s="155"/>
      <c r="D2" s="156"/>
    </row>
    <row r="3" spans="1:5" ht="15" customHeight="1" x14ac:dyDescent="0.25">
      <c r="A3" s="7" t="s">
        <v>110</v>
      </c>
      <c r="B3" s="8"/>
      <c r="C3" s="8"/>
      <c r="D3" s="8"/>
    </row>
    <row r="4" spans="1:5" x14ac:dyDescent="0.25">
      <c r="A4" s="6"/>
      <c r="B4" s="9"/>
      <c r="C4" s="9"/>
      <c r="D4" s="10"/>
    </row>
    <row r="5" spans="1:5" ht="39" customHeight="1" x14ac:dyDescent="0.25">
      <c r="A5" s="166" t="s">
        <v>279</v>
      </c>
      <c r="B5" s="166"/>
      <c r="C5" s="166"/>
      <c r="D5" s="166"/>
    </row>
    <row r="6" spans="1:5" x14ac:dyDescent="0.25">
      <c r="A6" s="49"/>
      <c r="B6" s="11"/>
      <c r="C6" s="11"/>
      <c r="D6" s="10"/>
    </row>
    <row r="7" spans="1:5" ht="9.75" customHeight="1" x14ac:dyDescent="0.25">
      <c r="A7" s="158" t="s">
        <v>111</v>
      </c>
      <c r="B7" s="159"/>
      <c r="C7" s="11"/>
      <c r="D7" s="10"/>
    </row>
    <row r="8" spans="1:5" x14ac:dyDescent="0.25">
      <c r="A8" s="49"/>
      <c r="B8" s="79"/>
      <c r="C8" s="11"/>
      <c r="D8" s="10"/>
    </row>
    <row r="9" spans="1:5" x14ac:dyDescent="0.25">
      <c r="A9" s="160" t="s">
        <v>1151</v>
      </c>
      <c r="B9" s="160"/>
      <c r="C9" s="13"/>
      <c r="D9" s="10"/>
    </row>
    <row r="10" spans="1:5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5" x14ac:dyDescent="0.25">
      <c r="A11" s="15">
        <v>1</v>
      </c>
      <c r="B11" s="16">
        <v>2</v>
      </c>
      <c r="C11" s="15">
        <v>3</v>
      </c>
      <c r="D11" s="15">
        <v>4</v>
      </c>
    </row>
    <row r="12" spans="1:5" x14ac:dyDescent="0.25">
      <c r="A12" s="17"/>
      <c r="B12" s="18" t="s">
        <v>84</v>
      </c>
      <c r="C12" s="19"/>
      <c r="D12" s="19"/>
    </row>
    <row r="13" spans="1:5" x14ac:dyDescent="0.25">
      <c r="A13" s="20">
        <v>1100</v>
      </c>
      <c r="B13" s="21" t="s">
        <v>85</v>
      </c>
      <c r="C13" s="22"/>
      <c r="D13" s="22"/>
    </row>
    <row r="14" spans="1:5" ht="159.75" customHeight="1" x14ac:dyDescent="0.25">
      <c r="A14" s="5"/>
      <c r="B14" s="81" t="s">
        <v>1166</v>
      </c>
      <c r="C14" s="1">
        <v>22.16</v>
      </c>
      <c r="D14" s="1">
        <f>C14*5</f>
        <v>110.8</v>
      </c>
    </row>
    <row r="15" spans="1:5" ht="30" customHeight="1" x14ac:dyDescent="0.25">
      <c r="A15" s="5">
        <v>1200</v>
      </c>
      <c r="B15" s="4" t="s">
        <v>1114</v>
      </c>
      <c r="C15" s="1">
        <f>ROUND(C14*0.2359,2)</f>
        <v>5.23</v>
      </c>
      <c r="D15" s="1">
        <f>C15*5</f>
        <v>26.150000000000002</v>
      </c>
      <c r="E15" s="111"/>
    </row>
    <row r="16" spans="1:5" x14ac:dyDescent="0.25">
      <c r="A16" s="5">
        <v>2341</v>
      </c>
      <c r="B16" s="5" t="s">
        <v>116</v>
      </c>
      <c r="C16" s="39"/>
      <c r="D16" s="1"/>
    </row>
    <row r="17" spans="1:5" ht="84" x14ac:dyDescent="0.25">
      <c r="A17" s="5"/>
      <c r="B17" s="23" t="s">
        <v>1528</v>
      </c>
      <c r="C17" s="1">
        <v>0.66</v>
      </c>
      <c r="D17" s="1">
        <f t="shared" ref="D17" si="0">C17*5</f>
        <v>3.3000000000000003</v>
      </c>
    </row>
    <row r="18" spans="1:5" x14ac:dyDescent="0.25">
      <c r="A18" s="5"/>
      <c r="B18" s="40" t="s">
        <v>87</v>
      </c>
      <c r="C18" s="32">
        <f>SUM(C13:C17)</f>
        <v>28.05</v>
      </c>
      <c r="D18" s="32">
        <f>SUM(D13:D17)</f>
        <v>140.25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29.430099999999999</v>
      </c>
      <c r="D87" s="32">
        <f>ROUND(D86+D18,4)</f>
        <v>147.15049999999999</v>
      </c>
    </row>
    <row r="88" spans="1:4" ht="27.75" customHeight="1" x14ac:dyDescent="0.25">
      <c r="A88" s="35"/>
      <c r="B88" s="36"/>
      <c r="C88" s="37"/>
      <c r="D88" s="37"/>
    </row>
    <row r="89" spans="1:4" ht="15" customHeight="1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29.430099999999999</v>
      </c>
      <c r="D90" s="38"/>
    </row>
    <row r="91" spans="1:4" ht="23.25" customHeight="1" x14ac:dyDescent="0.25"/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3" orientation="portrait" r:id="rId1"/>
  <rowBreaks count="1" manualBreakCount="1">
    <brk id="66" max="3" man="1"/>
  </rowBreaks>
  <colBreaks count="1" manualBreakCount="1">
    <brk id="4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E90"/>
  <sheetViews>
    <sheetView view="pageBreakPreview" topLeftCell="A65" zoomScale="60" zoomScaleNormal="85" workbookViewId="0">
      <selection activeCell="A90" sqref="A90:XFD90"/>
    </sheetView>
  </sheetViews>
  <sheetFormatPr defaultRowHeight="15" x14ac:dyDescent="0.25"/>
  <cols>
    <col min="1" max="1" width="9.140625" style="84"/>
    <col min="2" max="2" width="61.28515625" style="84" customWidth="1"/>
    <col min="3" max="3" width="10.140625" style="84" customWidth="1"/>
    <col min="4" max="4" width="15.85546875" style="84" customWidth="1"/>
    <col min="5" max="16384" width="9.140625" style="84"/>
  </cols>
  <sheetData>
    <row r="1" spans="1:5" x14ac:dyDescent="0.25">
      <c r="A1" s="154" t="s">
        <v>78</v>
      </c>
      <c r="B1" s="154"/>
      <c r="C1" s="154"/>
      <c r="D1" s="154"/>
    </row>
    <row r="2" spans="1:5" ht="10.5" customHeight="1" x14ac:dyDescent="0.25">
      <c r="A2" s="6"/>
      <c r="B2" s="6"/>
      <c r="C2" s="155"/>
      <c r="D2" s="156"/>
    </row>
    <row r="3" spans="1:5" ht="15.75" customHeight="1" x14ac:dyDescent="0.25">
      <c r="A3" s="7" t="s">
        <v>110</v>
      </c>
      <c r="B3" s="8"/>
      <c r="C3" s="8"/>
      <c r="D3" s="8"/>
    </row>
    <row r="4" spans="1:5" ht="12.75" customHeight="1" x14ac:dyDescent="0.25">
      <c r="A4" s="6"/>
      <c r="B4" s="9"/>
      <c r="C4" s="9"/>
      <c r="D4" s="10"/>
    </row>
    <row r="5" spans="1:5" ht="39.75" customHeight="1" x14ac:dyDescent="0.25">
      <c r="A5" s="166" t="s">
        <v>280</v>
      </c>
      <c r="B5" s="166"/>
      <c r="C5" s="166"/>
      <c r="D5" s="166"/>
    </row>
    <row r="6" spans="1:5" x14ac:dyDescent="0.25">
      <c r="A6" s="49"/>
      <c r="B6" s="11"/>
      <c r="C6" s="11"/>
      <c r="D6" s="10"/>
    </row>
    <row r="7" spans="1:5" ht="7.5" customHeight="1" x14ac:dyDescent="0.25">
      <c r="A7" s="158" t="s">
        <v>111</v>
      </c>
      <c r="B7" s="159"/>
      <c r="C7" s="11"/>
      <c r="D7" s="10"/>
    </row>
    <row r="8" spans="1:5" ht="7.5" customHeight="1" x14ac:dyDescent="0.25">
      <c r="A8" s="49"/>
      <c r="B8" s="79"/>
      <c r="C8" s="11"/>
      <c r="D8" s="10"/>
    </row>
    <row r="9" spans="1:5" x14ac:dyDescent="0.25">
      <c r="A9" s="160" t="s">
        <v>121</v>
      </c>
      <c r="B9" s="160"/>
      <c r="C9" s="13"/>
      <c r="D9" s="10"/>
    </row>
    <row r="10" spans="1:5" ht="82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5" x14ac:dyDescent="0.25">
      <c r="A11" s="15">
        <v>1</v>
      </c>
      <c r="B11" s="16">
        <v>2</v>
      </c>
      <c r="C11" s="15">
        <v>3</v>
      </c>
      <c r="D11" s="15">
        <v>4</v>
      </c>
    </row>
    <row r="12" spans="1:5" x14ac:dyDescent="0.25">
      <c r="A12" s="17"/>
      <c r="B12" s="18" t="s">
        <v>84</v>
      </c>
      <c r="C12" s="19"/>
      <c r="D12" s="19"/>
    </row>
    <row r="13" spans="1:5" x14ac:dyDescent="0.25">
      <c r="A13" s="42">
        <v>1100</v>
      </c>
      <c r="B13" s="43" t="s">
        <v>85</v>
      </c>
      <c r="C13" s="22"/>
      <c r="D13" s="22"/>
    </row>
    <row r="14" spans="1:5" ht="156" x14ac:dyDescent="0.25">
      <c r="A14" s="3"/>
      <c r="B14" s="81" t="s">
        <v>1165</v>
      </c>
      <c r="C14" s="1">
        <v>22.16</v>
      </c>
      <c r="D14" s="1">
        <f>C14*50</f>
        <v>1108</v>
      </c>
    </row>
    <row r="15" spans="1:5" ht="24" x14ac:dyDescent="0.25">
      <c r="A15" s="3">
        <v>1200</v>
      </c>
      <c r="B15" s="4" t="s">
        <v>1114</v>
      </c>
      <c r="C15" s="1">
        <f>ROUND(C14*0.2359,2)</f>
        <v>5.23</v>
      </c>
      <c r="D15" s="1">
        <f t="shared" ref="D15:D17" si="0">C15*50</f>
        <v>261.5</v>
      </c>
      <c r="E15" s="109"/>
    </row>
    <row r="16" spans="1:5" x14ac:dyDescent="0.25">
      <c r="A16" s="3">
        <v>2341</v>
      </c>
      <c r="B16" s="3" t="s">
        <v>97</v>
      </c>
      <c r="C16" s="39"/>
      <c r="D16" s="1"/>
      <c r="E16" s="109"/>
    </row>
    <row r="17" spans="1:5" ht="84" x14ac:dyDescent="0.25">
      <c r="A17" s="3"/>
      <c r="B17" s="23" t="s">
        <v>1549</v>
      </c>
      <c r="C17" s="1">
        <v>5.5</v>
      </c>
      <c r="D17" s="1">
        <f t="shared" si="0"/>
        <v>275</v>
      </c>
      <c r="E17" s="109"/>
    </row>
    <row r="18" spans="1:5" x14ac:dyDescent="0.25">
      <c r="A18" s="5"/>
      <c r="B18" s="40" t="s">
        <v>87</v>
      </c>
      <c r="C18" s="32">
        <f>SUM(C13:C17)</f>
        <v>32.89</v>
      </c>
      <c r="D18" s="32">
        <f>SUM(D13:D17)</f>
        <v>1644.5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666</v>
      </c>
      <c r="C21" s="24">
        <v>2.1000000000000001E-2</v>
      </c>
      <c r="D21" s="1">
        <f>C21*50</f>
        <v>1.05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667</v>
      </c>
      <c r="C23" s="24">
        <v>2.1000000000000001E-2</v>
      </c>
      <c r="D23" s="1">
        <f t="shared" ref="D23:D85" si="1">C23*50</f>
        <v>1.05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668</v>
      </c>
      <c r="C25" s="24">
        <v>5.1999999999999998E-2</v>
      </c>
      <c r="D25" s="1">
        <f t="shared" si="1"/>
        <v>2.6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669</v>
      </c>
      <c r="C27" s="24">
        <f>ROUND(38.69/9509,4)</f>
        <v>4.1000000000000003E-3</v>
      </c>
      <c r="D27" s="1">
        <f t="shared" si="1"/>
        <v>0.20500000000000002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693</v>
      </c>
      <c r="C29" s="24">
        <v>9.4E-2</v>
      </c>
      <c r="D29" s="1">
        <f t="shared" si="1"/>
        <v>4.7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694</v>
      </c>
      <c r="C31" s="24">
        <v>1.4999999999999999E-2</v>
      </c>
      <c r="D31" s="1">
        <f t="shared" si="1"/>
        <v>0.75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695</v>
      </c>
      <c r="C33" s="24">
        <v>2.5999999999999999E-2</v>
      </c>
      <c r="D33" s="1">
        <f t="shared" si="1"/>
        <v>1.3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696</v>
      </c>
      <c r="C35" s="24">
        <v>7.0000000000000001E-3</v>
      </c>
      <c r="D35" s="1">
        <f t="shared" si="1"/>
        <v>0.35000000000000003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697</v>
      </c>
      <c r="C37" s="24">
        <v>0.01</v>
      </c>
      <c r="D37" s="1">
        <f t="shared" si="1"/>
        <v>0.5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691</v>
      </c>
      <c r="C39" s="24">
        <v>7.0000000000000001E-3</v>
      </c>
      <c r="D39" s="1">
        <f t="shared" si="1"/>
        <v>0.35000000000000003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690</v>
      </c>
      <c r="C41" s="24">
        <v>4.9000000000000002E-2</v>
      </c>
      <c r="D41" s="1">
        <f t="shared" si="1"/>
        <v>2.4500000000000002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689</v>
      </c>
      <c r="C43" s="24">
        <v>6.0999999999999999E-2</v>
      </c>
      <c r="D43" s="1">
        <f t="shared" si="1"/>
        <v>3.05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688</v>
      </c>
      <c r="C45" s="24">
        <v>0.09</v>
      </c>
      <c r="D45" s="1">
        <f t="shared" si="1"/>
        <v>4.5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687</v>
      </c>
      <c r="C47" s="24">
        <v>0.05</v>
      </c>
      <c r="D47" s="1">
        <f t="shared" si="1"/>
        <v>2.5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686</v>
      </c>
      <c r="C49" s="24">
        <v>6.9000000000000006E-2</v>
      </c>
      <c r="D49" s="1">
        <f t="shared" si="1"/>
        <v>3.45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685</v>
      </c>
      <c r="C51" s="24">
        <v>3.0000000000000001E-3</v>
      </c>
      <c r="D51" s="1">
        <f t="shared" si="1"/>
        <v>0.15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684</v>
      </c>
      <c r="C53" s="24">
        <v>2E-3</v>
      </c>
      <c r="D53" s="1">
        <f t="shared" si="1"/>
        <v>0.1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683</v>
      </c>
      <c r="C55" s="24">
        <v>0.23699999999999999</v>
      </c>
      <c r="D55" s="1">
        <f t="shared" si="1"/>
        <v>11.85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964</v>
      </c>
      <c r="C57" s="24">
        <v>0.29599999999999999</v>
      </c>
      <c r="D57" s="1">
        <f t="shared" si="1"/>
        <v>14.799999999999999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955</v>
      </c>
      <c r="C59" s="24">
        <v>1E-3</v>
      </c>
      <c r="D59" s="1">
        <f t="shared" si="1"/>
        <v>0.05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682</v>
      </c>
      <c r="C61" s="24">
        <v>2.5999999999999999E-2</v>
      </c>
      <c r="D61" s="1">
        <f t="shared" si="1"/>
        <v>1.3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681</v>
      </c>
      <c r="C63" s="24">
        <v>8.9999999999999993E-3</v>
      </c>
      <c r="D63" s="1">
        <f t="shared" si="1"/>
        <v>0.44999999999999996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680</v>
      </c>
      <c r="C65" s="24">
        <v>1.0999999999999999E-2</v>
      </c>
      <c r="D65" s="1">
        <f t="shared" si="1"/>
        <v>0.54999999999999993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679</v>
      </c>
      <c r="C67" s="24">
        <v>2.3E-2</v>
      </c>
      <c r="D67" s="1">
        <f t="shared" si="1"/>
        <v>1.1499999999999999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670</v>
      </c>
      <c r="C69" s="24">
        <v>2.1999999999999999E-2</v>
      </c>
      <c r="D69" s="1">
        <f t="shared" si="1"/>
        <v>1.0999999999999999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671</v>
      </c>
      <c r="C71" s="30">
        <v>3.4000000000000002E-2</v>
      </c>
      <c r="D71" s="1">
        <f t="shared" si="1"/>
        <v>1.7000000000000002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672</v>
      </c>
      <c r="C73" s="24">
        <v>2E-3</v>
      </c>
      <c r="D73" s="1">
        <f t="shared" si="1"/>
        <v>0.1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673</v>
      </c>
      <c r="C75" s="24">
        <v>3.0000000000000001E-3</v>
      </c>
      <c r="D75" s="1">
        <f t="shared" si="1"/>
        <v>0.15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674</v>
      </c>
      <c r="C77" s="24">
        <v>1E-3</v>
      </c>
      <c r="D77" s="1">
        <f t="shared" si="1"/>
        <v>0.05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675</v>
      </c>
      <c r="C79" s="24">
        <v>4.0000000000000001E-3</v>
      </c>
      <c r="D79" s="1">
        <f t="shared" si="1"/>
        <v>0.2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676</v>
      </c>
      <c r="C81" s="24">
        <v>7.0999999999999994E-2</v>
      </c>
      <c r="D81" s="1">
        <f t="shared" si="1"/>
        <v>3.55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677</v>
      </c>
      <c r="C83" s="24">
        <v>2.1000000000000001E-2</v>
      </c>
      <c r="D83" s="1">
        <f t="shared" si="1"/>
        <v>1.05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678</v>
      </c>
      <c r="C85" s="24">
        <v>3.7999999999999999E-2</v>
      </c>
      <c r="D85" s="1">
        <f t="shared" si="1"/>
        <v>1.9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69.004999999999995</v>
      </c>
    </row>
    <row r="87" spans="1:4" ht="15" customHeight="1" x14ac:dyDescent="0.25">
      <c r="A87" s="33"/>
      <c r="B87" s="34" t="s">
        <v>95</v>
      </c>
      <c r="C87" s="32">
        <f>ROUND(C86+C18,4)</f>
        <v>34.270099999999999</v>
      </c>
      <c r="D87" s="32">
        <f>ROUND(D86+D18,4)</f>
        <v>1713.5050000000001</v>
      </c>
    </row>
    <row r="88" spans="1:4" ht="33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50</v>
      </c>
      <c r="D89" s="38"/>
    </row>
    <row r="90" spans="1:4" ht="25.5" customHeight="1" x14ac:dyDescent="0.25">
      <c r="A90" s="161" t="s">
        <v>112</v>
      </c>
      <c r="B90" s="162"/>
      <c r="C90" s="2">
        <f>D87/C89</f>
        <v>34.270099999999999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3" orientation="portrait" r:id="rId1"/>
  <colBreaks count="1" manualBreakCount="1">
    <brk id="4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E89"/>
  <sheetViews>
    <sheetView view="pageBreakPreview" zoomScale="60" zoomScaleNormal="100" workbookViewId="0">
      <selection activeCell="B16" sqref="B16"/>
    </sheetView>
  </sheetViews>
  <sheetFormatPr defaultRowHeight="15" x14ac:dyDescent="0.25"/>
  <cols>
    <col min="1" max="1" width="9.140625" style="84"/>
    <col min="2" max="2" width="61.7109375" style="84" customWidth="1"/>
    <col min="3" max="16384" width="9.140625" style="84"/>
  </cols>
  <sheetData>
    <row r="1" spans="1:5" x14ac:dyDescent="0.25">
      <c r="A1" s="167" t="s">
        <v>78</v>
      </c>
      <c r="B1" s="167"/>
      <c r="C1" s="167"/>
      <c r="D1" s="167"/>
    </row>
    <row r="2" spans="1:5" ht="10.5" customHeight="1" x14ac:dyDescent="0.25">
      <c r="A2" s="45"/>
      <c r="B2" s="45"/>
      <c r="C2" s="168"/>
      <c r="D2" s="169"/>
    </row>
    <row r="3" spans="1:5" ht="20.25" customHeight="1" x14ac:dyDescent="0.25">
      <c r="A3" s="46" t="s">
        <v>110</v>
      </c>
      <c r="B3" s="47"/>
      <c r="C3" s="47"/>
      <c r="D3" s="47"/>
    </row>
    <row r="4" spans="1:5" ht="46.5" customHeight="1" x14ac:dyDescent="0.25">
      <c r="A4" s="166" t="s">
        <v>281</v>
      </c>
      <c r="B4" s="166"/>
      <c r="C4" s="166"/>
      <c r="D4" s="166"/>
    </row>
    <row r="5" spans="1:5" x14ac:dyDescent="0.25">
      <c r="A5" s="158" t="s">
        <v>111</v>
      </c>
      <c r="B5" s="159"/>
      <c r="C5" s="11"/>
      <c r="D5" s="44"/>
    </row>
    <row r="6" spans="1:5" ht="10.5" customHeight="1" x14ac:dyDescent="0.25">
      <c r="A6" s="49"/>
      <c r="B6" s="79"/>
      <c r="C6" s="11"/>
      <c r="D6" s="44"/>
    </row>
    <row r="7" spans="1:5" x14ac:dyDescent="0.25">
      <c r="A7" s="170" t="s">
        <v>109</v>
      </c>
      <c r="B7" s="170"/>
      <c r="C7" s="48"/>
      <c r="D7" s="44"/>
    </row>
    <row r="8" spans="1:5" ht="11.25" customHeight="1" x14ac:dyDescent="0.25">
      <c r="A8" s="45"/>
      <c r="B8" s="36"/>
      <c r="C8" s="48"/>
      <c r="D8" s="44"/>
    </row>
    <row r="9" spans="1:5" ht="120" x14ac:dyDescent="0.25">
      <c r="A9" s="14" t="s">
        <v>80</v>
      </c>
      <c r="B9" s="14" t="s">
        <v>81</v>
      </c>
      <c r="C9" s="14" t="s">
        <v>82</v>
      </c>
      <c r="D9" s="14" t="s">
        <v>83</v>
      </c>
    </row>
    <row r="10" spans="1:5" x14ac:dyDescent="0.25">
      <c r="A10" s="15">
        <v>1</v>
      </c>
      <c r="B10" s="16">
        <v>2</v>
      </c>
      <c r="C10" s="15">
        <v>3</v>
      </c>
      <c r="D10" s="15">
        <v>4</v>
      </c>
    </row>
    <row r="11" spans="1:5" x14ac:dyDescent="0.25">
      <c r="A11" s="15"/>
      <c r="B11" s="31" t="s">
        <v>84</v>
      </c>
      <c r="C11" s="19"/>
      <c r="D11" s="19"/>
    </row>
    <row r="12" spans="1:5" x14ac:dyDescent="0.25">
      <c r="A12" s="42">
        <v>1100</v>
      </c>
      <c r="B12" s="43" t="s">
        <v>85</v>
      </c>
      <c r="C12" s="22"/>
      <c r="D12" s="22"/>
    </row>
    <row r="13" spans="1:5" ht="149.25" customHeight="1" x14ac:dyDescent="0.25">
      <c r="A13" s="3"/>
      <c r="B13" s="81" t="s">
        <v>1166</v>
      </c>
      <c r="C13" s="1">
        <v>22.16</v>
      </c>
      <c r="D13" s="1">
        <f>C13*5</f>
        <v>110.8</v>
      </c>
    </row>
    <row r="14" spans="1:5" ht="24" x14ac:dyDescent="0.25">
      <c r="A14" s="3">
        <v>1200</v>
      </c>
      <c r="B14" s="23" t="s">
        <v>1114</v>
      </c>
      <c r="C14" s="1">
        <f>ROUND(C13*0.2359,2)</f>
        <v>5.23</v>
      </c>
      <c r="D14" s="1">
        <f>C14*5</f>
        <v>26.150000000000002</v>
      </c>
    </row>
    <row r="15" spans="1:5" x14ac:dyDescent="0.25">
      <c r="A15" s="3">
        <v>2341</v>
      </c>
      <c r="B15" s="3" t="s">
        <v>116</v>
      </c>
      <c r="C15" s="24"/>
      <c r="D15" s="24"/>
    </row>
    <row r="16" spans="1:5" ht="96" x14ac:dyDescent="0.25">
      <c r="A16" s="3"/>
      <c r="B16" s="4" t="s">
        <v>1526</v>
      </c>
      <c r="C16" s="1">
        <v>4.6500000000000004</v>
      </c>
      <c r="D16" s="1">
        <f>C16*5</f>
        <v>23.25</v>
      </c>
      <c r="E16" s="108"/>
    </row>
    <row r="17" spans="1:5" x14ac:dyDescent="0.25">
      <c r="A17" s="34"/>
      <c r="B17" s="40" t="s">
        <v>87</v>
      </c>
      <c r="C17" s="32">
        <f>SUM(C12:C16)</f>
        <v>32.04</v>
      </c>
      <c r="D17" s="32">
        <f>SUM(D12:D16)</f>
        <v>160.19999999999999</v>
      </c>
      <c r="E17" s="107"/>
    </row>
    <row r="18" spans="1:5" x14ac:dyDescent="0.25">
      <c r="A18" s="27"/>
      <c r="B18" s="103" t="s">
        <v>88</v>
      </c>
      <c r="C18" s="28"/>
      <c r="D18" s="28"/>
    </row>
    <row r="19" spans="1:5" x14ac:dyDescent="0.25">
      <c r="A19" s="3">
        <v>2100</v>
      </c>
      <c r="B19" s="69" t="s">
        <v>370</v>
      </c>
      <c r="C19" s="28"/>
      <c r="D19" s="28"/>
    </row>
    <row r="20" spans="1:5" ht="48" x14ac:dyDescent="0.25">
      <c r="A20" s="27"/>
      <c r="B20" s="4" t="s">
        <v>1148</v>
      </c>
      <c r="C20" s="24">
        <v>2.1000000000000001E-2</v>
      </c>
      <c r="D20" s="1">
        <f>C20*5</f>
        <v>0.10500000000000001</v>
      </c>
    </row>
    <row r="21" spans="1:5" x14ac:dyDescent="0.25">
      <c r="A21" s="3">
        <v>2210</v>
      </c>
      <c r="B21" s="4" t="s">
        <v>354</v>
      </c>
      <c r="C21" s="24"/>
      <c r="D21" s="1"/>
    </row>
    <row r="22" spans="1:5" ht="48" x14ac:dyDescent="0.25">
      <c r="A22" s="3"/>
      <c r="B22" s="4" t="s">
        <v>1147</v>
      </c>
      <c r="C22" s="24">
        <v>2.1000000000000001E-2</v>
      </c>
      <c r="D22" s="1">
        <f t="shared" ref="D22:D84" si="0">C22*5</f>
        <v>0.10500000000000001</v>
      </c>
    </row>
    <row r="23" spans="1:5" x14ac:dyDescent="0.25">
      <c r="A23" s="3">
        <v>2221</v>
      </c>
      <c r="B23" s="4" t="s">
        <v>89</v>
      </c>
      <c r="C23" s="1"/>
      <c r="D23" s="1"/>
    </row>
    <row r="24" spans="1:5" ht="48" x14ac:dyDescent="0.25">
      <c r="A24" s="3"/>
      <c r="B24" s="4" t="s">
        <v>1146</v>
      </c>
      <c r="C24" s="24">
        <v>5.1999999999999998E-2</v>
      </c>
      <c r="D24" s="1">
        <f t="shared" si="0"/>
        <v>0.26</v>
      </c>
    </row>
    <row r="25" spans="1:5" x14ac:dyDescent="0.25">
      <c r="A25" s="3">
        <v>2222</v>
      </c>
      <c r="B25" s="67" t="s">
        <v>90</v>
      </c>
      <c r="C25" s="1"/>
      <c r="D25" s="1"/>
    </row>
    <row r="26" spans="1:5" ht="48" x14ac:dyDescent="0.25">
      <c r="A26" s="3"/>
      <c r="B26" s="4" t="s">
        <v>1145</v>
      </c>
      <c r="C26" s="24">
        <f>ROUND(38.69/9509,4)</f>
        <v>4.1000000000000003E-3</v>
      </c>
      <c r="D26" s="1">
        <f t="shared" si="0"/>
        <v>2.0500000000000001E-2</v>
      </c>
    </row>
    <row r="27" spans="1:5" x14ac:dyDescent="0.25">
      <c r="A27" s="3">
        <v>2223</v>
      </c>
      <c r="B27" s="3" t="s">
        <v>91</v>
      </c>
      <c r="C27" s="24"/>
      <c r="D27" s="1"/>
    </row>
    <row r="28" spans="1:5" ht="48" x14ac:dyDescent="0.25">
      <c r="A28" s="3"/>
      <c r="B28" s="4" t="s">
        <v>1144</v>
      </c>
      <c r="C28" s="24">
        <v>9.4E-2</v>
      </c>
      <c r="D28" s="1">
        <f t="shared" si="0"/>
        <v>0.47</v>
      </c>
    </row>
    <row r="29" spans="1:5" ht="24" x14ac:dyDescent="0.25">
      <c r="A29" s="3">
        <v>2224</v>
      </c>
      <c r="B29" s="4" t="s">
        <v>114</v>
      </c>
      <c r="C29" s="24"/>
      <c r="D29" s="1"/>
    </row>
    <row r="30" spans="1:5" ht="48" x14ac:dyDescent="0.25">
      <c r="A30" s="3"/>
      <c r="B30" s="4" t="s">
        <v>1143</v>
      </c>
      <c r="C30" s="24">
        <v>1.4999999999999999E-2</v>
      </c>
      <c r="D30" s="1">
        <f t="shared" si="0"/>
        <v>7.4999999999999997E-2</v>
      </c>
    </row>
    <row r="31" spans="1:5" x14ac:dyDescent="0.25">
      <c r="A31" s="3">
        <v>2231</v>
      </c>
      <c r="B31" s="4" t="s">
        <v>117</v>
      </c>
      <c r="C31" s="24"/>
      <c r="D31" s="1"/>
    </row>
    <row r="32" spans="1:5" ht="48" x14ac:dyDescent="0.25">
      <c r="A32" s="3"/>
      <c r="B32" s="4" t="s">
        <v>1142</v>
      </c>
      <c r="C32" s="24">
        <v>2.5999999999999999E-2</v>
      </c>
      <c r="D32" s="1">
        <f t="shared" si="0"/>
        <v>0.13</v>
      </c>
    </row>
    <row r="33" spans="1:4" x14ac:dyDescent="0.25">
      <c r="A33" s="3">
        <v>2232</v>
      </c>
      <c r="B33" s="4" t="s">
        <v>453</v>
      </c>
      <c r="C33" s="1"/>
      <c r="D33" s="1"/>
    </row>
    <row r="34" spans="1:4" ht="48" x14ac:dyDescent="0.25">
      <c r="A34" s="3"/>
      <c r="B34" s="4" t="s">
        <v>1141</v>
      </c>
      <c r="C34" s="24">
        <v>7.0000000000000001E-3</v>
      </c>
      <c r="D34" s="1">
        <f t="shared" si="0"/>
        <v>3.5000000000000003E-2</v>
      </c>
    </row>
    <row r="35" spans="1:4" x14ac:dyDescent="0.25">
      <c r="A35" s="3">
        <v>2233</v>
      </c>
      <c r="B35" s="67" t="s">
        <v>127</v>
      </c>
      <c r="C35" s="1"/>
      <c r="D35" s="1"/>
    </row>
    <row r="36" spans="1:4" ht="48" x14ac:dyDescent="0.25">
      <c r="A36" s="3"/>
      <c r="B36" s="4" t="s">
        <v>1140</v>
      </c>
      <c r="C36" s="24">
        <v>0.01</v>
      </c>
      <c r="D36" s="1">
        <f t="shared" si="0"/>
        <v>0.05</v>
      </c>
    </row>
    <row r="37" spans="1:4" x14ac:dyDescent="0.25">
      <c r="A37" s="3">
        <v>2235</v>
      </c>
      <c r="B37" s="67" t="s">
        <v>355</v>
      </c>
      <c r="C37" s="24"/>
      <c r="D37" s="1"/>
    </row>
    <row r="38" spans="1:4" ht="48" x14ac:dyDescent="0.25">
      <c r="A38" s="3"/>
      <c r="B38" s="4" t="s">
        <v>1139</v>
      </c>
      <c r="C38" s="24">
        <v>7.0000000000000001E-3</v>
      </c>
      <c r="D38" s="1">
        <f t="shared" si="0"/>
        <v>3.5000000000000003E-2</v>
      </c>
    </row>
    <row r="39" spans="1:4" x14ac:dyDescent="0.25">
      <c r="A39" s="3">
        <v>2239</v>
      </c>
      <c r="B39" s="67" t="s">
        <v>356</v>
      </c>
      <c r="C39" s="24"/>
      <c r="D39" s="1"/>
    </row>
    <row r="40" spans="1:4" ht="48" x14ac:dyDescent="0.25">
      <c r="A40" s="3"/>
      <c r="B40" s="4" t="s">
        <v>1138</v>
      </c>
      <c r="C40" s="24">
        <v>4.9000000000000002E-2</v>
      </c>
      <c r="D40" s="1">
        <f t="shared" si="0"/>
        <v>0.245</v>
      </c>
    </row>
    <row r="41" spans="1:4" x14ac:dyDescent="0.25">
      <c r="A41" s="3">
        <v>2241</v>
      </c>
      <c r="B41" s="67" t="s">
        <v>460</v>
      </c>
      <c r="C41" s="24"/>
      <c r="D41" s="1"/>
    </row>
    <row r="42" spans="1:4" ht="48" x14ac:dyDescent="0.25">
      <c r="A42" s="3"/>
      <c r="B42" s="4" t="s">
        <v>1137</v>
      </c>
      <c r="C42" s="24">
        <v>6.0999999999999999E-2</v>
      </c>
      <c r="D42" s="1">
        <f t="shared" si="0"/>
        <v>0.30499999999999999</v>
      </c>
    </row>
    <row r="43" spans="1:4" x14ac:dyDescent="0.25">
      <c r="A43" s="3">
        <v>2242</v>
      </c>
      <c r="B43" s="67" t="s">
        <v>357</v>
      </c>
      <c r="C43" s="24"/>
      <c r="D43" s="1"/>
    </row>
    <row r="44" spans="1:4" ht="48" x14ac:dyDescent="0.25">
      <c r="A44" s="3"/>
      <c r="B44" s="4" t="s">
        <v>1136</v>
      </c>
      <c r="C44" s="24">
        <v>0.09</v>
      </c>
      <c r="D44" s="1">
        <f t="shared" si="0"/>
        <v>0.44999999999999996</v>
      </c>
    </row>
    <row r="45" spans="1:4" x14ac:dyDescent="0.25">
      <c r="A45" s="3">
        <v>2243</v>
      </c>
      <c r="B45" s="4" t="s">
        <v>100</v>
      </c>
      <c r="C45" s="1"/>
      <c r="D45" s="1"/>
    </row>
    <row r="46" spans="1:4" ht="48" x14ac:dyDescent="0.25">
      <c r="A46" s="3"/>
      <c r="B46" s="4" t="s">
        <v>1135</v>
      </c>
      <c r="C46" s="24">
        <v>0.05</v>
      </c>
      <c r="D46" s="1">
        <f t="shared" si="0"/>
        <v>0.25</v>
      </c>
    </row>
    <row r="47" spans="1:4" x14ac:dyDescent="0.25">
      <c r="A47" s="3">
        <v>2244</v>
      </c>
      <c r="B47" s="4" t="s">
        <v>92</v>
      </c>
      <c r="C47" s="1"/>
      <c r="D47" s="1"/>
    </row>
    <row r="48" spans="1:4" ht="48" x14ac:dyDescent="0.25">
      <c r="A48" s="29"/>
      <c r="B48" s="4" t="s">
        <v>1134</v>
      </c>
      <c r="C48" s="24">
        <v>6.9000000000000006E-2</v>
      </c>
      <c r="D48" s="1">
        <f t="shared" si="0"/>
        <v>0.34500000000000003</v>
      </c>
    </row>
    <row r="49" spans="1:4" x14ac:dyDescent="0.25">
      <c r="A49" s="3">
        <v>2247</v>
      </c>
      <c r="B49" s="67" t="s">
        <v>358</v>
      </c>
      <c r="C49" s="1"/>
      <c r="D49" s="1"/>
    </row>
    <row r="50" spans="1:4" ht="48" x14ac:dyDescent="0.25">
      <c r="A50" s="29"/>
      <c r="B50" s="4" t="s">
        <v>1133</v>
      </c>
      <c r="C50" s="24">
        <v>3.0000000000000001E-3</v>
      </c>
      <c r="D50" s="1">
        <f t="shared" si="0"/>
        <v>1.4999999999999999E-2</v>
      </c>
    </row>
    <row r="51" spans="1:4" x14ac:dyDescent="0.25">
      <c r="A51" s="3">
        <v>2249</v>
      </c>
      <c r="B51" s="67" t="s">
        <v>359</v>
      </c>
      <c r="C51" s="1"/>
      <c r="D51" s="1"/>
    </row>
    <row r="52" spans="1:4" ht="48" x14ac:dyDescent="0.25">
      <c r="A52" s="29"/>
      <c r="B52" s="4" t="s">
        <v>1132</v>
      </c>
      <c r="C52" s="24">
        <v>2E-3</v>
      </c>
      <c r="D52" s="1">
        <f t="shared" si="0"/>
        <v>0.01</v>
      </c>
    </row>
    <row r="53" spans="1:4" x14ac:dyDescent="0.25">
      <c r="A53" s="3">
        <v>2250</v>
      </c>
      <c r="B53" s="4" t="s">
        <v>118</v>
      </c>
      <c r="C53" s="24"/>
      <c r="D53" s="1"/>
    </row>
    <row r="54" spans="1:4" ht="48" x14ac:dyDescent="0.25">
      <c r="A54" s="3"/>
      <c r="B54" s="4" t="s">
        <v>1131</v>
      </c>
      <c r="C54" s="24">
        <v>0.23699999999999999</v>
      </c>
      <c r="D54" s="1">
        <f t="shared" si="0"/>
        <v>1.1850000000000001</v>
      </c>
    </row>
    <row r="55" spans="1:4" x14ac:dyDescent="0.25">
      <c r="A55" s="3">
        <v>2261</v>
      </c>
      <c r="B55" s="67" t="s">
        <v>130</v>
      </c>
      <c r="C55" s="1"/>
      <c r="D55" s="1"/>
    </row>
    <row r="56" spans="1:4" ht="48" x14ac:dyDescent="0.25">
      <c r="A56" s="3"/>
      <c r="B56" s="4" t="s">
        <v>1130</v>
      </c>
      <c r="C56" s="24">
        <v>0.29599999999999999</v>
      </c>
      <c r="D56" s="1">
        <f t="shared" si="0"/>
        <v>1.48</v>
      </c>
    </row>
    <row r="57" spans="1:4" x14ac:dyDescent="0.25">
      <c r="A57" s="3">
        <v>2263</v>
      </c>
      <c r="B57" s="67" t="s">
        <v>360</v>
      </c>
      <c r="C57" s="1"/>
      <c r="D57" s="1"/>
    </row>
    <row r="58" spans="1:4" ht="48" x14ac:dyDescent="0.25">
      <c r="A58" s="3"/>
      <c r="B58" s="4" t="s">
        <v>1129</v>
      </c>
      <c r="C58" s="24">
        <v>1E-3</v>
      </c>
      <c r="D58" s="1">
        <f t="shared" si="0"/>
        <v>5.0000000000000001E-3</v>
      </c>
    </row>
    <row r="59" spans="1:4" x14ac:dyDescent="0.25">
      <c r="A59" s="3">
        <v>2264</v>
      </c>
      <c r="B59" s="67" t="s">
        <v>361</v>
      </c>
      <c r="C59" s="1"/>
      <c r="D59" s="1"/>
    </row>
    <row r="60" spans="1:4" ht="48" x14ac:dyDescent="0.25">
      <c r="A60" s="3"/>
      <c r="B60" s="4" t="s">
        <v>1128</v>
      </c>
      <c r="C60" s="24">
        <v>2.5999999999999999E-2</v>
      </c>
      <c r="D60" s="1">
        <f t="shared" si="0"/>
        <v>0.13</v>
      </c>
    </row>
    <row r="61" spans="1:4" x14ac:dyDescent="0.25">
      <c r="A61" s="3">
        <v>2311</v>
      </c>
      <c r="B61" s="4" t="s">
        <v>93</v>
      </c>
      <c r="C61" s="24"/>
      <c r="D61" s="1"/>
    </row>
    <row r="62" spans="1:4" ht="48" x14ac:dyDescent="0.25">
      <c r="A62" s="3"/>
      <c r="B62" s="4" t="s">
        <v>1127</v>
      </c>
      <c r="C62" s="24">
        <v>8.9999999999999993E-3</v>
      </c>
      <c r="D62" s="1">
        <f t="shared" si="0"/>
        <v>4.4999999999999998E-2</v>
      </c>
    </row>
    <row r="63" spans="1:4" x14ac:dyDescent="0.25">
      <c r="A63" s="3">
        <v>2312</v>
      </c>
      <c r="B63" s="4" t="s">
        <v>120</v>
      </c>
      <c r="C63" s="1"/>
      <c r="D63" s="1"/>
    </row>
    <row r="64" spans="1:4" ht="48" x14ac:dyDescent="0.25">
      <c r="A64" s="3"/>
      <c r="B64" s="4" t="s">
        <v>1126</v>
      </c>
      <c r="C64" s="24">
        <v>1.0999999999999999E-2</v>
      </c>
      <c r="D64" s="1">
        <f t="shared" si="0"/>
        <v>5.4999999999999993E-2</v>
      </c>
    </row>
    <row r="65" spans="1:4" x14ac:dyDescent="0.25">
      <c r="A65" s="3">
        <v>2314</v>
      </c>
      <c r="B65" s="67" t="s">
        <v>362</v>
      </c>
      <c r="C65" s="1"/>
      <c r="D65" s="1"/>
    </row>
    <row r="66" spans="1:4" ht="48" x14ac:dyDescent="0.25">
      <c r="A66" s="3"/>
      <c r="B66" s="4" t="s">
        <v>1125</v>
      </c>
      <c r="C66" s="24">
        <v>2.3E-2</v>
      </c>
      <c r="D66" s="1">
        <f t="shared" si="0"/>
        <v>0.11499999999999999</v>
      </c>
    </row>
    <row r="67" spans="1:4" x14ac:dyDescent="0.25">
      <c r="A67" s="3">
        <v>2322</v>
      </c>
      <c r="B67" s="68" t="s">
        <v>363</v>
      </c>
      <c r="C67" s="1"/>
      <c r="D67" s="1"/>
    </row>
    <row r="68" spans="1:4" ht="48" x14ac:dyDescent="0.25">
      <c r="A68" s="3"/>
      <c r="B68" s="4" t="s">
        <v>1124</v>
      </c>
      <c r="C68" s="24">
        <v>2.1999999999999999E-2</v>
      </c>
      <c r="D68" s="1">
        <f t="shared" si="0"/>
        <v>0.10999999999999999</v>
      </c>
    </row>
    <row r="69" spans="1:4" x14ac:dyDescent="0.25">
      <c r="A69" s="3">
        <v>2350</v>
      </c>
      <c r="B69" s="4" t="s">
        <v>119</v>
      </c>
      <c r="C69" s="24"/>
      <c r="D69" s="1"/>
    </row>
    <row r="70" spans="1:4" ht="48" x14ac:dyDescent="0.25">
      <c r="A70" s="3"/>
      <c r="B70" s="4" t="s">
        <v>1123</v>
      </c>
      <c r="C70" s="30">
        <v>3.4000000000000002E-2</v>
      </c>
      <c r="D70" s="1">
        <f t="shared" si="0"/>
        <v>0.17</v>
      </c>
    </row>
    <row r="71" spans="1:4" x14ac:dyDescent="0.25">
      <c r="A71" s="3">
        <v>2361</v>
      </c>
      <c r="B71" s="67" t="s">
        <v>364</v>
      </c>
      <c r="C71" s="1"/>
      <c r="D71" s="1"/>
    </row>
    <row r="72" spans="1:4" ht="48" x14ac:dyDescent="0.25">
      <c r="A72" s="3"/>
      <c r="B72" s="4" t="s">
        <v>1122</v>
      </c>
      <c r="C72" s="24">
        <v>2E-3</v>
      </c>
      <c r="D72" s="1">
        <f t="shared" si="0"/>
        <v>0.01</v>
      </c>
    </row>
    <row r="73" spans="1:4" x14ac:dyDescent="0.25">
      <c r="A73" s="3">
        <v>2513</v>
      </c>
      <c r="B73" s="67" t="s">
        <v>365</v>
      </c>
      <c r="C73" s="1"/>
      <c r="D73" s="1"/>
    </row>
    <row r="74" spans="1:4" ht="48" x14ac:dyDescent="0.25">
      <c r="A74" s="3"/>
      <c r="B74" s="4" t="s">
        <v>1121</v>
      </c>
      <c r="C74" s="24">
        <v>3.0000000000000001E-3</v>
      </c>
      <c r="D74" s="1">
        <f t="shared" si="0"/>
        <v>1.4999999999999999E-2</v>
      </c>
    </row>
    <row r="75" spans="1:4" x14ac:dyDescent="0.25">
      <c r="A75" s="3">
        <v>2519</v>
      </c>
      <c r="B75" s="67" t="s">
        <v>366</v>
      </c>
      <c r="C75" s="24"/>
      <c r="D75" s="1"/>
    </row>
    <row r="76" spans="1:4" ht="48" x14ac:dyDescent="0.25">
      <c r="A76" s="3"/>
      <c r="B76" s="4" t="s">
        <v>1120</v>
      </c>
      <c r="C76" s="24">
        <v>1E-3</v>
      </c>
      <c r="D76" s="1">
        <f t="shared" si="0"/>
        <v>5.0000000000000001E-3</v>
      </c>
    </row>
    <row r="77" spans="1:4" x14ac:dyDescent="0.25">
      <c r="A77" s="3">
        <v>5120</v>
      </c>
      <c r="B77" s="4" t="s">
        <v>101</v>
      </c>
      <c r="C77" s="24"/>
      <c r="D77" s="1"/>
    </row>
    <row r="78" spans="1:4" ht="48" x14ac:dyDescent="0.25">
      <c r="A78" s="3"/>
      <c r="B78" s="4" t="s">
        <v>1119</v>
      </c>
      <c r="C78" s="24">
        <v>4.0000000000000001E-3</v>
      </c>
      <c r="D78" s="1">
        <f t="shared" si="0"/>
        <v>0.02</v>
      </c>
    </row>
    <row r="79" spans="1:4" x14ac:dyDescent="0.25">
      <c r="A79" s="3">
        <v>5231</v>
      </c>
      <c r="B79" s="68" t="s">
        <v>368</v>
      </c>
      <c r="C79" s="1"/>
      <c r="D79" s="1"/>
    </row>
    <row r="80" spans="1:4" ht="48" x14ac:dyDescent="0.25">
      <c r="A80" s="3"/>
      <c r="B80" s="4" t="s">
        <v>1118</v>
      </c>
      <c r="C80" s="24">
        <v>7.0999999999999994E-2</v>
      </c>
      <c r="D80" s="1">
        <f t="shared" si="0"/>
        <v>0.35499999999999998</v>
      </c>
    </row>
    <row r="81" spans="1:4" x14ac:dyDescent="0.25">
      <c r="A81" s="3">
        <v>5238</v>
      </c>
      <c r="B81" s="4" t="s">
        <v>115</v>
      </c>
      <c r="C81" s="30"/>
      <c r="D81" s="1"/>
    </row>
    <row r="82" spans="1:4" ht="48" x14ac:dyDescent="0.25">
      <c r="A82" s="3"/>
      <c r="B82" s="4" t="s">
        <v>1117</v>
      </c>
      <c r="C82" s="24">
        <v>2.1000000000000001E-2</v>
      </c>
      <c r="D82" s="1">
        <f t="shared" si="0"/>
        <v>0.10500000000000001</v>
      </c>
    </row>
    <row r="83" spans="1:4" x14ac:dyDescent="0.25">
      <c r="A83" s="3">
        <v>5239</v>
      </c>
      <c r="B83" s="68" t="s">
        <v>369</v>
      </c>
      <c r="C83" s="24"/>
      <c r="D83" s="1"/>
    </row>
    <row r="84" spans="1:4" ht="48" x14ac:dyDescent="0.25">
      <c r="A84" s="3"/>
      <c r="B84" s="4" t="s">
        <v>1116</v>
      </c>
      <c r="C84" s="24">
        <v>3.7999999999999999E-2</v>
      </c>
      <c r="D84" s="1">
        <f t="shared" si="0"/>
        <v>0.19</v>
      </c>
    </row>
    <row r="85" spans="1:4" x14ac:dyDescent="0.25">
      <c r="A85" s="3"/>
      <c r="B85" s="31" t="s">
        <v>94</v>
      </c>
      <c r="C85" s="70">
        <f>SUM(C20:C84)</f>
        <v>1.3800999999999994</v>
      </c>
      <c r="D85" s="70">
        <f>SUM(D20:D84)</f>
        <v>6.9005000000000001</v>
      </c>
    </row>
    <row r="86" spans="1:4" ht="15" customHeight="1" x14ac:dyDescent="0.25">
      <c r="A86" s="33"/>
      <c r="B86" s="34" t="s">
        <v>95</v>
      </c>
      <c r="C86" s="32">
        <f>ROUND(C85+C17,4)</f>
        <v>33.420099999999998</v>
      </c>
      <c r="D86" s="32">
        <f>ROUND(D85+D17,4)</f>
        <v>167.10050000000001</v>
      </c>
    </row>
    <row r="87" spans="1:4" ht="24" customHeight="1" x14ac:dyDescent="0.25">
      <c r="A87" s="35"/>
      <c r="B87" s="36"/>
      <c r="C87" s="37"/>
      <c r="D87" s="37"/>
    </row>
    <row r="88" spans="1:4" x14ac:dyDescent="0.25">
      <c r="A88" s="161" t="s">
        <v>96</v>
      </c>
      <c r="B88" s="162"/>
      <c r="C88" s="41">
        <v>5</v>
      </c>
      <c r="D88" s="38"/>
    </row>
    <row r="89" spans="1:4" ht="21.75" customHeight="1" x14ac:dyDescent="0.25">
      <c r="A89" s="161" t="s">
        <v>112</v>
      </c>
      <c r="B89" s="162"/>
      <c r="C89" s="2">
        <f>D86/C88</f>
        <v>33.420100000000005</v>
      </c>
      <c r="D89" s="38"/>
    </row>
  </sheetData>
  <mergeCells count="7">
    <mergeCell ref="A88:B88"/>
    <mergeCell ref="A89:B89"/>
    <mergeCell ref="A1:D1"/>
    <mergeCell ref="C2:D2"/>
    <mergeCell ref="A4:D4"/>
    <mergeCell ref="A5:B5"/>
    <mergeCell ref="A7:B7"/>
  </mergeCells>
  <pageMargins left="0.7" right="0.7" top="0.75" bottom="0.75" header="0.3" footer="0.3"/>
  <pageSetup paperSize="9" scale="98" orientation="portrait" r:id="rId1"/>
  <colBreaks count="1" manualBreakCount="1">
    <brk id="4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E88"/>
  <sheetViews>
    <sheetView view="pageBreakPreview" topLeftCell="A64" zoomScale="60" zoomScaleNormal="100" workbookViewId="0">
      <selection activeCell="B15" sqref="B15"/>
    </sheetView>
  </sheetViews>
  <sheetFormatPr defaultRowHeight="15" x14ac:dyDescent="0.25"/>
  <cols>
    <col min="1" max="1" width="9.140625" style="84"/>
    <col min="2" max="2" width="60.140625" style="84" customWidth="1"/>
    <col min="3" max="3" width="12" style="84" customWidth="1"/>
    <col min="4" max="4" width="15.7109375" style="84" customWidth="1"/>
    <col min="5" max="16384" width="9.140625" style="84"/>
  </cols>
  <sheetData>
    <row r="1" spans="1:5" x14ac:dyDescent="0.25">
      <c r="A1" s="167" t="s">
        <v>78</v>
      </c>
      <c r="B1" s="167"/>
      <c r="C1" s="167"/>
      <c r="D1" s="167"/>
    </row>
    <row r="2" spans="1:5" ht="10.5" customHeight="1" x14ac:dyDescent="0.25">
      <c r="A2" s="45"/>
      <c r="B2" s="45"/>
      <c r="C2" s="168"/>
      <c r="D2" s="168"/>
    </row>
    <row r="3" spans="1:5" x14ac:dyDescent="0.25">
      <c r="A3" s="46" t="s">
        <v>110</v>
      </c>
      <c r="B3" s="47"/>
      <c r="C3" s="11"/>
      <c r="D3" s="11"/>
    </row>
    <row r="4" spans="1:5" ht="37.5" customHeight="1" x14ac:dyDescent="0.25">
      <c r="A4" s="166" t="s">
        <v>282</v>
      </c>
      <c r="B4" s="166"/>
      <c r="C4" s="166"/>
      <c r="D4" s="166"/>
    </row>
    <row r="5" spans="1:5" x14ac:dyDescent="0.25">
      <c r="A5" s="158" t="s">
        <v>111</v>
      </c>
      <c r="B5" s="159"/>
      <c r="C5" s="11"/>
      <c r="D5" s="11"/>
    </row>
    <row r="6" spans="1:5" x14ac:dyDescent="0.25">
      <c r="A6" s="49"/>
      <c r="B6" s="79"/>
      <c r="C6" s="11"/>
      <c r="D6" s="11"/>
    </row>
    <row r="7" spans="1:5" x14ac:dyDescent="0.25">
      <c r="A7" s="170" t="s">
        <v>121</v>
      </c>
      <c r="B7" s="170"/>
      <c r="C7" s="48"/>
      <c r="D7" s="48"/>
    </row>
    <row r="8" spans="1:5" ht="99" customHeight="1" x14ac:dyDescent="0.25">
      <c r="A8" s="14" t="s">
        <v>80</v>
      </c>
      <c r="B8" s="14" t="s">
        <v>81</v>
      </c>
      <c r="C8" s="14" t="s">
        <v>82</v>
      </c>
      <c r="D8" s="14" t="s">
        <v>83</v>
      </c>
    </row>
    <row r="9" spans="1:5" x14ac:dyDescent="0.25">
      <c r="A9" s="15">
        <v>1</v>
      </c>
      <c r="B9" s="16">
        <v>2</v>
      </c>
      <c r="C9" s="15">
        <v>3</v>
      </c>
      <c r="D9" s="15">
        <v>4</v>
      </c>
    </row>
    <row r="10" spans="1:5" x14ac:dyDescent="0.25">
      <c r="A10" s="15"/>
      <c r="B10" s="31" t="s">
        <v>84</v>
      </c>
      <c r="C10" s="19"/>
      <c r="D10" s="19"/>
    </row>
    <row r="11" spans="1:5" x14ac:dyDescent="0.25">
      <c r="A11" s="42">
        <v>1100</v>
      </c>
      <c r="B11" s="43" t="s">
        <v>85</v>
      </c>
      <c r="C11" s="22"/>
      <c r="D11" s="22"/>
    </row>
    <row r="12" spans="1:5" ht="158.25" customHeight="1" x14ac:dyDescent="0.25">
      <c r="A12" s="3"/>
      <c r="B12" s="81" t="s">
        <v>1167</v>
      </c>
      <c r="C12" s="1">
        <v>22.16</v>
      </c>
      <c r="D12" s="1">
        <f>C12*50</f>
        <v>1108</v>
      </c>
    </row>
    <row r="13" spans="1:5" ht="24" x14ac:dyDescent="0.25">
      <c r="A13" s="3">
        <v>1200</v>
      </c>
      <c r="B13" s="4" t="s">
        <v>1114</v>
      </c>
      <c r="C13" s="1">
        <f>ROUND(C12*0.2359,2)</f>
        <v>5.23</v>
      </c>
      <c r="D13" s="1">
        <f>C13*50</f>
        <v>261.5</v>
      </c>
    </row>
    <row r="14" spans="1:5" x14ac:dyDescent="0.25">
      <c r="A14" s="3">
        <v>2341</v>
      </c>
      <c r="B14" s="3" t="s">
        <v>97</v>
      </c>
      <c r="C14" s="24"/>
      <c r="D14" s="24"/>
    </row>
    <row r="15" spans="1:5" ht="118.5" customHeight="1" x14ac:dyDescent="0.25">
      <c r="A15" s="3"/>
      <c r="B15" s="4" t="s">
        <v>1548</v>
      </c>
      <c r="C15" s="1">
        <v>17.47</v>
      </c>
      <c r="D15" s="1">
        <f>C15*50</f>
        <v>873.5</v>
      </c>
      <c r="E15" s="108"/>
    </row>
    <row r="16" spans="1:5" x14ac:dyDescent="0.25">
      <c r="A16" s="3"/>
      <c r="B16" s="40" t="s">
        <v>87</v>
      </c>
      <c r="C16" s="32">
        <f>SUM(C11:C15)</f>
        <v>44.86</v>
      </c>
      <c r="D16" s="32">
        <f>SUM(D11:D15)</f>
        <v>2243</v>
      </c>
      <c r="E16" s="107"/>
    </row>
    <row r="17" spans="1:4" x14ac:dyDescent="0.25">
      <c r="A17" s="27"/>
      <c r="B17" s="103" t="s">
        <v>88</v>
      </c>
      <c r="C17" s="28"/>
      <c r="D17" s="28"/>
    </row>
    <row r="18" spans="1:4" x14ac:dyDescent="0.25">
      <c r="A18" s="3">
        <v>2100</v>
      </c>
      <c r="B18" s="69" t="s">
        <v>370</v>
      </c>
      <c r="C18" s="28"/>
      <c r="D18" s="28"/>
    </row>
    <row r="19" spans="1:4" ht="48" x14ac:dyDescent="0.25">
      <c r="A19" s="27"/>
      <c r="B19" s="4" t="s">
        <v>666</v>
      </c>
      <c r="C19" s="24">
        <v>2.1000000000000001E-2</v>
      </c>
      <c r="D19" s="1">
        <f>C19*50</f>
        <v>1.05</v>
      </c>
    </row>
    <row r="20" spans="1:4" x14ac:dyDescent="0.25">
      <c r="A20" s="3">
        <v>2210</v>
      </c>
      <c r="B20" s="4" t="s">
        <v>354</v>
      </c>
      <c r="C20" s="24"/>
      <c r="D20" s="1"/>
    </row>
    <row r="21" spans="1:4" ht="48" x14ac:dyDescent="0.25">
      <c r="A21" s="3"/>
      <c r="B21" s="4" t="s">
        <v>667</v>
      </c>
      <c r="C21" s="24">
        <v>2.1000000000000001E-2</v>
      </c>
      <c r="D21" s="1">
        <f t="shared" ref="D21:D83" si="0">C21*50</f>
        <v>1.05</v>
      </c>
    </row>
    <row r="22" spans="1:4" x14ac:dyDescent="0.25">
      <c r="A22" s="3">
        <v>2221</v>
      </c>
      <c r="B22" s="4" t="s">
        <v>89</v>
      </c>
      <c r="C22" s="1"/>
      <c r="D22" s="1"/>
    </row>
    <row r="23" spans="1:4" ht="48" x14ac:dyDescent="0.25">
      <c r="A23" s="3"/>
      <c r="B23" s="4" t="s">
        <v>668</v>
      </c>
      <c r="C23" s="24">
        <v>5.1999999999999998E-2</v>
      </c>
      <c r="D23" s="1">
        <f t="shared" si="0"/>
        <v>2.6</v>
      </c>
    </row>
    <row r="24" spans="1:4" x14ac:dyDescent="0.25">
      <c r="A24" s="3">
        <v>2222</v>
      </c>
      <c r="B24" s="67" t="s">
        <v>90</v>
      </c>
      <c r="C24" s="1"/>
      <c r="D24" s="1"/>
    </row>
    <row r="25" spans="1:4" ht="48" x14ac:dyDescent="0.25">
      <c r="A25" s="3"/>
      <c r="B25" s="4" t="s">
        <v>669</v>
      </c>
      <c r="C25" s="24">
        <f>ROUND(38.69/9509,4)</f>
        <v>4.1000000000000003E-3</v>
      </c>
      <c r="D25" s="1">
        <f t="shared" si="0"/>
        <v>0.20500000000000002</v>
      </c>
    </row>
    <row r="26" spans="1:4" x14ac:dyDescent="0.25">
      <c r="A26" s="3">
        <v>2223</v>
      </c>
      <c r="B26" s="3" t="s">
        <v>91</v>
      </c>
      <c r="C26" s="24"/>
      <c r="D26" s="1"/>
    </row>
    <row r="27" spans="1:4" ht="48" x14ac:dyDescent="0.25">
      <c r="A27" s="3"/>
      <c r="B27" s="4" t="s">
        <v>693</v>
      </c>
      <c r="C27" s="24">
        <v>9.4E-2</v>
      </c>
      <c r="D27" s="1">
        <f t="shared" si="0"/>
        <v>4.7</v>
      </c>
    </row>
    <row r="28" spans="1:4" ht="24" x14ac:dyDescent="0.25">
      <c r="A28" s="3">
        <v>2224</v>
      </c>
      <c r="B28" s="4" t="s">
        <v>114</v>
      </c>
      <c r="C28" s="24"/>
      <c r="D28" s="1"/>
    </row>
    <row r="29" spans="1:4" ht="48" x14ac:dyDescent="0.25">
      <c r="A29" s="3"/>
      <c r="B29" s="4" t="s">
        <v>694</v>
      </c>
      <c r="C29" s="24">
        <v>1.4999999999999999E-2</v>
      </c>
      <c r="D29" s="1">
        <f t="shared" si="0"/>
        <v>0.75</v>
      </c>
    </row>
    <row r="30" spans="1:4" x14ac:dyDescent="0.25">
      <c r="A30" s="3">
        <v>2231</v>
      </c>
      <c r="B30" s="4" t="s">
        <v>117</v>
      </c>
      <c r="C30" s="24"/>
      <c r="D30" s="1"/>
    </row>
    <row r="31" spans="1:4" ht="48" x14ac:dyDescent="0.25">
      <c r="A31" s="3"/>
      <c r="B31" s="4" t="s">
        <v>695</v>
      </c>
      <c r="C31" s="24">
        <v>2.5999999999999999E-2</v>
      </c>
      <c r="D31" s="1">
        <f t="shared" si="0"/>
        <v>1.3</v>
      </c>
    </row>
    <row r="32" spans="1:4" x14ac:dyDescent="0.25">
      <c r="A32" s="3">
        <v>2232</v>
      </c>
      <c r="B32" s="4" t="s">
        <v>453</v>
      </c>
      <c r="C32" s="1"/>
      <c r="D32" s="1"/>
    </row>
    <row r="33" spans="1:4" ht="48" x14ac:dyDescent="0.25">
      <c r="A33" s="3"/>
      <c r="B33" s="4" t="s">
        <v>696</v>
      </c>
      <c r="C33" s="24">
        <v>7.0000000000000001E-3</v>
      </c>
      <c r="D33" s="1">
        <f t="shared" si="0"/>
        <v>0.35000000000000003</v>
      </c>
    </row>
    <row r="34" spans="1:4" x14ac:dyDescent="0.25">
      <c r="A34" s="3">
        <v>2233</v>
      </c>
      <c r="B34" s="67" t="s">
        <v>127</v>
      </c>
      <c r="C34" s="1"/>
      <c r="D34" s="1"/>
    </row>
    <row r="35" spans="1:4" ht="48" x14ac:dyDescent="0.25">
      <c r="A35" s="3"/>
      <c r="B35" s="4" t="s">
        <v>697</v>
      </c>
      <c r="C35" s="24">
        <v>0.01</v>
      </c>
      <c r="D35" s="1">
        <f t="shared" si="0"/>
        <v>0.5</v>
      </c>
    </row>
    <row r="36" spans="1:4" x14ac:dyDescent="0.25">
      <c r="A36" s="3">
        <v>2235</v>
      </c>
      <c r="B36" s="67" t="s">
        <v>355</v>
      </c>
      <c r="C36" s="24"/>
      <c r="D36" s="1"/>
    </row>
    <row r="37" spans="1:4" ht="48" x14ac:dyDescent="0.25">
      <c r="A37" s="3"/>
      <c r="B37" s="4" t="s">
        <v>691</v>
      </c>
      <c r="C37" s="24">
        <v>7.0000000000000001E-3</v>
      </c>
      <c r="D37" s="1">
        <f t="shared" si="0"/>
        <v>0.35000000000000003</v>
      </c>
    </row>
    <row r="38" spans="1:4" x14ac:dyDescent="0.25">
      <c r="A38" s="3">
        <v>2239</v>
      </c>
      <c r="B38" s="67" t="s">
        <v>356</v>
      </c>
      <c r="C38" s="24"/>
      <c r="D38" s="1"/>
    </row>
    <row r="39" spans="1:4" ht="48" x14ac:dyDescent="0.25">
      <c r="A39" s="3"/>
      <c r="B39" s="4" t="s">
        <v>690</v>
      </c>
      <c r="C39" s="24">
        <v>4.9000000000000002E-2</v>
      </c>
      <c r="D39" s="1">
        <f t="shared" si="0"/>
        <v>2.4500000000000002</v>
      </c>
    </row>
    <row r="40" spans="1:4" x14ac:dyDescent="0.25">
      <c r="A40" s="3">
        <v>2241</v>
      </c>
      <c r="B40" s="67" t="s">
        <v>460</v>
      </c>
      <c r="C40" s="24"/>
      <c r="D40" s="1"/>
    </row>
    <row r="41" spans="1:4" ht="48" x14ac:dyDescent="0.25">
      <c r="A41" s="3"/>
      <c r="B41" s="4" t="s">
        <v>689</v>
      </c>
      <c r="C41" s="24">
        <v>6.0999999999999999E-2</v>
      </c>
      <c r="D41" s="1">
        <f t="shared" si="0"/>
        <v>3.05</v>
      </c>
    </row>
    <row r="42" spans="1:4" x14ac:dyDescent="0.25">
      <c r="A42" s="3">
        <v>2242</v>
      </c>
      <c r="B42" s="67" t="s">
        <v>357</v>
      </c>
      <c r="C42" s="24"/>
      <c r="D42" s="1"/>
    </row>
    <row r="43" spans="1:4" ht="48" x14ac:dyDescent="0.25">
      <c r="A43" s="3"/>
      <c r="B43" s="4" t="s">
        <v>688</v>
      </c>
      <c r="C43" s="24">
        <v>0.09</v>
      </c>
      <c r="D43" s="1">
        <f t="shared" si="0"/>
        <v>4.5</v>
      </c>
    </row>
    <row r="44" spans="1:4" x14ac:dyDescent="0.25">
      <c r="A44" s="3">
        <v>2243</v>
      </c>
      <c r="B44" s="4" t="s">
        <v>100</v>
      </c>
      <c r="C44" s="1"/>
      <c r="D44" s="1"/>
    </row>
    <row r="45" spans="1:4" ht="48" x14ac:dyDescent="0.25">
      <c r="A45" s="3"/>
      <c r="B45" s="4" t="s">
        <v>687</v>
      </c>
      <c r="C45" s="24">
        <v>0.05</v>
      </c>
      <c r="D45" s="1">
        <f t="shared" si="0"/>
        <v>2.5</v>
      </c>
    </row>
    <row r="46" spans="1:4" x14ac:dyDescent="0.25">
      <c r="A46" s="3">
        <v>2244</v>
      </c>
      <c r="B46" s="4" t="s">
        <v>92</v>
      </c>
      <c r="C46" s="1"/>
      <c r="D46" s="1"/>
    </row>
    <row r="47" spans="1:4" ht="48" x14ac:dyDescent="0.25">
      <c r="A47" s="29"/>
      <c r="B47" s="4" t="s">
        <v>686</v>
      </c>
      <c r="C47" s="24">
        <v>6.9000000000000006E-2</v>
      </c>
      <c r="D47" s="1">
        <f t="shared" si="0"/>
        <v>3.45</v>
      </c>
    </row>
    <row r="48" spans="1:4" x14ac:dyDescent="0.25">
      <c r="A48" s="3">
        <v>2247</v>
      </c>
      <c r="B48" s="67" t="s">
        <v>358</v>
      </c>
      <c r="C48" s="1"/>
      <c r="D48" s="1"/>
    </row>
    <row r="49" spans="1:4" ht="48" x14ac:dyDescent="0.25">
      <c r="A49" s="29"/>
      <c r="B49" s="4" t="s">
        <v>685</v>
      </c>
      <c r="C49" s="24">
        <v>3.0000000000000001E-3</v>
      </c>
      <c r="D49" s="1">
        <f t="shared" si="0"/>
        <v>0.15</v>
      </c>
    </row>
    <row r="50" spans="1:4" x14ac:dyDescent="0.25">
      <c r="A50" s="3">
        <v>2249</v>
      </c>
      <c r="B50" s="67" t="s">
        <v>359</v>
      </c>
      <c r="C50" s="1"/>
      <c r="D50" s="1"/>
    </row>
    <row r="51" spans="1:4" ht="48" x14ac:dyDescent="0.25">
      <c r="A51" s="29"/>
      <c r="B51" s="4" t="s">
        <v>684</v>
      </c>
      <c r="C51" s="24">
        <v>2E-3</v>
      </c>
      <c r="D51" s="1">
        <f t="shared" si="0"/>
        <v>0.1</v>
      </c>
    </row>
    <row r="52" spans="1:4" x14ac:dyDescent="0.25">
      <c r="A52" s="3">
        <v>2250</v>
      </c>
      <c r="B52" s="4" t="s">
        <v>118</v>
      </c>
      <c r="C52" s="24"/>
      <c r="D52" s="1"/>
    </row>
    <row r="53" spans="1:4" ht="48" x14ac:dyDescent="0.25">
      <c r="A53" s="3"/>
      <c r="B53" s="4" t="s">
        <v>683</v>
      </c>
      <c r="C53" s="24">
        <v>0.23699999999999999</v>
      </c>
      <c r="D53" s="1">
        <f t="shared" si="0"/>
        <v>11.85</v>
      </c>
    </row>
    <row r="54" spans="1:4" x14ac:dyDescent="0.25">
      <c r="A54" s="3">
        <v>2261</v>
      </c>
      <c r="B54" s="67" t="s">
        <v>130</v>
      </c>
      <c r="C54" s="1"/>
      <c r="D54" s="1"/>
    </row>
    <row r="55" spans="1:4" ht="48" x14ac:dyDescent="0.25">
      <c r="A55" s="3"/>
      <c r="B55" s="4" t="s">
        <v>964</v>
      </c>
      <c r="C55" s="24">
        <v>0.29599999999999999</v>
      </c>
      <c r="D55" s="1">
        <f t="shared" si="0"/>
        <v>14.799999999999999</v>
      </c>
    </row>
    <row r="56" spans="1:4" x14ac:dyDescent="0.25">
      <c r="A56" s="3">
        <v>2263</v>
      </c>
      <c r="B56" s="67" t="s">
        <v>360</v>
      </c>
      <c r="C56" s="1"/>
      <c r="D56" s="1"/>
    </row>
    <row r="57" spans="1:4" ht="48" x14ac:dyDescent="0.25">
      <c r="A57" s="3"/>
      <c r="B57" s="4" t="s">
        <v>955</v>
      </c>
      <c r="C57" s="24">
        <v>1E-3</v>
      </c>
      <c r="D57" s="1">
        <f t="shared" si="0"/>
        <v>0.05</v>
      </c>
    </row>
    <row r="58" spans="1:4" x14ac:dyDescent="0.25">
      <c r="A58" s="3">
        <v>2264</v>
      </c>
      <c r="B58" s="67" t="s">
        <v>361</v>
      </c>
      <c r="C58" s="1"/>
      <c r="D58" s="1"/>
    </row>
    <row r="59" spans="1:4" ht="48" x14ac:dyDescent="0.25">
      <c r="A59" s="3"/>
      <c r="B59" s="4" t="s">
        <v>682</v>
      </c>
      <c r="C59" s="24">
        <v>2.5999999999999999E-2</v>
      </c>
      <c r="D59" s="1">
        <f t="shared" si="0"/>
        <v>1.3</v>
      </c>
    </row>
    <row r="60" spans="1:4" x14ac:dyDescent="0.25">
      <c r="A60" s="3">
        <v>2311</v>
      </c>
      <c r="B60" s="4" t="s">
        <v>93</v>
      </c>
      <c r="C60" s="24"/>
      <c r="D60" s="1"/>
    </row>
    <row r="61" spans="1:4" ht="48" x14ac:dyDescent="0.25">
      <c r="A61" s="3"/>
      <c r="B61" s="4" t="s">
        <v>681</v>
      </c>
      <c r="C61" s="24">
        <v>8.9999999999999993E-3</v>
      </c>
      <c r="D61" s="1">
        <f t="shared" si="0"/>
        <v>0.44999999999999996</v>
      </c>
    </row>
    <row r="62" spans="1:4" x14ac:dyDescent="0.25">
      <c r="A62" s="3">
        <v>2312</v>
      </c>
      <c r="B62" s="4" t="s">
        <v>120</v>
      </c>
      <c r="C62" s="1"/>
      <c r="D62" s="1"/>
    </row>
    <row r="63" spans="1:4" ht="48" x14ac:dyDescent="0.25">
      <c r="A63" s="3"/>
      <c r="B63" s="4" t="s">
        <v>680</v>
      </c>
      <c r="C63" s="24">
        <v>1.0999999999999999E-2</v>
      </c>
      <c r="D63" s="1">
        <f t="shared" si="0"/>
        <v>0.54999999999999993</v>
      </c>
    </row>
    <row r="64" spans="1:4" x14ac:dyDescent="0.25">
      <c r="A64" s="3">
        <v>2314</v>
      </c>
      <c r="B64" s="67" t="s">
        <v>362</v>
      </c>
      <c r="C64" s="1"/>
      <c r="D64" s="1"/>
    </row>
    <row r="65" spans="1:4" ht="48" x14ac:dyDescent="0.25">
      <c r="A65" s="3"/>
      <c r="B65" s="4" t="s">
        <v>679</v>
      </c>
      <c r="C65" s="24">
        <v>2.3E-2</v>
      </c>
      <c r="D65" s="1">
        <f t="shared" si="0"/>
        <v>1.1499999999999999</v>
      </c>
    </row>
    <row r="66" spans="1:4" x14ac:dyDescent="0.25">
      <c r="A66" s="3">
        <v>2322</v>
      </c>
      <c r="B66" s="68" t="s">
        <v>363</v>
      </c>
      <c r="C66" s="1"/>
      <c r="D66" s="1"/>
    </row>
    <row r="67" spans="1:4" ht="48" x14ac:dyDescent="0.25">
      <c r="A67" s="3"/>
      <c r="B67" s="4" t="s">
        <v>670</v>
      </c>
      <c r="C67" s="24">
        <v>2.1999999999999999E-2</v>
      </c>
      <c r="D67" s="1">
        <f t="shared" si="0"/>
        <v>1.0999999999999999</v>
      </c>
    </row>
    <row r="68" spans="1:4" x14ac:dyDescent="0.25">
      <c r="A68" s="3">
        <v>2350</v>
      </c>
      <c r="B68" s="4" t="s">
        <v>119</v>
      </c>
      <c r="C68" s="24"/>
      <c r="D68" s="1"/>
    </row>
    <row r="69" spans="1:4" ht="48" x14ac:dyDescent="0.25">
      <c r="A69" s="3"/>
      <c r="B69" s="4" t="s">
        <v>671</v>
      </c>
      <c r="C69" s="30">
        <v>3.4000000000000002E-2</v>
      </c>
      <c r="D69" s="1">
        <f t="shared" si="0"/>
        <v>1.7000000000000002</v>
      </c>
    </row>
    <row r="70" spans="1:4" x14ac:dyDescent="0.25">
      <c r="A70" s="3">
        <v>2361</v>
      </c>
      <c r="B70" s="67" t="s">
        <v>364</v>
      </c>
      <c r="C70" s="1"/>
      <c r="D70" s="1"/>
    </row>
    <row r="71" spans="1:4" ht="48" x14ac:dyDescent="0.25">
      <c r="A71" s="3"/>
      <c r="B71" s="4" t="s">
        <v>672</v>
      </c>
      <c r="C71" s="24">
        <v>2E-3</v>
      </c>
      <c r="D71" s="1">
        <f t="shared" si="0"/>
        <v>0.1</v>
      </c>
    </row>
    <row r="72" spans="1:4" x14ac:dyDescent="0.25">
      <c r="A72" s="3">
        <v>2513</v>
      </c>
      <c r="B72" s="67" t="s">
        <v>365</v>
      </c>
      <c r="C72" s="1"/>
      <c r="D72" s="1"/>
    </row>
    <row r="73" spans="1:4" ht="48" x14ac:dyDescent="0.25">
      <c r="A73" s="3"/>
      <c r="B73" s="4" t="s">
        <v>673</v>
      </c>
      <c r="C73" s="24">
        <v>3.0000000000000001E-3</v>
      </c>
      <c r="D73" s="1">
        <f t="shared" si="0"/>
        <v>0.15</v>
      </c>
    </row>
    <row r="74" spans="1:4" x14ac:dyDescent="0.25">
      <c r="A74" s="3">
        <v>2519</v>
      </c>
      <c r="B74" s="67" t="s">
        <v>366</v>
      </c>
      <c r="C74" s="24"/>
      <c r="D74" s="1"/>
    </row>
    <row r="75" spans="1:4" ht="48" x14ac:dyDescent="0.25">
      <c r="A75" s="3"/>
      <c r="B75" s="4" t="s">
        <v>674</v>
      </c>
      <c r="C75" s="24">
        <v>1E-3</v>
      </c>
      <c r="D75" s="1">
        <f t="shared" si="0"/>
        <v>0.05</v>
      </c>
    </row>
    <row r="76" spans="1:4" x14ac:dyDescent="0.25">
      <c r="A76" s="3">
        <v>5120</v>
      </c>
      <c r="B76" s="4" t="s">
        <v>101</v>
      </c>
      <c r="C76" s="24"/>
      <c r="D76" s="1"/>
    </row>
    <row r="77" spans="1:4" ht="48" x14ac:dyDescent="0.25">
      <c r="A77" s="3"/>
      <c r="B77" s="4" t="s">
        <v>675</v>
      </c>
      <c r="C77" s="24">
        <v>4.0000000000000001E-3</v>
      </c>
      <c r="D77" s="1">
        <f t="shared" si="0"/>
        <v>0.2</v>
      </c>
    </row>
    <row r="78" spans="1:4" x14ac:dyDescent="0.25">
      <c r="A78" s="3">
        <v>5231</v>
      </c>
      <c r="B78" s="68" t="s">
        <v>368</v>
      </c>
      <c r="C78" s="1"/>
      <c r="D78" s="1"/>
    </row>
    <row r="79" spans="1:4" ht="48" x14ac:dyDescent="0.25">
      <c r="A79" s="3"/>
      <c r="B79" s="4" t="s">
        <v>676</v>
      </c>
      <c r="C79" s="24">
        <v>7.0999999999999994E-2</v>
      </c>
      <c r="D79" s="1">
        <f t="shared" si="0"/>
        <v>3.55</v>
      </c>
    </row>
    <row r="80" spans="1:4" x14ac:dyDescent="0.25">
      <c r="A80" s="3">
        <v>5238</v>
      </c>
      <c r="B80" s="4" t="s">
        <v>115</v>
      </c>
      <c r="C80" s="30"/>
      <c r="D80" s="1"/>
    </row>
    <row r="81" spans="1:4" ht="48" x14ac:dyDescent="0.25">
      <c r="A81" s="3"/>
      <c r="B81" s="4" t="s">
        <v>677</v>
      </c>
      <c r="C81" s="24">
        <v>2.1000000000000001E-2</v>
      </c>
      <c r="D81" s="1">
        <f t="shared" si="0"/>
        <v>1.05</v>
      </c>
    </row>
    <row r="82" spans="1:4" x14ac:dyDescent="0.25">
      <c r="A82" s="3">
        <v>5239</v>
      </c>
      <c r="B82" s="68" t="s">
        <v>369</v>
      </c>
      <c r="C82" s="24"/>
      <c r="D82" s="1"/>
    </row>
    <row r="83" spans="1:4" ht="48" x14ac:dyDescent="0.25">
      <c r="A83" s="3"/>
      <c r="B83" s="4" t="s">
        <v>678</v>
      </c>
      <c r="C83" s="24">
        <v>3.7999999999999999E-2</v>
      </c>
      <c r="D83" s="1">
        <f t="shared" si="0"/>
        <v>1.9</v>
      </c>
    </row>
    <row r="84" spans="1:4" x14ac:dyDescent="0.25">
      <c r="A84" s="3"/>
      <c r="B84" s="31" t="s">
        <v>94</v>
      </c>
      <c r="C84" s="70">
        <f>SUM(C19:C83)</f>
        <v>1.3800999999999994</v>
      </c>
      <c r="D84" s="70">
        <f>SUM(D19:D83)</f>
        <v>69.004999999999995</v>
      </c>
    </row>
    <row r="85" spans="1:4" ht="15" customHeight="1" x14ac:dyDescent="0.25">
      <c r="A85" s="33"/>
      <c r="B85" s="34" t="s">
        <v>95</v>
      </c>
      <c r="C85" s="32">
        <f>ROUND(C84+C16,4)</f>
        <v>46.240099999999998</v>
      </c>
      <c r="D85" s="32">
        <f>ROUND(D84+D16,4)</f>
        <v>2312.0050000000001</v>
      </c>
    </row>
    <row r="86" spans="1:4" ht="24" customHeight="1" x14ac:dyDescent="0.25">
      <c r="A86" s="35"/>
      <c r="B86" s="36"/>
      <c r="C86" s="37"/>
      <c r="D86" s="37"/>
    </row>
    <row r="87" spans="1:4" x14ac:dyDescent="0.25">
      <c r="A87" s="161" t="s">
        <v>96</v>
      </c>
      <c r="B87" s="162"/>
      <c r="C87" s="41">
        <v>50</v>
      </c>
      <c r="D87" s="38"/>
    </row>
    <row r="88" spans="1:4" ht="23.25" customHeight="1" x14ac:dyDescent="0.25">
      <c r="A88" s="161" t="s">
        <v>112</v>
      </c>
      <c r="B88" s="162"/>
      <c r="C88" s="2">
        <f>D85/C87</f>
        <v>46.240100000000005</v>
      </c>
      <c r="D88" s="38"/>
    </row>
  </sheetData>
  <mergeCells count="7">
    <mergeCell ref="A87:B87"/>
    <mergeCell ref="A88:B88"/>
    <mergeCell ref="A1:D1"/>
    <mergeCell ref="C2:D2"/>
    <mergeCell ref="A4:D4"/>
    <mergeCell ref="A5:B5"/>
    <mergeCell ref="A7:B7"/>
  </mergeCells>
  <pageMargins left="0.7" right="0.7" top="0.75" bottom="0.75" header="0.3" footer="0.3"/>
  <pageSetup paperSize="9" scale="90" orientation="portrait" r:id="rId1"/>
  <colBreaks count="1" manualBreakCount="1">
    <brk id="4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E89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7109375" style="84" customWidth="1"/>
    <col min="2" max="2" width="58.7109375" style="84" customWidth="1"/>
    <col min="3" max="4" width="10.8554687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45" customHeight="1" x14ac:dyDescent="0.25">
      <c r="A5" s="166" t="s">
        <v>283</v>
      </c>
      <c r="B5" s="166"/>
      <c r="C5" s="166"/>
      <c r="D5" s="166"/>
    </row>
    <row r="6" spans="1:4" x14ac:dyDescent="0.25">
      <c r="A6" s="158" t="s">
        <v>111</v>
      </c>
      <c r="B6" s="159"/>
      <c r="C6" s="11"/>
      <c r="D6" s="44"/>
    </row>
    <row r="7" spans="1:4" ht="8.25" customHeight="1" x14ac:dyDescent="0.25">
      <c r="A7" s="49"/>
      <c r="B7" s="79"/>
      <c r="C7" s="11"/>
      <c r="D7" s="44"/>
    </row>
    <row r="8" spans="1:4" x14ac:dyDescent="0.25">
      <c r="A8" s="170" t="s">
        <v>121</v>
      </c>
      <c r="B8" s="170"/>
      <c r="C8" s="48"/>
      <c r="D8" s="44"/>
    </row>
    <row r="9" spans="1:4" ht="108" x14ac:dyDescent="0.25">
      <c r="A9" s="14" t="s">
        <v>80</v>
      </c>
      <c r="B9" s="14" t="s">
        <v>81</v>
      </c>
      <c r="C9" s="14" t="s">
        <v>82</v>
      </c>
      <c r="D9" s="14" t="s">
        <v>83</v>
      </c>
    </row>
    <row r="10" spans="1:4" x14ac:dyDescent="0.25">
      <c r="A10" s="15">
        <v>1</v>
      </c>
      <c r="B10" s="16">
        <v>2</v>
      </c>
      <c r="C10" s="15">
        <v>3</v>
      </c>
      <c r="D10" s="15">
        <v>4</v>
      </c>
    </row>
    <row r="11" spans="1:4" x14ac:dyDescent="0.25">
      <c r="A11" s="15"/>
      <c r="B11" s="31" t="s">
        <v>84</v>
      </c>
      <c r="C11" s="19"/>
      <c r="D11" s="19"/>
    </row>
    <row r="12" spans="1:4" x14ac:dyDescent="0.25">
      <c r="A12" s="42">
        <v>1100</v>
      </c>
      <c r="B12" s="43" t="s">
        <v>85</v>
      </c>
      <c r="C12" s="22"/>
      <c r="D12" s="22"/>
    </row>
    <row r="13" spans="1:4" ht="147" customHeight="1" x14ac:dyDescent="0.25">
      <c r="A13" s="3"/>
      <c r="B13" s="81" t="s">
        <v>1167</v>
      </c>
      <c r="C13" s="1">
        <v>22.16</v>
      </c>
      <c r="D13" s="1">
        <f>C13*50</f>
        <v>1108</v>
      </c>
    </row>
    <row r="14" spans="1:4" ht="24" x14ac:dyDescent="0.25">
      <c r="A14" s="3">
        <v>1200</v>
      </c>
      <c r="B14" s="4" t="s">
        <v>1114</v>
      </c>
      <c r="C14" s="1">
        <f>ROUND(C13*0.2359,2)</f>
        <v>5.23</v>
      </c>
      <c r="D14" s="1">
        <f>C14*50</f>
        <v>261.5</v>
      </c>
    </row>
    <row r="15" spans="1:4" x14ac:dyDescent="0.25">
      <c r="A15" s="3">
        <v>2341</v>
      </c>
      <c r="B15" s="3" t="s">
        <v>116</v>
      </c>
      <c r="C15" s="1"/>
      <c r="D15" s="24"/>
    </row>
    <row r="16" spans="1:4" ht="120" x14ac:dyDescent="0.25">
      <c r="A16" s="3"/>
      <c r="B16" s="4" t="s">
        <v>1547</v>
      </c>
      <c r="C16" s="1">
        <v>14.93</v>
      </c>
      <c r="D16" s="1">
        <f>C16*50</f>
        <v>746.5</v>
      </c>
    </row>
    <row r="17" spans="1:5" x14ac:dyDescent="0.25">
      <c r="A17" s="34"/>
      <c r="B17" s="40" t="s">
        <v>87</v>
      </c>
      <c r="C17" s="32">
        <f>SUM(C12:C16)</f>
        <v>42.32</v>
      </c>
      <c r="D17" s="32">
        <f>SUM(D12:D16)</f>
        <v>2116</v>
      </c>
      <c r="E17" s="107"/>
    </row>
    <row r="18" spans="1:5" x14ac:dyDescent="0.25">
      <c r="A18" s="27"/>
      <c r="B18" s="103" t="s">
        <v>88</v>
      </c>
      <c r="C18" s="28"/>
      <c r="D18" s="28"/>
    </row>
    <row r="19" spans="1:5" x14ac:dyDescent="0.25">
      <c r="A19" s="3">
        <v>2100</v>
      </c>
      <c r="B19" s="69" t="s">
        <v>370</v>
      </c>
      <c r="C19" s="28"/>
      <c r="D19" s="28"/>
    </row>
    <row r="20" spans="1:5" ht="60" x14ac:dyDescent="0.25">
      <c r="A20" s="27"/>
      <c r="B20" s="4" t="s">
        <v>666</v>
      </c>
      <c r="C20" s="24">
        <v>2.1000000000000001E-2</v>
      </c>
      <c r="D20" s="1">
        <f>C20*50</f>
        <v>1.05</v>
      </c>
    </row>
    <row r="21" spans="1:5" x14ac:dyDescent="0.25">
      <c r="A21" s="3">
        <v>2210</v>
      </c>
      <c r="B21" s="4" t="s">
        <v>354</v>
      </c>
      <c r="C21" s="24"/>
      <c r="D21" s="1"/>
    </row>
    <row r="22" spans="1:5" ht="60" x14ac:dyDescent="0.25">
      <c r="A22" s="3"/>
      <c r="B22" s="4" t="s">
        <v>667</v>
      </c>
      <c r="C22" s="24">
        <v>2.1000000000000001E-2</v>
      </c>
      <c r="D22" s="1">
        <f t="shared" ref="D22:D84" si="0">C22*50</f>
        <v>1.05</v>
      </c>
    </row>
    <row r="23" spans="1:5" x14ac:dyDescent="0.25">
      <c r="A23" s="3">
        <v>2221</v>
      </c>
      <c r="B23" s="4" t="s">
        <v>89</v>
      </c>
      <c r="C23" s="1"/>
      <c r="D23" s="1"/>
    </row>
    <row r="24" spans="1:5" ht="60" x14ac:dyDescent="0.25">
      <c r="A24" s="3"/>
      <c r="B24" s="4" t="s">
        <v>668</v>
      </c>
      <c r="C24" s="24">
        <v>5.1999999999999998E-2</v>
      </c>
      <c r="D24" s="1">
        <f t="shared" si="0"/>
        <v>2.6</v>
      </c>
    </row>
    <row r="25" spans="1:5" x14ac:dyDescent="0.25">
      <c r="A25" s="3">
        <v>2222</v>
      </c>
      <c r="B25" s="67" t="s">
        <v>90</v>
      </c>
      <c r="C25" s="1"/>
      <c r="D25" s="1"/>
    </row>
    <row r="26" spans="1:5" ht="60" x14ac:dyDescent="0.25">
      <c r="A26" s="3"/>
      <c r="B26" s="4" t="s">
        <v>669</v>
      </c>
      <c r="C26" s="24">
        <f>ROUND(38.69/9509,4)</f>
        <v>4.1000000000000003E-3</v>
      </c>
      <c r="D26" s="1">
        <f t="shared" si="0"/>
        <v>0.20500000000000002</v>
      </c>
    </row>
    <row r="27" spans="1:5" x14ac:dyDescent="0.25">
      <c r="A27" s="3">
        <v>2223</v>
      </c>
      <c r="B27" s="3" t="s">
        <v>91</v>
      </c>
      <c r="C27" s="24"/>
      <c r="D27" s="1"/>
    </row>
    <row r="28" spans="1:5" ht="60" x14ac:dyDescent="0.25">
      <c r="A28" s="3"/>
      <c r="B28" s="4" t="s">
        <v>693</v>
      </c>
      <c r="C28" s="24">
        <v>9.4E-2</v>
      </c>
      <c r="D28" s="1">
        <f t="shared" si="0"/>
        <v>4.7</v>
      </c>
    </row>
    <row r="29" spans="1:5" ht="24" x14ac:dyDescent="0.25">
      <c r="A29" s="3">
        <v>2224</v>
      </c>
      <c r="B29" s="4" t="s">
        <v>114</v>
      </c>
      <c r="C29" s="24"/>
      <c r="D29" s="1"/>
    </row>
    <row r="30" spans="1:5" ht="60" x14ac:dyDescent="0.25">
      <c r="A30" s="3"/>
      <c r="B30" s="4" t="s">
        <v>694</v>
      </c>
      <c r="C30" s="24">
        <v>1.4999999999999999E-2</v>
      </c>
      <c r="D30" s="1">
        <f t="shared" si="0"/>
        <v>0.75</v>
      </c>
    </row>
    <row r="31" spans="1:5" x14ac:dyDescent="0.25">
      <c r="A31" s="3">
        <v>2231</v>
      </c>
      <c r="B31" s="4" t="s">
        <v>117</v>
      </c>
      <c r="C31" s="24"/>
      <c r="D31" s="1"/>
    </row>
    <row r="32" spans="1:5" ht="60" x14ac:dyDescent="0.25">
      <c r="A32" s="3"/>
      <c r="B32" s="4" t="s">
        <v>695</v>
      </c>
      <c r="C32" s="24">
        <v>2.5999999999999999E-2</v>
      </c>
      <c r="D32" s="1">
        <f t="shared" si="0"/>
        <v>1.3</v>
      </c>
    </row>
    <row r="33" spans="1:4" x14ac:dyDescent="0.25">
      <c r="A33" s="3">
        <v>2232</v>
      </c>
      <c r="B33" s="4" t="s">
        <v>453</v>
      </c>
      <c r="C33" s="1"/>
      <c r="D33" s="1"/>
    </row>
    <row r="34" spans="1:4" ht="48" x14ac:dyDescent="0.25">
      <c r="A34" s="3"/>
      <c r="B34" s="4" t="s">
        <v>696</v>
      </c>
      <c r="C34" s="24">
        <v>7.0000000000000001E-3</v>
      </c>
      <c r="D34" s="1">
        <f t="shared" si="0"/>
        <v>0.35000000000000003</v>
      </c>
    </row>
    <row r="35" spans="1:4" x14ac:dyDescent="0.25">
      <c r="A35" s="3">
        <v>2233</v>
      </c>
      <c r="B35" s="67" t="s">
        <v>127</v>
      </c>
      <c r="C35" s="1"/>
      <c r="D35" s="1"/>
    </row>
    <row r="36" spans="1:4" ht="48" x14ac:dyDescent="0.25">
      <c r="A36" s="3"/>
      <c r="B36" s="4" t="s">
        <v>697</v>
      </c>
      <c r="C36" s="24">
        <v>0.01</v>
      </c>
      <c r="D36" s="1">
        <f t="shared" si="0"/>
        <v>0.5</v>
      </c>
    </row>
    <row r="37" spans="1:4" x14ac:dyDescent="0.25">
      <c r="A37" s="3">
        <v>2235</v>
      </c>
      <c r="B37" s="67" t="s">
        <v>355</v>
      </c>
      <c r="C37" s="24"/>
      <c r="D37" s="1"/>
    </row>
    <row r="38" spans="1:4" ht="48" x14ac:dyDescent="0.25">
      <c r="A38" s="3"/>
      <c r="B38" s="4" t="s">
        <v>691</v>
      </c>
      <c r="C38" s="24">
        <v>7.0000000000000001E-3</v>
      </c>
      <c r="D38" s="1">
        <f t="shared" si="0"/>
        <v>0.35000000000000003</v>
      </c>
    </row>
    <row r="39" spans="1:4" x14ac:dyDescent="0.25">
      <c r="A39" s="3">
        <v>2239</v>
      </c>
      <c r="B39" s="67" t="s">
        <v>356</v>
      </c>
      <c r="C39" s="24"/>
      <c r="D39" s="1"/>
    </row>
    <row r="40" spans="1:4" ht="48" x14ac:dyDescent="0.25">
      <c r="A40" s="3"/>
      <c r="B40" s="4" t="s">
        <v>690</v>
      </c>
      <c r="C40" s="24">
        <v>4.9000000000000002E-2</v>
      </c>
      <c r="D40" s="1">
        <f t="shared" si="0"/>
        <v>2.4500000000000002</v>
      </c>
    </row>
    <row r="41" spans="1:4" x14ac:dyDescent="0.25">
      <c r="A41" s="3">
        <v>2241</v>
      </c>
      <c r="B41" s="67" t="s">
        <v>460</v>
      </c>
      <c r="C41" s="24"/>
      <c r="D41" s="1"/>
    </row>
    <row r="42" spans="1:4" ht="60" x14ac:dyDescent="0.25">
      <c r="A42" s="3"/>
      <c r="B42" s="4" t="s">
        <v>689</v>
      </c>
      <c r="C42" s="24">
        <v>6.0999999999999999E-2</v>
      </c>
      <c r="D42" s="1">
        <f t="shared" si="0"/>
        <v>3.05</v>
      </c>
    </row>
    <row r="43" spans="1:4" x14ac:dyDescent="0.25">
      <c r="A43" s="3">
        <v>2242</v>
      </c>
      <c r="B43" s="67" t="s">
        <v>357</v>
      </c>
      <c r="C43" s="24"/>
      <c r="D43" s="1"/>
    </row>
    <row r="44" spans="1:4" ht="48" x14ac:dyDescent="0.25">
      <c r="A44" s="3"/>
      <c r="B44" s="4" t="s">
        <v>688</v>
      </c>
      <c r="C44" s="24">
        <v>0.09</v>
      </c>
      <c r="D44" s="1">
        <f t="shared" si="0"/>
        <v>4.5</v>
      </c>
    </row>
    <row r="45" spans="1:4" x14ac:dyDescent="0.25">
      <c r="A45" s="3">
        <v>2243</v>
      </c>
      <c r="B45" s="4" t="s">
        <v>100</v>
      </c>
      <c r="C45" s="1"/>
      <c r="D45" s="1"/>
    </row>
    <row r="46" spans="1:4" ht="60" x14ac:dyDescent="0.25">
      <c r="A46" s="3"/>
      <c r="B46" s="4" t="s">
        <v>687</v>
      </c>
      <c r="C46" s="24">
        <v>0.05</v>
      </c>
      <c r="D46" s="1">
        <f t="shared" si="0"/>
        <v>2.5</v>
      </c>
    </row>
    <row r="47" spans="1:4" x14ac:dyDescent="0.25">
      <c r="A47" s="3">
        <v>2244</v>
      </c>
      <c r="B47" s="4" t="s">
        <v>92</v>
      </c>
      <c r="C47" s="1"/>
      <c r="D47" s="1"/>
    </row>
    <row r="48" spans="1:4" ht="60" x14ac:dyDescent="0.25">
      <c r="A48" s="29"/>
      <c r="B48" s="4" t="s">
        <v>686</v>
      </c>
      <c r="C48" s="24">
        <v>6.9000000000000006E-2</v>
      </c>
      <c r="D48" s="1">
        <f t="shared" si="0"/>
        <v>3.45</v>
      </c>
    </row>
    <row r="49" spans="1:4" x14ac:dyDescent="0.25">
      <c r="A49" s="3">
        <v>2247</v>
      </c>
      <c r="B49" s="67" t="s">
        <v>358</v>
      </c>
      <c r="C49" s="1"/>
      <c r="D49" s="1"/>
    </row>
    <row r="50" spans="1:4" ht="48" x14ac:dyDescent="0.25">
      <c r="A50" s="29"/>
      <c r="B50" s="4" t="s">
        <v>685</v>
      </c>
      <c r="C50" s="24">
        <v>3.0000000000000001E-3</v>
      </c>
      <c r="D50" s="1">
        <f t="shared" si="0"/>
        <v>0.15</v>
      </c>
    </row>
    <row r="51" spans="1:4" x14ac:dyDescent="0.25">
      <c r="A51" s="3">
        <v>2249</v>
      </c>
      <c r="B51" s="67" t="s">
        <v>359</v>
      </c>
      <c r="C51" s="1"/>
      <c r="D51" s="1"/>
    </row>
    <row r="52" spans="1:4" ht="48" x14ac:dyDescent="0.25">
      <c r="A52" s="29"/>
      <c r="B52" s="4" t="s">
        <v>684</v>
      </c>
      <c r="C52" s="24">
        <v>2E-3</v>
      </c>
      <c r="D52" s="1">
        <f t="shared" si="0"/>
        <v>0.1</v>
      </c>
    </row>
    <row r="53" spans="1:4" x14ac:dyDescent="0.25">
      <c r="A53" s="3">
        <v>2250</v>
      </c>
      <c r="B53" s="4" t="s">
        <v>118</v>
      </c>
      <c r="C53" s="24"/>
      <c r="D53" s="1"/>
    </row>
    <row r="54" spans="1:4" ht="60" x14ac:dyDescent="0.25">
      <c r="A54" s="3"/>
      <c r="B54" s="4" t="s">
        <v>683</v>
      </c>
      <c r="C54" s="24">
        <v>0.23699999999999999</v>
      </c>
      <c r="D54" s="1">
        <f t="shared" si="0"/>
        <v>11.85</v>
      </c>
    </row>
    <row r="55" spans="1:4" x14ac:dyDescent="0.25">
      <c r="A55" s="3">
        <v>2261</v>
      </c>
      <c r="B55" s="67" t="s">
        <v>130</v>
      </c>
      <c r="C55" s="1"/>
      <c r="D55" s="1"/>
    </row>
    <row r="56" spans="1:4" ht="60" x14ac:dyDescent="0.25">
      <c r="A56" s="3"/>
      <c r="B56" s="4" t="s">
        <v>964</v>
      </c>
      <c r="C56" s="24">
        <v>0.29599999999999999</v>
      </c>
      <c r="D56" s="1">
        <f t="shared" si="0"/>
        <v>14.799999999999999</v>
      </c>
    </row>
    <row r="57" spans="1:4" x14ac:dyDescent="0.25">
      <c r="A57" s="3">
        <v>2263</v>
      </c>
      <c r="B57" s="67" t="s">
        <v>360</v>
      </c>
      <c r="C57" s="1"/>
      <c r="D57" s="1"/>
    </row>
    <row r="58" spans="1:4" ht="48" x14ac:dyDescent="0.25">
      <c r="A58" s="3"/>
      <c r="B58" s="4" t="s">
        <v>955</v>
      </c>
      <c r="C58" s="24">
        <v>1E-3</v>
      </c>
      <c r="D58" s="1">
        <f t="shared" si="0"/>
        <v>0.05</v>
      </c>
    </row>
    <row r="59" spans="1:4" x14ac:dyDescent="0.25">
      <c r="A59" s="3">
        <v>2264</v>
      </c>
      <c r="B59" s="67" t="s">
        <v>361</v>
      </c>
      <c r="C59" s="1"/>
      <c r="D59" s="1"/>
    </row>
    <row r="60" spans="1:4" ht="60" x14ac:dyDescent="0.25">
      <c r="A60" s="3"/>
      <c r="B60" s="4" t="s">
        <v>682</v>
      </c>
      <c r="C60" s="24">
        <v>2.5999999999999999E-2</v>
      </c>
      <c r="D60" s="1">
        <f t="shared" si="0"/>
        <v>1.3</v>
      </c>
    </row>
    <row r="61" spans="1:4" x14ac:dyDescent="0.25">
      <c r="A61" s="3">
        <v>2311</v>
      </c>
      <c r="B61" s="4" t="s">
        <v>93</v>
      </c>
      <c r="C61" s="24"/>
      <c r="D61" s="1"/>
    </row>
    <row r="62" spans="1:4" ht="48" x14ac:dyDescent="0.25">
      <c r="A62" s="3"/>
      <c r="B62" s="4" t="s">
        <v>681</v>
      </c>
      <c r="C62" s="24">
        <v>8.9999999999999993E-3</v>
      </c>
      <c r="D62" s="1">
        <f t="shared" si="0"/>
        <v>0.44999999999999996</v>
      </c>
    </row>
    <row r="63" spans="1:4" x14ac:dyDescent="0.25">
      <c r="A63" s="3">
        <v>2312</v>
      </c>
      <c r="B63" s="4" t="s">
        <v>120</v>
      </c>
      <c r="C63" s="1"/>
      <c r="D63" s="1"/>
    </row>
    <row r="64" spans="1:4" ht="60" x14ac:dyDescent="0.25">
      <c r="A64" s="3"/>
      <c r="B64" s="4" t="s">
        <v>680</v>
      </c>
      <c r="C64" s="24">
        <v>1.0999999999999999E-2</v>
      </c>
      <c r="D64" s="1">
        <f t="shared" si="0"/>
        <v>0.54999999999999993</v>
      </c>
    </row>
    <row r="65" spans="1:4" x14ac:dyDescent="0.25">
      <c r="A65" s="3">
        <v>2314</v>
      </c>
      <c r="B65" s="67" t="s">
        <v>362</v>
      </c>
      <c r="C65" s="1"/>
      <c r="D65" s="1"/>
    </row>
    <row r="66" spans="1:4" ht="48" x14ac:dyDescent="0.25">
      <c r="A66" s="3"/>
      <c r="B66" s="4" t="s">
        <v>679</v>
      </c>
      <c r="C66" s="24">
        <v>2.3E-2</v>
      </c>
      <c r="D66" s="1">
        <f t="shared" si="0"/>
        <v>1.1499999999999999</v>
      </c>
    </row>
    <row r="67" spans="1:4" x14ac:dyDescent="0.25">
      <c r="A67" s="3">
        <v>2322</v>
      </c>
      <c r="B67" s="68" t="s">
        <v>363</v>
      </c>
      <c r="C67" s="1"/>
      <c r="D67" s="1"/>
    </row>
    <row r="68" spans="1:4" ht="60" x14ac:dyDescent="0.25">
      <c r="A68" s="3"/>
      <c r="B68" s="4" t="s">
        <v>670</v>
      </c>
      <c r="C68" s="24">
        <v>2.1999999999999999E-2</v>
      </c>
      <c r="D68" s="1">
        <f t="shared" si="0"/>
        <v>1.0999999999999999</v>
      </c>
    </row>
    <row r="69" spans="1:4" x14ac:dyDescent="0.25">
      <c r="A69" s="3">
        <v>2350</v>
      </c>
      <c r="B69" s="4" t="s">
        <v>119</v>
      </c>
      <c r="C69" s="24"/>
      <c r="D69" s="1"/>
    </row>
    <row r="70" spans="1:4" ht="60" x14ac:dyDescent="0.25">
      <c r="A70" s="3"/>
      <c r="B70" s="4" t="s">
        <v>671</v>
      </c>
      <c r="C70" s="30">
        <v>3.4000000000000002E-2</v>
      </c>
      <c r="D70" s="1">
        <f t="shared" si="0"/>
        <v>1.7000000000000002</v>
      </c>
    </row>
    <row r="71" spans="1:4" x14ac:dyDescent="0.25">
      <c r="A71" s="3">
        <v>2361</v>
      </c>
      <c r="B71" s="67" t="s">
        <v>364</v>
      </c>
      <c r="C71" s="1"/>
      <c r="D71" s="1"/>
    </row>
    <row r="72" spans="1:4" ht="48" x14ac:dyDescent="0.25">
      <c r="A72" s="3"/>
      <c r="B72" s="4" t="s">
        <v>672</v>
      </c>
      <c r="C72" s="24">
        <v>2E-3</v>
      </c>
      <c r="D72" s="1">
        <f t="shared" si="0"/>
        <v>0.1</v>
      </c>
    </row>
    <row r="73" spans="1:4" x14ac:dyDescent="0.25">
      <c r="A73" s="3">
        <v>2513</v>
      </c>
      <c r="B73" s="67" t="s">
        <v>365</v>
      </c>
      <c r="C73" s="1"/>
      <c r="D73" s="1"/>
    </row>
    <row r="74" spans="1:4" ht="48" x14ac:dyDescent="0.25">
      <c r="A74" s="3"/>
      <c r="B74" s="4" t="s">
        <v>673</v>
      </c>
      <c r="C74" s="24">
        <v>3.0000000000000001E-3</v>
      </c>
      <c r="D74" s="1">
        <f t="shared" si="0"/>
        <v>0.15</v>
      </c>
    </row>
    <row r="75" spans="1:4" x14ac:dyDescent="0.25">
      <c r="A75" s="3">
        <v>2519</v>
      </c>
      <c r="B75" s="67" t="s">
        <v>366</v>
      </c>
      <c r="C75" s="24"/>
      <c r="D75" s="1"/>
    </row>
    <row r="76" spans="1:4" ht="48" x14ac:dyDescent="0.25">
      <c r="A76" s="3"/>
      <c r="B76" s="4" t="s">
        <v>674</v>
      </c>
      <c r="C76" s="24">
        <v>1E-3</v>
      </c>
      <c r="D76" s="1">
        <f t="shared" si="0"/>
        <v>0.05</v>
      </c>
    </row>
    <row r="77" spans="1:4" x14ac:dyDescent="0.25">
      <c r="A77" s="3">
        <v>5120</v>
      </c>
      <c r="B77" s="4" t="s">
        <v>101</v>
      </c>
      <c r="C77" s="24"/>
      <c r="D77" s="1"/>
    </row>
    <row r="78" spans="1:4" ht="48" x14ac:dyDescent="0.25">
      <c r="A78" s="3"/>
      <c r="B78" s="4" t="s">
        <v>675</v>
      </c>
      <c r="C78" s="24">
        <v>4.0000000000000001E-3</v>
      </c>
      <c r="D78" s="1">
        <f t="shared" si="0"/>
        <v>0.2</v>
      </c>
    </row>
    <row r="79" spans="1:4" x14ac:dyDescent="0.25">
      <c r="A79" s="3">
        <v>5231</v>
      </c>
      <c r="B79" s="68" t="s">
        <v>368</v>
      </c>
      <c r="C79" s="1"/>
      <c r="D79" s="1"/>
    </row>
    <row r="80" spans="1:4" ht="60" x14ac:dyDescent="0.25">
      <c r="A80" s="3"/>
      <c r="B80" s="4" t="s">
        <v>676</v>
      </c>
      <c r="C80" s="24">
        <v>7.0999999999999994E-2</v>
      </c>
      <c r="D80" s="1">
        <f t="shared" si="0"/>
        <v>3.55</v>
      </c>
    </row>
    <row r="81" spans="1:4" x14ac:dyDescent="0.25">
      <c r="A81" s="3">
        <v>5238</v>
      </c>
      <c r="B81" s="4" t="s">
        <v>115</v>
      </c>
      <c r="C81" s="30"/>
      <c r="D81" s="1"/>
    </row>
    <row r="82" spans="1:4" ht="60" x14ac:dyDescent="0.25">
      <c r="A82" s="3"/>
      <c r="B82" s="4" t="s">
        <v>677</v>
      </c>
      <c r="C82" s="24">
        <v>2.1000000000000001E-2</v>
      </c>
      <c r="D82" s="1">
        <f t="shared" si="0"/>
        <v>1.05</v>
      </c>
    </row>
    <row r="83" spans="1:4" x14ac:dyDescent="0.25">
      <c r="A83" s="3">
        <v>5239</v>
      </c>
      <c r="B83" s="68" t="s">
        <v>369</v>
      </c>
      <c r="C83" s="24"/>
      <c r="D83" s="1"/>
    </row>
    <row r="84" spans="1:4" ht="60" x14ac:dyDescent="0.25">
      <c r="A84" s="3"/>
      <c r="B84" s="4" t="s">
        <v>678</v>
      </c>
      <c r="C84" s="24">
        <v>3.7999999999999999E-2</v>
      </c>
      <c r="D84" s="1">
        <f t="shared" si="0"/>
        <v>1.9</v>
      </c>
    </row>
    <row r="85" spans="1:4" x14ac:dyDescent="0.25">
      <c r="A85" s="3"/>
      <c r="B85" s="31" t="s">
        <v>94</v>
      </c>
      <c r="C85" s="70">
        <f>SUM(C20:C84)</f>
        <v>1.3800999999999994</v>
      </c>
      <c r="D85" s="70">
        <f>SUM(D20:D84)</f>
        <v>69.004999999999995</v>
      </c>
    </row>
    <row r="86" spans="1:4" ht="15" customHeight="1" x14ac:dyDescent="0.25">
      <c r="A86" s="33"/>
      <c r="B86" s="34" t="s">
        <v>95</v>
      </c>
      <c r="C86" s="32">
        <f>ROUND(C85+C17,4)</f>
        <v>43.700099999999999</v>
      </c>
      <c r="D86" s="32">
        <f>ROUND(D85+D17,4)</f>
        <v>2185.0050000000001</v>
      </c>
    </row>
    <row r="87" spans="1:4" ht="29.25" customHeight="1" x14ac:dyDescent="0.25">
      <c r="A87" s="35"/>
      <c r="B87" s="36"/>
      <c r="C87" s="37"/>
      <c r="D87" s="37"/>
    </row>
    <row r="88" spans="1:4" x14ac:dyDescent="0.25">
      <c r="A88" s="161" t="s">
        <v>96</v>
      </c>
      <c r="B88" s="162"/>
      <c r="C88" s="41">
        <v>50</v>
      </c>
      <c r="D88" s="38"/>
    </row>
    <row r="89" spans="1:4" ht="23.25" customHeight="1" x14ac:dyDescent="0.25">
      <c r="A89" s="161" t="s">
        <v>112</v>
      </c>
      <c r="B89" s="162"/>
      <c r="C89" s="2">
        <f>D86/C88</f>
        <v>43.700099999999999</v>
      </c>
      <c r="D89" s="38"/>
    </row>
  </sheetData>
  <mergeCells count="7">
    <mergeCell ref="A88:B88"/>
    <mergeCell ref="A89:B89"/>
    <mergeCell ref="A1:D1"/>
    <mergeCell ref="C2:D2"/>
    <mergeCell ref="A5:D5"/>
    <mergeCell ref="A6:B6"/>
    <mergeCell ref="A8:B8"/>
  </mergeCells>
  <pageMargins left="0.7" right="0.7" top="0.75" bottom="0.75" header="0.3" footer="0.3"/>
  <pageSetup paperSize="9" scale="96" orientation="portrait" r:id="rId1"/>
  <colBreaks count="1" manualBreakCount="1">
    <brk id="4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F90"/>
  <sheetViews>
    <sheetView view="pageBreakPreview" zoomScale="60" zoomScaleNormal="100" workbookViewId="0">
      <selection activeCell="B17" sqref="B17:C17"/>
    </sheetView>
  </sheetViews>
  <sheetFormatPr defaultRowHeight="15" x14ac:dyDescent="0.25"/>
  <cols>
    <col min="1" max="1" width="9.5703125" style="84" customWidth="1"/>
    <col min="2" max="2" width="62.7109375" style="84" customWidth="1"/>
    <col min="3" max="3" width="11" style="84" customWidth="1"/>
    <col min="4" max="4" width="11.2851562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11"/>
    </row>
    <row r="5" spans="1:4" ht="35.25" customHeight="1" x14ac:dyDescent="0.25">
      <c r="A5" s="166" t="s">
        <v>284</v>
      </c>
      <c r="B5" s="166"/>
      <c r="C5" s="166"/>
      <c r="D5" s="166"/>
    </row>
    <row r="6" spans="1:4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x14ac:dyDescent="0.25">
      <c r="A8" s="49"/>
      <c r="B8" s="79"/>
      <c r="C8" s="11"/>
      <c r="D8" s="11"/>
    </row>
    <row r="9" spans="1:4" x14ac:dyDescent="0.25">
      <c r="A9" s="170" t="s">
        <v>1151</v>
      </c>
      <c r="B9" s="170"/>
      <c r="C9" s="48"/>
      <c r="D9" s="48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59" customHeight="1" x14ac:dyDescent="0.25">
      <c r="A14" s="3"/>
      <c r="B14" s="81" t="s">
        <v>1168</v>
      </c>
      <c r="C14" s="1">
        <v>22.16</v>
      </c>
      <c r="D14" s="1">
        <f>C14*5</f>
        <v>110.8</v>
      </c>
    </row>
    <row r="15" spans="1:4" ht="24" x14ac:dyDescent="0.25">
      <c r="A15" s="3">
        <v>1200</v>
      </c>
      <c r="B15" s="4" t="s">
        <v>1114</v>
      </c>
      <c r="C15" s="1">
        <f>ROUND(C14*0.2359,2)</f>
        <v>5.23</v>
      </c>
      <c r="D15" s="1">
        <f t="shared" ref="D15:D17" si="0">C15*5</f>
        <v>26.150000000000002</v>
      </c>
    </row>
    <row r="16" spans="1:4" x14ac:dyDescent="0.25">
      <c r="A16" s="3">
        <v>2341</v>
      </c>
      <c r="B16" s="3" t="s">
        <v>116</v>
      </c>
      <c r="C16" s="24"/>
      <c r="D16" s="1"/>
    </row>
    <row r="17" spans="1:6" ht="96.6" customHeight="1" x14ac:dyDescent="0.25">
      <c r="A17" s="3"/>
      <c r="B17" s="4" t="s">
        <v>1657</v>
      </c>
      <c r="C17" s="1">
        <v>9.81</v>
      </c>
      <c r="D17" s="1">
        <f t="shared" si="0"/>
        <v>49.050000000000004</v>
      </c>
      <c r="E17" s="179"/>
      <c r="F17" s="180"/>
    </row>
    <row r="18" spans="1:6" x14ac:dyDescent="0.25">
      <c r="A18" s="3"/>
      <c r="B18" s="40" t="s">
        <v>87</v>
      </c>
      <c r="C18" s="32">
        <f>SUM(C13:C17)</f>
        <v>37.200000000000003</v>
      </c>
      <c r="D18" s="32">
        <f>SUM(D13:D17)</f>
        <v>186</v>
      </c>
    </row>
    <row r="19" spans="1:6" x14ac:dyDescent="0.25">
      <c r="A19" s="27"/>
      <c r="B19" s="103" t="s">
        <v>88</v>
      </c>
      <c r="C19" s="28"/>
      <c r="D19" s="28"/>
    </row>
    <row r="20" spans="1:6" x14ac:dyDescent="0.25">
      <c r="A20" s="3">
        <v>2100</v>
      </c>
      <c r="B20" s="69" t="s">
        <v>370</v>
      </c>
      <c r="C20" s="28"/>
      <c r="D20" s="28"/>
    </row>
    <row r="21" spans="1:6" ht="48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6" x14ac:dyDescent="0.25">
      <c r="A22" s="3">
        <v>2210</v>
      </c>
      <c r="B22" s="4" t="s">
        <v>354</v>
      </c>
      <c r="C22" s="24"/>
      <c r="D22" s="1"/>
    </row>
    <row r="23" spans="1:6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6" x14ac:dyDescent="0.25">
      <c r="A24" s="3">
        <v>2221</v>
      </c>
      <c r="B24" s="4" t="s">
        <v>89</v>
      </c>
      <c r="C24" s="1"/>
      <c r="D24" s="1"/>
    </row>
    <row r="25" spans="1:6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6" x14ac:dyDescent="0.25">
      <c r="A26" s="3">
        <v>2222</v>
      </c>
      <c r="B26" s="67" t="s">
        <v>90</v>
      </c>
      <c r="C26" s="1"/>
      <c r="D26" s="1"/>
    </row>
    <row r="27" spans="1:6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6" x14ac:dyDescent="0.25">
      <c r="A28" s="3">
        <v>2223</v>
      </c>
      <c r="B28" s="3" t="s">
        <v>91</v>
      </c>
      <c r="C28" s="24"/>
      <c r="D28" s="1"/>
    </row>
    <row r="29" spans="1:6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6" ht="24" x14ac:dyDescent="0.25">
      <c r="A30" s="3">
        <v>2224</v>
      </c>
      <c r="B30" s="4" t="s">
        <v>114</v>
      </c>
      <c r="C30" s="24"/>
      <c r="D30" s="1"/>
    </row>
    <row r="31" spans="1:6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6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38.580100000000002</v>
      </c>
      <c r="D87" s="32">
        <f>ROUND(D86+D18,4)</f>
        <v>192.90049999999999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" customHeight="1" x14ac:dyDescent="0.25">
      <c r="A90" s="161" t="s">
        <v>112</v>
      </c>
      <c r="B90" s="162"/>
      <c r="C90" s="2">
        <f>D87/C89</f>
        <v>38.580100000000002</v>
      </c>
      <c r="D90" s="38"/>
    </row>
  </sheetData>
  <mergeCells count="8">
    <mergeCell ref="A89:B89"/>
    <mergeCell ref="A90:B90"/>
    <mergeCell ref="E17:F17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2" orientation="portrait" r:id="rId1"/>
  <colBreaks count="1" manualBreakCount="1">
    <brk id="4" max="1048575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E90"/>
  <sheetViews>
    <sheetView view="pageBreakPreview" zoomScale="60" zoomScaleNormal="130" workbookViewId="0">
      <selection activeCell="D14" sqref="D14"/>
    </sheetView>
  </sheetViews>
  <sheetFormatPr defaultRowHeight="15" x14ac:dyDescent="0.25"/>
  <cols>
    <col min="1" max="1" width="9.140625" style="84"/>
    <col min="2" max="2" width="59.5703125" style="84" customWidth="1"/>
    <col min="3" max="3" width="11.85546875" style="84" customWidth="1"/>
    <col min="4" max="4" width="15.710937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6.75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8.25" customHeight="1" x14ac:dyDescent="0.25">
      <c r="A4" s="45"/>
      <c r="B4" s="11"/>
      <c r="C4" s="11"/>
      <c r="D4" s="44"/>
    </row>
    <row r="5" spans="1:4" ht="40.5" customHeight="1" x14ac:dyDescent="0.25">
      <c r="A5" s="166" t="s">
        <v>285</v>
      </c>
      <c r="B5" s="166"/>
      <c r="C5" s="166"/>
      <c r="D5" s="166"/>
    </row>
    <row r="6" spans="1:4" ht="8.25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12.75" customHeight="1" x14ac:dyDescent="0.25">
      <c r="A8" s="49"/>
      <c r="B8" s="79"/>
      <c r="C8" s="11"/>
      <c r="D8" s="44"/>
    </row>
    <row r="9" spans="1:4" x14ac:dyDescent="0.25">
      <c r="A9" s="170" t="s">
        <v>1151</v>
      </c>
      <c r="B9" s="170"/>
      <c r="C9" s="48"/>
      <c r="D9" s="44"/>
    </row>
    <row r="10" spans="1:4" ht="68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45.5" customHeight="1" x14ac:dyDescent="0.25">
      <c r="A14" s="3"/>
      <c r="B14" s="81" t="s">
        <v>1166</v>
      </c>
      <c r="C14" s="1">
        <v>22.16</v>
      </c>
      <c r="D14" s="1">
        <f>C14*5</f>
        <v>110.8</v>
      </c>
    </row>
    <row r="15" spans="1:4" ht="24" x14ac:dyDescent="0.25">
      <c r="A15" s="3">
        <v>1200</v>
      </c>
      <c r="B15" s="4" t="s">
        <v>1114</v>
      </c>
      <c r="C15" s="1">
        <f>ROUND(C14*0.2359,2)</f>
        <v>5.23</v>
      </c>
      <c r="D15" s="1">
        <f>C15*5</f>
        <v>26.150000000000002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5" ht="111.75" customHeight="1" x14ac:dyDescent="0.25">
      <c r="A17" s="3"/>
      <c r="B17" s="4" t="s">
        <v>1546</v>
      </c>
      <c r="C17" s="1">
        <v>23.8</v>
      </c>
      <c r="D17" s="1">
        <f>C17*5</f>
        <v>119</v>
      </c>
      <c r="E17" s="106"/>
    </row>
    <row r="18" spans="1:5" x14ac:dyDescent="0.25">
      <c r="A18" s="3"/>
      <c r="B18" s="40" t="s">
        <v>87</v>
      </c>
      <c r="C18" s="32">
        <f>SUM(C13:C17)</f>
        <v>51.19</v>
      </c>
      <c r="D18" s="32">
        <f>SUM(D13:D17)</f>
        <v>255.95</v>
      </c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52.570099999999996</v>
      </c>
      <c r="D87" s="32">
        <f>ROUND(D86+D18,4)</f>
        <v>262.85050000000001</v>
      </c>
    </row>
    <row r="88" spans="1:4" ht="22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52.570100000000004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0" orientation="portrait" r:id="rId1"/>
  <colBreaks count="1" manualBreakCount="1">
    <brk id="4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E89"/>
  <sheetViews>
    <sheetView view="pageBreakPreview" topLeftCell="A42" zoomScale="60" zoomScaleNormal="110" workbookViewId="0">
      <selection activeCell="D86" sqref="D86"/>
    </sheetView>
  </sheetViews>
  <sheetFormatPr defaultRowHeight="15" x14ac:dyDescent="0.25"/>
  <cols>
    <col min="1" max="1" width="9.5703125" style="84" customWidth="1"/>
    <col min="2" max="2" width="56.85546875" style="84" customWidth="1"/>
    <col min="3" max="3" width="10.7109375" style="84" customWidth="1"/>
    <col min="4" max="4" width="10.8554687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9.75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9.75" customHeight="1" x14ac:dyDescent="0.25">
      <c r="A4" s="45"/>
      <c r="B4" s="11"/>
      <c r="C4" s="11"/>
      <c r="D4" s="44"/>
    </row>
    <row r="5" spans="1:4" ht="47.25" customHeight="1" x14ac:dyDescent="0.25">
      <c r="A5" s="166" t="s">
        <v>286</v>
      </c>
      <c r="B5" s="166"/>
      <c r="C5" s="166"/>
      <c r="D5" s="166"/>
    </row>
    <row r="6" spans="1:4" x14ac:dyDescent="0.25">
      <c r="A6" s="158" t="s">
        <v>111</v>
      </c>
      <c r="B6" s="159"/>
      <c r="C6" s="11"/>
      <c r="D6" s="44"/>
    </row>
    <row r="7" spans="1:4" ht="12.75" customHeight="1" x14ac:dyDescent="0.25">
      <c r="A7" s="49"/>
      <c r="B7" s="79"/>
      <c r="C7" s="11"/>
      <c r="D7" s="44"/>
    </row>
    <row r="8" spans="1:4" ht="18.75" customHeight="1" x14ac:dyDescent="0.25">
      <c r="A8" s="170" t="s">
        <v>79</v>
      </c>
      <c r="B8" s="170"/>
      <c r="C8" s="48"/>
      <c r="D8" s="44"/>
    </row>
    <row r="9" spans="1:4" ht="111.75" customHeight="1" x14ac:dyDescent="0.25">
      <c r="A9" s="14" t="s">
        <v>80</v>
      </c>
      <c r="B9" s="14" t="s">
        <v>81</v>
      </c>
      <c r="C9" s="14" t="s">
        <v>82</v>
      </c>
      <c r="D9" s="14" t="s">
        <v>83</v>
      </c>
    </row>
    <row r="10" spans="1:4" x14ac:dyDescent="0.25">
      <c r="A10" s="15">
        <v>1</v>
      </c>
      <c r="B10" s="16">
        <v>2</v>
      </c>
      <c r="C10" s="15">
        <v>3</v>
      </c>
      <c r="D10" s="15">
        <v>4</v>
      </c>
    </row>
    <row r="11" spans="1:4" x14ac:dyDescent="0.25">
      <c r="A11" s="15"/>
      <c r="B11" s="31" t="s">
        <v>84</v>
      </c>
      <c r="C11" s="19"/>
      <c r="D11" s="19"/>
    </row>
    <row r="12" spans="1:4" x14ac:dyDescent="0.25">
      <c r="A12" s="42">
        <v>1100</v>
      </c>
      <c r="B12" s="43" t="s">
        <v>85</v>
      </c>
      <c r="C12" s="22"/>
      <c r="D12" s="22"/>
    </row>
    <row r="13" spans="1:4" ht="157.5" customHeight="1" x14ac:dyDescent="0.25">
      <c r="A13" s="3"/>
      <c r="B13" s="81" t="s">
        <v>1169</v>
      </c>
      <c r="C13" s="1">
        <v>22.16</v>
      </c>
      <c r="D13" s="1">
        <f>C13*200</f>
        <v>4432</v>
      </c>
    </row>
    <row r="14" spans="1:4" ht="26.25" customHeight="1" x14ac:dyDescent="0.25">
      <c r="A14" s="3">
        <v>1200</v>
      </c>
      <c r="B14" s="4" t="s">
        <v>1114</v>
      </c>
      <c r="C14" s="1">
        <f>ROUND(C13*0.2359,2)</f>
        <v>5.23</v>
      </c>
      <c r="D14" s="1">
        <f t="shared" ref="D14:D16" si="0">C14*200</f>
        <v>1046</v>
      </c>
    </row>
    <row r="15" spans="1:4" x14ac:dyDescent="0.25">
      <c r="A15" s="3">
        <v>2341</v>
      </c>
      <c r="B15" s="3" t="s">
        <v>116</v>
      </c>
      <c r="C15" s="24"/>
      <c r="D15" s="1"/>
    </row>
    <row r="16" spans="1:4" ht="89.25" customHeight="1" x14ac:dyDescent="0.25">
      <c r="A16" s="3"/>
      <c r="B16" s="4" t="s">
        <v>1532</v>
      </c>
      <c r="C16" s="1">
        <v>2.11</v>
      </c>
      <c r="D16" s="1">
        <f t="shared" si="0"/>
        <v>422</v>
      </c>
    </row>
    <row r="17" spans="1:5" x14ac:dyDescent="0.25">
      <c r="A17" s="34"/>
      <c r="B17" s="40" t="s">
        <v>87</v>
      </c>
      <c r="C17" s="32">
        <f>SUM(C12:C16)</f>
        <v>29.5</v>
      </c>
      <c r="D17" s="32">
        <f>SUM(D12:D16)</f>
        <v>5900</v>
      </c>
      <c r="E17" s="107"/>
    </row>
    <row r="18" spans="1:5" x14ac:dyDescent="0.25">
      <c r="A18" s="27"/>
      <c r="B18" s="103" t="s">
        <v>88</v>
      </c>
      <c r="C18" s="28"/>
      <c r="D18" s="28"/>
    </row>
    <row r="19" spans="1:5" x14ac:dyDescent="0.25">
      <c r="A19" s="3">
        <v>2100</v>
      </c>
      <c r="B19" s="69" t="s">
        <v>370</v>
      </c>
      <c r="C19" s="28"/>
      <c r="D19" s="28"/>
    </row>
    <row r="20" spans="1:5" ht="60" x14ac:dyDescent="0.25">
      <c r="A20" s="27"/>
      <c r="B20" s="4" t="s">
        <v>729</v>
      </c>
      <c r="C20" s="24">
        <v>2.1000000000000001E-2</v>
      </c>
      <c r="D20" s="1">
        <f>C20*200</f>
        <v>4.2</v>
      </c>
    </row>
    <row r="21" spans="1:5" x14ac:dyDescent="0.25">
      <c r="A21" s="3">
        <v>2210</v>
      </c>
      <c r="B21" s="4" t="s">
        <v>354</v>
      </c>
      <c r="C21" s="24"/>
      <c r="D21" s="1"/>
    </row>
    <row r="22" spans="1:5" ht="60" x14ac:dyDescent="0.25">
      <c r="A22" s="3"/>
      <c r="B22" s="4" t="s">
        <v>730</v>
      </c>
      <c r="C22" s="24">
        <v>2.1000000000000001E-2</v>
      </c>
      <c r="D22" s="1">
        <f t="shared" ref="D22:D84" si="1">C22*200</f>
        <v>4.2</v>
      </c>
    </row>
    <row r="23" spans="1:5" x14ac:dyDescent="0.25">
      <c r="A23" s="3">
        <v>2221</v>
      </c>
      <c r="B23" s="4" t="s">
        <v>89</v>
      </c>
      <c r="C23" s="1"/>
      <c r="D23" s="1"/>
    </row>
    <row r="24" spans="1:5" ht="60" x14ac:dyDescent="0.25">
      <c r="A24" s="3"/>
      <c r="B24" s="4" t="s">
        <v>823</v>
      </c>
      <c r="C24" s="24">
        <v>5.1999999999999998E-2</v>
      </c>
      <c r="D24" s="1">
        <f t="shared" si="1"/>
        <v>10.4</v>
      </c>
    </row>
    <row r="25" spans="1:5" x14ac:dyDescent="0.25">
      <c r="A25" s="3">
        <v>2222</v>
      </c>
      <c r="B25" s="67" t="s">
        <v>90</v>
      </c>
      <c r="C25" s="1"/>
      <c r="D25" s="1"/>
    </row>
    <row r="26" spans="1:5" ht="60" x14ac:dyDescent="0.25">
      <c r="A26" s="3"/>
      <c r="B26" s="4" t="s">
        <v>824</v>
      </c>
      <c r="C26" s="24">
        <f>ROUND(38.69/9509,4)</f>
        <v>4.1000000000000003E-3</v>
      </c>
      <c r="D26" s="1">
        <f t="shared" si="1"/>
        <v>0.82000000000000006</v>
      </c>
    </row>
    <row r="27" spans="1:5" x14ac:dyDescent="0.25">
      <c r="A27" s="3">
        <v>2223</v>
      </c>
      <c r="B27" s="3" t="s">
        <v>91</v>
      </c>
      <c r="C27" s="24"/>
      <c r="D27" s="1"/>
    </row>
    <row r="28" spans="1:5" ht="60" x14ac:dyDescent="0.25">
      <c r="A28" s="3"/>
      <c r="B28" s="4" t="s">
        <v>825</v>
      </c>
      <c r="C28" s="24">
        <v>9.4E-2</v>
      </c>
      <c r="D28" s="1">
        <f t="shared" si="1"/>
        <v>18.8</v>
      </c>
    </row>
    <row r="29" spans="1:5" ht="24" x14ac:dyDescent="0.25">
      <c r="A29" s="3">
        <v>2224</v>
      </c>
      <c r="B29" s="4" t="s">
        <v>114</v>
      </c>
      <c r="C29" s="24"/>
      <c r="D29" s="1"/>
    </row>
    <row r="30" spans="1:5" ht="60" x14ac:dyDescent="0.25">
      <c r="A30" s="3"/>
      <c r="B30" s="4" t="s">
        <v>734</v>
      </c>
      <c r="C30" s="24">
        <v>1.4999999999999999E-2</v>
      </c>
      <c r="D30" s="1">
        <f t="shared" si="1"/>
        <v>3</v>
      </c>
    </row>
    <row r="31" spans="1:5" x14ac:dyDescent="0.25">
      <c r="A31" s="3">
        <v>2231</v>
      </c>
      <c r="B31" s="4" t="s">
        <v>117</v>
      </c>
      <c r="C31" s="24"/>
      <c r="D31" s="1"/>
    </row>
    <row r="32" spans="1:5" ht="60" x14ac:dyDescent="0.25">
      <c r="A32" s="3"/>
      <c r="B32" s="4" t="s">
        <v>735</v>
      </c>
      <c r="C32" s="24">
        <v>2.5999999999999999E-2</v>
      </c>
      <c r="D32" s="1">
        <f t="shared" si="1"/>
        <v>5.2</v>
      </c>
    </row>
    <row r="33" spans="1:4" x14ac:dyDescent="0.25">
      <c r="A33" s="3">
        <v>2232</v>
      </c>
      <c r="B33" s="4" t="s">
        <v>453</v>
      </c>
      <c r="C33" s="1"/>
      <c r="D33" s="1"/>
    </row>
    <row r="34" spans="1:4" ht="60" x14ac:dyDescent="0.25">
      <c r="A34" s="3"/>
      <c r="B34" s="4" t="s">
        <v>736</v>
      </c>
      <c r="C34" s="24">
        <v>7.0000000000000001E-3</v>
      </c>
      <c r="D34" s="1">
        <f t="shared" si="1"/>
        <v>1.4000000000000001</v>
      </c>
    </row>
    <row r="35" spans="1:4" x14ac:dyDescent="0.25">
      <c r="A35" s="3">
        <v>2233</v>
      </c>
      <c r="B35" s="67" t="s">
        <v>127</v>
      </c>
      <c r="C35" s="1"/>
      <c r="D35" s="1"/>
    </row>
    <row r="36" spans="1:4" ht="60" x14ac:dyDescent="0.25">
      <c r="A36" s="3"/>
      <c r="B36" s="4" t="s">
        <v>737</v>
      </c>
      <c r="C36" s="24">
        <v>0.01</v>
      </c>
      <c r="D36" s="1">
        <f t="shared" si="1"/>
        <v>2</v>
      </c>
    </row>
    <row r="37" spans="1:4" x14ac:dyDescent="0.25">
      <c r="A37" s="3">
        <v>2235</v>
      </c>
      <c r="B37" s="67" t="s">
        <v>355</v>
      </c>
      <c r="C37" s="24"/>
      <c r="D37" s="1"/>
    </row>
    <row r="38" spans="1:4" ht="60" x14ac:dyDescent="0.25">
      <c r="A38" s="3"/>
      <c r="B38" s="4" t="s">
        <v>738</v>
      </c>
      <c r="C38" s="24">
        <v>7.0000000000000001E-3</v>
      </c>
      <c r="D38" s="1">
        <f t="shared" si="1"/>
        <v>1.4000000000000001</v>
      </c>
    </row>
    <row r="39" spans="1:4" x14ac:dyDescent="0.25">
      <c r="A39" s="3">
        <v>2239</v>
      </c>
      <c r="B39" s="67" t="s">
        <v>356</v>
      </c>
      <c r="C39" s="24"/>
      <c r="D39" s="1"/>
    </row>
    <row r="40" spans="1:4" ht="60" x14ac:dyDescent="0.25">
      <c r="A40" s="3"/>
      <c r="B40" s="4" t="s">
        <v>739</v>
      </c>
      <c r="C40" s="24">
        <v>4.9000000000000002E-2</v>
      </c>
      <c r="D40" s="1">
        <f t="shared" si="1"/>
        <v>9.8000000000000007</v>
      </c>
    </row>
    <row r="41" spans="1:4" x14ac:dyDescent="0.25">
      <c r="A41" s="3">
        <v>2241</v>
      </c>
      <c r="B41" s="67" t="s">
        <v>460</v>
      </c>
      <c r="C41" s="24"/>
      <c r="D41" s="1"/>
    </row>
    <row r="42" spans="1:4" ht="60" x14ac:dyDescent="0.25">
      <c r="A42" s="3"/>
      <c r="B42" s="4" t="s">
        <v>740</v>
      </c>
      <c r="C42" s="24">
        <v>6.0999999999999999E-2</v>
      </c>
      <c r="D42" s="1">
        <f t="shared" si="1"/>
        <v>12.2</v>
      </c>
    </row>
    <row r="43" spans="1:4" x14ac:dyDescent="0.25">
      <c r="A43" s="3">
        <v>2242</v>
      </c>
      <c r="B43" s="67" t="s">
        <v>357</v>
      </c>
      <c r="C43" s="24"/>
      <c r="D43" s="1"/>
    </row>
    <row r="44" spans="1:4" ht="60" x14ac:dyDescent="0.25">
      <c r="A44" s="3"/>
      <c r="B44" s="4" t="s">
        <v>741</v>
      </c>
      <c r="C44" s="24">
        <v>0.09</v>
      </c>
      <c r="D44" s="1">
        <f t="shared" si="1"/>
        <v>18</v>
      </c>
    </row>
    <row r="45" spans="1:4" x14ac:dyDescent="0.25">
      <c r="A45" s="3">
        <v>2243</v>
      </c>
      <c r="B45" s="4" t="s">
        <v>100</v>
      </c>
      <c r="C45" s="1"/>
      <c r="D45" s="1"/>
    </row>
    <row r="46" spans="1:4" ht="60" x14ac:dyDescent="0.25">
      <c r="A46" s="3"/>
      <c r="B46" s="4" t="s">
        <v>742</v>
      </c>
      <c r="C46" s="24">
        <v>0.05</v>
      </c>
      <c r="D46" s="1">
        <f t="shared" si="1"/>
        <v>10</v>
      </c>
    </row>
    <row r="47" spans="1:4" x14ac:dyDescent="0.25">
      <c r="A47" s="3">
        <v>2244</v>
      </c>
      <c r="B47" s="4" t="s">
        <v>92</v>
      </c>
      <c r="C47" s="1"/>
      <c r="D47" s="1"/>
    </row>
    <row r="48" spans="1:4" ht="66" customHeight="1" x14ac:dyDescent="0.25">
      <c r="A48" s="29"/>
      <c r="B48" s="4" t="s">
        <v>743</v>
      </c>
      <c r="C48" s="24">
        <v>6.9000000000000006E-2</v>
      </c>
      <c r="D48" s="1">
        <f t="shared" si="1"/>
        <v>13.8</v>
      </c>
    </row>
    <row r="49" spans="1:4" x14ac:dyDescent="0.25">
      <c r="A49" s="3">
        <v>2247</v>
      </c>
      <c r="B49" s="67" t="s">
        <v>358</v>
      </c>
      <c r="C49" s="1"/>
      <c r="D49" s="1"/>
    </row>
    <row r="50" spans="1:4" ht="60" x14ac:dyDescent="0.25">
      <c r="A50" s="29"/>
      <c r="B50" s="4" t="s">
        <v>744</v>
      </c>
      <c r="C50" s="24">
        <v>3.0000000000000001E-3</v>
      </c>
      <c r="D50" s="1">
        <f t="shared" si="1"/>
        <v>0.6</v>
      </c>
    </row>
    <row r="51" spans="1:4" x14ac:dyDescent="0.25">
      <c r="A51" s="3">
        <v>2249</v>
      </c>
      <c r="B51" s="67" t="s">
        <v>359</v>
      </c>
      <c r="C51" s="1"/>
      <c r="D51" s="1"/>
    </row>
    <row r="52" spans="1:4" ht="60" x14ac:dyDescent="0.25">
      <c r="A52" s="29"/>
      <c r="B52" s="4" t="s">
        <v>745</v>
      </c>
      <c r="C52" s="24">
        <v>2E-3</v>
      </c>
      <c r="D52" s="1">
        <f t="shared" si="1"/>
        <v>0.4</v>
      </c>
    </row>
    <row r="53" spans="1:4" x14ac:dyDescent="0.25">
      <c r="A53" s="3">
        <v>2250</v>
      </c>
      <c r="B53" s="4" t="s">
        <v>118</v>
      </c>
      <c r="C53" s="24"/>
      <c r="D53" s="1"/>
    </row>
    <row r="54" spans="1:4" ht="60" x14ac:dyDescent="0.25">
      <c r="A54" s="3"/>
      <c r="B54" s="4" t="s">
        <v>746</v>
      </c>
      <c r="C54" s="24">
        <v>0.23699999999999999</v>
      </c>
      <c r="D54" s="1">
        <f t="shared" si="1"/>
        <v>47.4</v>
      </c>
    </row>
    <row r="55" spans="1:4" x14ac:dyDescent="0.25">
      <c r="A55" s="3">
        <v>2261</v>
      </c>
      <c r="B55" s="67" t="s">
        <v>130</v>
      </c>
      <c r="C55" s="1"/>
      <c r="D55" s="1"/>
    </row>
    <row r="56" spans="1:4" ht="60" x14ac:dyDescent="0.25">
      <c r="A56" s="3"/>
      <c r="B56" s="4" t="s">
        <v>968</v>
      </c>
      <c r="C56" s="24">
        <v>0.29599999999999999</v>
      </c>
      <c r="D56" s="1">
        <f t="shared" si="1"/>
        <v>59.199999999999996</v>
      </c>
    </row>
    <row r="57" spans="1:4" x14ac:dyDescent="0.25">
      <c r="A57" s="3">
        <v>2263</v>
      </c>
      <c r="B57" s="67" t="s">
        <v>360</v>
      </c>
      <c r="C57" s="1"/>
      <c r="D57" s="1"/>
    </row>
    <row r="58" spans="1:4" ht="60" x14ac:dyDescent="0.25">
      <c r="A58" s="3"/>
      <c r="B58" s="4" t="s">
        <v>960</v>
      </c>
      <c r="C58" s="24">
        <v>1E-3</v>
      </c>
      <c r="D58" s="1">
        <f t="shared" si="1"/>
        <v>0.2</v>
      </c>
    </row>
    <row r="59" spans="1:4" x14ac:dyDescent="0.25">
      <c r="A59" s="3">
        <v>2264</v>
      </c>
      <c r="B59" s="67" t="s">
        <v>361</v>
      </c>
      <c r="C59" s="1"/>
      <c r="D59" s="1"/>
    </row>
    <row r="60" spans="1:4" ht="60" x14ac:dyDescent="0.25">
      <c r="A60" s="3"/>
      <c r="B60" s="4" t="s">
        <v>747</v>
      </c>
      <c r="C60" s="24">
        <v>2.5999999999999999E-2</v>
      </c>
      <c r="D60" s="1">
        <f t="shared" si="1"/>
        <v>5.2</v>
      </c>
    </row>
    <row r="61" spans="1:4" x14ac:dyDescent="0.25">
      <c r="A61" s="3">
        <v>2311</v>
      </c>
      <c r="B61" s="4" t="s">
        <v>93</v>
      </c>
      <c r="C61" s="24"/>
      <c r="D61" s="1"/>
    </row>
    <row r="62" spans="1:4" ht="60" x14ac:dyDescent="0.25">
      <c r="A62" s="3"/>
      <c r="B62" s="4" t="s">
        <v>748</v>
      </c>
      <c r="C62" s="24">
        <v>8.9999999999999993E-3</v>
      </c>
      <c r="D62" s="1">
        <f t="shared" si="1"/>
        <v>1.7999999999999998</v>
      </c>
    </row>
    <row r="63" spans="1:4" x14ac:dyDescent="0.25">
      <c r="A63" s="3">
        <v>2312</v>
      </c>
      <c r="B63" s="4" t="s">
        <v>120</v>
      </c>
      <c r="C63" s="1"/>
      <c r="D63" s="1"/>
    </row>
    <row r="64" spans="1:4" ht="60" x14ac:dyDescent="0.25">
      <c r="A64" s="3"/>
      <c r="B64" s="4" t="s">
        <v>749</v>
      </c>
      <c r="C64" s="24">
        <v>1.0999999999999999E-2</v>
      </c>
      <c r="D64" s="1">
        <f t="shared" si="1"/>
        <v>2.1999999999999997</v>
      </c>
    </row>
    <row r="65" spans="1:4" x14ac:dyDescent="0.25">
      <c r="A65" s="3">
        <v>2314</v>
      </c>
      <c r="B65" s="67" t="s">
        <v>362</v>
      </c>
      <c r="C65" s="1"/>
      <c r="D65" s="1"/>
    </row>
    <row r="66" spans="1:4" ht="60" x14ac:dyDescent="0.25">
      <c r="A66" s="3"/>
      <c r="B66" s="4" t="s">
        <v>750</v>
      </c>
      <c r="C66" s="24">
        <v>2.3E-2</v>
      </c>
      <c r="D66" s="1">
        <f t="shared" si="1"/>
        <v>4.5999999999999996</v>
      </c>
    </row>
    <row r="67" spans="1:4" x14ac:dyDescent="0.25">
      <c r="A67" s="3">
        <v>2322</v>
      </c>
      <c r="B67" s="68" t="s">
        <v>363</v>
      </c>
      <c r="C67" s="1"/>
      <c r="D67" s="1"/>
    </row>
    <row r="68" spans="1:4" ht="60" x14ac:dyDescent="0.25">
      <c r="A68" s="3"/>
      <c r="B68" s="4" t="s">
        <v>759</v>
      </c>
      <c r="C68" s="24">
        <v>2.1999999999999999E-2</v>
      </c>
      <c r="D68" s="1">
        <f t="shared" si="1"/>
        <v>4.3999999999999995</v>
      </c>
    </row>
    <row r="69" spans="1:4" x14ac:dyDescent="0.25">
      <c r="A69" s="3">
        <v>2350</v>
      </c>
      <c r="B69" s="4" t="s">
        <v>119</v>
      </c>
      <c r="C69" s="24"/>
      <c r="D69" s="1"/>
    </row>
    <row r="70" spans="1:4" ht="60" x14ac:dyDescent="0.25">
      <c r="A70" s="3"/>
      <c r="B70" s="4" t="s">
        <v>751</v>
      </c>
      <c r="C70" s="30">
        <v>3.4000000000000002E-2</v>
      </c>
      <c r="D70" s="1">
        <f t="shared" si="1"/>
        <v>6.8000000000000007</v>
      </c>
    </row>
    <row r="71" spans="1:4" x14ac:dyDescent="0.25">
      <c r="A71" s="3">
        <v>2361</v>
      </c>
      <c r="B71" s="67" t="s">
        <v>364</v>
      </c>
      <c r="C71" s="1"/>
      <c r="D71" s="1"/>
    </row>
    <row r="72" spans="1:4" ht="60" x14ac:dyDescent="0.25">
      <c r="A72" s="3"/>
      <c r="B72" s="4" t="s">
        <v>752</v>
      </c>
      <c r="C72" s="24">
        <v>2E-3</v>
      </c>
      <c r="D72" s="1">
        <f t="shared" si="1"/>
        <v>0.4</v>
      </c>
    </row>
    <row r="73" spans="1:4" x14ac:dyDescent="0.25">
      <c r="A73" s="3">
        <v>2513</v>
      </c>
      <c r="B73" s="67" t="s">
        <v>365</v>
      </c>
      <c r="C73" s="1"/>
      <c r="D73" s="1"/>
    </row>
    <row r="74" spans="1:4" ht="60" x14ac:dyDescent="0.25">
      <c r="A74" s="3"/>
      <c r="B74" s="4" t="s">
        <v>753</v>
      </c>
      <c r="C74" s="24">
        <v>3.0000000000000001E-3</v>
      </c>
      <c r="D74" s="1">
        <f t="shared" si="1"/>
        <v>0.6</v>
      </c>
    </row>
    <row r="75" spans="1:4" x14ac:dyDescent="0.25">
      <c r="A75" s="3">
        <v>2519</v>
      </c>
      <c r="B75" s="67" t="s">
        <v>366</v>
      </c>
      <c r="C75" s="24"/>
      <c r="D75" s="1"/>
    </row>
    <row r="76" spans="1:4" ht="60" x14ac:dyDescent="0.25">
      <c r="A76" s="3"/>
      <c r="B76" s="4" t="s">
        <v>754</v>
      </c>
      <c r="C76" s="24">
        <v>1E-3</v>
      </c>
      <c r="D76" s="1">
        <f t="shared" si="1"/>
        <v>0.2</v>
      </c>
    </row>
    <row r="77" spans="1:4" x14ac:dyDescent="0.25">
      <c r="A77" s="3">
        <v>5120</v>
      </c>
      <c r="B77" s="4" t="s">
        <v>101</v>
      </c>
      <c r="C77" s="24"/>
      <c r="D77" s="1"/>
    </row>
    <row r="78" spans="1:4" ht="64.5" customHeight="1" x14ac:dyDescent="0.25">
      <c r="A78" s="3"/>
      <c r="B78" s="4" t="s">
        <v>755</v>
      </c>
      <c r="C78" s="24">
        <v>4.0000000000000001E-3</v>
      </c>
      <c r="D78" s="1">
        <f t="shared" si="1"/>
        <v>0.8</v>
      </c>
    </row>
    <row r="79" spans="1:4" x14ac:dyDescent="0.25">
      <c r="A79" s="3">
        <v>5231</v>
      </c>
      <c r="B79" s="68" t="s">
        <v>368</v>
      </c>
      <c r="C79" s="1"/>
      <c r="D79" s="1"/>
    </row>
    <row r="80" spans="1:4" ht="60" x14ac:dyDescent="0.25">
      <c r="A80" s="3"/>
      <c r="B80" s="4" t="s">
        <v>756</v>
      </c>
      <c r="C80" s="24">
        <v>7.0999999999999994E-2</v>
      </c>
      <c r="D80" s="1">
        <f t="shared" si="1"/>
        <v>14.2</v>
      </c>
    </row>
    <row r="81" spans="1:4" x14ac:dyDescent="0.25">
      <c r="A81" s="3">
        <v>5238</v>
      </c>
      <c r="B81" s="4" t="s">
        <v>115</v>
      </c>
      <c r="C81" s="30"/>
      <c r="D81" s="1"/>
    </row>
    <row r="82" spans="1:4" ht="60" x14ac:dyDescent="0.25">
      <c r="A82" s="3"/>
      <c r="B82" s="4" t="s">
        <v>757</v>
      </c>
      <c r="C82" s="24">
        <v>2.1000000000000001E-2</v>
      </c>
      <c r="D82" s="1">
        <f t="shared" si="1"/>
        <v>4.2</v>
      </c>
    </row>
    <row r="83" spans="1:4" x14ac:dyDescent="0.25">
      <c r="A83" s="3">
        <v>5239</v>
      </c>
      <c r="B83" s="68" t="s">
        <v>369</v>
      </c>
      <c r="C83" s="24"/>
      <c r="D83" s="1"/>
    </row>
    <row r="84" spans="1:4" ht="60" x14ac:dyDescent="0.25">
      <c r="A84" s="3"/>
      <c r="B84" s="4" t="s">
        <v>826</v>
      </c>
      <c r="C84" s="24">
        <v>3.7999999999999999E-2</v>
      </c>
      <c r="D84" s="1">
        <f t="shared" si="1"/>
        <v>7.6</v>
      </c>
    </row>
    <row r="85" spans="1:4" x14ac:dyDescent="0.25">
      <c r="A85" s="3"/>
      <c r="B85" s="31" t="s">
        <v>94</v>
      </c>
      <c r="C85" s="70">
        <f>SUM(C20:C84)</f>
        <v>1.3800999999999994</v>
      </c>
      <c r="D85" s="70">
        <f>SUM(D20:D84)</f>
        <v>276.02</v>
      </c>
    </row>
    <row r="86" spans="1:4" ht="15" customHeight="1" x14ac:dyDescent="0.25">
      <c r="A86" s="33"/>
      <c r="B86" s="34" t="s">
        <v>95</v>
      </c>
      <c r="C86" s="32">
        <f>ROUND(C85+C17,4)</f>
        <v>30.880099999999999</v>
      </c>
      <c r="D86" s="32">
        <f>ROUND(D85+D17,4)</f>
        <v>6176.02</v>
      </c>
    </row>
    <row r="87" spans="1:4" ht="27.75" customHeight="1" x14ac:dyDescent="0.25">
      <c r="A87" s="35"/>
      <c r="B87" s="36"/>
      <c r="C87" s="37"/>
      <c r="D87" s="37"/>
    </row>
    <row r="88" spans="1:4" x14ac:dyDescent="0.25">
      <c r="A88" s="161" t="s">
        <v>96</v>
      </c>
      <c r="B88" s="162"/>
      <c r="C88" s="41">
        <v>200</v>
      </c>
      <c r="D88" s="38"/>
    </row>
    <row r="89" spans="1:4" ht="21.75" customHeight="1" x14ac:dyDescent="0.25">
      <c r="A89" s="161" t="s">
        <v>112</v>
      </c>
      <c r="B89" s="162"/>
      <c r="C89" s="2">
        <f>D86/C88</f>
        <v>30.880100000000002</v>
      </c>
      <c r="D89" s="38"/>
    </row>
  </sheetData>
  <mergeCells count="7">
    <mergeCell ref="A88:B88"/>
    <mergeCell ref="A89:B89"/>
    <mergeCell ref="A1:D1"/>
    <mergeCell ref="C2:D2"/>
    <mergeCell ref="A5:D5"/>
    <mergeCell ref="A6:B6"/>
    <mergeCell ref="A8:B8"/>
  </mergeCells>
  <pageMargins left="0.7" right="0.7" top="0.75" bottom="0.75" header="0.3" footer="0.3"/>
  <pageSetup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D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7109375" style="84" customWidth="1"/>
    <col min="2" max="2" width="54.42578125" style="84" customWidth="1"/>
    <col min="3" max="3" width="9.140625" style="84"/>
    <col min="4" max="4" width="11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16.5" customHeight="1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ht="7.5" customHeight="1" x14ac:dyDescent="0.25">
      <c r="A4" s="45"/>
      <c r="B4" s="11"/>
      <c r="C4" s="11"/>
      <c r="D4" s="11"/>
    </row>
    <row r="5" spans="1:4" ht="43.5" customHeight="1" x14ac:dyDescent="0.25">
      <c r="A5" s="166" t="s">
        <v>287</v>
      </c>
      <c r="B5" s="166"/>
      <c r="C5" s="166"/>
      <c r="D5" s="166"/>
    </row>
    <row r="6" spans="1:4" ht="14.25" customHeight="1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ht="10.5" customHeight="1" x14ac:dyDescent="0.25">
      <c r="A8" s="49"/>
      <c r="B8" s="79"/>
      <c r="C8" s="11"/>
      <c r="D8" s="11"/>
    </row>
    <row r="9" spans="1:4" x14ac:dyDescent="0.25">
      <c r="A9" s="170" t="s">
        <v>106</v>
      </c>
      <c r="B9" s="170"/>
      <c r="C9" s="48"/>
      <c r="D9" s="48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62" customHeight="1" x14ac:dyDescent="0.25">
      <c r="A14" s="3"/>
      <c r="B14" s="81" t="s">
        <v>1170</v>
      </c>
      <c r="C14" s="1">
        <v>18.16</v>
      </c>
      <c r="D14" s="1">
        <f>C14*10</f>
        <v>181.6</v>
      </c>
    </row>
    <row r="15" spans="1:4" ht="24" x14ac:dyDescent="0.25">
      <c r="A15" s="3">
        <v>1200</v>
      </c>
      <c r="B15" s="4" t="s">
        <v>1171</v>
      </c>
      <c r="C15" s="1">
        <f>ROUND(C14*0.2359,2)</f>
        <v>4.28</v>
      </c>
      <c r="D15" s="1">
        <f>C15*10</f>
        <v>42.800000000000004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4" ht="99" customHeight="1" x14ac:dyDescent="0.25">
      <c r="A17" s="3"/>
      <c r="B17" s="4" t="s">
        <v>1545</v>
      </c>
      <c r="C17" s="1">
        <v>1.71</v>
      </c>
      <c r="D17" s="1">
        <f>C17*10</f>
        <v>17.100000000000001</v>
      </c>
    </row>
    <row r="18" spans="1:4" x14ac:dyDescent="0.25">
      <c r="A18" s="3"/>
      <c r="B18" s="40" t="s">
        <v>87</v>
      </c>
      <c r="C18" s="32">
        <f>SUM(C13:C17)</f>
        <v>24.150000000000002</v>
      </c>
      <c r="D18" s="32">
        <f>SUM(D13:D17)</f>
        <v>241.5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5" customHeight="1" x14ac:dyDescent="0.25">
      <c r="A87" s="33"/>
      <c r="B87" s="34" t="s">
        <v>95</v>
      </c>
      <c r="C87" s="32">
        <f>ROUND(C86+C18,4)</f>
        <v>25.530100000000001</v>
      </c>
      <c r="D87" s="32">
        <f>ROUND(D86+D18,3)</f>
        <v>255.30099999999999</v>
      </c>
    </row>
    <row r="88" spans="1:4" ht="25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25.530099999999997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E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0" style="84" customWidth="1"/>
    <col min="3" max="3" width="12.42578125" style="84" customWidth="1"/>
    <col min="4" max="4" width="13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80"/>
      <c r="B2" s="80"/>
      <c r="C2" s="80"/>
      <c r="D2" s="80"/>
    </row>
    <row r="3" spans="1:4" x14ac:dyDescent="0.25">
      <c r="A3" s="46" t="s">
        <v>110</v>
      </c>
      <c r="B3" s="80"/>
      <c r="C3" s="80"/>
      <c r="D3" s="80"/>
    </row>
    <row r="4" spans="1:4" ht="41.25" customHeight="1" x14ac:dyDescent="0.25">
      <c r="A4" s="166" t="s">
        <v>288</v>
      </c>
      <c r="B4" s="166"/>
      <c r="C4" s="166"/>
      <c r="D4" s="166"/>
    </row>
    <row r="5" spans="1:4" ht="9" customHeight="1" x14ac:dyDescent="0.25">
      <c r="A5" s="49"/>
      <c r="B5" s="11"/>
      <c r="C5" s="11"/>
      <c r="D5" s="44"/>
    </row>
    <row r="6" spans="1:4" x14ac:dyDescent="0.25">
      <c r="A6" s="158" t="s">
        <v>111</v>
      </c>
      <c r="B6" s="159"/>
      <c r="C6" s="11"/>
      <c r="D6" s="44"/>
    </row>
    <row r="7" spans="1:4" ht="9" customHeight="1" x14ac:dyDescent="0.25">
      <c r="A7" s="49"/>
      <c r="B7" s="79"/>
      <c r="C7" s="11"/>
      <c r="D7" s="44"/>
    </row>
    <row r="8" spans="1:4" x14ac:dyDescent="0.25">
      <c r="A8" s="170" t="s">
        <v>109</v>
      </c>
      <c r="B8" s="170"/>
      <c r="C8" s="11"/>
      <c r="D8" s="44"/>
    </row>
    <row r="9" spans="1:4" ht="9" customHeight="1" x14ac:dyDescent="0.25">
      <c r="A9" s="45"/>
      <c r="B9" s="36"/>
      <c r="C9" s="48"/>
      <c r="D9" s="44"/>
    </row>
    <row r="10" spans="1:4" ht="106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49.25" customHeight="1" x14ac:dyDescent="0.25">
      <c r="A14" s="3"/>
      <c r="B14" s="81" t="s">
        <v>1172</v>
      </c>
      <c r="C14" s="1">
        <v>20.16</v>
      </c>
      <c r="D14" s="1">
        <f>C14*5</f>
        <v>100.8</v>
      </c>
    </row>
    <row r="15" spans="1:4" ht="24" x14ac:dyDescent="0.25">
      <c r="A15" s="3">
        <v>1200</v>
      </c>
      <c r="B15" s="4" t="s">
        <v>1150</v>
      </c>
      <c r="C15" s="1">
        <f>ROUND(C14*0.2359,2)</f>
        <v>4.76</v>
      </c>
      <c r="D15" s="1">
        <f>C15*5</f>
        <v>23.799999999999997</v>
      </c>
    </row>
    <row r="16" spans="1:4" x14ac:dyDescent="0.25">
      <c r="A16" s="3">
        <v>2341</v>
      </c>
      <c r="B16" s="3" t="s">
        <v>107</v>
      </c>
      <c r="C16" s="24"/>
      <c r="D16" s="24"/>
    </row>
    <row r="17" spans="1:5" ht="93.75" customHeight="1" x14ac:dyDescent="0.25">
      <c r="A17" s="3"/>
      <c r="B17" s="4" t="s">
        <v>1520</v>
      </c>
      <c r="C17" s="1">
        <v>5.5</v>
      </c>
      <c r="D17" s="1">
        <f>C17*5</f>
        <v>27.5</v>
      </c>
      <c r="E17" s="106"/>
    </row>
    <row r="18" spans="1:5" x14ac:dyDescent="0.25">
      <c r="A18" s="3"/>
      <c r="B18" s="40" t="s">
        <v>87</v>
      </c>
      <c r="C18" s="32">
        <f>SUM(C13:C17)</f>
        <v>30.42</v>
      </c>
      <c r="D18" s="32">
        <f>SUM(D13:D17)</f>
        <v>152.1</v>
      </c>
    </row>
    <row r="19" spans="1:5" ht="18" customHeight="1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31.8001</v>
      </c>
      <c r="D87" s="32">
        <f>ROUND(D86+D18,4)</f>
        <v>159.00049999999999</v>
      </c>
    </row>
    <row r="88" spans="1:4" ht="29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31.800099999999997</v>
      </c>
      <c r="D90" s="38"/>
    </row>
  </sheetData>
  <mergeCells count="6">
    <mergeCell ref="A89:B89"/>
    <mergeCell ref="A90:B90"/>
    <mergeCell ref="A1:D1"/>
    <mergeCell ref="A4:D4"/>
    <mergeCell ref="A6:B6"/>
    <mergeCell ref="A8:B8"/>
  </mergeCells>
  <pageMargins left="0.7" right="0.7" top="0.75" bottom="0.75" header="0.3" footer="0.3"/>
  <pageSetup scale="95" orientation="portrait" r:id="rId1"/>
  <colBreaks count="1" manualBreakCount="1">
    <brk id="4" max="1048575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J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9.5703125" style="84" customWidth="1"/>
    <col min="2" max="2" width="58.85546875" style="84" customWidth="1"/>
    <col min="3" max="3" width="10.7109375" style="84" customWidth="1"/>
    <col min="4" max="4" width="15.4257812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11.25" customHeight="1" x14ac:dyDescent="0.25">
      <c r="A2" s="80"/>
      <c r="B2" s="80"/>
      <c r="C2" s="80"/>
      <c r="D2" s="80"/>
    </row>
    <row r="3" spans="1:4" x14ac:dyDescent="0.25">
      <c r="A3" s="46" t="s">
        <v>110</v>
      </c>
      <c r="B3" s="47"/>
      <c r="C3" s="47"/>
      <c r="D3" s="47"/>
    </row>
    <row r="4" spans="1:4" ht="12.75" customHeight="1" x14ac:dyDescent="0.25">
      <c r="A4" s="45"/>
      <c r="B4" s="11"/>
      <c r="C4" s="11"/>
      <c r="D4" s="44"/>
    </row>
    <row r="5" spans="1:4" ht="54" customHeight="1" x14ac:dyDescent="0.25">
      <c r="A5" s="166" t="s">
        <v>289</v>
      </c>
      <c r="B5" s="166"/>
      <c r="C5" s="166"/>
      <c r="D5" s="166"/>
    </row>
    <row r="6" spans="1:4" ht="6.75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3.75" customHeight="1" x14ac:dyDescent="0.25">
      <c r="A8" s="49"/>
      <c r="B8" s="79"/>
      <c r="C8" s="11"/>
      <c r="D8" s="44"/>
    </row>
    <row r="9" spans="1:4" x14ac:dyDescent="0.25">
      <c r="A9" s="170" t="s">
        <v>109</v>
      </c>
      <c r="B9" s="170"/>
      <c r="C9" s="11"/>
      <c r="D9" s="44"/>
    </row>
    <row r="10" spans="1:4" ht="73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19"/>
    </row>
    <row r="14" spans="1:4" ht="159" customHeight="1" x14ac:dyDescent="0.25">
      <c r="A14" s="3"/>
      <c r="B14" s="81" t="s">
        <v>1173</v>
      </c>
      <c r="C14" s="1">
        <v>18.16</v>
      </c>
      <c r="D14" s="1">
        <f>C14*5</f>
        <v>90.8</v>
      </c>
    </row>
    <row r="15" spans="1:4" ht="24" x14ac:dyDescent="0.25">
      <c r="A15" s="3">
        <v>1200</v>
      </c>
      <c r="B15" s="4" t="s">
        <v>1171</v>
      </c>
      <c r="C15" s="1">
        <f>ROUND(C14*0.2359,2)</f>
        <v>4.28</v>
      </c>
      <c r="D15" s="1">
        <f t="shared" ref="D15:D17" si="0">C15*5</f>
        <v>21.400000000000002</v>
      </c>
    </row>
    <row r="16" spans="1:4" x14ac:dyDescent="0.25">
      <c r="A16" s="3">
        <v>2341</v>
      </c>
      <c r="B16" s="3" t="s">
        <v>97</v>
      </c>
      <c r="C16" s="24"/>
      <c r="D16" s="1"/>
    </row>
    <row r="17" spans="1:10" ht="77.25" customHeight="1" x14ac:dyDescent="0.25">
      <c r="A17" s="3"/>
      <c r="B17" s="4" t="s">
        <v>1519</v>
      </c>
      <c r="C17" s="1">
        <v>5.84</v>
      </c>
      <c r="D17" s="1">
        <f t="shared" si="0"/>
        <v>29.2</v>
      </c>
      <c r="E17" s="105"/>
      <c r="F17" s="105"/>
      <c r="G17" s="105"/>
      <c r="H17" s="105"/>
      <c r="I17" s="105"/>
      <c r="J17" s="105"/>
    </row>
    <row r="18" spans="1:10" x14ac:dyDescent="0.25">
      <c r="A18" s="3"/>
      <c r="B18" s="40" t="s">
        <v>87</v>
      </c>
      <c r="C18" s="32">
        <f>SUM(C13:C17)</f>
        <v>28.28</v>
      </c>
      <c r="D18" s="32">
        <f>SUM(D13:D17)</f>
        <v>141.4</v>
      </c>
      <c r="E18" s="105"/>
      <c r="F18" s="105"/>
      <c r="G18" s="105"/>
      <c r="H18" s="105"/>
      <c r="I18" s="105"/>
      <c r="J18" s="105"/>
    </row>
    <row r="19" spans="1:10" x14ac:dyDescent="0.25">
      <c r="A19" s="27"/>
      <c r="B19" s="103" t="s">
        <v>88</v>
      </c>
      <c r="C19" s="28"/>
      <c r="D19" s="28"/>
    </row>
    <row r="20" spans="1:10" x14ac:dyDescent="0.25">
      <c r="A20" s="3">
        <v>2100</v>
      </c>
      <c r="B20" s="69" t="s">
        <v>370</v>
      </c>
      <c r="C20" s="28"/>
      <c r="D20" s="28"/>
    </row>
    <row r="21" spans="1:10" ht="60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10" x14ac:dyDescent="0.25">
      <c r="A22" s="3">
        <v>2210</v>
      </c>
      <c r="B22" s="4" t="s">
        <v>354</v>
      </c>
      <c r="C22" s="24"/>
      <c r="D22" s="1"/>
    </row>
    <row r="23" spans="1:10" ht="60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10" x14ac:dyDescent="0.25">
      <c r="A24" s="3">
        <v>2221</v>
      </c>
      <c r="B24" s="4" t="s">
        <v>89</v>
      </c>
      <c r="C24" s="1"/>
      <c r="D24" s="1"/>
    </row>
    <row r="25" spans="1:10" ht="60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10" x14ac:dyDescent="0.25">
      <c r="A26" s="3">
        <v>2222</v>
      </c>
      <c r="B26" s="67" t="s">
        <v>90</v>
      </c>
      <c r="C26" s="1"/>
      <c r="D26" s="1"/>
    </row>
    <row r="27" spans="1:10" ht="60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10" x14ac:dyDescent="0.25">
      <c r="A28" s="3">
        <v>2223</v>
      </c>
      <c r="B28" s="3" t="s">
        <v>91</v>
      </c>
      <c r="C28" s="24"/>
      <c r="D28" s="1"/>
    </row>
    <row r="29" spans="1:10" ht="60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10" ht="24" x14ac:dyDescent="0.25">
      <c r="A30" s="3">
        <v>2224</v>
      </c>
      <c r="B30" s="4" t="s">
        <v>114</v>
      </c>
      <c r="C30" s="24"/>
      <c r="D30" s="1"/>
    </row>
    <row r="31" spans="1:10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10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x14ac:dyDescent="0.25">
      <c r="A87" s="33"/>
      <c r="B87" s="34" t="s">
        <v>95</v>
      </c>
      <c r="C87" s="32">
        <f>ROUND(C86+C18,4)</f>
        <v>29.6601</v>
      </c>
      <c r="D87" s="32">
        <f>ROUND(D86+D18,4)</f>
        <v>148.3005</v>
      </c>
    </row>
    <row r="88" spans="1:4" ht="15" customHeight="1" x14ac:dyDescent="0.25">
      <c r="A88" s="35"/>
      <c r="B88" s="36"/>
      <c r="C88" s="37"/>
      <c r="D88" s="37"/>
    </row>
    <row r="89" spans="1:4" ht="35.25" customHeight="1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29.6601</v>
      </c>
      <c r="D90" s="38"/>
    </row>
  </sheetData>
  <mergeCells count="6">
    <mergeCell ref="A90:B90"/>
    <mergeCell ref="A89:B89"/>
    <mergeCell ref="A1:D1"/>
    <mergeCell ref="A5:D5"/>
    <mergeCell ref="A7:B7"/>
    <mergeCell ref="A9:B9"/>
  </mergeCells>
  <pageMargins left="0.7" right="0.7" top="0.75" bottom="0.75" header="0.3" footer="0.3"/>
  <pageSetup scale="95" orientation="portrait" r:id="rId1"/>
  <colBreaks count="1" manualBreakCount="1">
    <brk id="4" max="1048575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G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5.85546875" style="84" customWidth="1"/>
    <col min="2" max="2" width="60.28515625" style="84" customWidth="1"/>
    <col min="3" max="3" width="9.140625" style="84"/>
    <col min="4" max="4" width="10.42578125" style="84" customWidth="1"/>
    <col min="5" max="5" width="9.140625" style="84"/>
    <col min="6" max="6" width="11.42578125" style="84" customWidth="1"/>
    <col min="7" max="7" width="13.7109375" style="84" customWidth="1"/>
    <col min="8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42.75" customHeight="1" x14ac:dyDescent="0.25">
      <c r="A5" s="166" t="s">
        <v>303</v>
      </c>
      <c r="B5" s="166"/>
      <c r="C5" s="166"/>
      <c r="D5" s="166"/>
    </row>
    <row r="6" spans="1:7" ht="9" customHeight="1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ht="7.5" customHeight="1" x14ac:dyDescent="0.25">
      <c r="A8" s="6"/>
      <c r="B8" s="12"/>
      <c r="C8" s="13"/>
      <c r="D8" s="10"/>
    </row>
    <row r="9" spans="1:7" x14ac:dyDescent="0.25">
      <c r="A9" s="160" t="s">
        <v>109</v>
      </c>
      <c r="B9" s="160"/>
      <c r="C9" s="13"/>
      <c r="D9" s="10"/>
    </row>
    <row r="10" spans="1:7" ht="120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77" customHeight="1" x14ac:dyDescent="0.25">
      <c r="A14" s="5"/>
      <c r="B14" s="83" t="s">
        <v>1211</v>
      </c>
      <c r="C14" s="1">
        <v>17.16</v>
      </c>
      <c r="D14" s="1">
        <f>C14*5</f>
        <v>85.8</v>
      </c>
      <c r="E14" s="183"/>
      <c r="F14" s="184"/>
      <c r="G14" s="184"/>
    </row>
    <row r="15" spans="1:7" ht="24" x14ac:dyDescent="0.25">
      <c r="A15" s="5">
        <v>1200</v>
      </c>
      <c r="B15" s="23" t="s">
        <v>1174</v>
      </c>
      <c r="C15" s="1">
        <f>ROUND(C14*0.2359,2)</f>
        <v>4.05</v>
      </c>
      <c r="D15" s="1">
        <f t="shared" ref="D15:D17" si="0">C15*5</f>
        <v>20.25</v>
      </c>
    </row>
    <row r="16" spans="1:7" x14ac:dyDescent="0.25">
      <c r="A16" s="3">
        <v>2341</v>
      </c>
      <c r="B16" s="3" t="s">
        <v>97</v>
      </c>
      <c r="C16" s="24"/>
      <c r="D16" s="1"/>
    </row>
    <row r="17" spans="1:4" ht="87.75" customHeight="1" x14ac:dyDescent="0.25">
      <c r="A17" s="5"/>
      <c r="B17" s="23" t="s">
        <v>1544</v>
      </c>
      <c r="C17" s="1">
        <v>1.94</v>
      </c>
      <c r="D17" s="1">
        <f t="shared" si="0"/>
        <v>9.6999999999999993</v>
      </c>
    </row>
    <row r="18" spans="1:4" x14ac:dyDescent="0.25">
      <c r="A18" s="3"/>
      <c r="B18" s="40" t="s">
        <v>87</v>
      </c>
      <c r="C18" s="32">
        <f>SUM(C13:C17)</f>
        <v>23.150000000000002</v>
      </c>
      <c r="D18" s="32">
        <f>SUM(D13:D17)</f>
        <v>115.75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54" customHeight="1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4" customHeight="1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24.530100000000001</v>
      </c>
      <c r="D87" s="32">
        <f>ROUND(D86+D18,4)</f>
        <v>122.65049999999999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2.5" customHeight="1" x14ac:dyDescent="0.25">
      <c r="A90" s="161" t="s">
        <v>112</v>
      </c>
      <c r="B90" s="162"/>
      <c r="C90" s="2">
        <f>D87/C89</f>
        <v>24.530099999999997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G90"/>
  <sheetViews>
    <sheetView view="pageBreakPreview" zoomScale="60" zoomScaleNormal="85" workbookViewId="0">
      <selection activeCell="I14" sqref="I14"/>
    </sheetView>
  </sheetViews>
  <sheetFormatPr defaultRowHeight="15" x14ac:dyDescent="0.25"/>
  <cols>
    <col min="1" max="1" width="9.140625" style="84"/>
    <col min="2" max="2" width="62.28515625" style="84" customWidth="1"/>
    <col min="3" max="3" width="10.28515625" style="84" customWidth="1"/>
    <col min="4" max="4" width="12.7109375" style="84" customWidth="1"/>
    <col min="5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41.25" customHeight="1" x14ac:dyDescent="0.25">
      <c r="A5" s="166" t="s">
        <v>304</v>
      </c>
      <c r="B5" s="166"/>
      <c r="C5" s="166"/>
      <c r="D5" s="166"/>
    </row>
    <row r="6" spans="1:7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x14ac:dyDescent="0.25">
      <c r="A8" s="49"/>
      <c r="B8" s="79"/>
      <c r="C8" s="11"/>
      <c r="D8" s="10"/>
    </row>
    <row r="9" spans="1:7" x14ac:dyDescent="0.25">
      <c r="A9" s="160" t="s">
        <v>373</v>
      </c>
      <c r="B9" s="160"/>
      <c r="C9" s="13"/>
      <c r="D9" s="10"/>
    </row>
    <row r="10" spans="1:7" ht="108" customHeight="1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73.25" customHeight="1" x14ac:dyDescent="0.25">
      <c r="A14" s="5"/>
      <c r="B14" s="81" t="s">
        <v>1175</v>
      </c>
      <c r="C14" s="1">
        <v>24.16</v>
      </c>
      <c r="D14" s="1">
        <f>C14*10</f>
        <v>241.6</v>
      </c>
      <c r="E14" s="185"/>
      <c r="F14" s="175"/>
      <c r="G14" s="175"/>
    </row>
    <row r="15" spans="1:7" ht="24" x14ac:dyDescent="0.25">
      <c r="A15" s="5">
        <v>1200</v>
      </c>
      <c r="B15" s="23" t="s">
        <v>1176</v>
      </c>
      <c r="C15" s="1">
        <f>ROUND(C14*0.2359,2)</f>
        <v>5.7</v>
      </c>
      <c r="D15" s="1">
        <f>C15*10</f>
        <v>57</v>
      </c>
    </row>
    <row r="16" spans="1:7" x14ac:dyDescent="0.25">
      <c r="A16" s="5">
        <v>2341</v>
      </c>
      <c r="B16" s="5" t="s">
        <v>97</v>
      </c>
      <c r="C16" s="39"/>
      <c r="D16" s="1"/>
    </row>
    <row r="17" spans="1:4" ht="112.5" customHeight="1" x14ac:dyDescent="0.25">
      <c r="A17" s="5"/>
      <c r="B17" s="23" t="s">
        <v>1543</v>
      </c>
      <c r="C17" s="1">
        <v>5.04</v>
      </c>
      <c r="D17" s="1">
        <f>C17*10</f>
        <v>50.4</v>
      </c>
    </row>
    <row r="18" spans="1:4" x14ac:dyDescent="0.25">
      <c r="A18" s="3"/>
      <c r="B18" s="40" t="s">
        <v>87</v>
      </c>
      <c r="C18" s="32">
        <f>SUM(C13:C17)</f>
        <v>34.9</v>
      </c>
      <c r="D18" s="32">
        <f>SUM(D13:D17)</f>
        <v>349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36.280099999999997</v>
      </c>
      <c r="D87" s="32">
        <f>ROUND(D86+D18,3)</f>
        <v>362.80099999999999</v>
      </c>
    </row>
    <row r="88" spans="1:4" ht="34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6.25" customHeight="1" x14ac:dyDescent="0.25">
      <c r="A90" s="161" t="s">
        <v>112</v>
      </c>
      <c r="B90" s="162"/>
      <c r="C90" s="2">
        <f>D87/C89</f>
        <v>36.280099999999997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I90"/>
  <sheetViews>
    <sheetView view="pageBreakPreview" topLeftCell="A78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59.140625" style="84" customWidth="1"/>
    <col min="3" max="3" width="9.140625" style="84"/>
    <col min="4" max="4" width="14.140625" style="84" customWidth="1"/>
    <col min="5" max="8" width="9.140625" style="84"/>
    <col min="9" max="9" width="10.85546875" style="84" customWidth="1"/>
    <col min="10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3" customHeight="1" x14ac:dyDescent="0.25">
      <c r="A5" s="166" t="s">
        <v>305</v>
      </c>
      <c r="B5" s="166"/>
      <c r="C5" s="166"/>
      <c r="D5" s="166"/>
    </row>
    <row r="6" spans="1:8" ht="11.25" customHeight="1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ht="6.75" customHeight="1" x14ac:dyDescent="0.25">
      <c r="A8" s="49"/>
      <c r="B8" s="79"/>
      <c r="C8" s="11"/>
      <c r="D8" s="10"/>
    </row>
    <row r="9" spans="1:8" x14ac:dyDescent="0.25">
      <c r="A9" s="170" t="s">
        <v>109</v>
      </c>
      <c r="B9" s="170"/>
      <c r="C9" s="13"/>
      <c r="D9" s="10"/>
    </row>
    <row r="10" spans="1:8" ht="99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66.15" customHeight="1" x14ac:dyDescent="0.25">
      <c r="A14" s="5"/>
      <c r="B14" s="81" t="s">
        <v>1177</v>
      </c>
      <c r="C14" s="1">
        <v>24.16</v>
      </c>
      <c r="D14" s="1">
        <f>C14*5</f>
        <v>120.8</v>
      </c>
      <c r="E14" s="186"/>
      <c r="F14" s="175"/>
      <c r="G14" s="175"/>
      <c r="H14" s="175"/>
    </row>
    <row r="15" spans="1:8" ht="24" x14ac:dyDescent="0.25">
      <c r="A15" s="5">
        <v>1200</v>
      </c>
      <c r="B15" s="23" t="s">
        <v>1176</v>
      </c>
      <c r="C15" s="1">
        <f>ROUND(C14*0.2359,2)</f>
        <v>5.7</v>
      </c>
      <c r="D15" s="1">
        <f t="shared" ref="D15:D17" si="0">C15*5</f>
        <v>28.5</v>
      </c>
    </row>
    <row r="16" spans="1:8" x14ac:dyDescent="0.25">
      <c r="A16" s="5">
        <v>2341</v>
      </c>
      <c r="B16" s="5" t="s">
        <v>116</v>
      </c>
      <c r="C16" s="39"/>
      <c r="D16" s="1"/>
    </row>
    <row r="17" spans="1:9" ht="84" x14ac:dyDescent="0.25">
      <c r="A17" s="5"/>
      <c r="B17" s="23" t="s">
        <v>1528</v>
      </c>
      <c r="C17" s="1">
        <v>0.66</v>
      </c>
      <c r="D17" s="1">
        <f t="shared" si="0"/>
        <v>3.3000000000000003</v>
      </c>
      <c r="I17" s="105"/>
    </row>
    <row r="18" spans="1:9" x14ac:dyDescent="0.25">
      <c r="A18" s="5"/>
      <c r="B18" s="40" t="s">
        <v>87</v>
      </c>
      <c r="C18" s="26">
        <f>SUM(C13:C17)</f>
        <v>30.52</v>
      </c>
      <c r="D18" s="26">
        <f>SUM(D13:D17)</f>
        <v>152.60000000000002</v>
      </c>
    </row>
    <row r="19" spans="1:9" x14ac:dyDescent="0.25">
      <c r="A19" s="27"/>
      <c r="B19" s="103" t="s">
        <v>88</v>
      </c>
      <c r="C19" s="28"/>
      <c r="D19" s="28"/>
    </row>
    <row r="20" spans="1:9" x14ac:dyDescent="0.25">
      <c r="A20" s="3">
        <v>2100</v>
      </c>
      <c r="B20" s="69" t="s">
        <v>370</v>
      </c>
      <c r="C20" s="28"/>
      <c r="D20" s="28"/>
    </row>
    <row r="21" spans="1:9" ht="60" x14ac:dyDescent="0.25">
      <c r="A21" s="27"/>
      <c r="B21" s="4" t="s">
        <v>1181</v>
      </c>
      <c r="C21" s="24">
        <v>2.1000000000000001E-2</v>
      </c>
      <c r="D21" s="1">
        <f>C21*5</f>
        <v>0.10500000000000001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60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60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60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60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31.900099999999998</v>
      </c>
      <c r="D87" s="32">
        <f>ROUND(D86+D18,4)</f>
        <v>159.50049999999999</v>
      </c>
    </row>
    <row r="88" spans="1:4" ht="22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19.5" customHeight="1" x14ac:dyDescent="0.25">
      <c r="A90" s="161" t="s">
        <v>112</v>
      </c>
      <c r="B90" s="162"/>
      <c r="C90" s="2">
        <f>D87/C89</f>
        <v>31.900099999999998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  <colBreaks count="1" manualBreakCount="1">
    <brk id="4" max="1048575" man="1"/>
  </col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H91"/>
  <sheetViews>
    <sheetView view="pageBreakPreview" topLeftCell="A21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5.140625" style="84" customWidth="1"/>
    <col min="3" max="3" width="9.140625" style="84"/>
    <col min="4" max="4" width="15.140625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5.25" customHeight="1" x14ac:dyDescent="0.25">
      <c r="A5" s="166" t="s">
        <v>306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x14ac:dyDescent="0.25">
      <c r="A8" s="49"/>
      <c r="B8" s="79"/>
      <c r="C8" s="11"/>
      <c r="D8" s="10"/>
    </row>
    <row r="9" spans="1:8" x14ac:dyDescent="0.25">
      <c r="A9" s="160" t="s">
        <v>1178</v>
      </c>
      <c r="B9" s="160"/>
      <c r="C9" s="13"/>
      <c r="D9" s="10"/>
    </row>
    <row r="10" spans="1:8" x14ac:dyDescent="0.25">
      <c r="A10" s="6"/>
      <c r="B10" s="12"/>
      <c r="C10" s="13"/>
      <c r="D10" s="10"/>
    </row>
    <row r="11" spans="1:8" ht="100.5" customHeight="1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x14ac:dyDescent="0.25">
      <c r="A13" s="17"/>
      <c r="B13" s="18" t="s">
        <v>84</v>
      </c>
      <c r="C13" s="19"/>
      <c r="D13" s="19"/>
    </row>
    <row r="14" spans="1:8" x14ac:dyDescent="0.25">
      <c r="A14" s="20">
        <v>1100</v>
      </c>
      <c r="B14" s="21" t="s">
        <v>85</v>
      </c>
      <c r="C14" s="22"/>
      <c r="D14" s="22"/>
    </row>
    <row r="15" spans="1:8" ht="156" x14ac:dyDescent="0.25">
      <c r="A15" s="5"/>
      <c r="B15" s="81" t="s">
        <v>1175</v>
      </c>
      <c r="C15" s="1">
        <v>24.16</v>
      </c>
      <c r="D15" s="1">
        <f>C15*10</f>
        <v>241.6</v>
      </c>
      <c r="E15" s="187"/>
      <c r="F15" s="184"/>
      <c r="G15" s="184"/>
      <c r="H15" s="184"/>
    </row>
    <row r="16" spans="1:8" ht="24" x14ac:dyDescent="0.25">
      <c r="A16" s="5">
        <v>1200</v>
      </c>
      <c r="B16" s="23" t="s">
        <v>1176</v>
      </c>
      <c r="C16" s="1">
        <f>ROUND(C15*0.2359,2)</f>
        <v>5.7</v>
      </c>
      <c r="D16" s="1">
        <f t="shared" ref="D16:D18" si="0">C16*10</f>
        <v>57</v>
      </c>
    </row>
    <row r="17" spans="1:4" x14ac:dyDescent="0.25">
      <c r="A17" s="5">
        <v>2341</v>
      </c>
      <c r="B17" s="5" t="s">
        <v>97</v>
      </c>
      <c r="C17" s="39"/>
      <c r="D17" s="1"/>
    </row>
    <row r="18" spans="1:4" ht="87.75" customHeight="1" x14ac:dyDescent="0.25">
      <c r="A18" s="5"/>
      <c r="B18" s="23" t="s">
        <v>1542</v>
      </c>
      <c r="C18" s="1">
        <v>5.5</v>
      </c>
      <c r="D18" s="1">
        <f t="shared" si="0"/>
        <v>55</v>
      </c>
    </row>
    <row r="19" spans="1:4" x14ac:dyDescent="0.25">
      <c r="A19" s="5"/>
      <c r="B19" s="40" t="s">
        <v>87</v>
      </c>
      <c r="C19" s="32">
        <f>SUM(C14:C18)</f>
        <v>35.36</v>
      </c>
      <c r="D19" s="32">
        <f>SUM(D14:D18)</f>
        <v>353.6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1076</v>
      </c>
      <c r="C22" s="24">
        <v>2.1000000000000001E-2</v>
      </c>
      <c r="D22" s="1">
        <f>C22*10</f>
        <v>0.21000000000000002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1077</v>
      </c>
      <c r="C24" s="24">
        <v>2.1000000000000001E-2</v>
      </c>
      <c r="D24" s="1">
        <f t="shared" ref="D24:D86" si="1">C24*10</f>
        <v>0.21000000000000002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1078</v>
      </c>
      <c r="C26" s="24">
        <v>5.1999999999999998E-2</v>
      </c>
      <c r="D26" s="1">
        <f t="shared" si="1"/>
        <v>0.52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1079</v>
      </c>
      <c r="C28" s="24">
        <f>ROUND(38.69/9509,4)</f>
        <v>4.1000000000000003E-3</v>
      </c>
      <c r="D28" s="1">
        <f t="shared" si="1"/>
        <v>4.1000000000000002E-2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1080</v>
      </c>
      <c r="C30" s="24">
        <v>9.4E-2</v>
      </c>
      <c r="D30" s="1">
        <f t="shared" si="1"/>
        <v>0.94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1081</v>
      </c>
      <c r="C32" s="24">
        <v>1.4999999999999999E-2</v>
      </c>
      <c r="D32" s="1">
        <f t="shared" si="1"/>
        <v>0.15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1082</v>
      </c>
      <c r="C34" s="24">
        <v>2.5999999999999999E-2</v>
      </c>
      <c r="D34" s="1">
        <f t="shared" si="1"/>
        <v>0.26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1083</v>
      </c>
      <c r="C36" s="24">
        <v>7.0000000000000001E-3</v>
      </c>
      <c r="D36" s="1">
        <f t="shared" si="1"/>
        <v>7.0000000000000007E-2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1084</v>
      </c>
      <c r="C38" s="24">
        <v>0.01</v>
      </c>
      <c r="D38" s="1">
        <f t="shared" si="1"/>
        <v>0.1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1085</v>
      </c>
      <c r="C40" s="24">
        <v>7.0000000000000001E-3</v>
      </c>
      <c r="D40" s="1">
        <f t="shared" si="1"/>
        <v>7.0000000000000007E-2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1086</v>
      </c>
      <c r="C42" s="24">
        <v>4.9000000000000002E-2</v>
      </c>
      <c r="D42" s="1">
        <f t="shared" si="1"/>
        <v>0.49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1087</v>
      </c>
      <c r="C44" s="24">
        <v>6.0999999999999999E-2</v>
      </c>
      <c r="D44" s="1">
        <f t="shared" si="1"/>
        <v>0.61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1088</v>
      </c>
      <c r="C46" s="24">
        <v>0.09</v>
      </c>
      <c r="D46" s="1">
        <f t="shared" si="1"/>
        <v>0.89999999999999991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1089</v>
      </c>
      <c r="C48" s="24">
        <v>0.05</v>
      </c>
      <c r="D48" s="1">
        <f t="shared" si="1"/>
        <v>0.5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1090</v>
      </c>
      <c r="C50" s="24">
        <v>6.9000000000000006E-2</v>
      </c>
      <c r="D50" s="1">
        <f t="shared" si="1"/>
        <v>0.69000000000000006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1091</v>
      </c>
      <c r="C52" s="24">
        <v>3.0000000000000001E-3</v>
      </c>
      <c r="D52" s="1">
        <f t="shared" si="1"/>
        <v>0.03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1092</v>
      </c>
      <c r="C54" s="24">
        <v>2E-3</v>
      </c>
      <c r="D54" s="1">
        <f t="shared" si="1"/>
        <v>0.02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1093</v>
      </c>
      <c r="C56" s="24">
        <v>0.23699999999999999</v>
      </c>
      <c r="D56" s="1">
        <f t="shared" si="1"/>
        <v>2.37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1094</v>
      </c>
      <c r="C58" s="24">
        <v>0.29599999999999999</v>
      </c>
      <c r="D58" s="1">
        <f t="shared" si="1"/>
        <v>2.96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1095</v>
      </c>
      <c r="C60" s="24">
        <v>1E-3</v>
      </c>
      <c r="D60" s="1">
        <f t="shared" si="1"/>
        <v>0.01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1096</v>
      </c>
      <c r="C62" s="24">
        <v>2.5999999999999999E-2</v>
      </c>
      <c r="D62" s="1">
        <f t="shared" si="1"/>
        <v>0.26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1097</v>
      </c>
      <c r="C64" s="24">
        <v>8.9999999999999993E-3</v>
      </c>
      <c r="D64" s="1">
        <f t="shared" si="1"/>
        <v>0.09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1098</v>
      </c>
      <c r="C66" s="24">
        <v>1.0999999999999999E-2</v>
      </c>
      <c r="D66" s="1">
        <f t="shared" si="1"/>
        <v>0.10999999999999999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1099</v>
      </c>
      <c r="C68" s="24">
        <v>2.3E-2</v>
      </c>
      <c r="D68" s="1">
        <f t="shared" si="1"/>
        <v>0.22999999999999998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1100</v>
      </c>
      <c r="C70" s="24">
        <v>2.1999999999999999E-2</v>
      </c>
      <c r="D70" s="1">
        <f t="shared" si="1"/>
        <v>0.21999999999999997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1101</v>
      </c>
      <c r="C72" s="30">
        <v>3.4000000000000002E-2</v>
      </c>
      <c r="D72" s="1">
        <f t="shared" si="1"/>
        <v>0.34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1102</v>
      </c>
      <c r="C74" s="24">
        <v>2E-3</v>
      </c>
      <c r="D74" s="1">
        <f t="shared" si="1"/>
        <v>0.02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1103</v>
      </c>
      <c r="C76" s="24">
        <v>3.0000000000000001E-3</v>
      </c>
      <c r="D76" s="1">
        <f t="shared" si="1"/>
        <v>0.03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1104</v>
      </c>
      <c r="C78" s="24">
        <v>1E-3</v>
      </c>
      <c r="D78" s="1">
        <f t="shared" si="1"/>
        <v>0.01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1105</v>
      </c>
      <c r="C80" s="24">
        <v>4.0000000000000001E-3</v>
      </c>
      <c r="D80" s="1">
        <f t="shared" si="1"/>
        <v>0.04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1106</v>
      </c>
      <c r="C82" s="24">
        <v>7.0999999999999994E-2</v>
      </c>
      <c r="D82" s="1">
        <f t="shared" si="1"/>
        <v>0.71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1107</v>
      </c>
      <c r="C84" s="24">
        <v>2.1000000000000001E-2</v>
      </c>
      <c r="D84" s="1">
        <f t="shared" si="1"/>
        <v>0.21000000000000002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1108</v>
      </c>
      <c r="C86" s="24">
        <v>3.7999999999999999E-2</v>
      </c>
      <c r="D86" s="1">
        <f t="shared" si="1"/>
        <v>0.38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32">
        <f>SUM(D22:D86)</f>
        <v>13.801</v>
      </c>
    </row>
    <row r="88" spans="1:4" ht="14.45" customHeight="1" x14ac:dyDescent="0.25">
      <c r="A88" s="33"/>
      <c r="B88" s="34" t="s">
        <v>95</v>
      </c>
      <c r="C88" s="32">
        <f>ROUND(C87+C19,4)</f>
        <v>36.740099999999998</v>
      </c>
      <c r="D88" s="32">
        <f>ROUND(D87+D19,3)</f>
        <v>367.40100000000001</v>
      </c>
    </row>
    <row r="89" spans="1:4" ht="30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10</v>
      </c>
      <c r="D90" s="38"/>
    </row>
    <row r="91" spans="1:4" ht="22.5" customHeight="1" x14ac:dyDescent="0.25">
      <c r="A91" s="161" t="s">
        <v>112</v>
      </c>
      <c r="B91" s="162"/>
      <c r="C91" s="2">
        <f>D88/C90</f>
        <v>36.740099999999998</v>
      </c>
      <c r="D91" s="38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headerFooter>
    <oddFooter>&amp;C&amp;P</oddFooter>
  </headerFooter>
  <colBreaks count="1" manualBreakCount="1">
    <brk id="4" max="1048575" man="1"/>
  </col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H91"/>
  <sheetViews>
    <sheetView view="pageBreakPreview" zoomScale="60" zoomScaleNormal="100" workbookViewId="0">
      <selection activeCell="B18" sqref="B18"/>
    </sheetView>
  </sheetViews>
  <sheetFormatPr defaultRowHeight="15" x14ac:dyDescent="0.25"/>
  <cols>
    <col min="1" max="1" width="9.140625" style="84"/>
    <col min="2" max="2" width="61.42578125" style="84" customWidth="1"/>
    <col min="3" max="3" width="11.42578125" style="84" customWidth="1"/>
    <col min="4" max="4" width="13.7109375" style="84" customWidth="1"/>
    <col min="5" max="6" width="9.140625" style="84"/>
    <col min="7" max="7" width="9.140625" style="84" customWidth="1"/>
    <col min="8" max="8" width="12" style="84" customWidth="1"/>
    <col min="9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8.25" customHeight="1" x14ac:dyDescent="0.25">
      <c r="A5" s="166" t="s">
        <v>307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x14ac:dyDescent="0.25">
      <c r="A10" s="45"/>
      <c r="B10" s="36"/>
      <c r="C10" s="48"/>
      <c r="D10" s="44"/>
    </row>
    <row r="11" spans="1:8" ht="105.75" customHeight="1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x14ac:dyDescent="0.25">
      <c r="A13" s="15"/>
      <c r="B13" s="31" t="s">
        <v>84</v>
      </c>
      <c r="C13" s="19"/>
      <c r="D13" s="19"/>
    </row>
    <row r="14" spans="1:8" x14ac:dyDescent="0.25">
      <c r="A14" s="42">
        <v>1100</v>
      </c>
      <c r="B14" s="43" t="s">
        <v>85</v>
      </c>
      <c r="C14" s="22"/>
      <c r="D14" s="22"/>
    </row>
    <row r="15" spans="1:8" ht="168" x14ac:dyDescent="0.25">
      <c r="A15" s="3"/>
      <c r="B15" s="81" t="s">
        <v>1175</v>
      </c>
      <c r="C15" s="1">
        <v>24.16</v>
      </c>
      <c r="D15" s="1">
        <f>C15*5</f>
        <v>120.8</v>
      </c>
      <c r="E15" s="186"/>
      <c r="F15" s="175"/>
      <c r="G15" s="175"/>
      <c r="H15" s="175"/>
    </row>
    <row r="16" spans="1:8" ht="24" x14ac:dyDescent="0.25">
      <c r="A16" s="3">
        <v>1200</v>
      </c>
      <c r="B16" s="23" t="s">
        <v>1176</v>
      </c>
      <c r="C16" s="1">
        <f>ROUND(C15*0.2359,2)</f>
        <v>5.7</v>
      </c>
      <c r="D16" s="1">
        <f t="shared" ref="D16:D18" si="0">C16*5</f>
        <v>28.5</v>
      </c>
    </row>
    <row r="17" spans="1:4" x14ac:dyDescent="0.25">
      <c r="A17" s="3">
        <v>2341</v>
      </c>
      <c r="B17" s="3" t="s">
        <v>116</v>
      </c>
      <c r="C17" s="24"/>
      <c r="D17" s="1"/>
    </row>
    <row r="18" spans="1:4" ht="103.5" customHeight="1" x14ac:dyDescent="0.25">
      <c r="A18" s="3"/>
      <c r="B18" s="4" t="s">
        <v>1526</v>
      </c>
      <c r="C18" s="1">
        <v>4.6500000000000004</v>
      </c>
      <c r="D18" s="1">
        <f t="shared" si="0"/>
        <v>23.25</v>
      </c>
    </row>
    <row r="19" spans="1:4" x14ac:dyDescent="0.25">
      <c r="A19" s="34"/>
      <c r="B19" s="40" t="s">
        <v>87</v>
      </c>
      <c r="C19" s="32">
        <f>SUM(C14:C18)</f>
        <v>34.51</v>
      </c>
      <c r="D19" s="32">
        <f>SUM(D14:D18)</f>
        <v>172.55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1180</v>
      </c>
      <c r="C22" s="24">
        <v>2.1000000000000001E-2</v>
      </c>
      <c r="D22" s="1">
        <f>C22*5</f>
        <v>0.10500000000000001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1147</v>
      </c>
      <c r="C24" s="24">
        <v>2.1000000000000001E-2</v>
      </c>
      <c r="D24" s="1">
        <f t="shared" ref="D24:D86" si="1">C24*5</f>
        <v>0.10500000000000001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1146</v>
      </c>
      <c r="C26" s="24">
        <v>5.1999999999999998E-2</v>
      </c>
      <c r="D26" s="1">
        <f t="shared" si="1"/>
        <v>0.26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1145</v>
      </c>
      <c r="C28" s="24">
        <f>ROUND(38.69/9509,4)</f>
        <v>4.1000000000000003E-3</v>
      </c>
      <c r="D28" s="1">
        <f t="shared" si="1"/>
        <v>2.0500000000000001E-2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1144</v>
      </c>
      <c r="C30" s="24">
        <v>9.4E-2</v>
      </c>
      <c r="D30" s="1">
        <f t="shared" si="1"/>
        <v>0.47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1143</v>
      </c>
      <c r="C32" s="24">
        <v>1.4999999999999999E-2</v>
      </c>
      <c r="D32" s="1">
        <f t="shared" si="1"/>
        <v>7.4999999999999997E-2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1142</v>
      </c>
      <c r="C34" s="24">
        <v>2.5999999999999999E-2</v>
      </c>
      <c r="D34" s="1">
        <f t="shared" si="1"/>
        <v>0.13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1141</v>
      </c>
      <c r="C36" s="24">
        <v>7.0000000000000001E-3</v>
      </c>
      <c r="D36" s="1">
        <f t="shared" si="1"/>
        <v>3.5000000000000003E-2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1140</v>
      </c>
      <c r="C38" s="24">
        <v>0.01</v>
      </c>
      <c r="D38" s="1">
        <f t="shared" si="1"/>
        <v>0.05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1139</v>
      </c>
      <c r="C40" s="24">
        <v>7.0000000000000001E-3</v>
      </c>
      <c r="D40" s="1">
        <f t="shared" si="1"/>
        <v>3.5000000000000003E-2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1138</v>
      </c>
      <c r="C42" s="24">
        <v>4.9000000000000002E-2</v>
      </c>
      <c r="D42" s="1">
        <f t="shared" si="1"/>
        <v>0.245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1137</v>
      </c>
      <c r="C44" s="24">
        <v>6.0999999999999999E-2</v>
      </c>
      <c r="D44" s="1">
        <f t="shared" si="1"/>
        <v>0.30499999999999999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1136</v>
      </c>
      <c r="C46" s="24">
        <v>0.09</v>
      </c>
      <c r="D46" s="1">
        <f t="shared" si="1"/>
        <v>0.44999999999999996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1135</v>
      </c>
      <c r="C48" s="24">
        <v>0.05</v>
      </c>
      <c r="D48" s="1">
        <f t="shared" si="1"/>
        <v>0.25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1134</v>
      </c>
      <c r="C50" s="24">
        <v>6.9000000000000006E-2</v>
      </c>
      <c r="D50" s="1">
        <f t="shared" si="1"/>
        <v>0.34500000000000003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1133</v>
      </c>
      <c r="C52" s="24">
        <v>3.0000000000000001E-3</v>
      </c>
      <c r="D52" s="1">
        <f t="shared" si="1"/>
        <v>1.4999999999999999E-2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1132</v>
      </c>
      <c r="C54" s="24">
        <v>2E-3</v>
      </c>
      <c r="D54" s="1">
        <f t="shared" si="1"/>
        <v>0.01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1131</v>
      </c>
      <c r="C56" s="24">
        <v>0.23699999999999999</v>
      </c>
      <c r="D56" s="1">
        <f t="shared" si="1"/>
        <v>1.1850000000000001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1130</v>
      </c>
      <c r="C58" s="24">
        <v>0.29599999999999999</v>
      </c>
      <c r="D58" s="1">
        <f t="shared" si="1"/>
        <v>1.48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1129</v>
      </c>
      <c r="C60" s="24">
        <v>1E-3</v>
      </c>
      <c r="D60" s="1">
        <f t="shared" si="1"/>
        <v>5.0000000000000001E-3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1128</v>
      </c>
      <c r="C62" s="24">
        <v>2.5999999999999999E-2</v>
      </c>
      <c r="D62" s="1">
        <f t="shared" si="1"/>
        <v>0.13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1127</v>
      </c>
      <c r="C64" s="24">
        <v>8.9999999999999993E-3</v>
      </c>
      <c r="D64" s="1">
        <f t="shared" si="1"/>
        <v>4.4999999999999998E-2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1126</v>
      </c>
      <c r="C66" s="24">
        <v>1.0999999999999999E-2</v>
      </c>
      <c r="D66" s="1">
        <f t="shared" si="1"/>
        <v>5.4999999999999993E-2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1125</v>
      </c>
      <c r="C68" s="24">
        <v>2.3E-2</v>
      </c>
      <c r="D68" s="1">
        <f t="shared" si="1"/>
        <v>0.11499999999999999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1124</v>
      </c>
      <c r="C70" s="24">
        <v>2.1999999999999999E-2</v>
      </c>
      <c r="D70" s="1">
        <f t="shared" si="1"/>
        <v>0.10999999999999999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1123</v>
      </c>
      <c r="C72" s="30">
        <v>3.4000000000000002E-2</v>
      </c>
      <c r="D72" s="1">
        <f t="shared" si="1"/>
        <v>0.17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1122</v>
      </c>
      <c r="C74" s="24">
        <v>2E-3</v>
      </c>
      <c r="D74" s="1">
        <f t="shared" si="1"/>
        <v>0.01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1121</v>
      </c>
      <c r="C76" s="24">
        <v>3.0000000000000001E-3</v>
      </c>
      <c r="D76" s="1">
        <f t="shared" si="1"/>
        <v>1.4999999999999999E-2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1120</v>
      </c>
      <c r="C78" s="24">
        <v>1E-3</v>
      </c>
      <c r="D78" s="1">
        <f t="shared" si="1"/>
        <v>5.0000000000000001E-3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1119</v>
      </c>
      <c r="C80" s="24">
        <v>4.0000000000000001E-3</v>
      </c>
      <c r="D80" s="1">
        <f t="shared" si="1"/>
        <v>0.02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1118</v>
      </c>
      <c r="C82" s="24">
        <v>7.0999999999999994E-2</v>
      </c>
      <c r="D82" s="1">
        <f t="shared" si="1"/>
        <v>0.35499999999999998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1117</v>
      </c>
      <c r="C84" s="24">
        <v>2.1000000000000001E-2</v>
      </c>
      <c r="D84" s="1">
        <f t="shared" si="1"/>
        <v>0.10500000000000001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1116</v>
      </c>
      <c r="C86" s="24">
        <v>3.7999999999999999E-2</v>
      </c>
      <c r="D86" s="1">
        <f t="shared" si="1"/>
        <v>0.19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6.9005000000000001</v>
      </c>
    </row>
    <row r="88" spans="1:4" ht="15" customHeight="1" x14ac:dyDescent="0.25">
      <c r="A88" s="33"/>
      <c r="B88" s="34" t="s">
        <v>95</v>
      </c>
      <c r="C88" s="32">
        <f>ROUND(C87+C19,4)</f>
        <v>35.890099999999997</v>
      </c>
      <c r="D88" s="32">
        <f>ROUND(D87+D19,4)</f>
        <v>179.45050000000001</v>
      </c>
    </row>
    <row r="89" spans="1:4" ht="31.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5</v>
      </c>
      <c r="D90" s="38"/>
    </row>
    <row r="91" spans="1:4" ht="23.25" customHeight="1" x14ac:dyDescent="0.25">
      <c r="A91" s="161" t="s">
        <v>112</v>
      </c>
      <c r="B91" s="162"/>
      <c r="C91" s="2">
        <f>D88/C90</f>
        <v>35.890100000000004</v>
      </c>
      <c r="D91" s="38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H90"/>
  <sheetViews>
    <sheetView view="pageBreakPreview" topLeftCell="A14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3.7109375" style="84" customWidth="1"/>
    <col min="3" max="3" width="11" style="84" customWidth="1"/>
    <col min="4" max="4" width="14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36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ht="10.5" customHeight="1" x14ac:dyDescent="0.25">
      <c r="A4" s="45"/>
      <c r="B4" s="11"/>
      <c r="C4" s="11"/>
      <c r="D4" s="44"/>
    </row>
    <row r="5" spans="1:8" ht="35.25" customHeight="1" x14ac:dyDescent="0.25">
      <c r="A5" s="166" t="s">
        <v>308</v>
      </c>
      <c r="B5" s="166"/>
      <c r="C5" s="166"/>
      <c r="D5" s="166"/>
    </row>
    <row r="6" spans="1:8" ht="9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106</v>
      </c>
      <c r="B9" s="170"/>
      <c r="C9" s="48"/>
      <c r="D9" s="44"/>
    </row>
    <row r="10" spans="1:8" ht="91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1" customHeight="1" x14ac:dyDescent="0.25">
      <c r="A14" s="3"/>
      <c r="B14" s="81" t="s">
        <v>1175</v>
      </c>
      <c r="C14" s="1">
        <v>24.16</v>
      </c>
      <c r="D14" s="1">
        <f>C14*10</f>
        <v>241.6</v>
      </c>
      <c r="E14" s="185"/>
      <c r="F14" s="175"/>
      <c r="G14" s="175"/>
      <c r="H14" s="175"/>
    </row>
    <row r="15" spans="1:8" ht="24" x14ac:dyDescent="0.25">
      <c r="A15" s="3">
        <v>1200</v>
      </c>
      <c r="B15" s="23" t="s">
        <v>1176</v>
      </c>
      <c r="C15" s="1">
        <f>ROUND(C14*0.2359,2)</f>
        <v>5.7</v>
      </c>
      <c r="D15" s="1">
        <f>C15*10</f>
        <v>57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96" x14ac:dyDescent="0.25">
      <c r="A17" s="3"/>
      <c r="B17" s="4" t="s">
        <v>1535</v>
      </c>
      <c r="C17" s="1">
        <v>17.47</v>
      </c>
      <c r="D17" s="1">
        <f>C17*10</f>
        <v>174.7</v>
      </c>
    </row>
    <row r="18" spans="1:4" x14ac:dyDescent="0.25">
      <c r="A18" s="34"/>
      <c r="B18" s="40" t="s">
        <v>87</v>
      </c>
      <c r="C18" s="32">
        <f>SUM(C13:C17)</f>
        <v>47.33</v>
      </c>
      <c r="D18" s="32">
        <f>SUM(D13:D17)</f>
        <v>473.3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48.710099999999997</v>
      </c>
      <c r="D87" s="32">
        <f>ROUND(D86+D18,3)</f>
        <v>487.101</v>
      </c>
    </row>
    <row r="88" spans="1:4" ht="32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48.710099999999997</v>
      </c>
      <c r="D90" s="38"/>
    </row>
  </sheetData>
  <mergeCells count="8">
    <mergeCell ref="A89:B89"/>
    <mergeCell ref="A90:B90"/>
    <mergeCell ref="E14:H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headerFooter>
    <oddFooter>&amp;C&amp;P</oddFooter>
  </headerFooter>
  <colBreaks count="1" manualBreakCount="1">
    <brk id="4" max="1048575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H90"/>
  <sheetViews>
    <sheetView view="pageBreakPreview" zoomScale="60" zoomScaleNormal="100" workbookViewId="0">
      <selection activeCell="N10" sqref="N10"/>
    </sheetView>
  </sheetViews>
  <sheetFormatPr defaultRowHeight="15" x14ac:dyDescent="0.25"/>
  <cols>
    <col min="1" max="1" width="9.140625" style="84"/>
    <col min="2" max="2" width="62.140625" style="84" customWidth="1"/>
    <col min="3" max="3" width="12.7109375" style="84" customWidth="1"/>
    <col min="4" max="4" width="15.425781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1.5" customHeight="1" x14ac:dyDescent="0.25">
      <c r="A5" s="166" t="s">
        <v>309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106</v>
      </c>
      <c r="B9" s="170"/>
      <c r="C9" s="48"/>
      <c r="D9" s="44"/>
    </row>
    <row r="10" spans="1:8" ht="82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56" x14ac:dyDescent="0.25">
      <c r="A14" s="3"/>
      <c r="B14" s="81" t="s">
        <v>1175</v>
      </c>
      <c r="C14" s="1">
        <v>24.16</v>
      </c>
      <c r="D14" s="1">
        <f>C14*10</f>
        <v>241.6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1176</v>
      </c>
      <c r="C15" s="1">
        <f>ROUND(C14*0.2359,2)</f>
        <v>5.7</v>
      </c>
      <c r="D15" s="1">
        <f>C15*10</f>
        <v>57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8" x14ac:dyDescent="0.25">
      <c r="A17" s="3"/>
      <c r="B17" s="4" t="s">
        <v>1534</v>
      </c>
      <c r="C17" s="1">
        <v>14.93</v>
      </c>
      <c r="D17" s="1">
        <f>C17*10</f>
        <v>149.30000000000001</v>
      </c>
    </row>
    <row r="18" spans="1:4" x14ac:dyDescent="0.25">
      <c r="A18" s="34"/>
      <c r="B18" s="40" t="s">
        <v>87</v>
      </c>
      <c r="C18" s="32">
        <f>SUM(C13:C17)</f>
        <v>44.79</v>
      </c>
      <c r="D18" s="32">
        <f>SUM(D13:D17)</f>
        <v>447.90000000000003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46.170099999999998</v>
      </c>
      <c r="D87" s="32">
        <f>ROUND(D86+D18,3)</f>
        <v>461.70100000000002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0.25" customHeight="1" x14ac:dyDescent="0.25">
      <c r="A90" s="161" t="s">
        <v>112</v>
      </c>
      <c r="B90" s="162"/>
      <c r="C90" s="2">
        <f>D87/C89</f>
        <v>46.170100000000005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  <headerFooter>
    <oddFooter>&amp;C&amp;P</oddFooter>
  </headerFooter>
  <colBreaks count="1" manualBreakCount="1">
    <brk id="4" max="1048575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H90"/>
  <sheetViews>
    <sheetView view="pageBreakPreview" topLeftCell="A67" zoomScale="60" zoomScaleNormal="100" workbookViewId="0">
      <selection activeCell="C90" sqref="C90"/>
    </sheetView>
  </sheetViews>
  <sheetFormatPr defaultRowHeight="15" x14ac:dyDescent="0.25"/>
  <cols>
    <col min="1" max="1" width="9.140625" style="84"/>
    <col min="2" max="2" width="60.7109375" style="84" customWidth="1"/>
    <col min="3" max="3" width="11.42578125" style="84" customWidth="1"/>
    <col min="4" max="4" width="14.1406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80"/>
      <c r="B2" s="80"/>
      <c r="C2" s="80"/>
      <c r="D2" s="80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51" customHeight="1" x14ac:dyDescent="0.25">
      <c r="A5" s="166" t="s">
        <v>310</v>
      </c>
      <c r="B5" s="166"/>
      <c r="C5" s="166"/>
      <c r="D5" s="166"/>
    </row>
    <row r="6" spans="1:8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x14ac:dyDescent="0.25">
      <c r="A8" s="49"/>
      <c r="B8" s="79"/>
      <c r="C8" s="11"/>
      <c r="D8" s="11"/>
    </row>
    <row r="9" spans="1:8" x14ac:dyDescent="0.25">
      <c r="A9" s="170" t="s">
        <v>1151</v>
      </c>
      <c r="B9" s="170"/>
      <c r="C9" s="48"/>
      <c r="D9" s="48"/>
    </row>
    <row r="10" spans="1:8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1.75" customHeight="1" x14ac:dyDescent="0.25">
      <c r="A14" s="3"/>
      <c r="B14" s="81" t="s">
        <v>1179</v>
      </c>
      <c r="C14" s="1">
        <v>24.16</v>
      </c>
      <c r="D14" s="1">
        <f>C14*5</f>
        <v>120.8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1176</v>
      </c>
      <c r="C15" s="1">
        <f>ROUND(C14*0.2359,2)</f>
        <v>5.7</v>
      </c>
      <c r="D15" s="1">
        <f t="shared" ref="D15" si="0">C15*5</f>
        <v>28.5</v>
      </c>
    </row>
    <row r="16" spans="1:8" x14ac:dyDescent="0.25">
      <c r="A16" s="3">
        <v>2341</v>
      </c>
      <c r="B16" s="3" t="s">
        <v>97</v>
      </c>
      <c r="C16" s="24"/>
      <c r="D16" s="1"/>
    </row>
    <row r="17" spans="1:4" ht="96" x14ac:dyDescent="0.25">
      <c r="A17" s="3"/>
      <c r="B17" s="4" t="s">
        <v>1657</v>
      </c>
      <c r="C17" s="1">
        <v>9.81</v>
      </c>
      <c r="D17" s="1">
        <f>C17*5</f>
        <v>49.050000000000004</v>
      </c>
    </row>
    <row r="18" spans="1:4" x14ac:dyDescent="0.25">
      <c r="A18" s="3"/>
      <c r="B18" s="40" t="s">
        <v>87</v>
      </c>
      <c r="C18" s="32">
        <f>SUM(C13:C17)</f>
        <v>39.67</v>
      </c>
      <c r="D18" s="32">
        <f>SUM(D13:D17)</f>
        <v>198.35000000000002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41.0501</v>
      </c>
      <c r="D87" s="32">
        <f>ROUND(D86+D18,4)</f>
        <v>205.25049999999999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41.0501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0.85546875" style="84" customWidth="1"/>
    <col min="3" max="3" width="11.5703125" style="84" customWidth="1"/>
    <col min="4" max="4" width="15.8554687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5.75" customHeight="1" x14ac:dyDescent="0.25">
      <c r="A5" s="166" t="s">
        <v>311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165</v>
      </c>
      <c r="B9" s="170"/>
      <c r="C9" s="48"/>
      <c r="D9" s="44"/>
    </row>
    <row r="10" spans="1:8" ht="81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68" x14ac:dyDescent="0.25">
      <c r="A14" s="3"/>
      <c r="B14" s="81" t="s">
        <v>1177</v>
      </c>
      <c r="C14" s="1">
        <v>24.16</v>
      </c>
      <c r="D14" s="1">
        <f>C14*5</f>
        <v>120.8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1176</v>
      </c>
      <c r="C15" s="1">
        <f>ROUND(C14*0.2359,2)</f>
        <v>5.7</v>
      </c>
      <c r="D15" s="1">
        <f t="shared" ref="D15:D17" si="0">C15*5</f>
        <v>28.5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120" x14ac:dyDescent="0.25">
      <c r="A17" s="3"/>
      <c r="B17" s="4" t="s">
        <v>1541</v>
      </c>
      <c r="C17" s="1">
        <v>23.8</v>
      </c>
      <c r="D17" s="1">
        <f t="shared" si="0"/>
        <v>119</v>
      </c>
    </row>
    <row r="18" spans="1:4" x14ac:dyDescent="0.25">
      <c r="A18" s="3"/>
      <c r="B18" s="40" t="s">
        <v>87</v>
      </c>
      <c r="C18" s="32">
        <f>SUM(C13:C17)</f>
        <v>53.66</v>
      </c>
      <c r="D18" s="32">
        <f>SUM(D13:D17)</f>
        <v>268.3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1" customHeight="1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6.75" customHeight="1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55.040100000000002</v>
      </c>
      <c r="D87" s="32">
        <f>ROUND(D86+D18,4)</f>
        <v>275.20049999999998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55.040099999999995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  <colBreaks count="1" manualBreakCount="1">
    <brk id="4" max="1048575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3" style="84" customWidth="1"/>
    <col min="3" max="3" width="11.42578125" style="84" customWidth="1"/>
    <col min="4" max="4" width="15.28515625" style="84" customWidth="1"/>
    <col min="5" max="5" width="9" style="84" customWidth="1"/>
    <col min="6" max="7" width="9.7109375" style="84" customWidth="1"/>
    <col min="8" max="8" width="9.42578125" style="84" customWidth="1"/>
    <col min="9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ht="9.75" customHeight="1" x14ac:dyDescent="0.25">
      <c r="A4" s="45"/>
      <c r="B4" s="11"/>
      <c r="C4" s="11"/>
      <c r="D4" s="44"/>
    </row>
    <row r="5" spans="1:8" ht="39.75" customHeight="1" x14ac:dyDescent="0.25">
      <c r="A5" s="166" t="s">
        <v>375</v>
      </c>
      <c r="B5" s="166"/>
      <c r="C5" s="166"/>
      <c r="D5" s="166"/>
    </row>
    <row r="6" spans="1:8" ht="8.25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ht="3" customHeight="1" x14ac:dyDescent="0.25">
      <c r="A8" s="49"/>
      <c r="B8" s="79"/>
      <c r="C8" s="11"/>
      <c r="D8" s="44"/>
    </row>
    <row r="9" spans="1:8" x14ac:dyDescent="0.25">
      <c r="A9" s="170" t="s">
        <v>376</v>
      </c>
      <c r="B9" s="170"/>
      <c r="C9" s="48"/>
      <c r="D9" s="44"/>
    </row>
    <row r="10" spans="1:8" ht="91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1.75" customHeight="1" x14ac:dyDescent="0.25">
      <c r="A14" s="3"/>
      <c r="B14" s="81" t="s">
        <v>1182</v>
      </c>
      <c r="C14" s="1">
        <v>24.16</v>
      </c>
      <c r="D14" s="1">
        <f>C14*30</f>
        <v>724.8</v>
      </c>
      <c r="E14" s="185"/>
      <c r="F14" s="175"/>
      <c r="G14" s="175"/>
      <c r="H14" s="175"/>
    </row>
    <row r="15" spans="1:8" ht="24" x14ac:dyDescent="0.25">
      <c r="A15" s="3">
        <v>1200</v>
      </c>
      <c r="B15" s="23" t="s">
        <v>1176</v>
      </c>
      <c r="C15" s="1">
        <f>ROUND(C14*0.2359,2)</f>
        <v>5.7</v>
      </c>
      <c r="D15" s="1">
        <f>C15*30</f>
        <v>171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5.6" customHeight="1" x14ac:dyDescent="0.25">
      <c r="A17" s="3"/>
      <c r="B17" s="4" t="s">
        <v>1540</v>
      </c>
      <c r="C17" s="1">
        <v>2.11</v>
      </c>
      <c r="D17" s="1">
        <f>C17*30</f>
        <v>63.3</v>
      </c>
    </row>
    <row r="18" spans="1:4" x14ac:dyDescent="0.25">
      <c r="A18" s="34"/>
      <c r="B18" s="40" t="s">
        <v>87</v>
      </c>
      <c r="C18" s="32">
        <f>SUM(C13:C17)</f>
        <v>31.97</v>
      </c>
      <c r="D18" s="32">
        <f>SUM(D13:D17)</f>
        <v>959.09999999999991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860</v>
      </c>
      <c r="C23" s="24">
        <v>2.1000000000000001E-2</v>
      </c>
      <c r="D23" s="1">
        <f t="shared" ref="D23:D85" si="0">C23*30</f>
        <v>0.63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861</v>
      </c>
      <c r="C25" s="24">
        <v>5.1999999999999998E-2</v>
      </c>
      <c r="D25" s="1">
        <f t="shared" si="0"/>
        <v>1.5599999999999998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862</v>
      </c>
      <c r="C27" s="24">
        <f>ROUND(38.69/9509,4)</f>
        <v>4.1000000000000003E-3</v>
      </c>
      <c r="D27" s="1">
        <f t="shared" si="0"/>
        <v>0.12300000000000001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863</v>
      </c>
      <c r="C29" s="24">
        <v>9.4E-2</v>
      </c>
      <c r="D29" s="1">
        <f t="shared" si="0"/>
        <v>2.82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864</v>
      </c>
      <c r="C31" s="24">
        <v>1.4999999999999999E-2</v>
      </c>
      <c r="D31" s="1">
        <f t="shared" si="0"/>
        <v>0.44999999999999996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865</v>
      </c>
      <c r="C33" s="24">
        <v>2.5999999999999999E-2</v>
      </c>
      <c r="D33" s="1">
        <f t="shared" si="0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866</v>
      </c>
      <c r="C35" s="24">
        <v>7.0000000000000001E-3</v>
      </c>
      <c r="D35" s="1">
        <f t="shared" si="0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867</v>
      </c>
      <c r="C37" s="24">
        <v>0.01</v>
      </c>
      <c r="D37" s="1">
        <f t="shared" si="0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868</v>
      </c>
      <c r="C39" s="24">
        <v>7.0000000000000001E-3</v>
      </c>
      <c r="D39" s="1">
        <f t="shared" si="0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869</v>
      </c>
      <c r="C41" s="24">
        <v>4.9000000000000002E-2</v>
      </c>
      <c r="D41" s="1">
        <f t="shared" si="0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870</v>
      </c>
      <c r="C43" s="24">
        <v>6.0999999999999999E-2</v>
      </c>
      <c r="D43" s="1">
        <f t="shared" si="0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871</v>
      </c>
      <c r="C45" s="24">
        <v>0.09</v>
      </c>
      <c r="D45" s="1">
        <f t="shared" si="0"/>
        <v>2.6999999999999997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872</v>
      </c>
      <c r="C47" s="24">
        <v>0.05</v>
      </c>
      <c r="D47" s="1">
        <f t="shared" si="0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873</v>
      </c>
      <c r="C49" s="24">
        <v>6.9000000000000006E-2</v>
      </c>
      <c r="D49" s="1">
        <f t="shared" si="0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874</v>
      </c>
      <c r="C51" s="24">
        <v>3.0000000000000001E-3</v>
      </c>
      <c r="D51" s="1">
        <f t="shared" si="0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875</v>
      </c>
      <c r="C53" s="24">
        <v>2E-3</v>
      </c>
      <c r="D53" s="1">
        <f t="shared" si="0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876</v>
      </c>
      <c r="C55" s="24">
        <v>0.23699999999999999</v>
      </c>
      <c r="D55" s="1">
        <f t="shared" si="0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976</v>
      </c>
      <c r="C57" s="24">
        <v>0.29599999999999999</v>
      </c>
      <c r="D57" s="1">
        <f t="shared" si="0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1063</v>
      </c>
      <c r="C59" s="24">
        <v>1E-3</v>
      </c>
      <c r="D59" s="1">
        <f t="shared" si="0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878</v>
      </c>
      <c r="C61" s="24">
        <v>2.5999999999999999E-2</v>
      </c>
      <c r="D61" s="1">
        <f t="shared" si="0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879</v>
      </c>
      <c r="C63" s="24">
        <v>8.9999999999999993E-3</v>
      </c>
      <c r="D63" s="1">
        <f t="shared" si="0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880</v>
      </c>
      <c r="C65" s="24">
        <v>1.0999999999999999E-2</v>
      </c>
      <c r="D65" s="1">
        <f t="shared" si="0"/>
        <v>0.32999999999999996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881</v>
      </c>
      <c r="C67" s="24">
        <v>2.3E-2</v>
      </c>
      <c r="D67" s="1">
        <f t="shared" si="0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882</v>
      </c>
      <c r="C69" s="24">
        <v>2.1999999999999999E-2</v>
      </c>
      <c r="D69" s="1">
        <f t="shared" si="0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883</v>
      </c>
      <c r="C71" s="30">
        <v>3.4000000000000002E-2</v>
      </c>
      <c r="D71" s="1">
        <f t="shared" si="0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884</v>
      </c>
      <c r="C73" s="24">
        <v>2E-3</v>
      </c>
      <c r="D73" s="1">
        <f t="shared" si="0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885</v>
      </c>
      <c r="C75" s="24">
        <v>3.0000000000000001E-3</v>
      </c>
      <c r="D75" s="1">
        <f t="shared" si="0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886</v>
      </c>
      <c r="C77" s="24">
        <v>1E-3</v>
      </c>
      <c r="D77" s="1">
        <f t="shared" si="0"/>
        <v>0.03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887</v>
      </c>
      <c r="C79" s="24">
        <v>4.0000000000000001E-3</v>
      </c>
      <c r="D79" s="1">
        <f t="shared" si="0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888</v>
      </c>
      <c r="C81" s="24">
        <v>7.0999999999999994E-2</v>
      </c>
      <c r="D81" s="1">
        <f t="shared" si="0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889</v>
      </c>
      <c r="C83" s="24">
        <v>2.1000000000000001E-2</v>
      </c>
      <c r="D83" s="1">
        <f t="shared" si="0"/>
        <v>0.63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890</v>
      </c>
      <c r="C85" s="24">
        <v>3.7999999999999999E-2</v>
      </c>
      <c r="D85" s="1">
        <f t="shared" si="0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ht="14.45" customHeight="1" x14ac:dyDescent="0.25">
      <c r="A87" s="33"/>
      <c r="B87" s="34" t="s">
        <v>95</v>
      </c>
      <c r="C87" s="32">
        <f>ROUND(C86+C18,4)</f>
        <v>33.350099999999998</v>
      </c>
      <c r="D87" s="32">
        <f>ROUND(D86+D18,4)</f>
        <v>1000.503</v>
      </c>
    </row>
    <row r="88" spans="1:4" ht="29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30</v>
      </c>
      <c r="D89" s="38"/>
    </row>
    <row r="90" spans="1:4" ht="21" customHeight="1" x14ac:dyDescent="0.25">
      <c r="A90" s="161" t="s">
        <v>112</v>
      </c>
      <c r="B90" s="162"/>
      <c r="C90" s="2">
        <f>D87/C89</f>
        <v>33.350100000000005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headerFooter>
    <oddFooter>&amp;C&amp;P</oddFooter>
  </headerFooter>
  <colBreaks count="1" manualBreakCount="1">
    <brk id="4" max="1048575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G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3.42578125" style="84" customWidth="1"/>
    <col min="3" max="3" width="12.5703125" style="84" customWidth="1"/>
    <col min="4" max="4" width="14.85546875" style="84" customWidth="1"/>
    <col min="5" max="16384" width="9.140625" style="84"/>
  </cols>
  <sheetData>
    <row r="1" spans="1:7" x14ac:dyDescent="0.25">
      <c r="A1" s="171" t="s">
        <v>78</v>
      </c>
      <c r="B1" s="171"/>
      <c r="C1" s="171"/>
      <c r="D1" s="171"/>
    </row>
    <row r="2" spans="1:7" x14ac:dyDescent="0.25">
      <c r="A2" s="45"/>
      <c r="B2" s="45"/>
      <c r="C2" s="63"/>
      <c r="D2" s="63"/>
    </row>
    <row r="3" spans="1:7" x14ac:dyDescent="0.25">
      <c r="A3" s="46" t="s">
        <v>110</v>
      </c>
      <c r="B3" s="47"/>
      <c r="C3" s="47"/>
      <c r="D3" s="47"/>
    </row>
    <row r="4" spans="1:7" ht="12" customHeight="1" x14ac:dyDescent="0.25">
      <c r="A4" s="45"/>
      <c r="B4" s="11"/>
      <c r="C4" s="11"/>
      <c r="D4" s="11"/>
    </row>
    <row r="5" spans="1:7" ht="40.5" customHeight="1" x14ac:dyDescent="0.25">
      <c r="A5" s="166" t="s">
        <v>312</v>
      </c>
      <c r="B5" s="166"/>
      <c r="C5" s="166"/>
      <c r="D5" s="166"/>
    </row>
    <row r="6" spans="1:7" ht="3.75" customHeight="1" x14ac:dyDescent="0.25">
      <c r="A6" s="49"/>
      <c r="B6" s="11"/>
      <c r="C6" s="11"/>
      <c r="D6" s="11"/>
    </row>
    <row r="7" spans="1:7" ht="12.75" customHeight="1" x14ac:dyDescent="0.25">
      <c r="A7" s="158" t="s">
        <v>111</v>
      </c>
      <c r="B7" s="159"/>
      <c r="C7" s="11"/>
      <c r="D7" s="11"/>
    </row>
    <row r="8" spans="1:7" x14ac:dyDescent="0.25">
      <c r="A8" s="49"/>
      <c r="B8" s="79"/>
      <c r="C8" s="11"/>
      <c r="D8" s="11"/>
    </row>
    <row r="9" spans="1:7" x14ac:dyDescent="0.25">
      <c r="A9" s="170" t="s">
        <v>145</v>
      </c>
      <c r="B9" s="170"/>
      <c r="C9" s="48"/>
      <c r="D9" s="44"/>
    </row>
    <row r="10" spans="1:7" ht="89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5"/>
      <c r="B12" s="31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176.25" customHeight="1" x14ac:dyDescent="0.25">
      <c r="A14" s="3"/>
      <c r="B14" s="4" t="s">
        <v>1183</v>
      </c>
      <c r="C14" s="1">
        <v>19.16</v>
      </c>
      <c r="D14" s="1">
        <f>C14*5</f>
        <v>95.8</v>
      </c>
      <c r="E14" s="183"/>
      <c r="F14" s="184"/>
      <c r="G14" s="184"/>
    </row>
    <row r="15" spans="1:7" ht="24" x14ac:dyDescent="0.25">
      <c r="A15" s="3">
        <v>1200</v>
      </c>
      <c r="B15" s="4" t="s">
        <v>1184</v>
      </c>
      <c r="C15" s="1">
        <f>ROUND(C14*0.2359,2)</f>
        <v>4.5199999999999996</v>
      </c>
      <c r="D15" s="1">
        <f>C15*5</f>
        <v>22.599999999999998</v>
      </c>
    </row>
    <row r="16" spans="1:7" x14ac:dyDescent="0.25">
      <c r="A16" s="3">
        <v>2341</v>
      </c>
      <c r="B16" s="3" t="s">
        <v>116</v>
      </c>
      <c r="C16" s="24"/>
      <c r="D16" s="24"/>
    </row>
    <row r="17" spans="1:4" ht="98.25" customHeight="1" x14ac:dyDescent="0.25">
      <c r="A17" s="3"/>
      <c r="B17" s="4" t="s">
        <v>1531</v>
      </c>
      <c r="C17" s="1">
        <v>1.71</v>
      </c>
      <c r="D17" s="1">
        <f>C17*5</f>
        <v>8.5500000000000007</v>
      </c>
    </row>
    <row r="18" spans="1:4" x14ac:dyDescent="0.25">
      <c r="A18" s="3"/>
      <c r="B18" s="40" t="s">
        <v>87</v>
      </c>
      <c r="C18" s="32">
        <f>SUM(C13:C17)</f>
        <v>25.39</v>
      </c>
      <c r="D18" s="32">
        <f>SUM(D13:D17)</f>
        <v>126.94999999999999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52.5" customHeight="1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26.770099999999999</v>
      </c>
      <c r="D87" s="32">
        <f>ROUND(D86+D18,4)</f>
        <v>133.85050000000001</v>
      </c>
    </row>
    <row r="88" spans="1:4" ht="31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26.770100000000003</v>
      </c>
      <c r="D90" s="38"/>
    </row>
  </sheetData>
  <mergeCells count="7">
    <mergeCell ref="A89:B89"/>
    <mergeCell ref="A90:B90"/>
    <mergeCell ref="E14:G14"/>
    <mergeCell ref="A1:D1"/>
    <mergeCell ref="A5:D5"/>
    <mergeCell ref="A7:B7"/>
    <mergeCell ref="A9:B9"/>
  </mergeCells>
  <pageMargins left="0.7" right="0.7" top="0.75" bottom="0.75" header="0.3" footer="0.3"/>
  <pageSetup scale="90" orientation="portrait" verticalDpi="0" r:id="rId1"/>
  <colBreaks count="1" manualBreakCount="1">
    <brk id="4" max="1048575" man="1"/>
  </col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H90"/>
  <sheetViews>
    <sheetView topLeftCell="A69" zoomScaleNormal="100" workbookViewId="0">
      <selection activeCell="C90" sqref="C90"/>
    </sheetView>
  </sheetViews>
  <sheetFormatPr defaultRowHeight="15" x14ac:dyDescent="0.25"/>
  <cols>
    <col min="1" max="1" width="9.140625" style="84"/>
    <col min="2" max="2" width="63.28515625" style="84" customWidth="1"/>
    <col min="3" max="3" width="10.42578125" style="84" customWidth="1"/>
    <col min="4" max="4" width="1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1.5" customHeight="1" x14ac:dyDescent="0.25">
      <c r="A5" s="166" t="s">
        <v>313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372</v>
      </c>
      <c r="B9" s="170"/>
      <c r="C9" s="11"/>
      <c r="D9" s="44"/>
    </row>
    <row r="10" spans="1:8" ht="90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19"/>
    </row>
    <row r="14" spans="1:8" ht="189" customHeight="1" x14ac:dyDescent="0.25">
      <c r="A14" s="3"/>
      <c r="B14" s="4" t="s">
        <v>1185</v>
      </c>
      <c r="C14" s="1">
        <v>21.66</v>
      </c>
      <c r="D14" s="1">
        <f>C14*5</f>
        <v>108.3</v>
      </c>
      <c r="E14" s="186"/>
      <c r="F14" s="175"/>
      <c r="G14" s="175"/>
      <c r="H14" s="175"/>
    </row>
    <row r="15" spans="1:8" ht="24" x14ac:dyDescent="0.25">
      <c r="A15" s="3">
        <v>1200</v>
      </c>
      <c r="B15" s="4" t="s">
        <v>1186</v>
      </c>
      <c r="C15" s="1">
        <f>ROUND(C14*0.2359,2)</f>
        <v>5.1100000000000003</v>
      </c>
      <c r="D15" s="1">
        <f t="shared" ref="D15:D17" si="0">C15*5</f>
        <v>25.55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84" x14ac:dyDescent="0.25">
      <c r="A17" s="3"/>
      <c r="B17" s="4" t="s">
        <v>1520</v>
      </c>
      <c r="C17" s="1">
        <v>5.5</v>
      </c>
      <c r="D17" s="1">
        <f t="shared" si="0"/>
        <v>27.5</v>
      </c>
    </row>
    <row r="18" spans="1:4" x14ac:dyDescent="0.25">
      <c r="A18" s="3"/>
      <c r="B18" s="40" t="s">
        <v>87</v>
      </c>
      <c r="C18" s="32">
        <f>SUM(C13:C17)</f>
        <v>32.269999999999996</v>
      </c>
      <c r="D18" s="32">
        <f>SUM(D13:D17)</f>
        <v>161.35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ROUND(C86+C18,2)</f>
        <v>33.65</v>
      </c>
      <c r="D87" s="32">
        <f>ROUND(D86+D18,2)</f>
        <v>168.25</v>
      </c>
    </row>
    <row r="88" spans="1:4" ht="28.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5</v>
      </c>
      <c r="D89" s="38"/>
    </row>
    <row r="90" spans="1:4" ht="26.25" customHeight="1" x14ac:dyDescent="0.25">
      <c r="A90" s="161" t="s">
        <v>112</v>
      </c>
      <c r="B90" s="162"/>
      <c r="C90" s="2">
        <f>D87/C89</f>
        <v>33.65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  <colBreaks count="1" manualBreakCount="1">
    <brk id="4" max="1048575" man="1"/>
  </col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H90"/>
  <sheetViews>
    <sheetView view="pageBreakPreview" topLeftCell="A74" zoomScale="60" zoomScaleNormal="100" workbookViewId="0">
      <selection activeCell="C90" sqref="C90"/>
    </sheetView>
  </sheetViews>
  <sheetFormatPr defaultRowHeight="15" x14ac:dyDescent="0.25"/>
  <cols>
    <col min="1" max="1" width="9.140625" style="84"/>
    <col min="2" max="2" width="60.140625" style="84" customWidth="1"/>
    <col min="3" max="3" width="11.140625" style="84" customWidth="1"/>
    <col min="4" max="4" width="14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7.5" customHeight="1" x14ac:dyDescent="0.25">
      <c r="A5" s="166" t="s">
        <v>314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11"/>
      <c r="D9" s="44"/>
    </row>
    <row r="10" spans="1:8" ht="92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68" x14ac:dyDescent="0.25">
      <c r="A14" s="3"/>
      <c r="B14" s="4" t="s">
        <v>1183</v>
      </c>
      <c r="C14" s="1">
        <v>19.16</v>
      </c>
      <c r="D14" s="1">
        <f>C14*5</f>
        <v>95.8</v>
      </c>
      <c r="E14" s="186"/>
      <c r="F14" s="175"/>
      <c r="G14" s="175"/>
      <c r="H14" s="175"/>
    </row>
    <row r="15" spans="1:8" ht="24" x14ac:dyDescent="0.25">
      <c r="A15" s="3">
        <v>1200</v>
      </c>
      <c r="B15" s="4" t="s">
        <v>1187</v>
      </c>
      <c r="C15" s="1">
        <f>ROUND(C14*0.2359,2)</f>
        <v>4.5199999999999996</v>
      </c>
      <c r="D15" s="1">
        <f>C15*5</f>
        <v>22.599999999999998</v>
      </c>
    </row>
    <row r="16" spans="1:8" x14ac:dyDescent="0.25">
      <c r="A16" s="3">
        <v>2341</v>
      </c>
      <c r="B16" s="3" t="s">
        <v>86</v>
      </c>
      <c r="C16" s="24"/>
      <c r="D16" s="24"/>
    </row>
    <row r="17" spans="1:4" ht="72" x14ac:dyDescent="0.25">
      <c r="A17" s="3"/>
      <c r="B17" s="4" t="s">
        <v>1519</v>
      </c>
      <c r="C17" s="1">
        <v>5.84</v>
      </c>
      <c r="D17" s="1">
        <f>C17*5</f>
        <v>29.2</v>
      </c>
    </row>
    <row r="18" spans="1:4" x14ac:dyDescent="0.25">
      <c r="A18" s="3"/>
      <c r="B18" s="40" t="s">
        <v>87</v>
      </c>
      <c r="C18" s="32">
        <f>SUM(C13:C17)</f>
        <v>29.52</v>
      </c>
      <c r="D18" s="32">
        <f>SUM(D13:D17)</f>
        <v>147.6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30.900099999999998</v>
      </c>
      <c r="D87" s="32">
        <f>ROUND(D86+D18,4)</f>
        <v>154.50049999999999</v>
      </c>
    </row>
    <row r="88" spans="1:4" ht="26.25" customHeight="1" x14ac:dyDescent="0.25">
      <c r="A88" s="35"/>
      <c r="B88" s="36"/>
      <c r="C88" s="37"/>
      <c r="D88" s="37"/>
    </row>
    <row r="89" spans="1:4" ht="15" customHeight="1" x14ac:dyDescent="0.25">
      <c r="A89" s="161" t="s">
        <v>96</v>
      </c>
      <c r="B89" s="162"/>
      <c r="C89" s="41">
        <v>5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30.900099999999998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2" orientation="portrait" r:id="rId1"/>
  <colBreaks count="1" manualBreakCount="1">
    <brk id="4" max="1048575" man="1"/>
  </col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982B9-8AFB-47D2-870B-B78062DAF5A5}">
  <dimension ref="A1:H90"/>
  <sheetViews>
    <sheetView view="pageBreakPreview" topLeftCell="A39" zoomScale="60" zoomScaleNormal="100" workbookViewId="0">
      <selection activeCell="I14" sqref="I14"/>
    </sheetView>
  </sheetViews>
  <sheetFormatPr defaultRowHeight="15" x14ac:dyDescent="0.25"/>
  <cols>
    <col min="1" max="1" width="5.85546875" style="84" customWidth="1"/>
    <col min="2" max="2" width="60.140625" style="84" customWidth="1"/>
    <col min="3" max="3" width="13.140625" style="84" customWidth="1"/>
    <col min="4" max="4" width="14.140625" style="84" customWidth="1"/>
    <col min="5" max="5" width="9.140625" style="84"/>
    <col min="6" max="6" width="11.42578125" style="84" customWidth="1"/>
    <col min="7" max="7" width="11" style="84" customWidth="1"/>
    <col min="8" max="8" width="14.85546875" style="84" customWidth="1"/>
    <col min="9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42.75" customHeight="1" x14ac:dyDescent="0.25">
      <c r="A5" s="166" t="s">
        <v>315</v>
      </c>
      <c r="B5" s="166"/>
      <c r="C5" s="166"/>
      <c r="D5" s="166"/>
    </row>
    <row r="6" spans="1:8" ht="9" customHeight="1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ht="7.5" customHeight="1" x14ac:dyDescent="0.25">
      <c r="A8" s="6"/>
      <c r="B8" s="12"/>
      <c r="C8" s="13"/>
      <c r="D8" s="10"/>
    </row>
    <row r="9" spans="1:8" x14ac:dyDescent="0.25">
      <c r="A9" s="160" t="s">
        <v>109</v>
      </c>
      <c r="B9" s="160"/>
      <c r="C9" s="13"/>
      <c r="D9" s="10"/>
    </row>
    <row r="10" spans="1:8" ht="92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77" customHeight="1" x14ac:dyDescent="0.25">
      <c r="A14" s="5"/>
      <c r="B14" s="83" t="s">
        <v>1188</v>
      </c>
      <c r="C14" s="1">
        <v>31.68</v>
      </c>
      <c r="D14" s="1">
        <f>C14*5</f>
        <v>158.4</v>
      </c>
      <c r="E14" s="183"/>
      <c r="F14" s="184"/>
      <c r="G14" s="184"/>
      <c r="H14" s="184"/>
    </row>
    <row r="15" spans="1:8" ht="24" x14ac:dyDescent="0.25">
      <c r="A15" s="5">
        <v>1200</v>
      </c>
      <c r="B15" s="23" t="s">
        <v>1189</v>
      </c>
      <c r="C15" s="1">
        <f>ROUND(C14*0.2359,2)</f>
        <v>7.47</v>
      </c>
      <c r="D15" s="1">
        <f t="shared" ref="D15:D17" si="0">C15*5</f>
        <v>37.35</v>
      </c>
    </row>
    <row r="16" spans="1:8" x14ac:dyDescent="0.25">
      <c r="A16" s="3">
        <v>2341</v>
      </c>
      <c r="B16" s="3" t="s">
        <v>97</v>
      </c>
      <c r="C16" s="24"/>
      <c r="D16" s="1"/>
    </row>
    <row r="17" spans="1:4" ht="96" x14ac:dyDescent="0.25">
      <c r="A17" s="5"/>
      <c r="B17" s="23" t="s">
        <v>1539</v>
      </c>
      <c r="C17" s="1">
        <v>1.94</v>
      </c>
      <c r="D17" s="1">
        <f t="shared" si="0"/>
        <v>9.6999999999999993</v>
      </c>
    </row>
    <row r="18" spans="1:4" x14ac:dyDescent="0.25">
      <c r="A18" s="3"/>
      <c r="B18" s="40" t="s">
        <v>87</v>
      </c>
      <c r="C18" s="32">
        <f>SUM(C13:C17)</f>
        <v>41.089999999999996</v>
      </c>
      <c r="D18" s="32">
        <f>SUM(D13:D17)</f>
        <v>205.45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42.470100000000002</v>
      </c>
      <c r="D87" s="32">
        <f>ROUND(D86+D18,4)</f>
        <v>212.35050000000001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7.75" customHeight="1" x14ac:dyDescent="0.25">
      <c r="A90" s="161" t="s">
        <v>112</v>
      </c>
      <c r="B90" s="162"/>
      <c r="C90" s="2">
        <f>D87/C89</f>
        <v>42.470100000000002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  <colBreaks count="1" manualBreakCount="1">
    <brk id="4" max="1048575" man="1"/>
  </col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CF035-8FF5-4B81-9EEE-D82AB7371EBD}">
  <dimension ref="A1:H91"/>
  <sheetViews>
    <sheetView view="pageBreakPreview" topLeftCell="A70" zoomScale="60" zoomScaleNormal="100" workbookViewId="0">
      <selection activeCell="D88" sqref="D88"/>
    </sheetView>
  </sheetViews>
  <sheetFormatPr defaultRowHeight="15" x14ac:dyDescent="0.25"/>
  <cols>
    <col min="1" max="1" width="9.140625" style="84"/>
    <col min="2" max="2" width="59.85546875" style="84" customWidth="1"/>
    <col min="3" max="3" width="13.140625" style="84" customWidth="1"/>
    <col min="4" max="4" width="11.85546875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41.25" customHeight="1" x14ac:dyDescent="0.25">
      <c r="A5" s="166" t="s">
        <v>316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x14ac:dyDescent="0.25">
      <c r="A8" s="49"/>
      <c r="B8" s="79"/>
      <c r="C8" s="11"/>
      <c r="D8" s="10"/>
    </row>
    <row r="9" spans="1:8" x14ac:dyDescent="0.25">
      <c r="A9" s="160" t="s">
        <v>373</v>
      </c>
      <c r="B9" s="160"/>
      <c r="C9" s="13"/>
      <c r="D9" s="10"/>
    </row>
    <row r="10" spans="1:8" x14ac:dyDescent="0.25">
      <c r="A10" s="160"/>
      <c r="B10" s="160"/>
      <c r="C10" s="13"/>
      <c r="D10" s="10"/>
    </row>
    <row r="11" spans="1:8" ht="108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x14ac:dyDescent="0.25">
      <c r="A13" s="17"/>
      <c r="B13" s="18" t="s">
        <v>84</v>
      </c>
      <c r="C13" s="19"/>
      <c r="D13" s="19"/>
    </row>
    <row r="14" spans="1:8" x14ac:dyDescent="0.25">
      <c r="A14" s="20">
        <v>1100</v>
      </c>
      <c r="B14" s="21" t="s">
        <v>85</v>
      </c>
      <c r="C14" s="22"/>
      <c r="D14" s="22"/>
    </row>
    <row r="15" spans="1:8" ht="168" customHeight="1" x14ac:dyDescent="0.25">
      <c r="A15" s="5"/>
      <c r="B15" s="81" t="s">
        <v>1190</v>
      </c>
      <c r="C15" s="1">
        <v>40.08</v>
      </c>
      <c r="D15" s="1">
        <f>C15*10</f>
        <v>400.79999999999995</v>
      </c>
      <c r="E15" s="185"/>
      <c r="F15" s="175"/>
      <c r="G15" s="175"/>
      <c r="H15" s="175"/>
    </row>
    <row r="16" spans="1:8" ht="24" x14ac:dyDescent="0.25">
      <c r="A16" s="5">
        <v>1200</v>
      </c>
      <c r="B16" s="23" t="s">
        <v>1191</v>
      </c>
      <c r="C16" s="1">
        <f>ROUND(C15*0.2359,2)</f>
        <v>9.4499999999999993</v>
      </c>
      <c r="D16" s="1">
        <f>C16*10</f>
        <v>94.5</v>
      </c>
    </row>
    <row r="17" spans="1:4" x14ac:dyDescent="0.25">
      <c r="A17" s="5">
        <v>2341</v>
      </c>
      <c r="B17" s="5" t="s">
        <v>97</v>
      </c>
      <c r="C17" s="39"/>
      <c r="D17" s="1"/>
    </row>
    <row r="18" spans="1:4" ht="120" x14ac:dyDescent="0.25">
      <c r="A18" s="5"/>
      <c r="B18" s="23" t="s">
        <v>1538</v>
      </c>
      <c r="C18" s="1">
        <v>5.04</v>
      </c>
      <c r="D18" s="1">
        <f>C18*10</f>
        <v>50.4</v>
      </c>
    </row>
    <row r="19" spans="1:4" x14ac:dyDescent="0.25">
      <c r="A19" s="3"/>
      <c r="B19" s="40" t="s">
        <v>87</v>
      </c>
      <c r="C19" s="32">
        <f>SUM(C14:C18)</f>
        <v>54.57</v>
      </c>
      <c r="D19" s="32">
        <f>SUM(D14:D18)</f>
        <v>545.69999999999993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1076</v>
      </c>
      <c r="C22" s="24">
        <v>2.1000000000000001E-2</v>
      </c>
      <c r="D22" s="1">
        <f>C22*10</f>
        <v>0.21000000000000002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60" x14ac:dyDescent="0.25">
      <c r="A24" s="3"/>
      <c r="B24" s="4" t="s">
        <v>1077</v>
      </c>
      <c r="C24" s="24">
        <v>2.1000000000000001E-2</v>
      </c>
      <c r="D24" s="1">
        <f t="shared" ref="D24:D86" si="0">C24*10</f>
        <v>0.21000000000000002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60" x14ac:dyDescent="0.25">
      <c r="A26" s="3"/>
      <c r="B26" s="4" t="s">
        <v>1078</v>
      </c>
      <c r="C26" s="24">
        <v>5.1999999999999998E-2</v>
      </c>
      <c r="D26" s="1">
        <f t="shared" si="0"/>
        <v>0.52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1079</v>
      </c>
      <c r="C28" s="24">
        <f>ROUND(38.69/9509,4)</f>
        <v>4.1000000000000003E-3</v>
      </c>
      <c r="D28" s="1">
        <f t="shared" si="0"/>
        <v>4.1000000000000002E-2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60" x14ac:dyDescent="0.25">
      <c r="A30" s="3"/>
      <c r="B30" s="4" t="s">
        <v>1080</v>
      </c>
      <c r="C30" s="24">
        <v>9.4E-2</v>
      </c>
      <c r="D30" s="1">
        <f t="shared" si="0"/>
        <v>0.94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60" x14ac:dyDescent="0.25">
      <c r="A32" s="3"/>
      <c r="B32" s="4" t="s">
        <v>1081</v>
      </c>
      <c r="C32" s="24">
        <v>1.4999999999999999E-2</v>
      </c>
      <c r="D32" s="1">
        <f t="shared" si="0"/>
        <v>0.15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1082</v>
      </c>
      <c r="C34" s="24">
        <v>2.5999999999999999E-2</v>
      </c>
      <c r="D34" s="1">
        <f t="shared" si="0"/>
        <v>0.26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1083</v>
      </c>
      <c r="C36" s="24">
        <v>7.0000000000000001E-3</v>
      </c>
      <c r="D36" s="1">
        <f t="shared" si="0"/>
        <v>7.0000000000000007E-2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1084</v>
      </c>
      <c r="C38" s="24">
        <v>0.01</v>
      </c>
      <c r="D38" s="1">
        <f t="shared" si="0"/>
        <v>0.1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1085</v>
      </c>
      <c r="C40" s="24">
        <v>7.0000000000000001E-3</v>
      </c>
      <c r="D40" s="1">
        <f t="shared" si="0"/>
        <v>7.0000000000000007E-2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1086</v>
      </c>
      <c r="C42" s="24">
        <v>4.9000000000000002E-2</v>
      </c>
      <c r="D42" s="1">
        <f t="shared" si="0"/>
        <v>0.49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1087</v>
      </c>
      <c r="C44" s="24">
        <v>6.0999999999999999E-2</v>
      </c>
      <c r="D44" s="1">
        <f t="shared" si="0"/>
        <v>0.61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1088</v>
      </c>
      <c r="C46" s="24">
        <v>0.09</v>
      </c>
      <c r="D46" s="1">
        <f t="shared" si="0"/>
        <v>0.89999999999999991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1089</v>
      </c>
      <c r="C48" s="24">
        <v>0.05</v>
      </c>
      <c r="D48" s="1">
        <f t="shared" si="0"/>
        <v>0.5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1090</v>
      </c>
      <c r="C50" s="24">
        <v>6.9000000000000006E-2</v>
      </c>
      <c r="D50" s="1">
        <f t="shared" si="0"/>
        <v>0.69000000000000006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1091</v>
      </c>
      <c r="C52" s="24">
        <v>3.0000000000000001E-3</v>
      </c>
      <c r="D52" s="1">
        <f t="shared" si="0"/>
        <v>0.03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1092</v>
      </c>
      <c r="C54" s="24">
        <v>2E-3</v>
      </c>
      <c r="D54" s="1">
        <f t="shared" si="0"/>
        <v>0.02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1093</v>
      </c>
      <c r="C56" s="24">
        <v>0.23699999999999999</v>
      </c>
      <c r="D56" s="1">
        <f t="shared" si="0"/>
        <v>2.37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1094</v>
      </c>
      <c r="C58" s="24">
        <v>0.29599999999999999</v>
      </c>
      <c r="D58" s="1">
        <f t="shared" si="0"/>
        <v>2.96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1095</v>
      </c>
      <c r="C60" s="24">
        <v>1E-3</v>
      </c>
      <c r="D60" s="1">
        <f t="shared" si="0"/>
        <v>0.01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1096</v>
      </c>
      <c r="C62" s="24">
        <v>2.5999999999999999E-2</v>
      </c>
      <c r="D62" s="1">
        <f t="shared" si="0"/>
        <v>0.26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1097</v>
      </c>
      <c r="C64" s="24">
        <v>8.9999999999999993E-3</v>
      </c>
      <c r="D64" s="1">
        <f t="shared" si="0"/>
        <v>0.09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1098</v>
      </c>
      <c r="C66" s="24">
        <v>1.0999999999999999E-2</v>
      </c>
      <c r="D66" s="1">
        <f t="shared" si="0"/>
        <v>0.10999999999999999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1099</v>
      </c>
      <c r="C68" s="24">
        <v>2.3E-2</v>
      </c>
      <c r="D68" s="1">
        <f t="shared" si="0"/>
        <v>0.22999999999999998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1100</v>
      </c>
      <c r="C70" s="24">
        <v>2.1999999999999999E-2</v>
      </c>
      <c r="D70" s="1">
        <f t="shared" si="0"/>
        <v>0.21999999999999997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1101</v>
      </c>
      <c r="C72" s="30">
        <v>3.4000000000000002E-2</v>
      </c>
      <c r="D72" s="1">
        <f t="shared" si="0"/>
        <v>0.34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1102</v>
      </c>
      <c r="C74" s="24">
        <v>2E-3</v>
      </c>
      <c r="D74" s="1">
        <f t="shared" si="0"/>
        <v>0.02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1103</v>
      </c>
      <c r="C76" s="24">
        <v>3.0000000000000001E-3</v>
      </c>
      <c r="D76" s="1">
        <f t="shared" si="0"/>
        <v>0.03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1104</v>
      </c>
      <c r="C78" s="24">
        <v>1E-3</v>
      </c>
      <c r="D78" s="1">
        <f t="shared" si="0"/>
        <v>0.01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1105</v>
      </c>
      <c r="C80" s="24">
        <v>4.0000000000000001E-3</v>
      </c>
      <c r="D80" s="1">
        <f t="shared" si="0"/>
        <v>0.04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1106</v>
      </c>
      <c r="C82" s="24">
        <v>7.0999999999999994E-2</v>
      </c>
      <c r="D82" s="1">
        <f t="shared" si="0"/>
        <v>0.71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1107</v>
      </c>
      <c r="C84" s="24">
        <v>2.1000000000000001E-2</v>
      </c>
      <c r="D84" s="1">
        <f t="shared" si="0"/>
        <v>0.21000000000000002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1108</v>
      </c>
      <c r="C86" s="24">
        <v>3.7999999999999999E-2</v>
      </c>
      <c r="D86" s="1">
        <f t="shared" si="0"/>
        <v>0.38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32">
        <f>SUM(D22:D86)</f>
        <v>13.801</v>
      </c>
    </row>
    <row r="88" spans="1:4" ht="14.45" customHeight="1" x14ac:dyDescent="0.25">
      <c r="A88" s="33"/>
      <c r="B88" s="34" t="s">
        <v>95</v>
      </c>
      <c r="C88" s="32">
        <f>ROUND(C87+C19,4)</f>
        <v>55.950099999999999</v>
      </c>
      <c r="D88" s="32">
        <f>ROUND(D87+D19,3)</f>
        <v>559.50099999999998</v>
      </c>
    </row>
    <row r="89" spans="1:4" ht="33" customHeight="1" x14ac:dyDescent="0.25">
      <c r="A89" s="35"/>
      <c r="B89" s="36"/>
      <c r="C89" s="37"/>
      <c r="D89" s="37"/>
    </row>
    <row r="90" spans="1:4" ht="14.45" customHeight="1" x14ac:dyDescent="0.25">
      <c r="A90" s="161" t="s">
        <v>96</v>
      </c>
      <c r="B90" s="162"/>
      <c r="C90" s="41">
        <v>10</v>
      </c>
      <c r="D90" s="38"/>
    </row>
    <row r="91" spans="1:4" ht="22.5" customHeight="1" x14ac:dyDescent="0.25">
      <c r="A91" s="161" t="s">
        <v>112</v>
      </c>
      <c r="B91" s="162"/>
      <c r="C91" s="2">
        <f>D88/C90</f>
        <v>55.950099999999999</v>
      </c>
      <c r="D91" s="38"/>
    </row>
  </sheetData>
  <mergeCells count="9">
    <mergeCell ref="A90:B90"/>
    <mergeCell ref="A91:B91"/>
    <mergeCell ref="E15:H15"/>
    <mergeCell ref="A1:D1"/>
    <mergeCell ref="C2:D2"/>
    <mergeCell ref="A5:D5"/>
    <mergeCell ref="A7:B7"/>
    <mergeCell ref="A9:B9"/>
    <mergeCell ref="A10:B10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0150-A8A2-457F-807A-1563587186B6}">
  <dimension ref="A1:H90"/>
  <sheetViews>
    <sheetView view="pageBreakPreview" zoomScale="60" zoomScaleNormal="100" workbookViewId="0">
      <selection activeCell="D87" sqref="D87"/>
    </sheetView>
  </sheetViews>
  <sheetFormatPr defaultRowHeight="15" x14ac:dyDescent="0.25"/>
  <cols>
    <col min="1" max="1" width="9.140625" style="84"/>
    <col min="2" max="2" width="59.85546875" style="84" customWidth="1"/>
    <col min="3" max="3" width="12.28515625" style="84" customWidth="1"/>
    <col min="4" max="4" width="15.85546875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3" customHeight="1" x14ac:dyDescent="0.25">
      <c r="A5" s="166" t="s">
        <v>317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ht="10.5" customHeight="1" x14ac:dyDescent="0.25">
      <c r="A8" s="49"/>
      <c r="B8" s="79"/>
      <c r="C8" s="11"/>
      <c r="D8" s="10"/>
    </row>
    <row r="9" spans="1:8" x14ac:dyDescent="0.25">
      <c r="A9" s="160" t="s">
        <v>109</v>
      </c>
      <c r="B9" s="160"/>
      <c r="C9" s="13"/>
      <c r="D9" s="10"/>
    </row>
    <row r="10" spans="1:8" ht="82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56" customHeight="1" x14ac:dyDescent="0.25">
      <c r="A14" s="5"/>
      <c r="B14" s="81" t="s">
        <v>1193</v>
      </c>
      <c r="C14" s="1">
        <v>40.08</v>
      </c>
      <c r="D14" s="1">
        <f>C14*5</f>
        <v>200.39999999999998</v>
      </c>
      <c r="E14" s="186"/>
      <c r="F14" s="175"/>
      <c r="G14" s="175"/>
      <c r="H14" s="175"/>
    </row>
    <row r="15" spans="1:8" ht="24" x14ac:dyDescent="0.25">
      <c r="A15" s="5">
        <v>1200</v>
      </c>
      <c r="B15" s="23" t="s">
        <v>1192</v>
      </c>
      <c r="C15" s="1">
        <f>ROUND(C14*0.2359,2)</f>
        <v>9.4499999999999993</v>
      </c>
      <c r="D15" s="1">
        <f t="shared" ref="D15:D17" si="0">C15*5</f>
        <v>47.25</v>
      </c>
    </row>
    <row r="16" spans="1:8" x14ac:dyDescent="0.25">
      <c r="A16" s="5">
        <v>2341</v>
      </c>
      <c r="B16" s="5" t="s">
        <v>116</v>
      </c>
      <c r="C16" s="39"/>
      <c r="D16" s="1"/>
    </row>
    <row r="17" spans="1:4" ht="84" x14ac:dyDescent="0.25">
      <c r="A17" s="5"/>
      <c r="B17" s="23" t="s">
        <v>1537</v>
      </c>
      <c r="C17" s="1">
        <v>0.66</v>
      </c>
      <c r="D17" s="1">
        <f t="shared" si="0"/>
        <v>3.3000000000000003</v>
      </c>
    </row>
    <row r="18" spans="1:4" x14ac:dyDescent="0.25">
      <c r="A18" s="5"/>
      <c r="B18" s="40" t="s">
        <v>87</v>
      </c>
      <c r="C18" s="32">
        <f>SUM(C13:C17)</f>
        <v>50.19</v>
      </c>
      <c r="D18" s="32">
        <f>SUM(D13:D17)</f>
        <v>250.95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51.570099999999996</v>
      </c>
      <c r="D87" s="32">
        <f>ROUND(D86+D18,4)</f>
        <v>257.85050000000001</v>
      </c>
    </row>
    <row r="88" spans="1:4" ht="25.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51.570100000000004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  <colBreaks count="1" manualBreakCount="1">
    <brk id="4" max="1048575" man="1"/>
  </col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49FC2-CFB4-40D5-911D-E0BA8AF75108}">
  <dimension ref="A1:H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59.140625" style="84" customWidth="1"/>
    <col min="3" max="3" width="11.42578125" style="84" customWidth="1"/>
    <col min="4" max="4" width="15.140625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5.25" customHeight="1" x14ac:dyDescent="0.25">
      <c r="A5" s="158" t="s">
        <v>318</v>
      </c>
      <c r="B5" s="158"/>
      <c r="C5" s="158"/>
      <c r="D5" s="158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ht="8.25" customHeight="1" x14ac:dyDescent="0.25">
      <c r="A8" s="49"/>
      <c r="B8" s="79"/>
      <c r="C8" s="11"/>
      <c r="D8" s="10"/>
    </row>
    <row r="9" spans="1:8" x14ac:dyDescent="0.25">
      <c r="A9" s="160" t="s">
        <v>374</v>
      </c>
      <c r="B9" s="160"/>
      <c r="C9" s="13"/>
      <c r="D9" s="10"/>
    </row>
    <row r="10" spans="1:8" ht="72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80" customHeight="1" x14ac:dyDescent="0.25">
      <c r="A14" s="5"/>
      <c r="B14" s="81" t="s">
        <v>1190</v>
      </c>
      <c r="C14" s="1">
        <v>40.08</v>
      </c>
      <c r="D14" s="1">
        <f>C14*10</f>
        <v>400.79999999999995</v>
      </c>
      <c r="E14" s="187"/>
      <c r="F14" s="184"/>
      <c r="G14" s="184"/>
      <c r="H14" s="184"/>
    </row>
    <row r="15" spans="1:8" ht="24" x14ac:dyDescent="0.25">
      <c r="A15" s="5">
        <v>1200</v>
      </c>
      <c r="B15" s="23" t="s">
        <v>1191</v>
      </c>
      <c r="C15" s="1">
        <f>ROUND(C14*0.2359,2)</f>
        <v>9.4499999999999993</v>
      </c>
      <c r="D15" s="1">
        <f t="shared" ref="D15:D17" si="0">C15*10</f>
        <v>94.5</v>
      </c>
    </row>
    <row r="16" spans="1:8" x14ac:dyDescent="0.25">
      <c r="A16" s="5">
        <v>2341</v>
      </c>
      <c r="B16" s="5" t="s">
        <v>97</v>
      </c>
      <c r="C16" s="39"/>
      <c r="D16" s="1"/>
    </row>
    <row r="17" spans="1:4" ht="87.75" customHeight="1" x14ac:dyDescent="0.25">
      <c r="A17" s="5"/>
      <c r="B17" s="23" t="s">
        <v>1536</v>
      </c>
      <c r="C17" s="1">
        <v>5.5</v>
      </c>
      <c r="D17" s="1">
        <f t="shared" si="0"/>
        <v>55</v>
      </c>
    </row>
    <row r="18" spans="1:4" x14ac:dyDescent="0.25">
      <c r="A18" s="5"/>
      <c r="B18" s="40" t="s">
        <v>87</v>
      </c>
      <c r="C18" s="32">
        <f>SUM(C13:C17)</f>
        <v>55.03</v>
      </c>
      <c r="D18" s="32">
        <f>SUM(D13:D17)</f>
        <v>550.29999999999995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1077</v>
      </c>
      <c r="C23" s="24">
        <v>2.1000000000000001E-2</v>
      </c>
      <c r="D23" s="1">
        <f t="shared" ref="D23:D85" si="1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1078</v>
      </c>
      <c r="C25" s="24">
        <v>5.1999999999999998E-2</v>
      </c>
      <c r="D25" s="1">
        <f t="shared" si="1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1079</v>
      </c>
      <c r="C27" s="24">
        <f>ROUND(38.69/9509,4)</f>
        <v>4.1000000000000003E-3</v>
      </c>
      <c r="D27" s="1">
        <f t="shared" si="1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1080</v>
      </c>
      <c r="C29" s="24">
        <v>9.4E-2</v>
      </c>
      <c r="D29" s="1">
        <f t="shared" si="1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1081</v>
      </c>
      <c r="C31" s="24">
        <v>1.4999999999999999E-2</v>
      </c>
      <c r="D31" s="1">
        <f t="shared" si="1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1082</v>
      </c>
      <c r="C33" s="24">
        <v>2.5999999999999999E-2</v>
      </c>
      <c r="D33" s="1">
        <f t="shared" si="1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1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1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1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1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1087</v>
      </c>
      <c r="C43" s="24">
        <v>6.0999999999999999E-2</v>
      </c>
      <c r="D43" s="1">
        <f t="shared" si="1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1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1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1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1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1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1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1094</v>
      </c>
      <c r="C57" s="24">
        <v>0.29599999999999999</v>
      </c>
      <c r="D57" s="1">
        <f t="shared" si="1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1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1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1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1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1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1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1101</v>
      </c>
      <c r="C71" s="30">
        <v>3.4000000000000002E-2</v>
      </c>
      <c r="D71" s="1">
        <f t="shared" si="1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1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1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1104</v>
      </c>
      <c r="C77" s="24">
        <v>1E-3</v>
      </c>
      <c r="D77" s="1">
        <f t="shared" si="1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1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1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1107</v>
      </c>
      <c r="C83" s="24">
        <v>2.1000000000000001E-2</v>
      </c>
      <c r="D83" s="1">
        <f t="shared" si="1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18" customHeight="1" x14ac:dyDescent="0.25">
      <c r="A85" s="3"/>
      <c r="B85" s="4" t="s">
        <v>1108</v>
      </c>
      <c r="C85" s="24">
        <v>3.7999999999999999E-2</v>
      </c>
      <c r="D85" s="1">
        <f t="shared" si="1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56.4101</v>
      </c>
      <c r="D87" s="32">
        <f>ROUND(D86+D18,3)</f>
        <v>564.101</v>
      </c>
    </row>
    <row r="88" spans="1:4" ht="26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4" customHeight="1" x14ac:dyDescent="0.25">
      <c r="A90" s="161" t="s">
        <v>112</v>
      </c>
      <c r="B90" s="162"/>
      <c r="C90" s="2">
        <f>D87/C89</f>
        <v>56.4101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A3FB5-E939-4795-9E38-F688BC89AD5B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0.42578125" style="84" customWidth="1"/>
    <col min="3" max="3" width="10.7109375" style="84" customWidth="1"/>
    <col min="4" max="4" width="15.7109375" style="84" customWidth="1"/>
    <col min="5" max="7" width="9.140625" style="84"/>
    <col min="8" max="8" width="12" style="84" customWidth="1"/>
    <col min="9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8.25" customHeight="1" x14ac:dyDescent="0.25">
      <c r="A5" s="166" t="s">
        <v>319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78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68.75" customHeight="1" x14ac:dyDescent="0.25">
      <c r="A14" s="3"/>
      <c r="B14" s="81" t="s">
        <v>1194</v>
      </c>
      <c r="C14" s="1">
        <v>40.08</v>
      </c>
      <c r="D14" s="1">
        <f>C14*5</f>
        <v>200.39999999999998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 t="shared" ref="D15:D17" si="0">C15*5</f>
        <v>47.25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103.5" customHeight="1" x14ac:dyDescent="0.25">
      <c r="A17" s="3"/>
      <c r="B17" s="4" t="s">
        <v>1526</v>
      </c>
      <c r="C17" s="1">
        <v>4.6500000000000004</v>
      </c>
      <c r="D17" s="1">
        <f t="shared" si="0"/>
        <v>23.25</v>
      </c>
    </row>
    <row r="18" spans="1:4" x14ac:dyDescent="0.25">
      <c r="A18" s="34"/>
      <c r="B18" s="40" t="s">
        <v>87</v>
      </c>
      <c r="C18" s="32">
        <f>SUM(C13:C17)</f>
        <v>54.18</v>
      </c>
      <c r="D18" s="32">
        <f>SUM(D13:D17)</f>
        <v>270.89999999999998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55.560099999999998</v>
      </c>
      <c r="D87" s="32">
        <f>ROUND(D86+D18,4)</f>
        <v>277.8005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5.5" customHeight="1" x14ac:dyDescent="0.25">
      <c r="A90" s="161" t="s">
        <v>112</v>
      </c>
      <c r="B90" s="162"/>
      <c r="C90" s="2">
        <f>D87/C89</f>
        <v>55.560099999999998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colBreaks count="1" manualBreakCount="1">
    <brk id="4" max="1048575" man="1"/>
  </col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69982-208F-47EB-8158-6432843DC364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1.140625" style="84" customWidth="1"/>
    <col min="3" max="3" width="11" style="84" customWidth="1"/>
    <col min="4" max="4" width="14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36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ht="10.5" customHeight="1" x14ac:dyDescent="0.25">
      <c r="A4" s="45"/>
      <c r="B4" s="11"/>
      <c r="C4" s="11"/>
      <c r="D4" s="44"/>
    </row>
    <row r="5" spans="1:8" ht="35.25" customHeight="1" x14ac:dyDescent="0.25">
      <c r="A5" s="166" t="s">
        <v>320</v>
      </c>
      <c r="B5" s="166"/>
      <c r="C5" s="166"/>
      <c r="D5" s="166"/>
    </row>
    <row r="6" spans="1:8" ht="9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106</v>
      </c>
      <c r="B9" s="170"/>
      <c r="C9" s="48"/>
      <c r="D9" s="44"/>
    </row>
    <row r="10" spans="1:8" ht="79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56" x14ac:dyDescent="0.25">
      <c r="A14" s="3"/>
      <c r="B14" s="81" t="s">
        <v>1190</v>
      </c>
      <c r="C14" s="1">
        <v>40.08</v>
      </c>
      <c r="D14" s="1">
        <f>C14*10</f>
        <v>400.79999999999995</v>
      </c>
      <c r="E14" s="185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>C15*10</f>
        <v>94.5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8" x14ac:dyDescent="0.25">
      <c r="A17" s="3"/>
      <c r="B17" s="4" t="s">
        <v>1535</v>
      </c>
      <c r="C17" s="1">
        <v>17.47</v>
      </c>
      <c r="D17" s="1">
        <f>C17*10</f>
        <v>174.7</v>
      </c>
    </row>
    <row r="18" spans="1:4" x14ac:dyDescent="0.25">
      <c r="A18" s="34"/>
      <c r="B18" s="40" t="s">
        <v>87</v>
      </c>
      <c r="C18" s="32">
        <f>SUM(C13:C17)</f>
        <v>67</v>
      </c>
      <c r="D18" s="32">
        <f>SUM(D13:D17)</f>
        <v>670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68.380099999999999</v>
      </c>
      <c r="D87" s="32">
        <f>ROUND(D86+D18,3)</f>
        <v>683.80100000000004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68.380099999999999</v>
      </c>
      <c r="D90" s="38"/>
    </row>
  </sheetData>
  <mergeCells count="8">
    <mergeCell ref="A89:B89"/>
    <mergeCell ref="A90:B90"/>
    <mergeCell ref="E14:H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74884-3C42-453B-8CF4-A950786FE7B2}">
  <dimension ref="A1:H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0.5703125" style="84" customWidth="1"/>
    <col min="3" max="3" width="10.5703125" style="84" customWidth="1"/>
    <col min="4" max="4" width="16.85546875" style="84" customWidth="1"/>
    <col min="5" max="7" width="9.140625" style="84"/>
    <col min="8" max="8" width="11.28515625" style="84" customWidth="1"/>
    <col min="9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8.25" customHeight="1" x14ac:dyDescent="0.25">
      <c r="A5" s="166" t="s">
        <v>321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106</v>
      </c>
      <c r="B9" s="170"/>
      <c r="C9" s="48"/>
      <c r="D9" s="44"/>
    </row>
    <row r="10" spans="1:8" ht="78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3.25" customHeight="1" x14ac:dyDescent="0.25">
      <c r="A14" s="3"/>
      <c r="B14" s="81" t="s">
        <v>1190</v>
      </c>
      <c r="C14" s="1">
        <v>40.08</v>
      </c>
      <c r="D14" s="1">
        <f>C14*10</f>
        <v>400.79999999999995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>C15*10</f>
        <v>94.5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8" x14ac:dyDescent="0.25">
      <c r="A17" s="3"/>
      <c r="B17" s="4" t="s">
        <v>1534</v>
      </c>
      <c r="C17" s="1">
        <v>14.93</v>
      </c>
      <c r="D17" s="1">
        <f>C17*10</f>
        <v>149.30000000000001</v>
      </c>
    </row>
    <row r="18" spans="1:4" x14ac:dyDescent="0.25">
      <c r="A18" s="34"/>
      <c r="B18" s="40" t="s">
        <v>87</v>
      </c>
      <c r="C18" s="32">
        <f>SUM(C13:C17)</f>
        <v>64.460000000000008</v>
      </c>
      <c r="D18" s="32">
        <f>SUM(D13:D17)</f>
        <v>644.59999999999991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.75" customHeight="1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65.840100000000007</v>
      </c>
      <c r="D87" s="32">
        <f>ROUND(D86+D18,3)</f>
        <v>658.40099999999995</v>
      </c>
    </row>
    <row r="88" spans="1:4" ht="30.7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10</v>
      </c>
      <c r="D89" s="38"/>
    </row>
    <row r="90" spans="1:4" ht="21" customHeight="1" x14ac:dyDescent="0.25">
      <c r="A90" s="161" t="s">
        <v>112</v>
      </c>
      <c r="B90" s="162"/>
      <c r="C90" s="2">
        <f>D87/C89</f>
        <v>65.840099999999993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  <colBreaks count="1" manualBreakCount="1">
    <brk id="4" max="1048575" man="1"/>
  </col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A4331-4EB6-44F9-B03E-D7E30AAAA379}">
  <dimension ref="A1:H90"/>
  <sheetViews>
    <sheetView view="pageBreakPreview" topLeftCell="A3" zoomScale="60" zoomScaleNormal="100" workbookViewId="0">
      <selection activeCell="B17" sqref="B17:C17"/>
    </sheetView>
  </sheetViews>
  <sheetFormatPr defaultRowHeight="15" x14ac:dyDescent="0.25"/>
  <cols>
    <col min="1" max="1" width="9.140625" style="84"/>
    <col min="2" max="2" width="63.85546875" style="84" customWidth="1"/>
    <col min="3" max="3" width="9.140625" style="84"/>
    <col min="4" max="4" width="14.710937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80"/>
      <c r="B2" s="80"/>
      <c r="C2" s="80"/>
      <c r="D2" s="80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51" customHeight="1" x14ac:dyDescent="0.25">
      <c r="A5" s="166" t="s">
        <v>322</v>
      </c>
      <c r="B5" s="166"/>
      <c r="C5" s="166"/>
      <c r="D5" s="166"/>
    </row>
    <row r="6" spans="1:8" ht="8.25" customHeight="1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x14ac:dyDescent="0.25">
      <c r="A8" s="49"/>
      <c r="B8" s="79"/>
      <c r="C8" s="11"/>
      <c r="D8" s="11"/>
    </row>
    <row r="9" spans="1:8" x14ac:dyDescent="0.25">
      <c r="A9" s="170" t="s">
        <v>1151</v>
      </c>
      <c r="B9" s="170"/>
      <c r="C9" s="48"/>
      <c r="D9" s="48"/>
    </row>
    <row r="10" spans="1:8" ht="91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56" x14ac:dyDescent="0.25">
      <c r="A14" s="3"/>
      <c r="B14" s="81" t="s">
        <v>1194</v>
      </c>
      <c r="C14" s="1">
        <v>40.08</v>
      </c>
      <c r="D14" s="1">
        <f>C14*5</f>
        <v>200.39999999999998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 t="shared" ref="D15:D17" si="0">C15*5</f>
        <v>47.25</v>
      </c>
    </row>
    <row r="16" spans="1:8" x14ac:dyDescent="0.25">
      <c r="A16" s="3">
        <v>2341</v>
      </c>
      <c r="B16" s="3" t="s">
        <v>97</v>
      </c>
      <c r="C16" s="24"/>
      <c r="D16" s="1"/>
    </row>
    <row r="17" spans="1:4" ht="96" x14ac:dyDescent="0.25">
      <c r="A17" s="3"/>
      <c r="B17" s="4" t="s">
        <v>1657</v>
      </c>
      <c r="C17" s="1">
        <v>9.81</v>
      </c>
      <c r="D17" s="1">
        <f t="shared" si="0"/>
        <v>49.050000000000004</v>
      </c>
    </row>
    <row r="18" spans="1:4" x14ac:dyDescent="0.25">
      <c r="A18" s="3"/>
      <c r="B18" s="40" t="s">
        <v>87</v>
      </c>
      <c r="C18" s="32">
        <f>SUM(C13:C17)</f>
        <v>59.34</v>
      </c>
      <c r="D18" s="32">
        <f>SUM(D13:D17)</f>
        <v>296.7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60.720100000000002</v>
      </c>
      <c r="D87" s="32">
        <f>ROUND(D86+D18,4)</f>
        <v>303.60050000000001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6.25" customHeight="1" x14ac:dyDescent="0.25">
      <c r="A90" s="161" t="s">
        <v>112</v>
      </c>
      <c r="B90" s="162"/>
      <c r="C90" s="2">
        <f>D87/C89</f>
        <v>60.720100000000002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colBreaks count="1" manualBreakCount="1">
    <brk id="4" max="1048575" man="1"/>
  </col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36887-2943-47C4-B426-279516EC1CAA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2.7109375" style="84" customWidth="1"/>
    <col min="3" max="3" width="9.140625" style="84"/>
    <col min="4" max="4" width="12.285156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5.75" customHeight="1" x14ac:dyDescent="0.25">
      <c r="A5" s="166" t="s">
        <v>323</v>
      </c>
      <c r="B5" s="166"/>
      <c r="C5" s="166"/>
      <c r="D5" s="166"/>
    </row>
    <row r="6" spans="1:8" ht="7.5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ht="8.25" customHeight="1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93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56" x14ac:dyDescent="0.25">
      <c r="A14" s="3"/>
      <c r="B14" s="81" t="s">
        <v>1194</v>
      </c>
      <c r="C14" s="1">
        <v>40.08</v>
      </c>
      <c r="D14" s="1">
        <f>C14*5</f>
        <v>200.39999999999998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 t="shared" ref="D15" si="0">C15*5</f>
        <v>47.25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118.5" customHeight="1" x14ac:dyDescent="0.25">
      <c r="A17" s="3"/>
      <c r="B17" s="4" t="s">
        <v>1533</v>
      </c>
      <c r="C17" s="1">
        <v>23.8</v>
      </c>
      <c r="D17" s="1">
        <f>C17*5</f>
        <v>119</v>
      </c>
    </row>
    <row r="18" spans="1:4" x14ac:dyDescent="0.25">
      <c r="A18" s="3"/>
      <c r="B18" s="40" t="s">
        <v>87</v>
      </c>
      <c r="C18" s="32">
        <f>SUM(C13:C17)</f>
        <v>73.33</v>
      </c>
      <c r="D18" s="32">
        <f>SUM(D13:D17)</f>
        <v>366.65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5.5" customHeight="1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74.710099999999997</v>
      </c>
      <c r="D87" s="32">
        <f>ROUND(D86+D18,4)</f>
        <v>373.5505</v>
      </c>
    </row>
    <row r="88" spans="1:4" ht="32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74.710099999999997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Footer>&amp;C&amp;P</oddFooter>
  </headerFooter>
  <colBreaks count="1" manualBreakCount="1">
    <brk id="4" max="1048575" man="1"/>
  </col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08475-9215-40F4-B274-D9993140B2BB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2" style="84" customWidth="1"/>
    <col min="3" max="3" width="15" style="84" customWidth="1"/>
    <col min="4" max="4" width="16.42578125" style="84" customWidth="1"/>
    <col min="5" max="5" width="9" style="84" customWidth="1"/>
    <col min="6" max="7" width="9.7109375" style="84" customWidth="1"/>
    <col min="8" max="8" width="9.42578125" style="84" customWidth="1"/>
    <col min="9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ht="9.75" customHeight="1" x14ac:dyDescent="0.25">
      <c r="A4" s="45"/>
      <c r="B4" s="11"/>
      <c r="C4" s="11"/>
      <c r="D4" s="44"/>
    </row>
    <row r="5" spans="1:8" ht="48" customHeight="1" x14ac:dyDescent="0.25">
      <c r="A5" s="158" t="s">
        <v>324</v>
      </c>
      <c r="B5" s="158"/>
      <c r="C5" s="158"/>
      <c r="D5" s="158"/>
    </row>
    <row r="6" spans="1:8" ht="11.25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ht="10.5" customHeight="1" x14ac:dyDescent="0.25">
      <c r="A8" s="49"/>
      <c r="B8" s="79"/>
      <c r="C8" s="11"/>
      <c r="D8" s="44"/>
    </row>
    <row r="9" spans="1:8" x14ac:dyDescent="0.25">
      <c r="A9" s="170" t="s">
        <v>105</v>
      </c>
      <c r="B9" s="170"/>
      <c r="C9" s="48"/>
      <c r="D9" s="44"/>
    </row>
    <row r="10" spans="1:8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68.75" customHeight="1" x14ac:dyDescent="0.25">
      <c r="A14" s="3"/>
      <c r="B14" s="81" t="s">
        <v>1195</v>
      </c>
      <c r="C14" s="1">
        <v>40.08</v>
      </c>
      <c r="D14" s="1">
        <f>C14*30</f>
        <v>1202.3999999999999</v>
      </c>
      <c r="E14" s="185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 t="shared" ref="D15:D17" si="0">C15*30</f>
        <v>283.5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91.5" customHeight="1" x14ac:dyDescent="0.25">
      <c r="A17" s="3"/>
      <c r="B17" s="4" t="s">
        <v>1532</v>
      </c>
      <c r="C17" s="1">
        <v>2.11</v>
      </c>
      <c r="D17" s="1">
        <f t="shared" si="0"/>
        <v>63.3</v>
      </c>
    </row>
    <row r="18" spans="1:4" x14ac:dyDescent="0.25">
      <c r="A18" s="34"/>
      <c r="B18" s="40" t="s">
        <v>87</v>
      </c>
      <c r="C18" s="32">
        <f>SUM(C13:C17)</f>
        <v>51.64</v>
      </c>
      <c r="D18" s="32">
        <f>SUM(D13:D17)</f>
        <v>1549.1999999999998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860</v>
      </c>
      <c r="C23" s="24">
        <v>2.1000000000000001E-2</v>
      </c>
      <c r="D23" s="1">
        <f t="shared" ref="D23:D85" si="1">C23*30</f>
        <v>0.63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861</v>
      </c>
      <c r="C25" s="24">
        <v>5.1999999999999998E-2</v>
      </c>
      <c r="D25" s="1">
        <f t="shared" si="1"/>
        <v>1.5599999999999998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862</v>
      </c>
      <c r="C27" s="24">
        <f>ROUND(38.69/9509,4)</f>
        <v>4.1000000000000003E-3</v>
      </c>
      <c r="D27" s="1">
        <f t="shared" si="1"/>
        <v>0.12300000000000001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863</v>
      </c>
      <c r="C29" s="24">
        <v>9.4E-2</v>
      </c>
      <c r="D29" s="1">
        <f t="shared" si="1"/>
        <v>2.82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864</v>
      </c>
      <c r="C31" s="24">
        <v>1.4999999999999999E-2</v>
      </c>
      <c r="D31" s="1">
        <f t="shared" si="1"/>
        <v>0.44999999999999996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865</v>
      </c>
      <c r="C33" s="24">
        <v>2.5999999999999999E-2</v>
      </c>
      <c r="D33" s="1">
        <f t="shared" si="1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866</v>
      </c>
      <c r="C35" s="24">
        <v>7.0000000000000001E-3</v>
      </c>
      <c r="D35" s="1">
        <f t="shared" si="1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867</v>
      </c>
      <c r="C37" s="24">
        <v>0.01</v>
      </c>
      <c r="D37" s="1">
        <f t="shared" si="1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868</v>
      </c>
      <c r="C39" s="24">
        <v>7.0000000000000001E-3</v>
      </c>
      <c r="D39" s="1">
        <f t="shared" si="1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869</v>
      </c>
      <c r="C41" s="24">
        <v>4.9000000000000002E-2</v>
      </c>
      <c r="D41" s="1">
        <f t="shared" si="1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870</v>
      </c>
      <c r="C43" s="24">
        <v>6.0999999999999999E-2</v>
      </c>
      <c r="D43" s="1">
        <f t="shared" si="1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871</v>
      </c>
      <c r="C45" s="24">
        <v>0.09</v>
      </c>
      <c r="D45" s="1">
        <f t="shared" si="1"/>
        <v>2.6999999999999997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872</v>
      </c>
      <c r="C47" s="24">
        <v>0.05</v>
      </c>
      <c r="D47" s="1">
        <f t="shared" si="1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873</v>
      </c>
      <c r="C49" s="24">
        <v>6.9000000000000006E-2</v>
      </c>
      <c r="D49" s="1">
        <f t="shared" si="1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874</v>
      </c>
      <c r="C51" s="24">
        <v>3.0000000000000001E-3</v>
      </c>
      <c r="D51" s="1">
        <f t="shared" si="1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875</v>
      </c>
      <c r="C53" s="24">
        <v>2E-3</v>
      </c>
      <c r="D53" s="1">
        <f t="shared" si="1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876</v>
      </c>
      <c r="C55" s="24">
        <v>0.23699999999999999</v>
      </c>
      <c r="D55" s="1">
        <f t="shared" si="1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976</v>
      </c>
      <c r="C57" s="24">
        <v>0.29599999999999999</v>
      </c>
      <c r="D57" s="1">
        <f t="shared" si="1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1063</v>
      </c>
      <c r="C59" s="24">
        <v>1E-3</v>
      </c>
      <c r="D59" s="1">
        <f t="shared" si="1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878</v>
      </c>
      <c r="C61" s="24">
        <v>2.5999999999999999E-2</v>
      </c>
      <c r="D61" s="1">
        <f t="shared" si="1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879</v>
      </c>
      <c r="C63" s="24">
        <v>8.9999999999999993E-3</v>
      </c>
      <c r="D63" s="1">
        <f t="shared" si="1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880</v>
      </c>
      <c r="C65" s="24">
        <v>1.0999999999999999E-2</v>
      </c>
      <c r="D65" s="1">
        <f t="shared" si="1"/>
        <v>0.32999999999999996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881</v>
      </c>
      <c r="C67" s="24">
        <v>2.3E-2</v>
      </c>
      <c r="D67" s="1">
        <f t="shared" si="1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882</v>
      </c>
      <c r="C69" s="24">
        <v>2.1999999999999999E-2</v>
      </c>
      <c r="D69" s="1">
        <f t="shared" si="1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883</v>
      </c>
      <c r="C71" s="30">
        <v>3.4000000000000002E-2</v>
      </c>
      <c r="D71" s="1">
        <f t="shared" si="1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884</v>
      </c>
      <c r="C73" s="24">
        <v>2E-3</v>
      </c>
      <c r="D73" s="1">
        <f t="shared" si="1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885</v>
      </c>
      <c r="C75" s="24">
        <v>3.0000000000000001E-3</v>
      </c>
      <c r="D75" s="1">
        <f t="shared" si="1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886</v>
      </c>
      <c r="C77" s="24">
        <v>1E-3</v>
      </c>
      <c r="D77" s="1">
        <f t="shared" si="1"/>
        <v>0.03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887</v>
      </c>
      <c r="C79" s="24">
        <v>4.0000000000000001E-3</v>
      </c>
      <c r="D79" s="1">
        <f t="shared" si="1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888</v>
      </c>
      <c r="C81" s="24">
        <v>7.0999999999999994E-2</v>
      </c>
      <c r="D81" s="1">
        <f t="shared" si="1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889</v>
      </c>
      <c r="C83" s="24">
        <v>2.1000000000000001E-2</v>
      </c>
      <c r="D83" s="1">
        <f t="shared" si="1"/>
        <v>0.63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21.75" customHeight="1" x14ac:dyDescent="0.25">
      <c r="A85" s="3"/>
      <c r="B85" s="4" t="s">
        <v>890</v>
      </c>
      <c r="C85" s="24">
        <v>3.7999999999999999E-2</v>
      </c>
      <c r="D85" s="1">
        <f t="shared" si="1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ht="19.5" customHeight="1" x14ac:dyDescent="0.25">
      <c r="A87" s="33"/>
      <c r="B87" s="34" t="s">
        <v>95</v>
      </c>
      <c r="C87" s="32">
        <f>ROUND(C86+C18,4)</f>
        <v>53.020099999999999</v>
      </c>
      <c r="D87" s="32">
        <f>ROUND(D86+D18,4)</f>
        <v>1590.6030000000001</v>
      </c>
    </row>
    <row r="88" spans="1:4" ht="30.7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30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53.020099999999999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Footer>&amp;C&amp;P</oddFooter>
  </headerFooter>
  <colBreaks count="1" manualBreakCount="1">
    <brk id="4" max="1048575" man="1"/>
  </colBreak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E6B0-A901-414E-B5CA-81E32DA46062}">
  <dimension ref="A1:H90"/>
  <sheetViews>
    <sheetView view="pageBreakPreview" topLeftCell="A2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0.85546875" style="84" customWidth="1"/>
    <col min="3" max="3" width="15.85546875" style="84" customWidth="1"/>
    <col min="4" max="4" width="16.57031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63"/>
      <c r="D2" s="63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40.5" customHeight="1" x14ac:dyDescent="0.25">
      <c r="A5" s="166" t="s">
        <v>325</v>
      </c>
      <c r="B5" s="166"/>
      <c r="C5" s="166"/>
      <c r="D5" s="166"/>
    </row>
    <row r="6" spans="1:8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x14ac:dyDescent="0.25">
      <c r="A8" s="49"/>
      <c r="B8" s="79"/>
      <c r="C8" s="11"/>
      <c r="D8" s="11"/>
    </row>
    <row r="9" spans="1:8" x14ac:dyDescent="0.25">
      <c r="A9" s="170" t="s">
        <v>109</v>
      </c>
      <c r="B9" s="170"/>
      <c r="C9" s="48"/>
      <c r="D9" s="44"/>
    </row>
    <row r="10" spans="1:8" ht="60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5.5" customHeight="1" x14ac:dyDescent="0.25">
      <c r="A14" s="3"/>
      <c r="B14" s="4" t="s">
        <v>1200</v>
      </c>
      <c r="C14" s="1">
        <v>34.08</v>
      </c>
      <c r="D14" s="1">
        <f>C14*5</f>
        <v>170.39999999999998</v>
      </c>
      <c r="E14" s="183"/>
      <c r="F14" s="184"/>
      <c r="G14" s="184"/>
      <c r="H14" s="184"/>
    </row>
    <row r="15" spans="1:8" ht="24" x14ac:dyDescent="0.25">
      <c r="A15" s="3">
        <v>1200</v>
      </c>
      <c r="B15" s="4" t="s">
        <v>1199</v>
      </c>
      <c r="C15" s="1">
        <f>ROUND(C14*0.2359,2)</f>
        <v>8.0399999999999991</v>
      </c>
      <c r="D15" s="1">
        <f t="shared" ref="D15:D17" si="0">C15*5</f>
        <v>40.199999999999996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98.25" customHeight="1" x14ac:dyDescent="0.25">
      <c r="A17" s="3"/>
      <c r="B17" s="4" t="s">
        <v>1531</v>
      </c>
      <c r="C17" s="1">
        <v>1.71</v>
      </c>
      <c r="D17" s="1">
        <f t="shared" si="0"/>
        <v>8.5500000000000007</v>
      </c>
    </row>
    <row r="18" spans="1:4" x14ac:dyDescent="0.25">
      <c r="A18" s="3"/>
      <c r="B18" s="40" t="s">
        <v>87</v>
      </c>
      <c r="C18" s="32">
        <f>SUM(C13:C17)</f>
        <v>43.83</v>
      </c>
      <c r="D18" s="32">
        <f>SUM(D13:D17)</f>
        <v>219.14999999999998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9.5" customHeight="1" x14ac:dyDescent="0.25">
      <c r="A87" s="33"/>
      <c r="B87" s="34" t="s">
        <v>95</v>
      </c>
      <c r="C87" s="32">
        <f>ROUND(C86+C18,4)</f>
        <v>45.210099999999997</v>
      </c>
      <c r="D87" s="32">
        <f>ROUND(D86+D18,4)</f>
        <v>226.0505</v>
      </c>
    </row>
    <row r="88" spans="1:4" ht="29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4" customHeight="1" x14ac:dyDescent="0.25">
      <c r="A90" s="161" t="s">
        <v>112</v>
      </c>
      <c r="B90" s="162"/>
      <c r="C90" s="2">
        <f>D87/C89</f>
        <v>45.210099999999997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" right="0.7" top="0.75" bottom="0.75" header="0.3" footer="0.3"/>
  <pageSetup scale="88" orientation="portrait" verticalDpi="0" r:id="rId1"/>
  <colBreaks count="1" manualBreakCount="1">
    <brk id="4" max="1048575" man="1"/>
  </colBreaks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71539-5667-4AE9-A04B-CD9CD0B974DC}">
  <dimension ref="A1:H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9.140625" style="84"/>
    <col min="2" max="2" width="60.7109375" style="84" customWidth="1"/>
    <col min="3" max="3" width="9.140625" style="84"/>
    <col min="4" max="4" width="15.1406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9.75" customHeight="1" x14ac:dyDescent="0.25">
      <c r="A5" s="166" t="s">
        <v>326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372</v>
      </c>
      <c r="B9" s="170"/>
      <c r="C9" s="11"/>
      <c r="D9" s="44"/>
    </row>
    <row r="10" spans="1:8" ht="91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19"/>
    </row>
    <row r="14" spans="1:8" ht="163.5" customHeight="1" x14ac:dyDescent="0.25">
      <c r="A14" s="3"/>
      <c r="B14" s="4" t="s">
        <v>1196</v>
      </c>
      <c r="C14" s="1">
        <v>37.08</v>
      </c>
      <c r="D14" s="1">
        <f>C14*5</f>
        <v>185.39999999999998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4" t="s">
        <v>1197</v>
      </c>
      <c r="C15" s="1">
        <f>ROUND(C14*0.2359,2)</f>
        <v>8.75</v>
      </c>
      <c r="D15" s="1">
        <f t="shared" ref="D15:D17" si="0">C15*5</f>
        <v>43.75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96" x14ac:dyDescent="0.25">
      <c r="A17" s="3"/>
      <c r="B17" s="4" t="s">
        <v>1520</v>
      </c>
      <c r="C17" s="1">
        <v>5.5</v>
      </c>
      <c r="D17" s="1">
        <f t="shared" si="0"/>
        <v>27.5</v>
      </c>
    </row>
    <row r="18" spans="1:4" x14ac:dyDescent="0.25">
      <c r="A18" s="3"/>
      <c r="B18" s="40" t="s">
        <v>87</v>
      </c>
      <c r="C18" s="32">
        <f>SUM(C13:C17)</f>
        <v>51.33</v>
      </c>
      <c r="D18" s="32">
        <f>SUM(D13:D17)</f>
        <v>256.64999999999998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52.710099999999997</v>
      </c>
      <c r="D87" s="32">
        <f>ROUND(D86+D18,4)</f>
        <v>263.5505</v>
      </c>
    </row>
    <row r="88" spans="1:4" ht="30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8.5" customHeight="1" x14ac:dyDescent="0.25">
      <c r="A90" s="161" t="s">
        <v>112</v>
      </c>
      <c r="B90" s="162"/>
      <c r="C90" s="2">
        <f>D87/C89</f>
        <v>52.710099999999997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CB0B7-B986-461D-8919-F81E0D373E13}">
  <dimension ref="A1:H91"/>
  <sheetViews>
    <sheetView view="pageBreakPreview" topLeftCell="A65" zoomScale="60" zoomScaleNormal="100" workbookViewId="0">
      <selection activeCell="B86" sqref="B86"/>
    </sheetView>
  </sheetViews>
  <sheetFormatPr defaultRowHeight="15" x14ac:dyDescent="0.25"/>
  <cols>
    <col min="1" max="1" width="9.140625" style="84"/>
    <col min="2" max="2" width="66" style="84" customWidth="1"/>
    <col min="3" max="3" width="9.7109375" style="84" customWidth="1"/>
    <col min="4" max="4" width="11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1.25" customHeight="1" x14ac:dyDescent="0.25">
      <c r="A5" s="166" t="s">
        <v>327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165</v>
      </c>
      <c r="B9" s="170"/>
      <c r="C9" s="11"/>
      <c r="D9" s="44"/>
    </row>
    <row r="10" spans="1:8" x14ac:dyDescent="0.25">
      <c r="A10" s="45"/>
      <c r="B10" s="36"/>
      <c r="C10" s="48"/>
      <c r="D10" s="44"/>
    </row>
    <row r="11" spans="1:8" ht="88.5" customHeight="1" x14ac:dyDescent="0.25">
      <c r="A11" s="14" t="s">
        <v>80</v>
      </c>
      <c r="B11" s="14" t="s">
        <v>81</v>
      </c>
      <c r="C11" s="14" t="s">
        <v>82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ht="108" x14ac:dyDescent="0.25">
      <c r="A13" s="15"/>
      <c r="B13" s="31" t="s">
        <v>84</v>
      </c>
      <c r="C13" s="19"/>
      <c r="D13" s="14" t="s">
        <v>83</v>
      </c>
    </row>
    <row r="14" spans="1:8" x14ac:dyDescent="0.25">
      <c r="A14" s="42">
        <v>1100</v>
      </c>
      <c r="B14" s="43" t="s">
        <v>85</v>
      </c>
      <c r="C14" s="22"/>
      <c r="D14" s="22"/>
    </row>
    <row r="15" spans="1:8" ht="150" customHeight="1" x14ac:dyDescent="0.25">
      <c r="A15" s="3"/>
      <c r="B15" s="4" t="s">
        <v>1198</v>
      </c>
      <c r="C15" s="1">
        <v>34.08</v>
      </c>
      <c r="D15" s="1">
        <f>C15*5</f>
        <v>170.39999999999998</v>
      </c>
      <c r="E15" s="186"/>
      <c r="F15" s="175"/>
      <c r="G15" s="175"/>
      <c r="H15" s="175"/>
    </row>
    <row r="16" spans="1:8" ht="24" x14ac:dyDescent="0.25">
      <c r="A16" s="3">
        <v>1200</v>
      </c>
      <c r="B16" s="4" t="s">
        <v>1199</v>
      </c>
      <c r="C16" s="1">
        <f>ROUND(C15*0.2359,2)</f>
        <v>8.0399999999999991</v>
      </c>
      <c r="D16" s="1">
        <f t="shared" ref="D16:D18" si="0">C16*5</f>
        <v>40.199999999999996</v>
      </c>
    </row>
    <row r="17" spans="1:4" x14ac:dyDescent="0.25">
      <c r="A17" s="3">
        <v>2341</v>
      </c>
      <c r="B17" s="3" t="s">
        <v>86</v>
      </c>
      <c r="C17" s="24"/>
      <c r="D17" s="1"/>
    </row>
    <row r="18" spans="1:4" ht="72" x14ac:dyDescent="0.25">
      <c r="A18" s="3"/>
      <c r="B18" s="4" t="s">
        <v>1519</v>
      </c>
      <c r="C18" s="1">
        <v>5.84</v>
      </c>
      <c r="D18" s="1">
        <f t="shared" si="0"/>
        <v>29.2</v>
      </c>
    </row>
    <row r="19" spans="1:4" x14ac:dyDescent="0.25">
      <c r="A19" s="3"/>
      <c r="B19" s="40" t="s">
        <v>87</v>
      </c>
      <c r="C19" s="32">
        <f>SUM(C14:C18)</f>
        <v>47.959999999999994</v>
      </c>
      <c r="D19" s="32">
        <f>SUM(D14:D18)</f>
        <v>239.79999999999995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1180</v>
      </c>
      <c r="C22" s="24">
        <v>2.1000000000000001E-2</v>
      </c>
      <c r="D22" s="1">
        <f>C22*5</f>
        <v>0.10500000000000001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1147</v>
      </c>
      <c r="C24" s="24">
        <v>2.1000000000000001E-2</v>
      </c>
      <c r="D24" s="1">
        <f t="shared" ref="D24:D86" si="1">C24*5</f>
        <v>0.10500000000000001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1146</v>
      </c>
      <c r="C26" s="24">
        <v>5.1999999999999998E-2</v>
      </c>
      <c r="D26" s="1">
        <f t="shared" si="1"/>
        <v>0.26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1145</v>
      </c>
      <c r="C28" s="24">
        <f>ROUND(38.69/9509,4)</f>
        <v>4.1000000000000003E-3</v>
      </c>
      <c r="D28" s="1">
        <f t="shared" si="1"/>
        <v>2.0500000000000001E-2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1144</v>
      </c>
      <c r="C30" s="24">
        <v>9.4E-2</v>
      </c>
      <c r="D30" s="1">
        <f t="shared" si="1"/>
        <v>0.47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1143</v>
      </c>
      <c r="C32" s="24">
        <v>1.4999999999999999E-2</v>
      </c>
      <c r="D32" s="1">
        <f t="shared" si="1"/>
        <v>7.4999999999999997E-2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1142</v>
      </c>
      <c r="C34" s="24">
        <v>2.5999999999999999E-2</v>
      </c>
      <c r="D34" s="1">
        <f t="shared" si="1"/>
        <v>0.13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1141</v>
      </c>
      <c r="C36" s="24">
        <v>7.0000000000000001E-3</v>
      </c>
      <c r="D36" s="1">
        <f t="shared" si="1"/>
        <v>3.5000000000000003E-2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1140</v>
      </c>
      <c r="C38" s="24">
        <v>0.01</v>
      </c>
      <c r="D38" s="1">
        <f t="shared" si="1"/>
        <v>0.05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1139</v>
      </c>
      <c r="C40" s="24">
        <v>7.0000000000000001E-3</v>
      </c>
      <c r="D40" s="1">
        <f t="shared" si="1"/>
        <v>3.5000000000000003E-2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1138</v>
      </c>
      <c r="C42" s="24">
        <v>4.9000000000000002E-2</v>
      </c>
      <c r="D42" s="1">
        <f t="shared" si="1"/>
        <v>0.245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1137</v>
      </c>
      <c r="C44" s="24">
        <v>6.0999999999999999E-2</v>
      </c>
      <c r="D44" s="1">
        <f t="shared" si="1"/>
        <v>0.30499999999999999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1136</v>
      </c>
      <c r="C46" s="24">
        <v>0.09</v>
      </c>
      <c r="D46" s="1">
        <f t="shared" si="1"/>
        <v>0.44999999999999996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1135</v>
      </c>
      <c r="C48" s="24">
        <v>0.05</v>
      </c>
      <c r="D48" s="1">
        <f t="shared" si="1"/>
        <v>0.25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1134</v>
      </c>
      <c r="C50" s="24">
        <v>6.9000000000000006E-2</v>
      </c>
      <c r="D50" s="1">
        <f t="shared" si="1"/>
        <v>0.34500000000000003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1133</v>
      </c>
      <c r="C52" s="24">
        <v>3.0000000000000001E-3</v>
      </c>
      <c r="D52" s="1">
        <f t="shared" si="1"/>
        <v>1.4999999999999999E-2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1132</v>
      </c>
      <c r="C54" s="24">
        <v>2E-3</v>
      </c>
      <c r="D54" s="1">
        <f t="shared" si="1"/>
        <v>0.01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1131</v>
      </c>
      <c r="C56" s="24">
        <v>0.23699999999999999</v>
      </c>
      <c r="D56" s="1">
        <f t="shared" si="1"/>
        <v>1.1850000000000001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1130</v>
      </c>
      <c r="C58" s="24">
        <v>0.29599999999999999</v>
      </c>
      <c r="D58" s="1">
        <f t="shared" si="1"/>
        <v>1.48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1129</v>
      </c>
      <c r="C60" s="24">
        <v>1E-3</v>
      </c>
      <c r="D60" s="1">
        <f t="shared" si="1"/>
        <v>5.0000000000000001E-3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1128</v>
      </c>
      <c r="C62" s="24">
        <v>2.5999999999999999E-2</v>
      </c>
      <c r="D62" s="1">
        <f t="shared" si="1"/>
        <v>0.13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1127</v>
      </c>
      <c r="C64" s="24">
        <v>8.9999999999999993E-3</v>
      </c>
      <c r="D64" s="1">
        <f t="shared" si="1"/>
        <v>4.4999999999999998E-2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1126</v>
      </c>
      <c r="C66" s="24">
        <v>1.0999999999999999E-2</v>
      </c>
      <c r="D66" s="1">
        <f t="shared" si="1"/>
        <v>5.4999999999999993E-2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1125</v>
      </c>
      <c r="C68" s="24">
        <v>2.3E-2</v>
      </c>
      <c r="D68" s="1">
        <f t="shared" si="1"/>
        <v>0.11499999999999999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1124</v>
      </c>
      <c r="C70" s="24">
        <v>2.1999999999999999E-2</v>
      </c>
      <c r="D70" s="1">
        <f t="shared" si="1"/>
        <v>0.10999999999999999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1123</v>
      </c>
      <c r="C72" s="30">
        <v>3.4000000000000002E-2</v>
      </c>
      <c r="D72" s="1">
        <f t="shared" si="1"/>
        <v>0.17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1122</v>
      </c>
      <c r="C74" s="24">
        <v>2E-3</v>
      </c>
      <c r="D74" s="1">
        <f t="shared" si="1"/>
        <v>0.01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1121</v>
      </c>
      <c r="C76" s="24">
        <v>3.0000000000000001E-3</v>
      </c>
      <c r="D76" s="1">
        <f t="shared" si="1"/>
        <v>1.4999999999999999E-2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1120</v>
      </c>
      <c r="C78" s="24">
        <v>1E-3</v>
      </c>
      <c r="D78" s="1">
        <f t="shared" si="1"/>
        <v>5.0000000000000001E-3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1119</v>
      </c>
      <c r="C80" s="24">
        <v>4.0000000000000001E-3</v>
      </c>
      <c r="D80" s="1">
        <f t="shared" si="1"/>
        <v>0.02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1118</v>
      </c>
      <c r="C82" s="24">
        <v>7.0999999999999994E-2</v>
      </c>
      <c r="D82" s="1">
        <f t="shared" si="1"/>
        <v>0.35499999999999998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1117</v>
      </c>
      <c r="C84" s="24">
        <v>2.1000000000000001E-2</v>
      </c>
      <c r="D84" s="1">
        <f t="shared" si="1"/>
        <v>0.10500000000000001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1116</v>
      </c>
      <c r="C86" s="24">
        <v>3.7999999999999999E-2</v>
      </c>
      <c r="D86" s="1">
        <f t="shared" si="1"/>
        <v>0.19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6.9005000000000001</v>
      </c>
    </row>
    <row r="88" spans="1:4" ht="14.45" customHeight="1" x14ac:dyDescent="0.25">
      <c r="A88" s="33"/>
      <c r="B88" s="34" t="s">
        <v>95</v>
      </c>
      <c r="C88" s="32">
        <f>ROUND(C87+C19,4)</f>
        <v>49.3401</v>
      </c>
      <c r="D88" s="32">
        <f>ROUND(D87+D19,4)</f>
        <v>246.70050000000001</v>
      </c>
    </row>
    <row r="89" spans="1:4" ht="27.75" customHeight="1" x14ac:dyDescent="0.25">
      <c r="A89" s="35"/>
      <c r="B89" s="36"/>
      <c r="C89" s="37"/>
      <c r="D89" s="37"/>
    </row>
    <row r="90" spans="1:4" ht="14.45" customHeight="1" x14ac:dyDescent="0.25">
      <c r="A90" s="161" t="s">
        <v>96</v>
      </c>
      <c r="B90" s="162"/>
      <c r="C90" s="41">
        <v>5</v>
      </c>
      <c r="D90" s="38"/>
    </row>
    <row r="91" spans="1:4" ht="22.5" customHeight="1" x14ac:dyDescent="0.25">
      <c r="A91" s="161" t="s">
        <v>112</v>
      </c>
      <c r="B91" s="162"/>
      <c r="C91" s="2">
        <f>D88/C90</f>
        <v>49.3401</v>
      </c>
      <c r="D91" s="38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0" orientation="portrait" r:id="rId1"/>
  <colBreaks count="1" manualBreakCount="1">
    <brk id="4" max="1048575" man="1"/>
  </colBreak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2F29D-163C-4C7F-A0B3-A8D029729FA8}">
  <dimension ref="A1:H90"/>
  <sheetViews>
    <sheetView view="pageBreakPreview" topLeftCell="A70" zoomScale="60" zoomScaleNormal="100" workbookViewId="0">
      <selection activeCell="I14" sqref="I14"/>
    </sheetView>
  </sheetViews>
  <sheetFormatPr defaultRowHeight="15" x14ac:dyDescent="0.25"/>
  <cols>
    <col min="1" max="1" width="5.85546875" style="84" customWidth="1"/>
    <col min="2" max="2" width="60.140625" style="84" customWidth="1"/>
    <col min="3" max="3" width="11.28515625" style="84" customWidth="1"/>
    <col min="4" max="4" width="12.7109375" style="84" customWidth="1"/>
    <col min="5" max="5" width="9.140625" style="84"/>
    <col min="6" max="6" width="11.42578125" style="84" customWidth="1"/>
    <col min="7" max="7" width="11" style="84" customWidth="1"/>
    <col min="8" max="8" width="13.7109375" style="84" customWidth="1"/>
    <col min="9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42.75" customHeight="1" x14ac:dyDescent="0.25">
      <c r="A5" s="166" t="s">
        <v>328</v>
      </c>
      <c r="B5" s="166"/>
      <c r="C5" s="166"/>
      <c r="D5" s="166"/>
    </row>
    <row r="6" spans="1:8" ht="9" customHeight="1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ht="7.5" customHeight="1" x14ac:dyDescent="0.25">
      <c r="A8" s="6"/>
      <c r="B8" s="12"/>
      <c r="C8" s="13"/>
      <c r="D8" s="10"/>
    </row>
    <row r="9" spans="1:8" x14ac:dyDescent="0.25">
      <c r="A9" s="160" t="s">
        <v>109</v>
      </c>
      <c r="B9" s="160"/>
      <c r="C9" s="13"/>
      <c r="D9" s="10"/>
    </row>
    <row r="10" spans="1:8" ht="84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83" customHeight="1" x14ac:dyDescent="0.25">
      <c r="A14" s="5"/>
      <c r="B14" s="83" t="s">
        <v>1201</v>
      </c>
      <c r="C14" s="1">
        <v>32.28</v>
      </c>
      <c r="D14" s="1">
        <f>C14*5</f>
        <v>161.4</v>
      </c>
      <c r="E14" s="183"/>
      <c r="F14" s="184"/>
      <c r="G14" s="184"/>
      <c r="H14" s="184"/>
    </row>
    <row r="15" spans="1:8" ht="24" x14ac:dyDescent="0.25">
      <c r="A15" s="5">
        <v>1200</v>
      </c>
      <c r="B15" s="23" t="s">
        <v>1202</v>
      </c>
      <c r="C15" s="1">
        <f>ROUND(C14*0.2359,2)</f>
        <v>7.61</v>
      </c>
      <c r="D15" s="1">
        <f t="shared" ref="D15:D17" si="0">C15*5</f>
        <v>38.050000000000004</v>
      </c>
    </row>
    <row r="16" spans="1:8" x14ac:dyDescent="0.25">
      <c r="A16" s="3">
        <v>2341</v>
      </c>
      <c r="B16" s="3" t="s">
        <v>97</v>
      </c>
      <c r="C16" s="24"/>
      <c r="D16" s="1"/>
    </row>
    <row r="17" spans="1:4" ht="96" x14ac:dyDescent="0.25">
      <c r="A17" s="5"/>
      <c r="B17" s="23" t="s">
        <v>1530</v>
      </c>
      <c r="C17" s="1">
        <v>1.94</v>
      </c>
      <c r="D17" s="1">
        <f t="shared" si="0"/>
        <v>9.6999999999999993</v>
      </c>
    </row>
    <row r="18" spans="1:4" x14ac:dyDescent="0.25">
      <c r="A18" s="3"/>
      <c r="B18" s="40" t="s">
        <v>87</v>
      </c>
      <c r="C18" s="32">
        <f>SUM(C13:C17)</f>
        <v>41.83</v>
      </c>
      <c r="D18" s="32">
        <f>SUM(D13:D17)</f>
        <v>209.15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43.210099999999997</v>
      </c>
      <c r="D87" s="32">
        <f>ROUND(D86+D18,4)</f>
        <v>216.0505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6.25" customHeight="1" x14ac:dyDescent="0.25">
      <c r="A90" s="161" t="s">
        <v>112</v>
      </c>
      <c r="B90" s="162"/>
      <c r="C90" s="2">
        <f>D87/C89</f>
        <v>43.210099999999997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BC548-8E35-44A5-96EF-A9F157335DE1}">
  <dimension ref="A1:G90"/>
  <sheetViews>
    <sheetView view="pageBreakPreview" zoomScale="60" zoomScaleNormal="85" workbookViewId="0">
      <selection activeCell="I14" sqref="I14"/>
    </sheetView>
  </sheetViews>
  <sheetFormatPr defaultRowHeight="15" x14ac:dyDescent="0.25"/>
  <cols>
    <col min="1" max="1" width="9.140625" style="84"/>
    <col min="2" max="2" width="60.42578125" style="84" customWidth="1"/>
    <col min="3" max="3" width="11.140625" style="84" customWidth="1"/>
    <col min="4" max="4" width="15.140625" style="84" customWidth="1"/>
    <col min="5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49.5" customHeight="1" x14ac:dyDescent="0.25">
      <c r="A5" s="166" t="s">
        <v>329</v>
      </c>
      <c r="B5" s="166"/>
      <c r="C5" s="166"/>
      <c r="D5" s="166"/>
    </row>
    <row r="6" spans="1:7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ht="10.5" customHeight="1" x14ac:dyDescent="0.25">
      <c r="A8" s="49"/>
      <c r="B8" s="79"/>
      <c r="C8" s="11"/>
      <c r="D8" s="10"/>
    </row>
    <row r="9" spans="1:7" x14ac:dyDescent="0.25">
      <c r="A9" s="160" t="s">
        <v>377</v>
      </c>
      <c r="B9" s="160"/>
      <c r="C9" s="13"/>
      <c r="D9" s="10"/>
    </row>
    <row r="10" spans="1:7" ht="90" customHeight="1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95.75" customHeight="1" x14ac:dyDescent="0.25">
      <c r="A14" s="5"/>
      <c r="B14" s="81" t="s">
        <v>1203</v>
      </c>
      <c r="C14" s="1">
        <v>42.08</v>
      </c>
      <c r="D14" s="1">
        <f>C14*5</f>
        <v>210.39999999999998</v>
      </c>
      <c r="E14" s="185"/>
      <c r="F14" s="175"/>
      <c r="G14" s="175"/>
    </row>
    <row r="15" spans="1:7" ht="24" x14ac:dyDescent="0.25">
      <c r="A15" s="5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7" x14ac:dyDescent="0.25">
      <c r="A16" s="5">
        <v>2341</v>
      </c>
      <c r="B16" s="5" t="s">
        <v>97</v>
      </c>
      <c r="C16" s="39"/>
      <c r="D16" s="1"/>
    </row>
    <row r="17" spans="1:4" ht="120" x14ac:dyDescent="0.25">
      <c r="A17" s="5"/>
      <c r="B17" s="23" t="s">
        <v>1529</v>
      </c>
      <c r="C17" s="1">
        <v>5.04</v>
      </c>
      <c r="D17" s="1">
        <f>C17*5</f>
        <v>25.2</v>
      </c>
    </row>
    <row r="18" spans="1:4" x14ac:dyDescent="0.25">
      <c r="A18" s="3"/>
      <c r="B18" s="40" t="s">
        <v>87</v>
      </c>
      <c r="C18" s="32">
        <f>SUM(C13:C17)</f>
        <v>57.05</v>
      </c>
      <c r="D18" s="32">
        <f>SUM(D13:D17)</f>
        <v>285.24999999999994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58.430100000000003</v>
      </c>
      <c r="D87" s="32">
        <f>ROUND(D86+D18,4)</f>
        <v>292.15050000000002</v>
      </c>
    </row>
    <row r="88" spans="1:4" ht="26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7" customHeight="1" x14ac:dyDescent="0.25">
      <c r="A90" s="161" t="s">
        <v>112</v>
      </c>
      <c r="B90" s="162"/>
      <c r="C90" s="2">
        <f>D87/C89</f>
        <v>58.430100000000003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colBreaks count="1" manualBreakCount="1">
    <brk id="4" max="1048575" man="1"/>
  </colBreaks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DB58E-DCCF-4FA4-AF42-5450A440F693}">
  <dimension ref="A1:I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1.140625" style="84" customWidth="1"/>
    <col min="3" max="3" width="12.5703125" style="84" customWidth="1"/>
    <col min="4" max="4" width="12" style="84" customWidth="1"/>
    <col min="5" max="8" width="9.140625" style="84"/>
    <col min="9" max="9" width="12.5703125" style="84" customWidth="1"/>
    <col min="10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3" customHeight="1" x14ac:dyDescent="0.25">
      <c r="A5" s="166" t="s">
        <v>330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x14ac:dyDescent="0.25">
      <c r="A8" s="49"/>
      <c r="B8" s="79"/>
      <c r="C8" s="11"/>
      <c r="D8" s="10"/>
    </row>
    <row r="9" spans="1:8" x14ac:dyDescent="0.25">
      <c r="A9" s="160" t="s">
        <v>1151</v>
      </c>
      <c r="B9" s="160"/>
      <c r="C9" s="13"/>
      <c r="D9" s="10"/>
    </row>
    <row r="10" spans="1:8" ht="85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80.75" customHeight="1" x14ac:dyDescent="0.25">
      <c r="A14" s="5"/>
      <c r="B14" s="81" t="s">
        <v>1203</v>
      </c>
      <c r="C14" s="1">
        <v>42.08</v>
      </c>
      <c r="D14" s="1">
        <f>C14*5</f>
        <v>210.39999999999998</v>
      </c>
      <c r="E14" s="183"/>
      <c r="F14" s="184"/>
      <c r="G14" s="184"/>
      <c r="H14" s="184"/>
    </row>
    <row r="15" spans="1:8" ht="24" x14ac:dyDescent="0.25">
      <c r="A15" s="5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5">
        <v>2341</v>
      </c>
      <c r="B16" s="5" t="s">
        <v>116</v>
      </c>
      <c r="C16" s="39"/>
      <c r="D16" s="1"/>
    </row>
    <row r="17" spans="1:9" ht="84" x14ac:dyDescent="0.25">
      <c r="A17" s="5"/>
      <c r="B17" s="23" t="s">
        <v>1528</v>
      </c>
      <c r="C17" s="1">
        <v>0.66</v>
      </c>
      <c r="D17" s="1">
        <f>C17*5</f>
        <v>3.3000000000000003</v>
      </c>
      <c r="I17" s="105"/>
    </row>
    <row r="18" spans="1:9" x14ac:dyDescent="0.25">
      <c r="A18" s="5"/>
      <c r="B18" s="40" t="s">
        <v>87</v>
      </c>
      <c r="C18" s="32">
        <f>SUM(C13:C17)</f>
        <v>52.669999999999995</v>
      </c>
      <c r="D18" s="32">
        <f>SUM(D13:D17)</f>
        <v>263.34999999999997</v>
      </c>
    </row>
    <row r="19" spans="1:9" x14ac:dyDescent="0.25">
      <c r="A19" s="27"/>
      <c r="B19" s="103" t="s">
        <v>88</v>
      </c>
      <c r="C19" s="28"/>
      <c r="D19" s="28"/>
    </row>
    <row r="20" spans="1:9" x14ac:dyDescent="0.25">
      <c r="A20" s="3">
        <v>2100</v>
      </c>
      <c r="B20" s="69" t="s">
        <v>370</v>
      </c>
      <c r="C20" s="28"/>
      <c r="D20" s="28"/>
    </row>
    <row r="21" spans="1:9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54.0501</v>
      </c>
      <c r="D87" s="32">
        <f>ROUND(D86+D18,4)</f>
        <v>270.25049999999999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54.0501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530D2-8875-40E3-810C-7F2F5A03AA6F}">
  <dimension ref="A1:G90"/>
  <sheetViews>
    <sheetView view="pageBreakPreview" zoomScale="60" zoomScaleNormal="115" workbookViewId="0">
      <selection activeCell="I14" sqref="I14"/>
    </sheetView>
  </sheetViews>
  <sheetFormatPr defaultRowHeight="15" x14ac:dyDescent="0.25"/>
  <cols>
    <col min="1" max="1" width="9.140625" style="84"/>
    <col min="2" max="2" width="62.7109375" style="84" customWidth="1"/>
    <col min="3" max="3" width="11.85546875" style="84" customWidth="1"/>
    <col min="4" max="4" width="16.5703125" style="84" customWidth="1"/>
    <col min="5" max="6" width="9.140625" style="84"/>
    <col min="7" max="7" width="11.5703125" style="84" customWidth="1"/>
    <col min="8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35.25" customHeight="1" x14ac:dyDescent="0.25">
      <c r="A5" s="166" t="s">
        <v>331</v>
      </c>
      <c r="B5" s="166"/>
      <c r="C5" s="166"/>
      <c r="D5" s="166"/>
    </row>
    <row r="6" spans="1:7" ht="12" customHeight="1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ht="9.75" customHeight="1" x14ac:dyDescent="0.25">
      <c r="A8" s="49"/>
      <c r="B8" s="79"/>
      <c r="C8" s="11"/>
      <c r="D8" s="10"/>
    </row>
    <row r="9" spans="1:7" x14ac:dyDescent="0.25">
      <c r="A9" s="160" t="s">
        <v>109</v>
      </c>
      <c r="B9" s="160"/>
      <c r="C9" s="13"/>
      <c r="D9" s="10"/>
    </row>
    <row r="10" spans="1:7" ht="83.25" customHeight="1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7" x14ac:dyDescent="0.25">
      <c r="A11" s="71">
        <v>1</v>
      </c>
      <c r="B11" s="72">
        <v>2</v>
      </c>
      <c r="C11" s="71">
        <v>3</v>
      </c>
      <c r="D11" s="71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80" customHeight="1" x14ac:dyDescent="0.25">
      <c r="A14" s="5"/>
      <c r="B14" s="81" t="s">
        <v>1203</v>
      </c>
      <c r="C14" s="1">
        <v>42.08</v>
      </c>
      <c r="D14" s="1">
        <f>C14*5</f>
        <v>210.39999999999998</v>
      </c>
      <c r="E14" s="188"/>
      <c r="F14" s="189"/>
      <c r="G14" s="189"/>
    </row>
    <row r="15" spans="1:7" ht="24" x14ac:dyDescent="0.25">
      <c r="A15" s="5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7" x14ac:dyDescent="0.25">
      <c r="A16" s="5">
        <v>2341</v>
      </c>
      <c r="B16" s="5" t="s">
        <v>97</v>
      </c>
      <c r="C16" s="39"/>
      <c r="D16" s="39"/>
    </row>
    <row r="17" spans="1:4" ht="87.75" customHeight="1" x14ac:dyDescent="0.25">
      <c r="A17" s="5"/>
      <c r="B17" s="23" t="s">
        <v>1527</v>
      </c>
      <c r="C17" s="1">
        <v>5.5</v>
      </c>
      <c r="D17" s="1">
        <f>C17*5</f>
        <v>27.5</v>
      </c>
    </row>
    <row r="18" spans="1:4" x14ac:dyDescent="0.25">
      <c r="A18" s="5"/>
      <c r="B18" s="40" t="s">
        <v>87</v>
      </c>
      <c r="C18" s="32">
        <f>SUM(C13:C17)</f>
        <v>57.51</v>
      </c>
      <c r="D18" s="32">
        <f>SUM(D13:D17)</f>
        <v>287.54999999999995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58.890099999999997</v>
      </c>
      <c r="D87" s="32">
        <f>ROUND(D86+D18,4)</f>
        <v>294.45049999999998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58.890099999999997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Footer>&amp;C&amp;P</oddFooter>
  </headerFooter>
  <colBreaks count="1" manualBreakCount="1">
    <brk id="4" max="1048575" man="1"/>
  </col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567A2-EE51-4814-B8AA-9926D82E1832}">
  <dimension ref="A1:H90"/>
  <sheetViews>
    <sheetView view="pageBreakPreview" zoomScale="60" zoomScaleNormal="145" workbookViewId="0">
      <selection activeCell="B17" sqref="B17"/>
    </sheetView>
  </sheetViews>
  <sheetFormatPr defaultRowHeight="15" x14ac:dyDescent="0.25"/>
  <cols>
    <col min="1" max="1" width="9.140625" style="84"/>
    <col min="2" max="2" width="60.42578125" style="84" customWidth="1"/>
    <col min="3" max="3" width="10.42578125" style="84" customWidth="1"/>
    <col min="4" max="4" width="17.5703125" style="84" customWidth="1"/>
    <col min="5" max="7" width="9.140625" style="84"/>
    <col min="8" max="8" width="12" style="84" customWidth="1"/>
    <col min="9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8.75" customHeight="1" x14ac:dyDescent="0.25">
      <c r="A5" s="166" t="s">
        <v>332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77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1.6" customHeight="1" x14ac:dyDescent="0.25">
      <c r="A14" s="3"/>
      <c r="B14" s="81" t="s">
        <v>1203</v>
      </c>
      <c r="C14" s="1">
        <v>42.08</v>
      </c>
      <c r="D14" s="1">
        <f>C14*5</f>
        <v>210.39999999999998</v>
      </c>
      <c r="E14" s="183"/>
      <c r="F14" s="184"/>
      <c r="G14" s="184"/>
      <c r="H14" s="184"/>
    </row>
    <row r="15" spans="1:8" ht="24" x14ac:dyDescent="0.25">
      <c r="A15" s="3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3.5" customHeight="1" x14ac:dyDescent="0.25">
      <c r="A17" s="3"/>
      <c r="B17" s="4" t="s">
        <v>1526</v>
      </c>
      <c r="C17" s="1">
        <v>4.6500000000000004</v>
      </c>
      <c r="D17" s="1">
        <f>C17*5</f>
        <v>23.25</v>
      </c>
    </row>
    <row r="18" spans="1:4" x14ac:dyDescent="0.25">
      <c r="A18" s="34"/>
      <c r="B18" s="40" t="s">
        <v>87</v>
      </c>
      <c r="C18" s="32">
        <f>SUM(C13:C17)</f>
        <v>56.66</v>
      </c>
      <c r="D18" s="32">
        <f>SUM(D13:D17)</f>
        <v>283.29999999999995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58.040100000000002</v>
      </c>
      <c r="D87" s="32">
        <f>ROUND(D86+D18,4)</f>
        <v>290.20049999999998</v>
      </c>
    </row>
    <row r="88" spans="1:4" ht="32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2.5" customHeight="1" x14ac:dyDescent="0.25">
      <c r="A90" s="161" t="s">
        <v>112</v>
      </c>
      <c r="B90" s="162"/>
      <c r="C90" s="2">
        <f>D87/C89</f>
        <v>58.040099999999995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  <colBreaks count="1" manualBreakCount="1">
    <brk id="4" max="1048575" man="1"/>
  </colBreaks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7F65E-A250-4D53-AA25-BE371A2C38C9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9" style="84" customWidth="1"/>
    <col min="3" max="3" width="11" style="84" customWidth="1"/>
    <col min="4" max="4" width="14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36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ht="10.5" customHeight="1" x14ac:dyDescent="0.25">
      <c r="A4" s="45"/>
      <c r="B4" s="11"/>
      <c r="C4" s="11"/>
      <c r="D4" s="44"/>
    </row>
    <row r="5" spans="1:8" ht="35.25" customHeight="1" x14ac:dyDescent="0.25">
      <c r="A5" s="166" t="s">
        <v>333</v>
      </c>
      <c r="B5" s="166"/>
      <c r="C5" s="166"/>
      <c r="D5" s="166"/>
    </row>
    <row r="6" spans="1:8" ht="9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97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201" customHeight="1" x14ac:dyDescent="0.25">
      <c r="A14" s="3"/>
      <c r="B14" s="81" t="s">
        <v>1203</v>
      </c>
      <c r="C14" s="1">
        <v>42.08</v>
      </c>
      <c r="D14" s="1">
        <f>C14*5</f>
        <v>210.39999999999998</v>
      </c>
      <c r="E14" s="185"/>
      <c r="F14" s="175"/>
      <c r="G14" s="175"/>
      <c r="H14" s="175"/>
    </row>
    <row r="15" spans="1:8" ht="24" x14ac:dyDescent="0.25">
      <c r="A15" s="3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11" customHeight="1" x14ac:dyDescent="0.25">
      <c r="A17" s="3"/>
      <c r="B17" s="4" t="s">
        <v>1525</v>
      </c>
      <c r="C17" s="1">
        <v>17.47</v>
      </c>
      <c r="D17" s="1">
        <f>C17*5</f>
        <v>87.35</v>
      </c>
    </row>
    <row r="18" spans="1:4" x14ac:dyDescent="0.25">
      <c r="A18" s="34"/>
      <c r="B18" s="40" t="s">
        <v>87</v>
      </c>
      <c r="C18" s="32">
        <f>SUM(C13:C17)</f>
        <v>69.47999999999999</v>
      </c>
      <c r="D18" s="32">
        <f>SUM(D13:D17)</f>
        <v>347.4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70.860100000000003</v>
      </c>
      <c r="D87" s="32">
        <f>ROUND(D86+D18,4)</f>
        <v>354.3005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4" customHeight="1" x14ac:dyDescent="0.25">
      <c r="A90" s="161" t="s">
        <v>112</v>
      </c>
      <c r="B90" s="162"/>
      <c r="C90" s="2">
        <f>D87/C89</f>
        <v>70.860100000000003</v>
      </c>
      <c r="D90" s="38"/>
    </row>
  </sheetData>
  <mergeCells count="8">
    <mergeCell ref="A89:B89"/>
    <mergeCell ref="A90:B90"/>
    <mergeCell ref="E14:H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Footer>&amp;C&amp;P</oddFooter>
  </headerFooter>
  <colBreaks count="1" manualBreakCount="1">
    <brk id="4" max="1048575" man="1"/>
  </colBreaks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FBF0B-A8B9-4BA8-A4CB-E5E3FF61FFEC}">
  <dimension ref="A1:H90"/>
  <sheetViews>
    <sheetView view="pageBreakPreview" topLeftCell="A65" zoomScale="60" zoomScaleNormal="100" workbookViewId="0">
      <selection activeCell="D87" sqref="D87"/>
    </sheetView>
  </sheetViews>
  <sheetFormatPr defaultRowHeight="15" x14ac:dyDescent="0.25"/>
  <cols>
    <col min="1" max="1" width="9.140625" style="84"/>
    <col min="2" max="2" width="60" style="84" customWidth="1"/>
    <col min="3" max="3" width="12.7109375" style="84" customWidth="1"/>
    <col min="4" max="4" width="14.425781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52.5" customHeight="1" x14ac:dyDescent="0.25">
      <c r="A5" s="166" t="s">
        <v>334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78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81.5" customHeight="1" x14ac:dyDescent="0.25">
      <c r="A14" s="3"/>
      <c r="B14" s="81" t="s">
        <v>1203</v>
      </c>
      <c r="C14" s="1">
        <v>42.08</v>
      </c>
      <c r="D14" s="1">
        <f>C14*5</f>
        <v>210.39999999999998</v>
      </c>
      <c r="E14" s="188"/>
      <c r="F14" s="189"/>
      <c r="G14" s="189"/>
      <c r="H14" s="189"/>
    </row>
    <row r="15" spans="1:8" ht="24" x14ac:dyDescent="0.25">
      <c r="A15" s="3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4.25" customHeight="1" x14ac:dyDescent="0.25">
      <c r="A17" s="3"/>
      <c r="B17" s="4" t="s">
        <v>1524</v>
      </c>
      <c r="C17" s="1">
        <v>14.93</v>
      </c>
      <c r="D17" s="1">
        <f>C17*5</f>
        <v>74.650000000000006</v>
      </c>
    </row>
    <row r="18" spans="1:4" x14ac:dyDescent="0.25">
      <c r="A18" s="34"/>
      <c r="B18" s="40" t="s">
        <v>87</v>
      </c>
      <c r="C18" s="32">
        <f>SUM(C13:C17)</f>
        <v>66.94</v>
      </c>
      <c r="D18" s="32">
        <f>SUM(D13:D17)</f>
        <v>334.69999999999993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53.25" customHeight="1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68.320099999999996</v>
      </c>
      <c r="D87" s="32">
        <f>ROUND(D86+D18,4)</f>
        <v>341.60050000000001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2.5" customHeight="1" x14ac:dyDescent="0.25">
      <c r="A90" s="161" t="s">
        <v>112</v>
      </c>
      <c r="B90" s="162"/>
      <c r="C90" s="2">
        <f>D87/C89</f>
        <v>68.320099999999996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colBreaks count="1" manualBreakCount="1">
    <brk id="4" max="1048575" man="1"/>
  </colBreaks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F8B99-2E74-4791-B96A-2CAEAD130EE2}">
  <dimension ref="A1:H90"/>
  <sheetViews>
    <sheetView view="pageBreakPreview" topLeftCell="A63" zoomScale="60" zoomScaleNormal="100" workbookViewId="0">
      <selection activeCell="L84" sqref="L84"/>
    </sheetView>
  </sheetViews>
  <sheetFormatPr defaultRowHeight="15" x14ac:dyDescent="0.25"/>
  <cols>
    <col min="1" max="1" width="9.140625" style="84"/>
    <col min="2" max="2" width="58.28515625" style="84" customWidth="1"/>
    <col min="3" max="3" width="14" style="84" customWidth="1"/>
    <col min="4" max="4" width="15.285156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80"/>
      <c r="B2" s="80"/>
      <c r="C2" s="80"/>
      <c r="D2" s="80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51" customHeight="1" x14ac:dyDescent="0.25">
      <c r="A5" s="166" t="s">
        <v>335</v>
      </c>
      <c r="B5" s="166"/>
      <c r="C5" s="166"/>
      <c r="D5" s="166"/>
    </row>
    <row r="6" spans="1:8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x14ac:dyDescent="0.25">
      <c r="A8" s="49"/>
      <c r="B8" s="79"/>
      <c r="C8" s="11"/>
      <c r="D8" s="11"/>
    </row>
    <row r="9" spans="1:8" x14ac:dyDescent="0.25">
      <c r="A9" s="170" t="s">
        <v>1151</v>
      </c>
      <c r="B9" s="170"/>
      <c r="C9" s="48"/>
      <c r="D9" s="48"/>
    </row>
    <row r="10" spans="1:8" ht="78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80" x14ac:dyDescent="0.25">
      <c r="A14" s="3"/>
      <c r="B14" s="81" t="s">
        <v>1203</v>
      </c>
      <c r="C14" s="1">
        <v>42.08</v>
      </c>
      <c r="D14" s="1">
        <f>C14*5</f>
        <v>210.39999999999998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3">
        <v>2341</v>
      </c>
      <c r="B16" s="3" t="s">
        <v>97</v>
      </c>
      <c r="C16" s="24"/>
      <c r="D16" s="22"/>
    </row>
    <row r="17" spans="1:4" ht="96" x14ac:dyDescent="0.25">
      <c r="A17" s="3"/>
      <c r="B17" s="4" t="s">
        <v>1657</v>
      </c>
      <c r="C17" s="1">
        <v>9.81</v>
      </c>
      <c r="D17" s="1">
        <f>C17*5</f>
        <v>49.050000000000004</v>
      </c>
    </row>
    <row r="18" spans="1:4" x14ac:dyDescent="0.25">
      <c r="A18" s="3"/>
      <c r="B18" s="40" t="s">
        <v>87</v>
      </c>
      <c r="C18" s="32">
        <f>SUM(C13:C17)</f>
        <v>61.82</v>
      </c>
      <c r="D18" s="32">
        <f>SUM(D13:D17)</f>
        <v>309.09999999999997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63.200099999999999</v>
      </c>
      <c r="D87" s="32">
        <f>ROUND(D86+D18,4)</f>
        <v>316.00049999999999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5.5" customHeight="1" x14ac:dyDescent="0.25">
      <c r="A90" s="161" t="s">
        <v>112</v>
      </c>
      <c r="B90" s="162"/>
      <c r="C90" s="2">
        <f>D87/C89</f>
        <v>63.200099999999999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colBreaks count="1" manualBreakCount="1">
    <brk id="4" max="1048575" man="1"/>
  </colBreaks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BAE24-AA72-4112-980E-51E6DB514DC9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8.85546875" style="84" customWidth="1"/>
    <col min="3" max="3" width="11.85546875" style="84" customWidth="1"/>
    <col min="4" max="4" width="14.425781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5.75" customHeight="1" x14ac:dyDescent="0.25">
      <c r="A5" s="166" t="s">
        <v>336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81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84.5" customHeight="1" x14ac:dyDescent="0.25">
      <c r="A14" s="3"/>
      <c r="B14" s="81" t="s">
        <v>1203</v>
      </c>
      <c r="C14" s="1">
        <v>42.08</v>
      </c>
      <c r="D14" s="1">
        <f>C14*5</f>
        <v>210.39999999999998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20" x14ac:dyDescent="0.25">
      <c r="A17" s="3"/>
      <c r="B17" s="4" t="s">
        <v>1523</v>
      </c>
      <c r="C17" s="1">
        <v>23.8</v>
      </c>
      <c r="D17" s="1">
        <f>C17*5</f>
        <v>119</v>
      </c>
    </row>
    <row r="18" spans="1:4" x14ac:dyDescent="0.25">
      <c r="A18" s="3"/>
      <c r="B18" s="40" t="s">
        <v>87</v>
      </c>
      <c r="C18" s="32">
        <f>SUM(C13:C17)</f>
        <v>75.81</v>
      </c>
      <c r="D18" s="32">
        <f>SUM(D13:D17)</f>
        <v>379.04999999999995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77.190100000000001</v>
      </c>
      <c r="D87" s="32">
        <f>ROUND(D86+D18,4)</f>
        <v>385.95049999999998</v>
      </c>
    </row>
    <row r="88" spans="1:4" ht="27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5</v>
      </c>
      <c r="D89" s="38"/>
    </row>
    <row r="90" spans="1:4" ht="22.5" customHeight="1" x14ac:dyDescent="0.25">
      <c r="A90" s="161" t="s">
        <v>112</v>
      </c>
      <c r="B90" s="162"/>
      <c r="C90" s="2">
        <f>D87/C89</f>
        <v>77.190100000000001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4C550-3483-4159-89F0-F560A97B78E3}">
  <dimension ref="A1:G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2" style="84" customWidth="1"/>
    <col min="3" max="3" width="13" style="84" customWidth="1"/>
    <col min="4" max="4" width="17.85546875" style="84" customWidth="1"/>
    <col min="5" max="5" width="9" style="84" customWidth="1"/>
    <col min="6" max="6" width="9.7109375" style="84" customWidth="1"/>
    <col min="7" max="7" width="9.42578125" style="84" customWidth="1"/>
    <col min="8" max="16384" width="9.140625" style="84"/>
  </cols>
  <sheetData>
    <row r="1" spans="1:7" x14ac:dyDescent="0.25">
      <c r="A1" s="167" t="s">
        <v>78</v>
      </c>
      <c r="B1" s="167"/>
      <c r="C1" s="167"/>
      <c r="D1" s="167"/>
    </row>
    <row r="2" spans="1:7" x14ac:dyDescent="0.25">
      <c r="A2" s="45"/>
      <c r="B2" s="45"/>
      <c r="C2" s="168"/>
      <c r="D2" s="169"/>
    </row>
    <row r="3" spans="1:7" x14ac:dyDescent="0.25">
      <c r="A3" s="46" t="s">
        <v>110</v>
      </c>
      <c r="B3" s="47"/>
      <c r="C3" s="47"/>
      <c r="D3" s="47"/>
    </row>
    <row r="4" spans="1:7" ht="9.75" customHeight="1" x14ac:dyDescent="0.25">
      <c r="A4" s="45"/>
      <c r="B4" s="11"/>
      <c r="C4" s="11"/>
      <c r="D4" s="44"/>
    </row>
    <row r="5" spans="1:7" ht="48" customHeight="1" x14ac:dyDescent="0.25">
      <c r="A5" s="166" t="s">
        <v>337</v>
      </c>
      <c r="B5" s="166"/>
      <c r="C5" s="166"/>
      <c r="D5" s="166"/>
    </row>
    <row r="6" spans="1:7" ht="11.25" customHeight="1" x14ac:dyDescent="0.25">
      <c r="A6" s="49"/>
      <c r="B6" s="11"/>
      <c r="C6" s="11"/>
      <c r="D6" s="44"/>
    </row>
    <row r="7" spans="1:7" x14ac:dyDescent="0.25">
      <c r="A7" s="158" t="s">
        <v>111</v>
      </c>
      <c r="B7" s="159"/>
      <c r="C7" s="11"/>
      <c r="D7" s="44"/>
    </row>
    <row r="8" spans="1:7" ht="10.5" customHeight="1" x14ac:dyDescent="0.25">
      <c r="A8" s="49"/>
      <c r="B8" s="79"/>
      <c r="C8" s="11"/>
      <c r="D8" s="44"/>
    </row>
    <row r="9" spans="1:7" x14ac:dyDescent="0.25">
      <c r="A9" s="170" t="s">
        <v>103</v>
      </c>
      <c r="B9" s="170"/>
      <c r="C9" s="48"/>
      <c r="D9" s="44"/>
    </row>
    <row r="10" spans="1:7" ht="87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5"/>
      <c r="B12" s="31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168" customHeight="1" x14ac:dyDescent="0.25">
      <c r="A14" s="3"/>
      <c r="B14" s="81" t="s">
        <v>1205</v>
      </c>
      <c r="C14" s="1">
        <v>42.08</v>
      </c>
      <c r="D14" s="1">
        <f>C14*20</f>
        <v>841.59999999999991</v>
      </c>
      <c r="E14" s="185"/>
      <c r="F14" s="175"/>
      <c r="G14" s="175"/>
    </row>
    <row r="15" spans="1:7" ht="24" x14ac:dyDescent="0.25">
      <c r="A15" s="3">
        <v>1200</v>
      </c>
      <c r="B15" s="23" t="s">
        <v>1204</v>
      </c>
      <c r="C15" s="1">
        <f>ROUND(C14*0.2359,2)</f>
        <v>9.93</v>
      </c>
      <c r="D15" s="1">
        <f t="shared" ref="D15:D17" si="0">C15*20</f>
        <v>198.6</v>
      </c>
    </row>
    <row r="16" spans="1:7" x14ac:dyDescent="0.25">
      <c r="A16" s="3">
        <v>2341</v>
      </c>
      <c r="B16" s="3" t="s">
        <v>116</v>
      </c>
      <c r="C16" s="24"/>
      <c r="D16" s="1"/>
    </row>
    <row r="17" spans="1:4" ht="88.5" customHeight="1" x14ac:dyDescent="0.25">
      <c r="A17" s="3"/>
      <c r="B17" s="4" t="s">
        <v>1522</v>
      </c>
      <c r="C17" s="1">
        <v>2.11</v>
      </c>
      <c r="D17" s="1">
        <f t="shared" si="0"/>
        <v>42.199999999999996</v>
      </c>
    </row>
    <row r="18" spans="1:4" x14ac:dyDescent="0.25">
      <c r="A18" s="34"/>
      <c r="B18" s="40" t="s">
        <v>87</v>
      </c>
      <c r="C18" s="32">
        <f>SUM(C13:C17)</f>
        <v>54.12</v>
      </c>
      <c r="D18" s="32">
        <f>SUM(D13:D17)</f>
        <v>1082.3999999999999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50.25" customHeight="1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53.25" customHeight="1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1"/>
        <v>0</v>
      </c>
    </row>
    <row r="53" spans="1:4" ht="48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1115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58.5" customHeight="1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4.45" customHeight="1" x14ac:dyDescent="0.25">
      <c r="A87" s="33"/>
      <c r="B87" s="34" t="s">
        <v>95</v>
      </c>
      <c r="C87" s="32">
        <f>ROUND(C86+C18,4)</f>
        <v>55.500100000000003</v>
      </c>
      <c r="D87" s="32">
        <f>ROUND(D86+D18,4)</f>
        <v>1110.002</v>
      </c>
    </row>
    <row r="88" spans="1:4" ht="29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55.500099999999996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Footer>&amp;C&amp;P</oddFooter>
  </headerFooter>
  <colBreaks count="1" manualBreakCount="1">
    <brk id="4" max="1048575" man="1"/>
  </colBreaks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D6C02-ECE1-430E-A862-E2EA0AD5AE5D}">
  <dimension ref="A1:H90"/>
  <sheetViews>
    <sheetView view="pageBreakPreview" topLeftCell="A2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0.5703125" style="84" customWidth="1"/>
    <col min="3" max="3" width="10.5703125" style="84" customWidth="1"/>
    <col min="4" max="4" width="15.8554687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63"/>
      <c r="D2" s="63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40.5" customHeight="1" x14ac:dyDescent="0.25">
      <c r="A5" s="166" t="s">
        <v>338</v>
      </c>
      <c r="B5" s="166"/>
      <c r="C5" s="166"/>
      <c r="D5" s="166"/>
    </row>
    <row r="6" spans="1:8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ht="12.75" customHeight="1" x14ac:dyDescent="0.25">
      <c r="A8" s="49"/>
      <c r="B8" s="79"/>
      <c r="C8" s="11"/>
      <c r="D8" s="11"/>
    </row>
    <row r="9" spans="1:8" x14ac:dyDescent="0.25">
      <c r="A9" s="170" t="s">
        <v>165</v>
      </c>
      <c r="B9" s="170"/>
      <c r="C9" s="48"/>
      <c r="D9" s="44"/>
    </row>
    <row r="10" spans="1:8" ht="80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92" customHeight="1" x14ac:dyDescent="0.25">
      <c r="A14" s="3"/>
      <c r="B14" s="4" t="s">
        <v>1206</v>
      </c>
      <c r="C14" s="1">
        <v>35.08</v>
      </c>
      <c r="D14" s="1">
        <f>C14*5</f>
        <v>175.39999999999998</v>
      </c>
      <c r="E14" s="183"/>
      <c r="F14" s="184"/>
      <c r="G14" s="184"/>
      <c r="H14" s="184"/>
    </row>
    <row r="15" spans="1:8" ht="24" x14ac:dyDescent="0.25">
      <c r="A15" s="3">
        <v>1200</v>
      </c>
      <c r="B15" s="4" t="s">
        <v>1207</v>
      </c>
      <c r="C15" s="1">
        <f>ROUND(C14*0.2359,2)</f>
        <v>8.2799999999999994</v>
      </c>
      <c r="D15" s="1">
        <f>C15*5</f>
        <v>41.4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98.25" customHeight="1" x14ac:dyDescent="0.25">
      <c r="A17" s="3"/>
      <c r="B17" s="4" t="s">
        <v>1521</v>
      </c>
      <c r="C17" s="1">
        <v>1.71</v>
      </c>
      <c r="D17" s="1">
        <f>C17*5</f>
        <v>8.5500000000000007</v>
      </c>
    </row>
    <row r="18" spans="1:4" x14ac:dyDescent="0.25">
      <c r="A18" s="3"/>
      <c r="B18" s="40" t="s">
        <v>87</v>
      </c>
      <c r="C18" s="32">
        <f>SUM(C13:C17)</f>
        <v>45.07</v>
      </c>
      <c r="D18" s="32">
        <f>SUM(D13:D17)</f>
        <v>225.35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46.450099999999999</v>
      </c>
      <c r="D87" s="32">
        <f>ROUND(D86+D18,4)</f>
        <v>232.25049999999999</v>
      </c>
    </row>
    <row r="88" spans="1:4" ht="25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" customHeight="1" x14ac:dyDescent="0.25">
      <c r="A90" s="161" t="s">
        <v>112</v>
      </c>
      <c r="B90" s="162"/>
      <c r="C90" s="2">
        <f>D87/C89</f>
        <v>46.450099999999999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" right="0.7" top="0.75" bottom="0.75" header="0.3" footer="0.3"/>
  <pageSetup scale="94" orientation="portrait" verticalDpi="0" r:id="rId1"/>
  <colBreaks count="1" manualBreakCount="1">
    <brk id="4" max="1048575" man="1"/>
  </colBreaks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C460F-95A8-44E4-8F91-63215D2B285A}">
  <dimension ref="A1:H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0.140625" style="84" customWidth="1"/>
    <col min="3" max="3" width="9.140625" style="84"/>
    <col min="4" max="4" width="11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9.75" customHeight="1" x14ac:dyDescent="0.25">
      <c r="A5" s="166" t="s">
        <v>339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11"/>
      <c r="D9" s="44"/>
    </row>
    <row r="10" spans="1:8" ht="93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19"/>
    </row>
    <row r="14" spans="1:8" ht="177" customHeight="1" x14ac:dyDescent="0.25">
      <c r="A14" s="3"/>
      <c r="B14" s="4" t="s">
        <v>1208</v>
      </c>
      <c r="C14" s="1">
        <v>38.58</v>
      </c>
      <c r="D14" s="1">
        <f>C14*5</f>
        <v>192.89999999999998</v>
      </c>
      <c r="E14" s="183"/>
      <c r="F14" s="184"/>
      <c r="G14" s="184"/>
      <c r="H14" s="184"/>
    </row>
    <row r="15" spans="1:8" ht="24" x14ac:dyDescent="0.25">
      <c r="A15" s="3">
        <v>1200</v>
      </c>
      <c r="B15" s="4" t="s">
        <v>1209</v>
      </c>
      <c r="C15" s="1">
        <f>ROUND(C14*0.2359,2)</f>
        <v>9.1</v>
      </c>
      <c r="D15" s="1">
        <f>C15*5</f>
        <v>45.5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96" x14ac:dyDescent="0.25">
      <c r="A17" s="3"/>
      <c r="B17" s="4" t="s">
        <v>1520</v>
      </c>
      <c r="C17" s="1">
        <v>5.5</v>
      </c>
      <c r="D17" s="1">
        <f>C17*5</f>
        <v>27.5</v>
      </c>
    </row>
    <row r="18" spans="1:4" x14ac:dyDescent="0.25">
      <c r="A18" s="3"/>
      <c r="B18" s="40" t="s">
        <v>87</v>
      </c>
      <c r="C18" s="32">
        <f>SUM(C13:C17)</f>
        <v>53.18</v>
      </c>
      <c r="D18" s="32">
        <f>SUM(D13:D17)</f>
        <v>265.89999999999998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54.560099999999998</v>
      </c>
      <c r="D87" s="32">
        <f>ROUND(D86+D18,4)</f>
        <v>272.8005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54.560099999999998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BF5F4-E299-4123-B935-1C064F15C88E}">
  <dimension ref="A1:H91"/>
  <sheetViews>
    <sheetView view="pageBreakPreview" topLeftCell="B1" zoomScale="60" zoomScaleNormal="100" workbookViewId="0">
      <selection activeCell="B15" sqref="B15"/>
    </sheetView>
  </sheetViews>
  <sheetFormatPr defaultRowHeight="15" x14ac:dyDescent="0.25"/>
  <cols>
    <col min="1" max="1" width="9.140625" style="84"/>
    <col min="2" max="2" width="60" style="84" customWidth="1"/>
    <col min="3" max="3" width="9.7109375" style="84" customWidth="1"/>
    <col min="4" max="4" width="14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7.5" customHeight="1" x14ac:dyDescent="0.25">
      <c r="A5" s="166" t="s">
        <v>340</v>
      </c>
      <c r="B5" s="166"/>
      <c r="C5" s="166"/>
      <c r="D5" s="166"/>
    </row>
    <row r="6" spans="1:8" ht="9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11"/>
      <c r="D9" s="44"/>
    </row>
    <row r="10" spans="1:8" x14ac:dyDescent="0.25">
      <c r="A10" s="45"/>
      <c r="B10" s="36"/>
      <c r="C10" s="48"/>
      <c r="D10" s="44"/>
    </row>
    <row r="11" spans="1:8" ht="90.75" customHeight="1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x14ac:dyDescent="0.25">
      <c r="A13" s="15"/>
      <c r="B13" s="31" t="s">
        <v>84</v>
      </c>
      <c r="C13" s="19"/>
      <c r="D13" s="19"/>
    </row>
    <row r="14" spans="1:8" x14ac:dyDescent="0.25">
      <c r="A14" s="42">
        <v>1100</v>
      </c>
      <c r="B14" s="43" t="s">
        <v>85</v>
      </c>
      <c r="C14" s="22"/>
      <c r="D14" s="22"/>
    </row>
    <row r="15" spans="1:8" ht="179.25" customHeight="1" x14ac:dyDescent="0.25">
      <c r="A15" s="3"/>
      <c r="B15" s="4" t="s">
        <v>1210</v>
      </c>
      <c r="C15" s="1">
        <v>35.08</v>
      </c>
      <c r="D15" s="1">
        <f>C15*5</f>
        <v>175.39999999999998</v>
      </c>
      <c r="E15" s="188"/>
      <c r="F15" s="189"/>
      <c r="G15" s="189"/>
      <c r="H15" s="189"/>
    </row>
    <row r="16" spans="1:8" ht="24" x14ac:dyDescent="0.25">
      <c r="A16" s="3">
        <v>1200</v>
      </c>
      <c r="B16" s="4" t="s">
        <v>1207</v>
      </c>
      <c r="C16" s="1">
        <f>ROUND(C15*0.2359,2)</f>
        <v>8.2799999999999994</v>
      </c>
      <c r="D16" s="1">
        <f t="shared" ref="D16:D18" si="0">C16*5</f>
        <v>41.4</v>
      </c>
    </row>
    <row r="17" spans="1:4" x14ac:dyDescent="0.25">
      <c r="A17" s="3">
        <v>2341</v>
      </c>
      <c r="B17" s="3" t="s">
        <v>86</v>
      </c>
      <c r="C17" s="24"/>
      <c r="D17" s="1"/>
    </row>
    <row r="18" spans="1:4" ht="72" x14ac:dyDescent="0.25">
      <c r="A18" s="3"/>
      <c r="B18" s="4" t="s">
        <v>1519</v>
      </c>
      <c r="C18" s="1">
        <v>5.84</v>
      </c>
      <c r="D18" s="1">
        <f t="shared" si="0"/>
        <v>29.2</v>
      </c>
    </row>
    <row r="19" spans="1:4" x14ac:dyDescent="0.25">
      <c r="A19" s="3"/>
      <c r="B19" s="40" t="s">
        <v>87</v>
      </c>
      <c r="C19" s="32">
        <f>SUM(C14:C18)</f>
        <v>49.2</v>
      </c>
      <c r="D19" s="32">
        <f>SUM(D14:D18)</f>
        <v>245.99999999999997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1180</v>
      </c>
      <c r="C22" s="24">
        <v>2.1000000000000001E-2</v>
      </c>
      <c r="D22" s="1">
        <f>C22*5</f>
        <v>0.10500000000000001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1147</v>
      </c>
      <c r="C24" s="24">
        <v>2.1000000000000001E-2</v>
      </c>
      <c r="D24" s="1">
        <f t="shared" ref="D24:D86" si="1">C24*5</f>
        <v>0.10500000000000001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1146</v>
      </c>
      <c r="C26" s="24">
        <v>5.1999999999999998E-2</v>
      </c>
      <c r="D26" s="1">
        <f t="shared" si="1"/>
        <v>0.26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1145</v>
      </c>
      <c r="C28" s="24">
        <f>ROUND(38.69/9509,4)</f>
        <v>4.1000000000000003E-3</v>
      </c>
      <c r="D28" s="1">
        <f t="shared" si="1"/>
        <v>2.0500000000000001E-2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1144</v>
      </c>
      <c r="C30" s="24">
        <v>9.4E-2</v>
      </c>
      <c r="D30" s="1">
        <f t="shared" si="1"/>
        <v>0.47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1143</v>
      </c>
      <c r="C32" s="24">
        <v>1.4999999999999999E-2</v>
      </c>
      <c r="D32" s="1">
        <f t="shared" si="1"/>
        <v>7.4999999999999997E-2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1142</v>
      </c>
      <c r="C34" s="24">
        <v>2.5999999999999999E-2</v>
      </c>
      <c r="D34" s="1">
        <f t="shared" si="1"/>
        <v>0.13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1141</v>
      </c>
      <c r="C36" s="24">
        <v>7.0000000000000001E-3</v>
      </c>
      <c r="D36" s="1">
        <f t="shared" si="1"/>
        <v>3.5000000000000003E-2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1140</v>
      </c>
      <c r="C38" s="24">
        <v>0.01</v>
      </c>
      <c r="D38" s="1">
        <f t="shared" si="1"/>
        <v>0.05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1139</v>
      </c>
      <c r="C40" s="24">
        <v>7.0000000000000001E-3</v>
      </c>
      <c r="D40" s="1">
        <f t="shared" si="1"/>
        <v>3.5000000000000003E-2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1138</v>
      </c>
      <c r="C42" s="24">
        <v>4.9000000000000002E-2</v>
      </c>
      <c r="D42" s="1">
        <f t="shared" si="1"/>
        <v>0.245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1137</v>
      </c>
      <c r="C44" s="24">
        <v>6.0999999999999999E-2</v>
      </c>
      <c r="D44" s="1">
        <f t="shared" si="1"/>
        <v>0.30499999999999999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1136</v>
      </c>
      <c r="C46" s="24">
        <v>0.09</v>
      </c>
      <c r="D46" s="1">
        <f t="shared" si="1"/>
        <v>0.44999999999999996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1135</v>
      </c>
      <c r="C48" s="24">
        <v>0.05</v>
      </c>
      <c r="D48" s="1">
        <f t="shared" si="1"/>
        <v>0.25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1134</v>
      </c>
      <c r="C50" s="24">
        <v>6.9000000000000006E-2</v>
      </c>
      <c r="D50" s="1">
        <f t="shared" si="1"/>
        <v>0.34500000000000003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1133</v>
      </c>
      <c r="C52" s="24">
        <v>3.0000000000000001E-3</v>
      </c>
      <c r="D52" s="1">
        <f t="shared" si="1"/>
        <v>1.4999999999999999E-2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1132</v>
      </c>
      <c r="C54" s="24">
        <v>2E-3</v>
      </c>
      <c r="D54" s="1">
        <f t="shared" si="1"/>
        <v>0.01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1131</v>
      </c>
      <c r="C56" s="24">
        <v>0.23699999999999999</v>
      </c>
      <c r="D56" s="1">
        <f t="shared" si="1"/>
        <v>1.1850000000000001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1130</v>
      </c>
      <c r="C58" s="24">
        <v>0.29599999999999999</v>
      </c>
      <c r="D58" s="1">
        <f t="shared" si="1"/>
        <v>1.48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1129</v>
      </c>
      <c r="C60" s="24">
        <v>1E-3</v>
      </c>
      <c r="D60" s="1">
        <f t="shared" si="1"/>
        <v>5.0000000000000001E-3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1128</v>
      </c>
      <c r="C62" s="24">
        <v>2.5999999999999999E-2</v>
      </c>
      <c r="D62" s="1">
        <f t="shared" si="1"/>
        <v>0.13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1127</v>
      </c>
      <c r="C64" s="24">
        <v>8.9999999999999993E-3</v>
      </c>
      <c r="D64" s="1">
        <f t="shared" si="1"/>
        <v>4.4999999999999998E-2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1126</v>
      </c>
      <c r="C66" s="24">
        <v>1.0999999999999999E-2</v>
      </c>
      <c r="D66" s="1">
        <f t="shared" si="1"/>
        <v>5.4999999999999993E-2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1125</v>
      </c>
      <c r="C68" s="24">
        <v>2.3E-2</v>
      </c>
      <c r="D68" s="1">
        <f t="shared" si="1"/>
        <v>0.11499999999999999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1124</v>
      </c>
      <c r="C70" s="24">
        <v>2.1999999999999999E-2</v>
      </c>
      <c r="D70" s="1">
        <f t="shared" si="1"/>
        <v>0.10999999999999999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1123</v>
      </c>
      <c r="C72" s="30">
        <v>3.4000000000000002E-2</v>
      </c>
      <c r="D72" s="1">
        <f t="shared" si="1"/>
        <v>0.17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1122</v>
      </c>
      <c r="C74" s="24">
        <v>2E-3</v>
      </c>
      <c r="D74" s="1">
        <f t="shared" si="1"/>
        <v>0.01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1121</v>
      </c>
      <c r="C76" s="24">
        <v>3.0000000000000001E-3</v>
      </c>
      <c r="D76" s="1">
        <f t="shared" si="1"/>
        <v>1.4999999999999999E-2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1120</v>
      </c>
      <c r="C78" s="24">
        <v>1E-3</v>
      </c>
      <c r="D78" s="1">
        <f t="shared" si="1"/>
        <v>5.0000000000000001E-3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1119</v>
      </c>
      <c r="C80" s="24">
        <v>4.0000000000000001E-3</v>
      </c>
      <c r="D80" s="1">
        <f t="shared" si="1"/>
        <v>0.02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1118</v>
      </c>
      <c r="C82" s="24">
        <v>7.0999999999999994E-2</v>
      </c>
      <c r="D82" s="1">
        <f t="shared" si="1"/>
        <v>0.35499999999999998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1117</v>
      </c>
      <c r="C84" s="24">
        <v>2.1000000000000001E-2</v>
      </c>
      <c r="D84" s="1">
        <f t="shared" si="1"/>
        <v>0.10500000000000001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1116</v>
      </c>
      <c r="C86" s="24">
        <v>3.7999999999999999E-2</v>
      </c>
      <c r="D86" s="1">
        <f t="shared" si="1"/>
        <v>0.19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6.9005000000000001</v>
      </c>
    </row>
    <row r="88" spans="1:4" ht="14.45" customHeight="1" x14ac:dyDescent="0.25">
      <c r="A88" s="33"/>
      <c r="B88" s="34" t="s">
        <v>95</v>
      </c>
      <c r="C88" s="32">
        <f>ROUND(C87+C19,4)</f>
        <v>50.580100000000002</v>
      </c>
      <c r="D88" s="32">
        <f>ROUND(D87+D19,4)</f>
        <v>252.90049999999999</v>
      </c>
    </row>
    <row r="89" spans="1:4" ht="24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5</v>
      </c>
      <c r="D90" s="38"/>
    </row>
    <row r="91" spans="1:4" ht="27" customHeight="1" x14ac:dyDescent="0.25">
      <c r="A91" s="161" t="s">
        <v>112</v>
      </c>
      <c r="B91" s="162"/>
      <c r="C91" s="2">
        <f>D88/C90</f>
        <v>50.580100000000002</v>
      </c>
      <c r="D91" s="38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3" orientation="portrait" r:id="rId1"/>
  <colBreaks count="1" manualBreakCount="1">
    <brk id="4" max="1048575" man="1"/>
  </colBreaks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146</vt:i4>
      </vt:variant>
      <vt:variant>
        <vt:lpstr>Named Ranges</vt:lpstr>
      </vt:variant>
      <vt:variant>
        <vt:i4>132</vt:i4>
      </vt:variant>
    </vt:vector>
  </HeadingPairs>
  <TitlesOfParts>
    <vt:vector size="278" baseType="lpstr">
      <vt:lpstr>Saturs</vt:lpstr>
      <vt:lpstr>1.1</vt:lpstr>
      <vt:lpstr>1.2</vt:lpstr>
      <vt:lpstr>1.3</vt:lpstr>
      <vt:lpstr>1.4</vt:lpstr>
      <vt:lpstr>1.5</vt:lpstr>
      <vt:lpstr>1.6</vt:lpstr>
      <vt:lpstr>1.7</vt:lpstr>
      <vt:lpstr>1.8</vt:lpstr>
      <vt:lpstr>1.9</vt:lpstr>
      <vt:lpstr>1.10</vt:lpstr>
      <vt:lpstr>1.11</vt:lpstr>
      <vt:lpstr>1.12</vt:lpstr>
      <vt:lpstr>2.1</vt:lpstr>
      <vt:lpstr>2.2</vt:lpstr>
      <vt:lpstr>2.3</vt:lpstr>
      <vt:lpstr>2.4</vt:lpstr>
      <vt:lpstr>2.5</vt:lpstr>
      <vt:lpstr>2.6</vt:lpstr>
      <vt:lpstr>2.7</vt:lpstr>
      <vt:lpstr>2.8</vt:lpstr>
      <vt:lpstr>2.9</vt:lpstr>
      <vt:lpstr>2.10</vt:lpstr>
      <vt:lpstr>2.11</vt:lpstr>
      <vt:lpstr>2.12</vt:lpstr>
      <vt:lpstr>2.13</vt:lpstr>
      <vt:lpstr>2.14</vt:lpstr>
      <vt:lpstr>2.15</vt:lpstr>
      <vt:lpstr>2.16</vt:lpstr>
      <vt:lpstr>2.17</vt:lpstr>
      <vt:lpstr>2.18</vt:lpstr>
      <vt:lpstr>2.19</vt:lpstr>
      <vt:lpstr>2.20</vt:lpstr>
      <vt:lpstr>2.21</vt:lpstr>
      <vt:lpstr>2.22</vt:lpstr>
      <vt:lpstr>2.23</vt:lpstr>
      <vt:lpstr>2.24</vt:lpstr>
      <vt:lpstr>2.25</vt:lpstr>
      <vt:lpstr>2.26</vt:lpstr>
      <vt:lpstr>2.27</vt:lpstr>
      <vt:lpstr>2.28</vt:lpstr>
      <vt:lpstr>2.29</vt:lpstr>
      <vt:lpstr>2.30</vt:lpstr>
      <vt:lpstr>2.31</vt:lpstr>
      <vt:lpstr>2.32</vt:lpstr>
      <vt:lpstr>2.33</vt:lpstr>
      <vt:lpstr>2.34</vt:lpstr>
      <vt:lpstr>2.35</vt:lpstr>
      <vt:lpstr>2.36</vt:lpstr>
      <vt:lpstr>2.37</vt:lpstr>
      <vt:lpstr>2.38</vt:lpstr>
      <vt:lpstr>2.39</vt:lpstr>
      <vt:lpstr>2.40</vt:lpstr>
      <vt:lpstr>2.41</vt:lpstr>
      <vt:lpstr>2.42</vt:lpstr>
      <vt:lpstr>3.1</vt:lpstr>
      <vt:lpstr>3.2</vt:lpstr>
      <vt:lpstr>3.3</vt:lpstr>
      <vt:lpstr>3.4</vt:lpstr>
      <vt:lpstr>3.5</vt:lpstr>
      <vt:lpstr>3.6</vt:lpstr>
      <vt:lpstr>3.7</vt:lpstr>
      <vt:lpstr>3.8</vt:lpstr>
      <vt:lpstr>3.9</vt:lpstr>
      <vt:lpstr>3.10</vt:lpstr>
      <vt:lpstr>3.11</vt:lpstr>
      <vt:lpstr>3.12</vt:lpstr>
      <vt:lpstr>3.13</vt:lpstr>
      <vt:lpstr>4.1</vt:lpstr>
      <vt:lpstr>4.2</vt:lpstr>
      <vt:lpstr>4.3</vt:lpstr>
      <vt:lpstr>4.4</vt:lpstr>
      <vt:lpstr>4.5</vt:lpstr>
      <vt:lpstr>4.6</vt:lpstr>
      <vt:lpstr>4.7</vt:lpstr>
      <vt:lpstr>4.8</vt:lpstr>
      <vt:lpstr>4.9</vt:lpstr>
      <vt:lpstr>4.10</vt:lpstr>
      <vt:lpstr>4.11</vt:lpstr>
      <vt:lpstr>4.12</vt:lpstr>
      <vt:lpstr>4.13</vt:lpstr>
      <vt:lpstr>5.1</vt:lpstr>
      <vt:lpstr>5.2</vt:lpstr>
      <vt:lpstr>5.3</vt:lpstr>
      <vt:lpstr>5.4</vt:lpstr>
      <vt:lpstr>5.5</vt:lpstr>
      <vt:lpstr>5.6</vt:lpstr>
      <vt:lpstr>5.7</vt:lpstr>
      <vt:lpstr>5.8</vt:lpstr>
      <vt:lpstr>5.9</vt:lpstr>
      <vt:lpstr>5.10</vt:lpstr>
      <vt:lpstr>5.11</vt:lpstr>
      <vt:lpstr>5.12</vt:lpstr>
      <vt:lpstr>5.13</vt:lpstr>
      <vt:lpstr>6.1</vt:lpstr>
      <vt:lpstr>6.2</vt:lpstr>
      <vt:lpstr>6.3</vt:lpstr>
      <vt:lpstr>6.4</vt:lpstr>
      <vt:lpstr>6.5</vt:lpstr>
      <vt:lpstr>6.6</vt:lpstr>
      <vt:lpstr>6.7</vt:lpstr>
      <vt:lpstr>6.8</vt:lpstr>
      <vt:lpstr>6.9</vt:lpstr>
      <vt:lpstr>6.10</vt:lpstr>
      <vt:lpstr>6.11</vt:lpstr>
      <vt:lpstr>6.12</vt:lpstr>
      <vt:lpstr>6.13</vt:lpstr>
      <vt:lpstr>7.1</vt:lpstr>
      <vt:lpstr>7.2</vt:lpstr>
      <vt:lpstr>7.3</vt:lpstr>
      <vt:lpstr>7.4</vt:lpstr>
      <vt:lpstr>7.5</vt:lpstr>
      <vt:lpstr>7.6</vt:lpstr>
      <vt:lpstr>7.7</vt:lpstr>
      <vt:lpstr>7.8</vt:lpstr>
      <vt:lpstr>7.9</vt:lpstr>
      <vt:lpstr>7.10</vt:lpstr>
      <vt:lpstr>7.11</vt:lpstr>
      <vt:lpstr>7.12</vt:lpstr>
      <vt:lpstr>7.13</vt:lpstr>
      <vt:lpstr>8.1</vt:lpstr>
      <vt:lpstr>8.2</vt:lpstr>
      <vt:lpstr>8.3</vt:lpstr>
      <vt:lpstr>8.4</vt:lpstr>
      <vt:lpstr>8.5</vt:lpstr>
      <vt:lpstr>8.6</vt:lpstr>
      <vt:lpstr>8.7</vt:lpstr>
      <vt:lpstr>8.8 </vt:lpstr>
      <vt:lpstr>8.9</vt:lpstr>
      <vt:lpstr>8.10 </vt:lpstr>
      <vt:lpstr>8.11</vt:lpstr>
      <vt:lpstr>8.12</vt:lpstr>
      <vt:lpstr>8.13</vt:lpstr>
      <vt:lpstr>9.1</vt:lpstr>
      <vt:lpstr>9.2</vt:lpstr>
      <vt:lpstr>9.3 </vt:lpstr>
      <vt:lpstr>9.4</vt:lpstr>
      <vt:lpstr>9.5</vt:lpstr>
      <vt:lpstr>9.6 </vt:lpstr>
      <vt:lpstr>9.7</vt:lpstr>
      <vt:lpstr>9.8</vt:lpstr>
      <vt:lpstr>9.9</vt:lpstr>
      <vt:lpstr>9.10</vt:lpstr>
      <vt:lpstr>9.11</vt:lpstr>
      <vt:lpstr>9.12</vt:lpstr>
      <vt:lpstr>9.13</vt:lpstr>
      <vt:lpstr>'1.1'!Print_Area</vt:lpstr>
      <vt:lpstr>'1.10'!Print_Area</vt:lpstr>
      <vt:lpstr>'1.11'!Print_Area</vt:lpstr>
      <vt:lpstr>'1.12'!Print_Area</vt:lpstr>
      <vt:lpstr>'1.2'!Print_Area</vt:lpstr>
      <vt:lpstr>'1.3'!Print_Area</vt:lpstr>
      <vt:lpstr>'1.4'!Print_Area</vt:lpstr>
      <vt:lpstr>'1.5'!Print_Area</vt:lpstr>
      <vt:lpstr>'1.6'!Print_Area</vt:lpstr>
      <vt:lpstr>'1.7'!Print_Area</vt:lpstr>
      <vt:lpstr>'1.8'!Print_Area</vt:lpstr>
      <vt:lpstr>'1.9'!Print_Area</vt:lpstr>
      <vt:lpstr>'2.10'!Print_Area</vt:lpstr>
      <vt:lpstr>'2.11'!Print_Area</vt:lpstr>
      <vt:lpstr>'2.12'!Print_Area</vt:lpstr>
      <vt:lpstr>'2.13'!Print_Area</vt:lpstr>
      <vt:lpstr>'2.14'!Print_Area</vt:lpstr>
      <vt:lpstr>'2.15'!Print_Area</vt:lpstr>
      <vt:lpstr>'2.17'!Print_Area</vt:lpstr>
      <vt:lpstr>'2.18'!Print_Area</vt:lpstr>
      <vt:lpstr>'2.19'!Print_Area</vt:lpstr>
      <vt:lpstr>'2.2'!Print_Area</vt:lpstr>
      <vt:lpstr>'2.20'!Print_Area</vt:lpstr>
      <vt:lpstr>'2.21'!Print_Area</vt:lpstr>
      <vt:lpstr>'2.23'!Print_Area</vt:lpstr>
      <vt:lpstr>'2.24'!Print_Area</vt:lpstr>
      <vt:lpstr>'2.25'!Print_Area</vt:lpstr>
      <vt:lpstr>'2.26'!Print_Area</vt:lpstr>
      <vt:lpstr>'2.27'!Print_Area</vt:lpstr>
      <vt:lpstr>'2.29'!Print_Area</vt:lpstr>
      <vt:lpstr>'2.3'!Print_Area</vt:lpstr>
      <vt:lpstr>'2.30'!Print_Area</vt:lpstr>
      <vt:lpstr>'2.31'!Print_Area</vt:lpstr>
      <vt:lpstr>'2.32'!Print_Area</vt:lpstr>
      <vt:lpstr>'2.35'!Print_Area</vt:lpstr>
      <vt:lpstr>'2.4'!Print_Area</vt:lpstr>
      <vt:lpstr>'2.5'!Print_Area</vt:lpstr>
      <vt:lpstr>'2.6'!Print_Area</vt:lpstr>
      <vt:lpstr>'2.7'!Print_Area</vt:lpstr>
      <vt:lpstr>'2.8'!Print_Area</vt:lpstr>
      <vt:lpstr>'2.9'!Print_Area</vt:lpstr>
      <vt:lpstr>'3.1'!Print_Area</vt:lpstr>
      <vt:lpstr>'3.10'!Print_Area</vt:lpstr>
      <vt:lpstr>'3.11'!Print_Area</vt:lpstr>
      <vt:lpstr>'3.12'!Print_Area</vt:lpstr>
      <vt:lpstr>'3.13'!Print_Area</vt:lpstr>
      <vt:lpstr>'3.2'!Print_Area</vt:lpstr>
      <vt:lpstr>'3.3'!Print_Area</vt:lpstr>
      <vt:lpstr>'3.4'!Print_Area</vt:lpstr>
      <vt:lpstr>'3.5'!Print_Area</vt:lpstr>
      <vt:lpstr>'3.6'!Print_Area</vt:lpstr>
      <vt:lpstr>'3.7'!Print_Area</vt:lpstr>
      <vt:lpstr>'3.8'!Print_Area</vt:lpstr>
      <vt:lpstr>'3.9'!Print_Area</vt:lpstr>
      <vt:lpstr>'4.1'!Print_Area</vt:lpstr>
      <vt:lpstr>'4.10'!Print_Area</vt:lpstr>
      <vt:lpstr>'4.11'!Print_Area</vt:lpstr>
      <vt:lpstr>'4.12'!Print_Area</vt:lpstr>
      <vt:lpstr>'4.13'!Print_Area</vt:lpstr>
      <vt:lpstr>'4.2'!Print_Area</vt:lpstr>
      <vt:lpstr>'4.3'!Print_Area</vt:lpstr>
      <vt:lpstr>'4.4'!Print_Area</vt:lpstr>
      <vt:lpstr>'4.5'!Print_Area</vt:lpstr>
      <vt:lpstr>'4.6'!Print_Area</vt:lpstr>
      <vt:lpstr>'4.7'!Print_Area</vt:lpstr>
      <vt:lpstr>'4.8'!Print_Area</vt:lpstr>
      <vt:lpstr>'4.9'!Print_Area</vt:lpstr>
      <vt:lpstr>'5.1'!Print_Area</vt:lpstr>
      <vt:lpstr>'5.10'!Print_Area</vt:lpstr>
      <vt:lpstr>'5.11'!Print_Area</vt:lpstr>
      <vt:lpstr>'5.12'!Print_Area</vt:lpstr>
      <vt:lpstr>'5.13'!Print_Area</vt:lpstr>
      <vt:lpstr>'5.2'!Print_Area</vt:lpstr>
      <vt:lpstr>'5.3'!Print_Area</vt:lpstr>
      <vt:lpstr>'5.4'!Print_Area</vt:lpstr>
      <vt:lpstr>'5.5'!Print_Area</vt:lpstr>
      <vt:lpstr>'5.6'!Print_Area</vt:lpstr>
      <vt:lpstr>'5.7'!Print_Area</vt:lpstr>
      <vt:lpstr>'5.8'!Print_Area</vt:lpstr>
      <vt:lpstr>'5.9'!Print_Area</vt:lpstr>
      <vt:lpstr>'6.1'!Print_Area</vt:lpstr>
      <vt:lpstr>'6.10'!Print_Area</vt:lpstr>
      <vt:lpstr>'6.12'!Print_Area</vt:lpstr>
      <vt:lpstr>'6.13'!Print_Area</vt:lpstr>
      <vt:lpstr>'6.2'!Print_Area</vt:lpstr>
      <vt:lpstr>'6.3'!Print_Area</vt:lpstr>
      <vt:lpstr>'6.4'!Print_Area</vt:lpstr>
      <vt:lpstr>'6.5'!Print_Area</vt:lpstr>
      <vt:lpstr>'6.6'!Print_Area</vt:lpstr>
      <vt:lpstr>'6.7'!Print_Area</vt:lpstr>
      <vt:lpstr>'6.8'!Print_Area</vt:lpstr>
      <vt:lpstr>'6.9'!Print_Area</vt:lpstr>
      <vt:lpstr>'7.1'!Print_Area</vt:lpstr>
      <vt:lpstr>'7.10'!Print_Area</vt:lpstr>
      <vt:lpstr>'7.11'!Print_Area</vt:lpstr>
      <vt:lpstr>'7.12'!Print_Area</vt:lpstr>
      <vt:lpstr>'7.13'!Print_Area</vt:lpstr>
      <vt:lpstr>'7.2'!Print_Area</vt:lpstr>
      <vt:lpstr>'7.3'!Print_Area</vt:lpstr>
      <vt:lpstr>'7.4'!Print_Area</vt:lpstr>
      <vt:lpstr>'7.5'!Print_Area</vt:lpstr>
      <vt:lpstr>'7.6'!Print_Area</vt:lpstr>
      <vt:lpstr>'7.7'!Print_Area</vt:lpstr>
      <vt:lpstr>'7.8'!Print_Area</vt:lpstr>
      <vt:lpstr>'7.9'!Print_Area</vt:lpstr>
      <vt:lpstr>'8.1'!Print_Area</vt:lpstr>
      <vt:lpstr>'8.10 '!Print_Area</vt:lpstr>
      <vt:lpstr>'8.11'!Print_Area</vt:lpstr>
      <vt:lpstr>'8.12'!Print_Area</vt:lpstr>
      <vt:lpstr>'8.13'!Print_Area</vt:lpstr>
      <vt:lpstr>'8.2'!Print_Area</vt:lpstr>
      <vt:lpstr>'8.3'!Print_Area</vt:lpstr>
      <vt:lpstr>'8.4'!Print_Area</vt:lpstr>
      <vt:lpstr>'8.5'!Print_Area</vt:lpstr>
      <vt:lpstr>'8.6'!Print_Area</vt:lpstr>
      <vt:lpstr>'8.7'!Print_Area</vt:lpstr>
      <vt:lpstr>'8.8 '!Print_Area</vt:lpstr>
      <vt:lpstr>'8.9'!Print_Area</vt:lpstr>
      <vt:lpstr>'9.1'!Print_Area</vt:lpstr>
      <vt:lpstr>'9.10'!Print_Area</vt:lpstr>
      <vt:lpstr>'9.11'!Print_Area</vt:lpstr>
      <vt:lpstr>'9.12'!Print_Area</vt:lpstr>
      <vt:lpstr>'9.13'!Print_Area</vt:lpstr>
      <vt:lpstr>'9.2'!Print_Area</vt:lpstr>
      <vt:lpstr>'9.3 '!Print_Area</vt:lpstr>
      <vt:lpstr>'9.4'!Print_Area</vt:lpstr>
      <vt:lpstr>'9.5'!Print_Area</vt:lpstr>
      <vt:lpstr>'9.6 '!Print_Area</vt:lpstr>
      <vt:lpstr>'9.7'!Print_Area</vt:lpstr>
      <vt:lpstr>'9.8'!Print_Area</vt:lpstr>
      <vt:lpstr>'9.9'!Print_Area</vt:lpstr>
      <vt:lpstr>Saturs!Print_Area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2025-10-08T08:01:50Z</dcterms:modified>
</cp:coreProperties>
</file>