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 filterPrivacy="1"/>
  <xr:revisionPtr revIDLastSave="0" documentId="14_{E03F3043-7E18-4CEF-9D32-88D716BAD04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VADC_ienem_izdev_progn_2026" sheetId="8" r:id="rId1"/>
    <sheet name="Planoto_ien_salidz" sheetId="9" r:id="rId2"/>
  </sheets>
  <definedNames>
    <definedName name="_xlnm._FilterDatabase" localSheetId="0" hidden="1">VADC_ienem_izdev_progn_2026!$A$13:$AD$178</definedName>
    <definedName name="_xlnm.Print_Titles" localSheetId="0">VADC_ienem_izdev_progn_2026!$A:$B,VADC_ienem_izdev_progn_2026!$11:$13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Q5" i="9" l="1"/>
  <c r="AC178" i="8" l="1"/>
  <c r="U178" i="8"/>
  <c r="G174" i="8"/>
  <c r="U5" i="9"/>
  <c r="P161" i="8"/>
  <c r="P162" i="8"/>
  <c r="P163" i="8"/>
  <c r="P164" i="8"/>
  <c r="P165" i="8"/>
  <c r="P166" i="8"/>
  <c r="P167" i="8"/>
  <c r="P168" i="8"/>
  <c r="P169" i="8"/>
  <c r="P170" i="8"/>
  <c r="P171" i="8"/>
  <c r="P172" i="8"/>
  <c r="P160" i="8"/>
  <c r="P147" i="8"/>
  <c r="P148" i="8"/>
  <c r="P149" i="8"/>
  <c r="P150" i="8"/>
  <c r="P151" i="8"/>
  <c r="P152" i="8"/>
  <c r="P153" i="8"/>
  <c r="P154" i="8"/>
  <c r="P155" i="8"/>
  <c r="P156" i="8"/>
  <c r="P157" i="8"/>
  <c r="P158" i="8"/>
  <c r="P146" i="8"/>
  <c r="P133" i="8"/>
  <c r="P134" i="8"/>
  <c r="P135" i="8"/>
  <c r="P136" i="8"/>
  <c r="P137" i="8"/>
  <c r="P138" i="8"/>
  <c r="P139" i="8"/>
  <c r="P140" i="8"/>
  <c r="P141" i="8"/>
  <c r="P142" i="8"/>
  <c r="P143" i="8"/>
  <c r="P144" i="8"/>
  <c r="P132" i="8"/>
  <c r="P119" i="8"/>
  <c r="P120" i="8"/>
  <c r="P121" i="8"/>
  <c r="P122" i="8"/>
  <c r="P123" i="8"/>
  <c r="P124" i="8"/>
  <c r="P125" i="8"/>
  <c r="P126" i="8"/>
  <c r="P127" i="8"/>
  <c r="P128" i="8"/>
  <c r="P129" i="8"/>
  <c r="P130" i="8"/>
  <c r="P118" i="8"/>
  <c r="P106" i="8"/>
  <c r="P107" i="8"/>
  <c r="P108" i="8"/>
  <c r="P109" i="8"/>
  <c r="P110" i="8"/>
  <c r="P111" i="8"/>
  <c r="P112" i="8"/>
  <c r="P113" i="8"/>
  <c r="P114" i="8"/>
  <c r="P115" i="8"/>
  <c r="P116" i="8"/>
  <c r="P105" i="8"/>
  <c r="P104" i="8"/>
  <c r="P91" i="8"/>
  <c r="P92" i="8"/>
  <c r="P93" i="8"/>
  <c r="P94" i="8"/>
  <c r="P95" i="8"/>
  <c r="P96" i="8"/>
  <c r="P97" i="8"/>
  <c r="P98" i="8"/>
  <c r="P99" i="8"/>
  <c r="P100" i="8"/>
  <c r="P101" i="8"/>
  <c r="P102" i="8"/>
  <c r="P90" i="8"/>
  <c r="P78" i="8"/>
  <c r="P79" i="8"/>
  <c r="P80" i="8"/>
  <c r="P81" i="8"/>
  <c r="P82" i="8"/>
  <c r="P83" i="8"/>
  <c r="P84" i="8"/>
  <c r="P85" i="8"/>
  <c r="P86" i="8"/>
  <c r="P87" i="8"/>
  <c r="P88" i="8"/>
  <c r="P77" i="8"/>
  <c r="P76" i="8"/>
  <c r="U33" i="8"/>
  <c r="P34" i="8"/>
  <c r="P35" i="8"/>
  <c r="P36" i="8"/>
  <c r="P37" i="8"/>
  <c r="P38" i="8"/>
  <c r="P39" i="8"/>
  <c r="P40" i="8"/>
  <c r="P41" i="8"/>
  <c r="P42" i="8"/>
  <c r="P43" i="8"/>
  <c r="P44" i="8"/>
  <c r="P45" i="8"/>
  <c r="P46" i="8"/>
  <c r="P47" i="8"/>
  <c r="P48" i="8"/>
  <c r="P49" i="8"/>
  <c r="P50" i="8"/>
  <c r="P51" i="8"/>
  <c r="P52" i="8"/>
  <c r="P53" i="8"/>
  <c r="P54" i="8"/>
  <c r="P55" i="8"/>
  <c r="P56" i="8"/>
  <c r="P57" i="8"/>
  <c r="P58" i="8"/>
  <c r="P59" i="8"/>
  <c r="P60" i="8"/>
  <c r="P61" i="8"/>
  <c r="P62" i="8"/>
  <c r="P63" i="8"/>
  <c r="P64" i="8"/>
  <c r="P65" i="8"/>
  <c r="P66" i="8"/>
  <c r="P67" i="8"/>
  <c r="P68" i="8"/>
  <c r="P69" i="8"/>
  <c r="P70" i="8"/>
  <c r="P71" i="8"/>
  <c r="P72" i="8"/>
  <c r="P73" i="8"/>
  <c r="P74" i="8"/>
  <c r="P33" i="8"/>
  <c r="Y21" i="8" l="1"/>
  <c r="X21" i="8"/>
  <c r="X17" i="8"/>
  <c r="U17" i="8"/>
  <c r="O17" i="8"/>
  <c r="N17" i="8"/>
  <c r="M17" i="8"/>
  <c r="Y17" i="8" s="1"/>
  <c r="F17" i="8"/>
  <c r="O16" i="8"/>
  <c r="AA16" i="8" s="1"/>
  <c r="N16" i="8"/>
  <c r="Z16" i="8" s="1"/>
  <c r="F16" i="8"/>
  <c r="O15" i="8"/>
  <c r="N15" i="8"/>
  <c r="F15" i="8"/>
  <c r="X26" i="8"/>
  <c r="O26" i="8"/>
  <c r="N26" i="8"/>
  <c r="Z26" i="8" s="1"/>
  <c r="M26" i="8"/>
  <c r="Y26" i="8" s="1"/>
  <c r="X25" i="8"/>
  <c r="O25" i="8"/>
  <c r="AA25" i="8" s="1"/>
  <c r="N25" i="8"/>
  <c r="Z25" i="8" s="1"/>
  <c r="M25" i="8"/>
  <c r="Y25" i="8" s="1"/>
  <c r="F26" i="8"/>
  <c r="F25" i="8"/>
  <c r="O24" i="8"/>
  <c r="N24" i="8"/>
  <c r="Z24" i="8" s="1"/>
  <c r="M24" i="8"/>
  <c r="Y24" i="8" s="1"/>
  <c r="F24" i="8"/>
  <c r="F23" i="8"/>
  <c r="F22" i="8"/>
  <c r="O21" i="8"/>
  <c r="N21" i="8"/>
  <c r="F21" i="8"/>
  <c r="F20" i="8"/>
  <c r="F19" i="8"/>
  <c r="O20" i="8"/>
  <c r="N20" i="8"/>
  <c r="I19" i="8"/>
  <c r="K19" i="8" s="1"/>
  <c r="P15" i="8" l="1"/>
  <c r="N19" i="8"/>
  <c r="O19" i="8"/>
  <c r="X18" i="8"/>
  <c r="O18" i="8"/>
  <c r="N18" i="8"/>
  <c r="M18" i="8"/>
  <c r="Y18" i="8" s="1"/>
  <c r="I18" i="8"/>
  <c r="F18" i="8"/>
  <c r="U77" i="8" l="1"/>
  <c r="F76" i="8" l="1"/>
  <c r="U65" i="8" l="1"/>
  <c r="W65" i="8"/>
  <c r="Z65" i="8"/>
  <c r="AA65" i="8"/>
  <c r="U66" i="8"/>
  <c r="W66" i="8"/>
  <c r="Z66" i="8"/>
  <c r="AA66" i="8"/>
  <c r="U67" i="8"/>
  <c r="W67" i="8"/>
  <c r="Z67" i="8"/>
  <c r="AA67" i="8"/>
  <c r="U68" i="8"/>
  <c r="W68" i="8"/>
  <c r="Z68" i="8"/>
  <c r="AA68" i="8"/>
  <c r="U69" i="8"/>
  <c r="W69" i="8"/>
  <c r="Z69" i="8"/>
  <c r="AA69" i="8"/>
  <c r="U70" i="8"/>
  <c r="W70" i="8"/>
  <c r="Z70" i="8"/>
  <c r="AA70" i="8"/>
  <c r="U71" i="8"/>
  <c r="W71" i="8"/>
  <c r="Z71" i="8"/>
  <c r="AA71" i="8"/>
  <c r="U72" i="8"/>
  <c r="W72" i="8"/>
  <c r="Z72" i="8"/>
  <c r="AA72" i="8"/>
  <c r="U73" i="8"/>
  <c r="W73" i="8"/>
  <c r="Z73" i="8"/>
  <c r="AA73" i="8"/>
  <c r="U74" i="8"/>
  <c r="W74" i="8"/>
  <c r="Z74" i="8"/>
  <c r="AA74" i="8"/>
  <c r="I65" i="8"/>
  <c r="V65" i="8" s="1"/>
  <c r="I66" i="8"/>
  <c r="K66" i="8" s="1"/>
  <c r="I67" i="8"/>
  <c r="K67" i="8" s="1"/>
  <c r="I68" i="8"/>
  <c r="V68" i="8" s="1"/>
  <c r="I69" i="8"/>
  <c r="K69" i="8" s="1"/>
  <c r="I70" i="8"/>
  <c r="V70" i="8" s="1"/>
  <c r="I71" i="8"/>
  <c r="V71" i="8" s="1"/>
  <c r="I72" i="8"/>
  <c r="K72" i="8" s="1"/>
  <c r="I73" i="8"/>
  <c r="K73" i="8" s="1"/>
  <c r="I74" i="8"/>
  <c r="V74" i="8" s="1"/>
  <c r="F65" i="8"/>
  <c r="F66" i="8"/>
  <c r="F67" i="8"/>
  <c r="F68" i="8"/>
  <c r="F69" i="8"/>
  <c r="F70" i="8"/>
  <c r="F72" i="8"/>
  <c r="F73" i="8"/>
  <c r="F74" i="8"/>
  <c r="AA33" i="8"/>
  <c r="Z33" i="8"/>
  <c r="W33" i="8"/>
  <c r="S66" i="8" l="1"/>
  <c r="Q66" i="8"/>
  <c r="K74" i="8"/>
  <c r="S69" i="8"/>
  <c r="Q69" i="8"/>
  <c r="S67" i="8"/>
  <c r="Q67" i="8"/>
  <c r="S73" i="8"/>
  <c r="Q73" i="8"/>
  <c r="S72" i="8"/>
  <c r="Q72" i="8"/>
  <c r="T65" i="8"/>
  <c r="V73" i="8"/>
  <c r="T73" i="8" s="1"/>
  <c r="V72" i="8"/>
  <c r="AB72" i="8" s="1"/>
  <c r="AD72" i="8" s="1"/>
  <c r="K71" i="8"/>
  <c r="T71" i="8"/>
  <c r="K70" i="8"/>
  <c r="V69" i="8"/>
  <c r="AB69" i="8" s="1"/>
  <c r="AD69" i="8" s="1"/>
  <c r="K68" i="8"/>
  <c r="AB68" i="8"/>
  <c r="AD68" i="8" s="1"/>
  <c r="V67" i="8"/>
  <c r="T67" i="8" s="1"/>
  <c r="V66" i="8"/>
  <c r="T66" i="8" s="1"/>
  <c r="T74" i="8"/>
  <c r="AB74" i="8"/>
  <c r="AD74" i="8" s="1"/>
  <c r="AB71" i="8"/>
  <c r="AD71" i="8" s="1"/>
  <c r="T70" i="8"/>
  <c r="K65" i="8"/>
  <c r="AB65" i="8"/>
  <c r="AD65" i="8" s="1"/>
  <c r="AB70" i="8"/>
  <c r="AD70" i="8" s="1"/>
  <c r="T68" i="8"/>
  <c r="I33" i="8"/>
  <c r="K33" i="8" s="1"/>
  <c r="F33" i="8"/>
  <c r="AB73" i="8" l="1"/>
  <c r="AD73" i="8" s="1"/>
  <c r="T72" i="8"/>
  <c r="S65" i="8"/>
  <c r="Q65" i="8"/>
  <c r="S71" i="8"/>
  <c r="Q71" i="8"/>
  <c r="S74" i="8"/>
  <c r="Q74" i="8"/>
  <c r="S33" i="8"/>
  <c r="Q33" i="8"/>
  <c r="S68" i="8"/>
  <c r="Q68" i="8"/>
  <c r="S70" i="8"/>
  <c r="Q70" i="8"/>
  <c r="T69" i="8"/>
  <c r="AB67" i="8"/>
  <c r="AD67" i="8" s="1"/>
  <c r="AB66" i="8"/>
  <c r="AD66" i="8" s="1"/>
  <c r="E5" i="9"/>
  <c r="P24" i="8"/>
  <c r="AA24" i="8"/>
  <c r="W15" i="8" l="1"/>
  <c r="AA172" i="8"/>
  <c r="AA171" i="8"/>
  <c r="AA170" i="8"/>
  <c r="AA169" i="8"/>
  <c r="AA168" i="8"/>
  <c r="AA167" i="8"/>
  <c r="AA166" i="8"/>
  <c r="AA165" i="8"/>
  <c r="AA164" i="8"/>
  <c r="AA163" i="8"/>
  <c r="AA162" i="8"/>
  <c r="AA161" i="8"/>
  <c r="AA160" i="8"/>
  <c r="AA158" i="8"/>
  <c r="AA157" i="8"/>
  <c r="AA156" i="8"/>
  <c r="AA155" i="8"/>
  <c r="AA154" i="8"/>
  <c r="AA153" i="8"/>
  <c r="AA152" i="8"/>
  <c r="AA151" i="8"/>
  <c r="AA150" i="8"/>
  <c r="AA149" i="8"/>
  <c r="AA148" i="8"/>
  <c r="AA147" i="8"/>
  <c r="AA146" i="8"/>
  <c r="AA144" i="8"/>
  <c r="AA143" i="8"/>
  <c r="AA142" i="8"/>
  <c r="AA141" i="8"/>
  <c r="AA140" i="8"/>
  <c r="AA139" i="8"/>
  <c r="AA138" i="8"/>
  <c r="AA135" i="8"/>
  <c r="AA136" i="8"/>
  <c r="AA137" i="8"/>
  <c r="AA134" i="8"/>
  <c r="AA133" i="8"/>
  <c r="AA132" i="8"/>
  <c r="AA130" i="8"/>
  <c r="AA129" i="8"/>
  <c r="AA128" i="8"/>
  <c r="AA127" i="8"/>
  <c r="AA126" i="8"/>
  <c r="AA125" i="8"/>
  <c r="AA124" i="8"/>
  <c r="AA123" i="8"/>
  <c r="AA122" i="8"/>
  <c r="AA121" i="8"/>
  <c r="AA120" i="8"/>
  <c r="AA119" i="8"/>
  <c r="AA118" i="8"/>
  <c r="AA116" i="8"/>
  <c r="AA115" i="8"/>
  <c r="AA114" i="8"/>
  <c r="AA113" i="8"/>
  <c r="AA112" i="8"/>
  <c r="AA111" i="8"/>
  <c r="AA110" i="8"/>
  <c r="AA109" i="8"/>
  <c r="AA108" i="8"/>
  <c r="AA107" i="8"/>
  <c r="AA106" i="8"/>
  <c r="AA105" i="8"/>
  <c r="AA104" i="8"/>
  <c r="AA102" i="8"/>
  <c r="AA101" i="8"/>
  <c r="AA100" i="8"/>
  <c r="AA99" i="8"/>
  <c r="AA98" i="8"/>
  <c r="AA97" i="8"/>
  <c r="AA96" i="8"/>
  <c r="AA95" i="8"/>
  <c r="AA94" i="8"/>
  <c r="AA93" i="8"/>
  <c r="AA92" i="8"/>
  <c r="AA91" i="8"/>
  <c r="AA90" i="8"/>
  <c r="AA88" i="8"/>
  <c r="AA87" i="8"/>
  <c r="AA86" i="8"/>
  <c r="AA85" i="8"/>
  <c r="AA84" i="8"/>
  <c r="AA83" i="8"/>
  <c r="AA82" i="8"/>
  <c r="AA81" i="8"/>
  <c r="AA80" i="8"/>
  <c r="AA79" i="8"/>
  <c r="AA78" i="8"/>
  <c r="AA77" i="8"/>
  <c r="AA76" i="8"/>
  <c r="AA64" i="8"/>
  <c r="AA63" i="8"/>
  <c r="AA62" i="8"/>
  <c r="AA61" i="8"/>
  <c r="AA60" i="8"/>
  <c r="AA59" i="8"/>
  <c r="AA58" i="8"/>
  <c r="AA57" i="8"/>
  <c r="AA56" i="8"/>
  <c r="AA55" i="8"/>
  <c r="AA54" i="8"/>
  <c r="AA53" i="8"/>
  <c r="AA52" i="8"/>
  <c r="AA51" i="8"/>
  <c r="AA50" i="8"/>
  <c r="AA49" i="8"/>
  <c r="AA48" i="8"/>
  <c r="AA47" i="8"/>
  <c r="AA46" i="8"/>
  <c r="AA45" i="8"/>
  <c r="AA44" i="8"/>
  <c r="AA43" i="8"/>
  <c r="AA40" i="8"/>
  <c r="AA42" i="8"/>
  <c r="AA41" i="8"/>
  <c r="AA39" i="8"/>
  <c r="AA38" i="8"/>
  <c r="AA37" i="8"/>
  <c r="AA36" i="8"/>
  <c r="AA35" i="8"/>
  <c r="AA34" i="8"/>
  <c r="M5" i="9"/>
  <c r="AC173" i="8"/>
  <c r="Y173" i="8"/>
  <c r="X173" i="8"/>
  <c r="G173" i="8"/>
  <c r="AA173" i="8" l="1"/>
  <c r="I5" i="9"/>
  <c r="Z172" i="8"/>
  <c r="W172" i="8"/>
  <c r="U172" i="8"/>
  <c r="I172" i="8"/>
  <c r="V172" i="8" s="1"/>
  <c r="F172" i="8"/>
  <c r="Z171" i="8"/>
  <c r="W171" i="8"/>
  <c r="U171" i="8"/>
  <c r="I171" i="8"/>
  <c r="F171" i="8"/>
  <c r="Z170" i="8"/>
  <c r="W170" i="8"/>
  <c r="U170" i="8"/>
  <c r="I170" i="8"/>
  <c r="V170" i="8" s="1"/>
  <c r="F170" i="8"/>
  <c r="Z169" i="8"/>
  <c r="W169" i="8"/>
  <c r="U169" i="8"/>
  <c r="I169" i="8"/>
  <c r="F169" i="8"/>
  <c r="Z168" i="8"/>
  <c r="W168" i="8"/>
  <c r="U168" i="8"/>
  <c r="I168" i="8"/>
  <c r="V168" i="8" s="1"/>
  <c r="F168" i="8"/>
  <c r="Z167" i="8"/>
  <c r="W167" i="8"/>
  <c r="U167" i="8"/>
  <c r="I167" i="8"/>
  <c r="F167" i="8"/>
  <c r="Z166" i="8"/>
  <c r="W166" i="8"/>
  <c r="U166" i="8"/>
  <c r="I166" i="8"/>
  <c r="V166" i="8" s="1"/>
  <c r="F166" i="8"/>
  <c r="Z165" i="8"/>
  <c r="W165" i="8"/>
  <c r="U165" i="8"/>
  <c r="I165" i="8"/>
  <c r="F165" i="8"/>
  <c r="Z164" i="8"/>
  <c r="W164" i="8"/>
  <c r="U164" i="8"/>
  <c r="I164" i="8"/>
  <c r="V164" i="8" s="1"/>
  <c r="F164" i="8"/>
  <c r="Z163" i="8"/>
  <c r="W163" i="8"/>
  <c r="U163" i="8"/>
  <c r="I163" i="8"/>
  <c r="F163" i="8"/>
  <c r="Z162" i="8"/>
  <c r="W162" i="8"/>
  <c r="U162" i="8"/>
  <c r="I162" i="8"/>
  <c r="V162" i="8" s="1"/>
  <c r="F162" i="8"/>
  <c r="Z161" i="8"/>
  <c r="W161" i="8"/>
  <c r="U161" i="8"/>
  <c r="I161" i="8"/>
  <c r="F161" i="8"/>
  <c r="Z160" i="8"/>
  <c r="W160" i="8"/>
  <c r="U160" i="8"/>
  <c r="I160" i="8"/>
  <c r="V160" i="8" s="1"/>
  <c r="F160" i="8"/>
  <c r="Z158" i="8"/>
  <c r="W158" i="8"/>
  <c r="U158" i="8"/>
  <c r="I158" i="8"/>
  <c r="V158" i="8" s="1"/>
  <c r="F158" i="8"/>
  <c r="Z157" i="8"/>
  <c r="W157" i="8"/>
  <c r="U157" i="8"/>
  <c r="I157" i="8"/>
  <c r="V157" i="8" s="1"/>
  <c r="F157" i="8"/>
  <c r="Z156" i="8"/>
  <c r="W156" i="8"/>
  <c r="U156" i="8"/>
  <c r="I156" i="8"/>
  <c r="K156" i="8" s="1"/>
  <c r="F156" i="8"/>
  <c r="Z155" i="8"/>
  <c r="W155" i="8"/>
  <c r="U155" i="8"/>
  <c r="I155" i="8"/>
  <c r="V155" i="8" s="1"/>
  <c r="F155" i="8"/>
  <c r="Z154" i="8"/>
  <c r="W154" i="8"/>
  <c r="U154" i="8"/>
  <c r="I154" i="8"/>
  <c r="K154" i="8" s="1"/>
  <c r="F154" i="8"/>
  <c r="Z153" i="8"/>
  <c r="W153" i="8"/>
  <c r="U153" i="8"/>
  <c r="I153" i="8"/>
  <c r="V153" i="8" s="1"/>
  <c r="F153" i="8"/>
  <c r="Z152" i="8"/>
  <c r="W152" i="8"/>
  <c r="U152" i="8"/>
  <c r="I152" i="8"/>
  <c r="K152" i="8" s="1"/>
  <c r="F152" i="8"/>
  <c r="Z151" i="8"/>
  <c r="W151" i="8"/>
  <c r="U151" i="8"/>
  <c r="I151" i="8"/>
  <c r="V151" i="8" s="1"/>
  <c r="F151" i="8"/>
  <c r="Z150" i="8"/>
  <c r="W150" i="8"/>
  <c r="U150" i="8"/>
  <c r="I150" i="8"/>
  <c r="K150" i="8" s="1"/>
  <c r="F150" i="8"/>
  <c r="Z149" i="8"/>
  <c r="W149" i="8"/>
  <c r="U149" i="8"/>
  <c r="I149" i="8"/>
  <c r="V149" i="8" s="1"/>
  <c r="F149" i="8"/>
  <c r="Z148" i="8"/>
  <c r="W148" i="8"/>
  <c r="U148" i="8"/>
  <c r="I148" i="8"/>
  <c r="K148" i="8" s="1"/>
  <c r="F148" i="8"/>
  <c r="Z147" i="8"/>
  <c r="W147" i="8"/>
  <c r="U147" i="8"/>
  <c r="I147" i="8"/>
  <c r="V147" i="8" s="1"/>
  <c r="F147" i="8"/>
  <c r="Z146" i="8"/>
  <c r="W146" i="8"/>
  <c r="U146" i="8"/>
  <c r="I146" i="8"/>
  <c r="K146" i="8" s="1"/>
  <c r="F146" i="8"/>
  <c r="Z144" i="8"/>
  <c r="W144" i="8"/>
  <c r="U144" i="8"/>
  <c r="I144" i="8"/>
  <c r="V144" i="8" s="1"/>
  <c r="F144" i="8"/>
  <c r="Z143" i="8"/>
  <c r="W143" i="8"/>
  <c r="U143" i="8"/>
  <c r="I143" i="8"/>
  <c r="K143" i="8" s="1"/>
  <c r="F143" i="8"/>
  <c r="Z142" i="8"/>
  <c r="W142" i="8"/>
  <c r="U142" i="8"/>
  <c r="I142" i="8"/>
  <c r="V142" i="8" s="1"/>
  <c r="F142" i="8"/>
  <c r="Z141" i="8"/>
  <c r="W141" i="8"/>
  <c r="U141" i="8"/>
  <c r="I141" i="8"/>
  <c r="V141" i="8" s="1"/>
  <c r="F141" i="8"/>
  <c r="Z140" i="8"/>
  <c r="W140" i="8"/>
  <c r="U140" i="8"/>
  <c r="I140" i="8"/>
  <c r="V140" i="8" s="1"/>
  <c r="F140" i="8"/>
  <c r="Z139" i="8"/>
  <c r="W139" i="8"/>
  <c r="U139" i="8"/>
  <c r="I139" i="8"/>
  <c r="V139" i="8" s="1"/>
  <c r="F139" i="8"/>
  <c r="Z138" i="8"/>
  <c r="W138" i="8"/>
  <c r="U138" i="8"/>
  <c r="I138" i="8"/>
  <c r="V138" i="8" s="1"/>
  <c r="F138" i="8"/>
  <c r="Z137" i="8"/>
  <c r="W137" i="8"/>
  <c r="U137" i="8"/>
  <c r="I137" i="8"/>
  <c r="V137" i="8" s="1"/>
  <c r="F137" i="8"/>
  <c r="Z136" i="8"/>
  <c r="W136" i="8"/>
  <c r="U136" i="8"/>
  <c r="I136" i="8"/>
  <c r="V136" i="8" s="1"/>
  <c r="F136" i="8"/>
  <c r="Z135" i="8"/>
  <c r="W135" i="8"/>
  <c r="U135" i="8"/>
  <c r="I135" i="8"/>
  <c r="V135" i="8" s="1"/>
  <c r="F135" i="8"/>
  <c r="Z134" i="8"/>
  <c r="W134" i="8"/>
  <c r="U134" i="8"/>
  <c r="I134" i="8"/>
  <c r="V134" i="8" s="1"/>
  <c r="F134" i="8"/>
  <c r="Z133" i="8"/>
  <c r="W133" i="8"/>
  <c r="U133" i="8"/>
  <c r="I133" i="8"/>
  <c r="V133" i="8" s="1"/>
  <c r="F133" i="8"/>
  <c r="Z132" i="8"/>
  <c r="W132" i="8"/>
  <c r="U132" i="8"/>
  <c r="I132" i="8"/>
  <c r="V132" i="8" s="1"/>
  <c r="F132" i="8"/>
  <c r="Z130" i="8"/>
  <c r="W130" i="8"/>
  <c r="U130" i="8"/>
  <c r="I130" i="8"/>
  <c r="V130" i="8" s="1"/>
  <c r="F130" i="8"/>
  <c r="Z129" i="8"/>
  <c r="W129" i="8"/>
  <c r="U129" i="8"/>
  <c r="I129" i="8"/>
  <c r="V129" i="8" s="1"/>
  <c r="F129" i="8"/>
  <c r="Z128" i="8"/>
  <c r="W128" i="8"/>
  <c r="U128" i="8"/>
  <c r="I128" i="8"/>
  <c r="K128" i="8" s="1"/>
  <c r="F128" i="8"/>
  <c r="Z127" i="8"/>
  <c r="W127" i="8"/>
  <c r="U127" i="8"/>
  <c r="I127" i="8"/>
  <c r="V127" i="8" s="1"/>
  <c r="F127" i="8"/>
  <c r="Z126" i="8"/>
  <c r="W126" i="8"/>
  <c r="U126" i="8"/>
  <c r="I126" i="8"/>
  <c r="K126" i="8" s="1"/>
  <c r="F126" i="8"/>
  <c r="Z125" i="8"/>
  <c r="W125" i="8"/>
  <c r="U125" i="8"/>
  <c r="I125" i="8"/>
  <c r="V125" i="8" s="1"/>
  <c r="F125" i="8"/>
  <c r="Z124" i="8"/>
  <c r="W124" i="8"/>
  <c r="U124" i="8"/>
  <c r="I124" i="8"/>
  <c r="K124" i="8" s="1"/>
  <c r="F124" i="8"/>
  <c r="Z123" i="8"/>
  <c r="W123" i="8"/>
  <c r="U123" i="8"/>
  <c r="I123" i="8"/>
  <c r="V123" i="8" s="1"/>
  <c r="F123" i="8"/>
  <c r="Z122" i="8"/>
  <c r="W122" i="8"/>
  <c r="U122" i="8"/>
  <c r="I122" i="8"/>
  <c r="V122" i="8" s="1"/>
  <c r="F122" i="8"/>
  <c r="Z121" i="8"/>
  <c r="W121" i="8"/>
  <c r="U121" i="8"/>
  <c r="I121" i="8"/>
  <c r="V121" i="8" s="1"/>
  <c r="F121" i="8"/>
  <c r="Z120" i="8"/>
  <c r="W120" i="8"/>
  <c r="U120" i="8"/>
  <c r="I120" i="8"/>
  <c r="V120" i="8" s="1"/>
  <c r="F120" i="8"/>
  <c r="Z119" i="8"/>
  <c r="W119" i="8"/>
  <c r="U119" i="8"/>
  <c r="I119" i="8"/>
  <c r="V119" i="8" s="1"/>
  <c r="F119" i="8"/>
  <c r="Z118" i="8"/>
  <c r="W118" i="8"/>
  <c r="U118" i="8"/>
  <c r="I118" i="8"/>
  <c r="V118" i="8" s="1"/>
  <c r="F118" i="8"/>
  <c r="Z116" i="8"/>
  <c r="W116" i="8"/>
  <c r="U116" i="8"/>
  <c r="I116" i="8"/>
  <c r="V116" i="8" s="1"/>
  <c r="F116" i="8"/>
  <c r="Z115" i="8"/>
  <c r="W115" i="8"/>
  <c r="U115" i="8"/>
  <c r="I115" i="8"/>
  <c r="V115" i="8" s="1"/>
  <c r="F115" i="8"/>
  <c r="Z114" i="8"/>
  <c r="W114" i="8"/>
  <c r="U114" i="8"/>
  <c r="I114" i="8"/>
  <c r="V114" i="8" s="1"/>
  <c r="F114" i="8"/>
  <c r="Z113" i="8"/>
  <c r="W113" i="8"/>
  <c r="U113" i="8"/>
  <c r="I113" i="8"/>
  <c r="V113" i="8" s="1"/>
  <c r="F113" i="8"/>
  <c r="Z112" i="8"/>
  <c r="W112" i="8"/>
  <c r="U112" i="8"/>
  <c r="I112" i="8"/>
  <c r="F112" i="8"/>
  <c r="Z111" i="8"/>
  <c r="W111" i="8"/>
  <c r="U111" i="8"/>
  <c r="I111" i="8"/>
  <c r="V111" i="8" s="1"/>
  <c r="F111" i="8"/>
  <c r="Z110" i="8"/>
  <c r="W110" i="8"/>
  <c r="U110" i="8"/>
  <c r="I110" i="8"/>
  <c r="F110" i="8"/>
  <c r="Z109" i="8"/>
  <c r="W109" i="8"/>
  <c r="U109" i="8"/>
  <c r="I109" i="8"/>
  <c r="V109" i="8" s="1"/>
  <c r="F109" i="8"/>
  <c r="Z108" i="8"/>
  <c r="W108" i="8"/>
  <c r="U108" i="8"/>
  <c r="I108" i="8"/>
  <c r="F108" i="8"/>
  <c r="Z107" i="8"/>
  <c r="W107" i="8"/>
  <c r="U107" i="8"/>
  <c r="I107" i="8"/>
  <c r="V107" i="8" s="1"/>
  <c r="F107" i="8"/>
  <c r="Z106" i="8"/>
  <c r="W106" i="8"/>
  <c r="U106" i="8"/>
  <c r="I106" i="8"/>
  <c r="F106" i="8"/>
  <c r="Z105" i="8"/>
  <c r="W105" i="8"/>
  <c r="U105" i="8"/>
  <c r="I105" i="8"/>
  <c r="V105" i="8" s="1"/>
  <c r="F105" i="8"/>
  <c r="Z104" i="8"/>
  <c r="W104" i="8"/>
  <c r="U104" i="8"/>
  <c r="I104" i="8"/>
  <c r="F104" i="8"/>
  <c r="Z102" i="8"/>
  <c r="W102" i="8"/>
  <c r="U102" i="8"/>
  <c r="I102" i="8"/>
  <c r="K102" i="8" s="1"/>
  <c r="F102" i="8"/>
  <c r="Z101" i="8"/>
  <c r="W101" i="8"/>
  <c r="U101" i="8"/>
  <c r="I101" i="8"/>
  <c r="F101" i="8"/>
  <c r="Z100" i="8"/>
  <c r="W100" i="8"/>
  <c r="U100" i="8"/>
  <c r="I100" i="8"/>
  <c r="V100" i="8" s="1"/>
  <c r="F100" i="8"/>
  <c r="Z99" i="8"/>
  <c r="W99" i="8"/>
  <c r="U99" i="8"/>
  <c r="I99" i="8"/>
  <c r="F99" i="8"/>
  <c r="Z98" i="8"/>
  <c r="W98" i="8"/>
  <c r="U98" i="8"/>
  <c r="I98" i="8"/>
  <c r="K98" i="8" s="1"/>
  <c r="F98" i="8"/>
  <c r="Z97" i="8"/>
  <c r="W97" i="8"/>
  <c r="U97" i="8"/>
  <c r="I97" i="8"/>
  <c r="F97" i="8"/>
  <c r="Z96" i="8"/>
  <c r="W96" i="8"/>
  <c r="U96" i="8"/>
  <c r="I96" i="8"/>
  <c r="V96" i="8" s="1"/>
  <c r="F96" i="8"/>
  <c r="Z95" i="8"/>
  <c r="W95" i="8"/>
  <c r="U95" i="8"/>
  <c r="I95" i="8"/>
  <c r="F95" i="8"/>
  <c r="Z94" i="8"/>
  <c r="W94" i="8"/>
  <c r="U94" i="8"/>
  <c r="I94" i="8"/>
  <c r="K94" i="8" s="1"/>
  <c r="F94" i="8"/>
  <c r="Z93" i="8"/>
  <c r="W93" i="8"/>
  <c r="U93" i="8"/>
  <c r="I93" i="8"/>
  <c r="F93" i="8"/>
  <c r="Z92" i="8"/>
  <c r="W92" i="8"/>
  <c r="U92" i="8"/>
  <c r="I92" i="8"/>
  <c r="V92" i="8" s="1"/>
  <c r="F92" i="8"/>
  <c r="Z91" i="8"/>
  <c r="W91" i="8"/>
  <c r="U91" i="8"/>
  <c r="I91" i="8"/>
  <c r="F91" i="8"/>
  <c r="Z90" i="8"/>
  <c r="W90" i="8"/>
  <c r="U90" i="8"/>
  <c r="I90" i="8"/>
  <c r="V90" i="8" s="1"/>
  <c r="F90" i="8"/>
  <c r="Z88" i="8"/>
  <c r="W88" i="8"/>
  <c r="U88" i="8"/>
  <c r="I88" i="8"/>
  <c r="F88" i="8"/>
  <c r="Z87" i="8"/>
  <c r="W87" i="8"/>
  <c r="U87" i="8"/>
  <c r="I87" i="8"/>
  <c r="V87" i="8" s="1"/>
  <c r="F87" i="8"/>
  <c r="Z86" i="8"/>
  <c r="W86" i="8"/>
  <c r="U86" i="8"/>
  <c r="I86" i="8"/>
  <c r="F86" i="8"/>
  <c r="Z85" i="8"/>
  <c r="W85" i="8"/>
  <c r="U85" i="8"/>
  <c r="I85" i="8"/>
  <c r="V85" i="8" s="1"/>
  <c r="F85" i="8"/>
  <c r="Z84" i="8"/>
  <c r="W84" i="8"/>
  <c r="U84" i="8"/>
  <c r="I84" i="8"/>
  <c r="F84" i="8"/>
  <c r="Z83" i="8"/>
  <c r="W83" i="8"/>
  <c r="U83" i="8"/>
  <c r="I83" i="8"/>
  <c r="K83" i="8" s="1"/>
  <c r="F83" i="8"/>
  <c r="Z82" i="8"/>
  <c r="W82" i="8"/>
  <c r="U82" i="8"/>
  <c r="I82" i="8"/>
  <c r="F82" i="8"/>
  <c r="Z81" i="8"/>
  <c r="W81" i="8"/>
  <c r="U81" i="8"/>
  <c r="I81" i="8"/>
  <c r="K81" i="8" s="1"/>
  <c r="F81" i="8"/>
  <c r="Z80" i="8"/>
  <c r="W80" i="8"/>
  <c r="U80" i="8"/>
  <c r="I80" i="8"/>
  <c r="F80" i="8"/>
  <c r="Z79" i="8"/>
  <c r="W79" i="8"/>
  <c r="U79" i="8"/>
  <c r="I79" i="8"/>
  <c r="V79" i="8" s="1"/>
  <c r="F79" i="8"/>
  <c r="Z78" i="8"/>
  <c r="W78" i="8"/>
  <c r="U78" i="8"/>
  <c r="I78" i="8"/>
  <c r="F78" i="8"/>
  <c r="Z77" i="8"/>
  <c r="W77" i="8"/>
  <c r="I77" i="8"/>
  <c r="V77" i="8" s="1"/>
  <c r="F77" i="8"/>
  <c r="Z76" i="8"/>
  <c r="W76" i="8"/>
  <c r="U76" i="8"/>
  <c r="I76" i="8"/>
  <c r="Z64" i="8"/>
  <c r="W64" i="8"/>
  <c r="U64" i="8"/>
  <c r="I64" i="8"/>
  <c r="V64" i="8" s="1"/>
  <c r="F64" i="8"/>
  <c r="Z63" i="8"/>
  <c r="W63" i="8"/>
  <c r="U63" i="8"/>
  <c r="I63" i="8"/>
  <c r="F63" i="8"/>
  <c r="Z62" i="8"/>
  <c r="W62" i="8"/>
  <c r="U62" i="8"/>
  <c r="I62" i="8"/>
  <c r="V62" i="8" s="1"/>
  <c r="F62" i="8"/>
  <c r="Z61" i="8"/>
  <c r="W61" i="8"/>
  <c r="U61" i="8"/>
  <c r="I61" i="8"/>
  <c r="F61" i="8"/>
  <c r="Z60" i="8"/>
  <c r="W60" i="8"/>
  <c r="U60" i="8"/>
  <c r="I60" i="8"/>
  <c r="V60" i="8" s="1"/>
  <c r="F60" i="8"/>
  <c r="Z59" i="8"/>
  <c r="W59" i="8"/>
  <c r="U59" i="8"/>
  <c r="I59" i="8"/>
  <c r="F59" i="8"/>
  <c r="Z58" i="8"/>
  <c r="W58" i="8"/>
  <c r="U58" i="8"/>
  <c r="I58" i="8"/>
  <c r="K58" i="8" s="1"/>
  <c r="F58" i="8"/>
  <c r="Z57" i="8"/>
  <c r="W57" i="8"/>
  <c r="U57" i="8"/>
  <c r="I57" i="8"/>
  <c r="F57" i="8"/>
  <c r="Z56" i="8"/>
  <c r="W56" i="8"/>
  <c r="U56" i="8"/>
  <c r="I56" i="8"/>
  <c r="K56" i="8" s="1"/>
  <c r="F56" i="8"/>
  <c r="Z55" i="8"/>
  <c r="W55" i="8"/>
  <c r="U55" i="8"/>
  <c r="I55" i="8"/>
  <c r="F55" i="8"/>
  <c r="Z54" i="8"/>
  <c r="W54" i="8"/>
  <c r="U54" i="8"/>
  <c r="I54" i="8"/>
  <c r="K54" i="8" s="1"/>
  <c r="F54" i="8"/>
  <c r="Z53" i="8"/>
  <c r="W53" i="8"/>
  <c r="U53" i="8"/>
  <c r="I53" i="8"/>
  <c r="F53" i="8"/>
  <c r="Z52" i="8"/>
  <c r="W52" i="8"/>
  <c r="U52" i="8"/>
  <c r="I52" i="8"/>
  <c r="V52" i="8" s="1"/>
  <c r="F52" i="8"/>
  <c r="Z51" i="8"/>
  <c r="W51" i="8"/>
  <c r="U51" i="8"/>
  <c r="I51" i="8"/>
  <c r="F51" i="8"/>
  <c r="Z50" i="8"/>
  <c r="W50" i="8"/>
  <c r="U50" i="8"/>
  <c r="I50" i="8"/>
  <c r="K50" i="8" s="1"/>
  <c r="F50" i="8"/>
  <c r="Z49" i="8"/>
  <c r="W49" i="8"/>
  <c r="U49" i="8"/>
  <c r="I49" i="8"/>
  <c r="F49" i="8"/>
  <c r="Z48" i="8"/>
  <c r="W48" i="8"/>
  <c r="U48" i="8"/>
  <c r="I48" i="8"/>
  <c r="V48" i="8" s="1"/>
  <c r="F48" i="8"/>
  <c r="Z47" i="8"/>
  <c r="W47" i="8"/>
  <c r="U47" i="8"/>
  <c r="I47" i="8"/>
  <c r="F47" i="8"/>
  <c r="Z46" i="8"/>
  <c r="W46" i="8"/>
  <c r="U46" i="8"/>
  <c r="I46" i="8"/>
  <c r="V46" i="8" s="1"/>
  <c r="F46" i="8"/>
  <c r="Z45" i="8"/>
  <c r="W45" i="8"/>
  <c r="U45" i="8"/>
  <c r="I45" i="8"/>
  <c r="F45" i="8"/>
  <c r="Z44" i="8"/>
  <c r="W44" i="8"/>
  <c r="U44" i="8"/>
  <c r="I44" i="8"/>
  <c r="V44" i="8" s="1"/>
  <c r="F44" i="8"/>
  <c r="Z43" i="8"/>
  <c r="W43" i="8"/>
  <c r="U43" i="8"/>
  <c r="I43" i="8"/>
  <c r="F43" i="8"/>
  <c r="Z42" i="8"/>
  <c r="W42" i="8"/>
  <c r="U42" i="8"/>
  <c r="I42" i="8"/>
  <c r="V42" i="8" s="1"/>
  <c r="F42" i="8"/>
  <c r="Z41" i="8"/>
  <c r="W41" i="8"/>
  <c r="U41" i="8"/>
  <c r="I41" i="8"/>
  <c r="F41" i="8"/>
  <c r="Z40" i="8"/>
  <c r="W40" i="8"/>
  <c r="U40" i="8"/>
  <c r="I40" i="8"/>
  <c r="K40" i="8" s="1"/>
  <c r="S40" i="8" s="1"/>
  <c r="F40" i="8"/>
  <c r="Z39" i="8"/>
  <c r="W39" i="8"/>
  <c r="U39" i="8"/>
  <c r="I39" i="8"/>
  <c r="F39" i="8"/>
  <c r="Z38" i="8"/>
  <c r="W38" i="8"/>
  <c r="U38" i="8"/>
  <c r="I38" i="8"/>
  <c r="K38" i="8" s="1"/>
  <c r="F38" i="8"/>
  <c r="Z37" i="8"/>
  <c r="W37" i="8"/>
  <c r="U37" i="8"/>
  <c r="I37" i="8"/>
  <c r="F37" i="8"/>
  <c r="Z36" i="8"/>
  <c r="W36" i="8"/>
  <c r="U36" i="8"/>
  <c r="I36" i="8"/>
  <c r="V36" i="8" s="1"/>
  <c r="F36" i="8"/>
  <c r="Z35" i="8"/>
  <c r="W35" i="8"/>
  <c r="U35" i="8"/>
  <c r="I35" i="8"/>
  <c r="F35" i="8"/>
  <c r="Z34" i="8"/>
  <c r="W34" i="8"/>
  <c r="U34" i="8"/>
  <c r="I34" i="8"/>
  <c r="V34" i="8" s="1"/>
  <c r="F34" i="8"/>
  <c r="V33" i="8"/>
  <c r="AB33" i="8" s="1"/>
  <c r="AD33" i="8" s="1"/>
  <c r="G27" i="8"/>
  <c r="AA26" i="8"/>
  <c r="W26" i="8"/>
  <c r="U26" i="8"/>
  <c r="P26" i="8"/>
  <c r="I26" i="8"/>
  <c r="V26" i="8" s="1"/>
  <c r="W25" i="8"/>
  <c r="U25" i="8"/>
  <c r="P25" i="8"/>
  <c r="I25" i="8"/>
  <c r="K25" i="8" s="1"/>
  <c r="Q25" i="8" s="1"/>
  <c r="W24" i="8"/>
  <c r="U24" i="8"/>
  <c r="I24" i="8"/>
  <c r="V24" i="8" s="1"/>
  <c r="AA23" i="8"/>
  <c r="Z23" i="8"/>
  <c r="X23" i="8"/>
  <c r="W23" i="8"/>
  <c r="U23" i="8"/>
  <c r="M23" i="8"/>
  <c r="Y23" i="8" s="1"/>
  <c r="I23" i="8"/>
  <c r="V23" i="8" s="1"/>
  <c r="AA22" i="8"/>
  <c r="Z22" i="8"/>
  <c r="X22" i="8"/>
  <c r="W22" i="8"/>
  <c r="U22" i="8"/>
  <c r="Y22" i="8"/>
  <c r="I22" i="8"/>
  <c r="K22" i="8" s="1"/>
  <c r="AA21" i="8"/>
  <c r="Z21" i="8"/>
  <c r="V21" i="8"/>
  <c r="U21" i="8"/>
  <c r="P21" i="8"/>
  <c r="K21" i="8"/>
  <c r="AA20" i="8"/>
  <c r="Z20" i="8"/>
  <c r="U20" i="8"/>
  <c r="P20" i="8"/>
  <c r="I20" i="8"/>
  <c r="K20" i="8" s="1"/>
  <c r="AA19" i="8"/>
  <c r="Z19" i="8"/>
  <c r="U19" i="8"/>
  <c r="P19" i="8"/>
  <c r="Q19" i="8" s="1"/>
  <c r="V19" i="8"/>
  <c r="AA18" i="8"/>
  <c r="Z18" i="8"/>
  <c r="W18" i="8"/>
  <c r="U18" i="8"/>
  <c r="P18" i="8"/>
  <c r="K18" i="8"/>
  <c r="AA17" i="8"/>
  <c r="Z17" i="8"/>
  <c r="W17" i="8"/>
  <c r="P17" i="8"/>
  <c r="I17" i="8"/>
  <c r="V17" i="8" s="1"/>
  <c r="W16" i="8"/>
  <c r="U16" i="8"/>
  <c r="P16" i="8"/>
  <c r="I16" i="8"/>
  <c r="K16" i="8" s="1"/>
  <c r="Q16" i="8" s="1"/>
  <c r="AA15" i="8"/>
  <c r="Z15" i="8"/>
  <c r="U15" i="8"/>
  <c r="I15" i="8"/>
  <c r="V15" i="8" s="1"/>
  <c r="T24" i="8" l="1"/>
  <c r="Y27" i="8"/>
  <c r="S146" i="8"/>
  <c r="Q146" i="8"/>
  <c r="X27" i="8"/>
  <c r="S143" i="8"/>
  <c r="Q143" i="8"/>
  <c r="S156" i="8"/>
  <c r="Q156" i="8"/>
  <c r="S94" i="8"/>
  <c r="Q94" i="8"/>
  <c r="S154" i="8"/>
  <c r="Q154" i="8"/>
  <c r="S126" i="8"/>
  <c r="Q126" i="8"/>
  <c r="S152" i="8"/>
  <c r="Q152" i="8"/>
  <c r="S81" i="8"/>
  <c r="Q81" i="8"/>
  <c r="S128" i="8"/>
  <c r="Q128" i="8"/>
  <c r="S98" i="8"/>
  <c r="Q98" i="8"/>
  <c r="S124" i="8"/>
  <c r="Q124" i="8"/>
  <c r="S150" i="8"/>
  <c r="Q150" i="8"/>
  <c r="S102" i="8"/>
  <c r="Q102" i="8"/>
  <c r="S148" i="8"/>
  <c r="Q148" i="8"/>
  <c r="S83" i="8"/>
  <c r="Q83" i="8"/>
  <c r="Q18" i="8"/>
  <c r="R18" i="8" s="1"/>
  <c r="S18" i="8" s="1"/>
  <c r="S56" i="8"/>
  <c r="Q56" i="8"/>
  <c r="S58" i="8"/>
  <c r="Q58" i="8"/>
  <c r="S54" i="8"/>
  <c r="Q54" i="8"/>
  <c r="R16" i="8"/>
  <c r="S16" i="8" s="1"/>
  <c r="Q40" i="8"/>
  <c r="S38" i="8"/>
  <c r="Q38" i="8"/>
  <c r="S50" i="8"/>
  <c r="Q50" i="8"/>
  <c r="Q21" i="8"/>
  <c r="R21" i="8" s="1"/>
  <c r="S21" i="8" s="1"/>
  <c r="T33" i="8"/>
  <c r="R25" i="8"/>
  <c r="S25" i="8" s="1"/>
  <c r="U173" i="8"/>
  <c r="W173" i="8"/>
  <c r="T19" i="8"/>
  <c r="Z173" i="8"/>
  <c r="T77" i="8"/>
  <c r="R19" i="8"/>
  <c r="S19" i="8" s="1"/>
  <c r="Q20" i="8"/>
  <c r="AB24" i="8"/>
  <c r="AC24" i="8" s="1"/>
  <c r="AB137" i="8"/>
  <c r="AD137" i="8" s="1"/>
  <c r="AB135" i="8"/>
  <c r="AD135" i="8" s="1"/>
  <c r="AB136" i="8"/>
  <c r="AD136" i="8" s="1"/>
  <c r="V156" i="8"/>
  <c r="T156" i="8" s="1"/>
  <c r="T149" i="8"/>
  <c r="T157" i="8"/>
  <c r="V94" i="8"/>
  <c r="AB94" i="8" s="1"/>
  <c r="AD94" i="8" s="1"/>
  <c r="K118" i="8"/>
  <c r="V150" i="8"/>
  <c r="AB150" i="8" s="1"/>
  <c r="AD150" i="8" s="1"/>
  <c r="K111" i="8"/>
  <c r="K141" i="8"/>
  <c r="K52" i="8"/>
  <c r="V58" i="8"/>
  <c r="AB58" i="8" s="1"/>
  <c r="AD58" i="8" s="1"/>
  <c r="K85" i="8"/>
  <c r="K109" i="8"/>
  <c r="V126" i="8"/>
  <c r="AB126" i="8" s="1"/>
  <c r="AD126" i="8" s="1"/>
  <c r="K130" i="8"/>
  <c r="V22" i="8"/>
  <c r="T22" i="8" s="1"/>
  <c r="K17" i="8"/>
  <c r="Q17" i="8" s="1"/>
  <c r="T114" i="8"/>
  <c r="K115" i="8"/>
  <c r="T125" i="8"/>
  <c r="V128" i="8"/>
  <c r="T128" i="8" s="1"/>
  <c r="V154" i="8"/>
  <c r="T154" i="8" s="1"/>
  <c r="T155" i="8"/>
  <c r="K44" i="8"/>
  <c r="V50" i="8"/>
  <c r="AB50" i="8" s="1"/>
  <c r="AD50" i="8" s="1"/>
  <c r="K96" i="8"/>
  <c r="V102" i="8"/>
  <c r="AB102" i="8" s="1"/>
  <c r="AD102" i="8" s="1"/>
  <c r="K122" i="8"/>
  <c r="V152" i="8"/>
  <c r="T152" i="8" s="1"/>
  <c r="K42" i="8"/>
  <c r="K87" i="8"/>
  <c r="T92" i="8"/>
  <c r="K120" i="8"/>
  <c r="T151" i="8"/>
  <c r="AB21" i="8"/>
  <c r="P22" i="8"/>
  <c r="Q22" i="8" s="1"/>
  <c r="K77" i="8"/>
  <c r="K79" i="8"/>
  <c r="T105" i="8"/>
  <c r="T127" i="8"/>
  <c r="T129" i="8"/>
  <c r="T158" i="8"/>
  <c r="K36" i="8"/>
  <c r="K60" i="8"/>
  <c r="T96" i="8"/>
  <c r="K105" i="8"/>
  <c r="T132" i="8"/>
  <c r="T142" i="8"/>
  <c r="AB147" i="8"/>
  <c r="AD147" i="8" s="1"/>
  <c r="Z27" i="8"/>
  <c r="AB26" i="8"/>
  <c r="T87" i="8"/>
  <c r="T100" i="8"/>
  <c r="AB123" i="8"/>
  <c r="AD123" i="8" s="1"/>
  <c r="T140" i="8"/>
  <c r="K15" i="8"/>
  <c r="Q15" i="8" s="1"/>
  <c r="T21" i="8"/>
  <c r="P23" i="8"/>
  <c r="K24" i="8"/>
  <c r="Q24" i="8" s="1"/>
  <c r="T26" i="8"/>
  <c r="V38" i="8"/>
  <c r="T38" i="8" s="1"/>
  <c r="AB42" i="8"/>
  <c r="AD42" i="8" s="1"/>
  <c r="K46" i="8"/>
  <c r="K48" i="8"/>
  <c r="V54" i="8"/>
  <c r="AB54" i="8" s="1"/>
  <c r="AD54" i="8" s="1"/>
  <c r="K62" i="8"/>
  <c r="K64" i="8"/>
  <c r="V81" i="8"/>
  <c r="T81" i="8" s="1"/>
  <c r="AB85" i="8"/>
  <c r="AD85" i="8" s="1"/>
  <c r="K90" i="8"/>
  <c r="K92" i="8"/>
  <c r="V98" i="8"/>
  <c r="AB98" i="8" s="1"/>
  <c r="AD98" i="8" s="1"/>
  <c r="K107" i="8"/>
  <c r="K113" i="8"/>
  <c r="AB114" i="8"/>
  <c r="AD114" i="8" s="1"/>
  <c r="AB121" i="8"/>
  <c r="AD121" i="8" s="1"/>
  <c r="T123" i="8"/>
  <c r="V124" i="8"/>
  <c r="AB124" i="8" s="1"/>
  <c r="AD124" i="8" s="1"/>
  <c r="AB130" i="8"/>
  <c r="AD130" i="8" s="1"/>
  <c r="K133" i="8"/>
  <c r="K135" i="8"/>
  <c r="K137" i="8"/>
  <c r="K139" i="8"/>
  <c r="AB140" i="8"/>
  <c r="AD140" i="8" s="1"/>
  <c r="V143" i="8"/>
  <c r="T143" i="8" s="1"/>
  <c r="T144" i="8"/>
  <c r="V146" i="8"/>
  <c r="AB146" i="8" s="1"/>
  <c r="AD146" i="8" s="1"/>
  <c r="T147" i="8"/>
  <c r="V148" i="8"/>
  <c r="AB148" i="8" s="1"/>
  <c r="AD148" i="8" s="1"/>
  <c r="AB155" i="8"/>
  <c r="AD155" i="8" s="1"/>
  <c r="K157" i="8"/>
  <c r="K158" i="8"/>
  <c r="V40" i="8"/>
  <c r="AB40" i="8" s="1"/>
  <c r="AD40" i="8" s="1"/>
  <c r="V56" i="8"/>
  <c r="T56" i="8" s="1"/>
  <c r="V83" i="8"/>
  <c r="AB83" i="8" s="1"/>
  <c r="AD83" i="8" s="1"/>
  <c r="AB111" i="8"/>
  <c r="AD111" i="8" s="1"/>
  <c r="AB17" i="8"/>
  <c r="K23" i="8"/>
  <c r="K26" i="8"/>
  <c r="Q26" i="8" s="1"/>
  <c r="K34" i="8"/>
  <c r="AB77" i="8"/>
  <c r="AD77" i="8" s="1"/>
  <c r="K100" i="8"/>
  <c r="AB118" i="8"/>
  <c r="AD118" i="8" s="1"/>
  <c r="AB120" i="8"/>
  <c r="AD120" i="8" s="1"/>
  <c r="AB122" i="8"/>
  <c r="AD122" i="8" s="1"/>
  <c r="AB129" i="8"/>
  <c r="AD129" i="8" s="1"/>
  <c r="T134" i="8"/>
  <c r="T138" i="8"/>
  <c r="AB149" i="8"/>
  <c r="AD149" i="8" s="1"/>
  <c r="K155" i="8"/>
  <c r="AB23" i="8"/>
  <c r="AB113" i="8"/>
  <c r="AD113" i="8" s="1"/>
  <c r="AB139" i="8"/>
  <c r="AD139" i="8" s="1"/>
  <c r="AB158" i="8"/>
  <c r="AD158" i="8" s="1"/>
  <c r="T116" i="8"/>
  <c r="T121" i="8"/>
  <c r="AB132" i="8"/>
  <c r="AD132" i="8" s="1"/>
  <c r="AB138" i="8"/>
  <c r="AD138" i="8" s="1"/>
  <c r="T172" i="8"/>
  <c r="T17" i="8"/>
  <c r="AA27" i="8"/>
  <c r="T23" i="8"/>
  <c r="T15" i="8"/>
  <c r="AB15" i="8"/>
  <c r="U27" i="8"/>
  <c r="V16" i="8"/>
  <c r="V20" i="8"/>
  <c r="V25" i="8"/>
  <c r="AB25" i="8" s="1"/>
  <c r="V45" i="8"/>
  <c r="AB45" i="8" s="1"/>
  <c r="AD45" i="8" s="1"/>
  <c r="K45" i="8"/>
  <c r="V97" i="8"/>
  <c r="AB97" i="8" s="1"/>
  <c r="AD97" i="8" s="1"/>
  <c r="K97" i="8"/>
  <c r="V106" i="8"/>
  <c r="AB106" i="8" s="1"/>
  <c r="AD106" i="8" s="1"/>
  <c r="K106" i="8"/>
  <c r="V35" i="8"/>
  <c r="K35" i="8"/>
  <c r="V43" i="8"/>
  <c r="K43" i="8"/>
  <c r="AB48" i="8"/>
  <c r="AD48" i="8" s="1"/>
  <c r="V51" i="8"/>
  <c r="K51" i="8"/>
  <c r="V59" i="8"/>
  <c r="K59" i="8"/>
  <c r="AB64" i="8"/>
  <c r="AD64" i="8" s="1"/>
  <c r="V78" i="8"/>
  <c r="K78" i="8"/>
  <c r="V86" i="8"/>
  <c r="K86" i="8"/>
  <c r="AB92" i="8"/>
  <c r="AD92" i="8" s="1"/>
  <c r="V95" i="8"/>
  <c r="K95" i="8"/>
  <c r="AB100" i="8"/>
  <c r="AD100" i="8" s="1"/>
  <c r="V104" i="8"/>
  <c r="K104" i="8"/>
  <c r="AB34" i="8"/>
  <c r="AD34" i="8" s="1"/>
  <c r="T34" i="8"/>
  <c r="AB19" i="8"/>
  <c r="W27" i="8"/>
  <c r="V41" i="8"/>
  <c r="T41" i="8" s="1"/>
  <c r="K41" i="8"/>
  <c r="AB46" i="8"/>
  <c r="AD46" i="8" s="1"/>
  <c r="V49" i="8"/>
  <c r="AB49" i="8" s="1"/>
  <c r="AD49" i="8" s="1"/>
  <c r="K49" i="8"/>
  <c r="V57" i="8"/>
  <c r="AB57" i="8" s="1"/>
  <c r="AD57" i="8" s="1"/>
  <c r="K57" i="8"/>
  <c r="AB62" i="8"/>
  <c r="AD62" i="8" s="1"/>
  <c r="V76" i="8"/>
  <c r="AB76" i="8" s="1"/>
  <c r="AD76" i="8" s="1"/>
  <c r="K76" i="8"/>
  <c r="V84" i="8"/>
  <c r="AB84" i="8" s="1"/>
  <c r="AD84" i="8" s="1"/>
  <c r="K84" i="8"/>
  <c r="AB90" i="8"/>
  <c r="AD90" i="8" s="1"/>
  <c r="V93" i="8"/>
  <c r="AB93" i="8" s="1"/>
  <c r="AD93" i="8" s="1"/>
  <c r="K93" i="8"/>
  <c r="V101" i="8"/>
  <c r="AB101" i="8" s="1"/>
  <c r="AD101" i="8" s="1"/>
  <c r="K101" i="8"/>
  <c r="V108" i="8"/>
  <c r="K108" i="8"/>
  <c r="T119" i="8"/>
  <c r="T136" i="8"/>
  <c r="T153" i="8"/>
  <c r="V37" i="8"/>
  <c r="AB37" i="8" s="1"/>
  <c r="AD37" i="8" s="1"/>
  <c r="K37" i="8"/>
  <c r="V53" i="8"/>
  <c r="AB53" i="8" s="1"/>
  <c r="AD53" i="8" s="1"/>
  <c r="K53" i="8"/>
  <c r="V61" i="8"/>
  <c r="T61" i="8" s="1"/>
  <c r="K61" i="8"/>
  <c r="V80" i="8"/>
  <c r="AB80" i="8" s="1"/>
  <c r="AD80" i="8" s="1"/>
  <c r="K80" i="8"/>
  <c r="V88" i="8"/>
  <c r="AB88" i="8" s="1"/>
  <c r="AD88" i="8" s="1"/>
  <c r="K88" i="8"/>
  <c r="V18" i="8"/>
  <c r="T18" i="8" s="1"/>
  <c r="AB36" i="8"/>
  <c r="AD36" i="8" s="1"/>
  <c r="V39" i="8"/>
  <c r="K39" i="8"/>
  <c r="AB44" i="8"/>
  <c r="AD44" i="8" s="1"/>
  <c r="V47" i="8"/>
  <c r="K47" i="8"/>
  <c r="AB52" i="8"/>
  <c r="AD52" i="8" s="1"/>
  <c r="V55" i="8"/>
  <c r="K55" i="8"/>
  <c r="AB60" i="8"/>
  <c r="AD60" i="8" s="1"/>
  <c r="V63" i="8"/>
  <c r="K63" i="8"/>
  <c r="AB79" i="8"/>
  <c r="AD79" i="8" s="1"/>
  <c r="V82" i="8"/>
  <c r="K82" i="8"/>
  <c r="AB87" i="8"/>
  <c r="AD87" i="8" s="1"/>
  <c r="T90" i="8"/>
  <c r="V91" i="8"/>
  <c r="K91" i="8"/>
  <c r="AB96" i="8"/>
  <c r="AD96" i="8" s="1"/>
  <c r="V99" i="8"/>
  <c r="K99" i="8"/>
  <c r="AB105" i="8"/>
  <c r="AD105" i="8" s="1"/>
  <c r="T36" i="8"/>
  <c r="T42" i="8"/>
  <c r="T44" i="8"/>
  <c r="T46" i="8"/>
  <c r="T48" i="8"/>
  <c r="T52" i="8"/>
  <c r="T60" i="8"/>
  <c r="T62" i="8"/>
  <c r="T64" i="8"/>
  <c r="T79" i="8"/>
  <c r="T85" i="8"/>
  <c r="T107" i="8"/>
  <c r="AB107" i="8"/>
  <c r="AD107" i="8" s="1"/>
  <c r="AB109" i="8"/>
  <c r="AD109" i="8" s="1"/>
  <c r="V112" i="8"/>
  <c r="T112" i="8" s="1"/>
  <c r="K112" i="8"/>
  <c r="AB116" i="8"/>
  <c r="AD116" i="8" s="1"/>
  <c r="AB125" i="8"/>
  <c r="AD125" i="8" s="1"/>
  <c r="AB134" i="8"/>
  <c r="AD134" i="8" s="1"/>
  <c r="AB142" i="8"/>
  <c r="AD142" i="8" s="1"/>
  <c r="AB151" i="8"/>
  <c r="AD151" i="8" s="1"/>
  <c r="AB160" i="8"/>
  <c r="AD160" i="8" s="1"/>
  <c r="V161" i="8"/>
  <c r="AB161" i="8" s="1"/>
  <c r="AD161" i="8" s="1"/>
  <c r="K161" i="8"/>
  <c r="AB162" i="8"/>
  <c r="AD162" i="8" s="1"/>
  <c r="V163" i="8"/>
  <c r="AB163" i="8" s="1"/>
  <c r="AD163" i="8" s="1"/>
  <c r="K163" i="8"/>
  <c r="AB164" i="8"/>
  <c r="AD164" i="8" s="1"/>
  <c r="V165" i="8"/>
  <c r="AB165" i="8" s="1"/>
  <c r="AD165" i="8" s="1"/>
  <c r="K165" i="8"/>
  <c r="AB166" i="8"/>
  <c r="AD166" i="8" s="1"/>
  <c r="V167" i="8"/>
  <c r="AB167" i="8" s="1"/>
  <c r="AD167" i="8" s="1"/>
  <c r="K167" i="8"/>
  <c r="AB168" i="8"/>
  <c r="AD168" i="8" s="1"/>
  <c r="V169" i="8"/>
  <c r="AB169" i="8" s="1"/>
  <c r="AD169" i="8" s="1"/>
  <c r="K169" i="8"/>
  <c r="AB170" i="8"/>
  <c r="AD170" i="8" s="1"/>
  <c r="V171" i="8"/>
  <c r="AB171" i="8" s="1"/>
  <c r="AD171" i="8" s="1"/>
  <c r="K171" i="8"/>
  <c r="AB172" i="8"/>
  <c r="AD172" i="8" s="1"/>
  <c r="V110" i="8"/>
  <c r="K110" i="8"/>
  <c r="AB115" i="8"/>
  <c r="AD115" i="8" s="1"/>
  <c r="AB119" i="8"/>
  <c r="AD119" i="8" s="1"/>
  <c r="AB127" i="8"/>
  <c r="AD127" i="8" s="1"/>
  <c r="AB133" i="8"/>
  <c r="AD133" i="8" s="1"/>
  <c r="AB141" i="8"/>
  <c r="AD141" i="8" s="1"/>
  <c r="AB144" i="8"/>
  <c r="AD144" i="8" s="1"/>
  <c r="AB153" i="8"/>
  <c r="AD153" i="8" s="1"/>
  <c r="AB157" i="8"/>
  <c r="AD157" i="8" s="1"/>
  <c r="T160" i="8"/>
  <c r="T162" i="8"/>
  <c r="T164" i="8"/>
  <c r="T166" i="8"/>
  <c r="T168" i="8"/>
  <c r="T170" i="8"/>
  <c r="T109" i="8"/>
  <c r="T111" i="8"/>
  <c r="T113" i="8"/>
  <c r="K114" i="8"/>
  <c r="T115" i="8"/>
  <c r="K116" i="8"/>
  <c r="T118" i="8"/>
  <c r="K119" i="8"/>
  <c r="T120" i="8"/>
  <c r="K121" i="8"/>
  <c r="T122" i="8"/>
  <c r="K123" i="8"/>
  <c r="K125" i="8"/>
  <c r="K127" i="8"/>
  <c r="K129" i="8"/>
  <c r="T130" i="8"/>
  <c r="K132" i="8"/>
  <c r="T133" i="8"/>
  <c r="K134" i="8"/>
  <c r="T135" i="8"/>
  <c r="K136" i="8"/>
  <c r="T137" i="8"/>
  <c r="K138" i="8"/>
  <c r="T139" i="8"/>
  <c r="K140" i="8"/>
  <c r="T141" i="8"/>
  <c r="K142" i="8"/>
  <c r="K144" i="8"/>
  <c r="K147" i="8"/>
  <c r="K149" i="8"/>
  <c r="K151" i="8"/>
  <c r="K153" i="8"/>
  <c r="K160" i="8"/>
  <c r="K162" i="8"/>
  <c r="K164" i="8"/>
  <c r="K166" i="8"/>
  <c r="K168" i="8"/>
  <c r="K170" i="8"/>
  <c r="K172" i="8"/>
  <c r="S116" i="8" l="1"/>
  <c r="Q116" i="8"/>
  <c r="S77" i="8"/>
  <c r="Q77" i="8"/>
  <c r="S147" i="8"/>
  <c r="Q147" i="8"/>
  <c r="S132" i="8"/>
  <c r="Q132" i="8"/>
  <c r="S85" i="8"/>
  <c r="Q85" i="8"/>
  <c r="S113" i="8"/>
  <c r="Q113" i="8"/>
  <c r="S104" i="8"/>
  <c r="Q104" i="8"/>
  <c r="S172" i="8"/>
  <c r="Q172" i="8"/>
  <c r="S142" i="8"/>
  <c r="Q142" i="8"/>
  <c r="S129" i="8"/>
  <c r="Q129" i="8"/>
  <c r="S99" i="8"/>
  <c r="Q99" i="8"/>
  <c r="S108" i="8"/>
  <c r="Q108" i="8"/>
  <c r="S137" i="8"/>
  <c r="Q137" i="8"/>
  <c r="S90" i="8"/>
  <c r="Q90" i="8"/>
  <c r="S105" i="8"/>
  <c r="Q105" i="8"/>
  <c r="S163" i="8"/>
  <c r="Q163" i="8"/>
  <c r="S155" i="8"/>
  <c r="Q155" i="8"/>
  <c r="S107" i="8"/>
  <c r="Q107" i="8"/>
  <c r="S109" i="8"/>
  <c r="Q109" i="8"/>
  <c r="S88" i="8"/>
  <c r="Q88" i="8"/>
  <c r="S92" i="8"/>
  <c r="Q92" i="8"/>
  <c r="S135" i="8"/>
  <c r="Q135" i="8"/>
  <c r="S120" i="8"/>
  <c r="Q120" i="8"/>
  <c r="S141" i="8"/>
  <c r="Q141" i="8"/>
  <c r="S171" i="8"/>
  <c r="Q171" i="8"/>
  <c r="S101" i="8"/>
  <c r="Q101" i="8"/>
  <c r="S95" i="8"/>
  <c r="Q95" i="8"/>
  <c r="S158" i="8"/>
  <c r="Q158" i="8"/>
  <c r="S133" i="8"/>
  <c r="Q133" i="8"/>
  <c r="S91" i="8"/>
  <c r="Q91" i="8"/>
  <c r="S157" i="8"/>
  <c r="Q157" i="8"/>
  <c r="S87" i="8"/>
  <c r="Q87" i="8"/>
  <c r="S115" i="8"/>
  <c r="Q115" i="8"/>
  <c r="S161" i="8"/>
  <c r="Q161" i="8"/>
  <c r="S80" i="8"/>
  <c r="Q80" i="8"/>
  <c r="S123" i="8"/>
  <c r="Q123" i="8"/>
  <c r="S138" i="8"/>
  <c r="Q138" i="8"/>
  <c r="S100" i="8"/>
  <c r="Q100" i="8"/>
  <c r="S118" i="8"/>
  <c r="Q118" i="8"/>
  <c r="S134" i="8"/>
  <c r="Q134" i="8"/>
  <c r="S96" i="8"/>
  <c r="Q96" i="8"/>
  <c r="S149" i="8"/>
  <c r="Q149" i="8"/>
  <c r="S140" i="8"/>
  <c r="Q140" i="8"/>
  <c r="S166" i="8"/>
  <c r="Q166" i="8"/>
  <c r="S164" i="8"/>
  <c r="Q164" i="8"/>
  <c r="S93" i="8"/>
  <c r="Q93" i="8"/>
  <c r="S162" i="8"/>
  <c r="Q162" i="8"/>
  <c r="S121" i="8"/>
  <c r="Q121" i="8"/>
  <c r="S110" i="8"/>
  <c r="Q110" i="8"/>
  <c r="S165" i="8"/>
  <c r="Q165" i="8"/>
  <c r="S86" i="8"/>
  <c r="Q86" i="8"/>
  <c r="S151" i="8"/>
  <c r="Q151" i="8"/>
  <c r="S144" i="8"/>
  <c r="Q144" i="8"/>
  <c r="S169" i="8"/>
  <c r="Q169" i="8"/>
  <c r="S170" i="8"/>
  <c r="Q170" i="8"/>
  <c r="S122" i="8"/>
  <c r="Q122" i="8"/>
  <c r="S79" i="8"/>
  <c r="Q79" i="8"/>
  <c r="S114" i="8"/>
  <c r="Q114" i="8"/>
  <c r="S127" i="8"/>
  <c r="Q127" i="8"/>
  <c r="S168" i="8"/>
  <c r="Q168" i="8"/>
  <c r="S160" i="8"/>
  <c r="Q160" i="8"/>
  <c r="S136" i="8"/>
  <c r="Q136" i="8"/>
  <c r="S119" i="8"/>
  <c r="Q119" i="8"/>
  <c r="S112" i="8"/>
  <c r="Q112" i="8"/>
  <c r="S82" i="8"/>
  <c r="Q82" i="8"/>
  <c r="S84" i="8"/>
  <c r="Q84" i="8"/>
  <c r="S78" i="8"/>
  <c r="Q78" i="8"/>
  <c r="S106" i="8"/>
  <c r="Q106" i="8"/>
  <c r="S130" i="8"/>
  <c r="Q130" i="8"/>
  <c r="S167" i="8"/>
  <c r="Q167" i="8"/>
  <c r="S153" i="8"/>
  <c r="Q153" i="8"/>
  <c r="S139" i="8"/>
  <c r="Q139" i="8"/>
  <c r="S125" i="8"/>
  <c r="Q125" i="8"/>
  <c r="S111" i="8"/>
  <c r="Q111" i="8"/>
  <c r="S97" i="8"/>
  <c r="Q97" i="8"/>
  <c r="S53" i="8"/>
  <c r="Q53" i="8"/>
  <c r="V173" i="8"/>
  <c r="AC15" i="8"/>
  <c r="AD15" i="8" s="1"/>
  <c r="S34" i="8"/>
  <c r="Q34" i="8"/>
  <c r="S48" i="8"/>
  <c r="Q48" i="8"/>
  <c r="S76" i="8"/>
  <c r="Q76" i="8"/>
  <c r="S44" i="8"/>
  <c r="Q44" i="8"/>
  <c r="S39" i="8"/>
  <c r="Q39" i="8"/>
  <c r="S63" i="8"/>
  <c r="Q63" i="8"/>
  <c r="S45" i="8"/>
  <c r="Q45" i="8"/>
  <c r="S52" i="8"/>
  <c r="Q52" i="8"/>
  <c r="S37" i="8"/>
  <c r="Q37" i="8"/>
  <c r="S46" i="8"/>
  <c r="Q46" i="8"/>
  <c r="S59" i="8"/>
  <c r="Q59" i="8"/>
  <c r="S57" i="8"/>
  <c r="Q57" i="8"/>
  <c r="S51" i="8"/>
  <c r="Q51" i="8"/>
  <c r="S55" i="8"/>
  <c r="Q55" i="8"/>
  <c r="S49" i="8"/>
  <c r="Q49" i="8"/>
  <c r="S60" i="8"/>
  <c r="Q60" i="8"/>
  <c r="S61" i="8"/>
  <c r="Q61" i="8"/>
  <c r="S43" i="8"/>
  <c r="Q43" i="8"/>
  <c r="S64" i="8"/>
  <c r="Q64" i="8"/>
  <c r="S36" i="8"/>
  <c r="Q36" i="8"/>
  <c r="S62" i="8"/>
  <c r="Q62" i="8"/>
  <c r="S42" i="8"/>
  <c r="Q42" i="8"/>
  <c r="AB143" i="8"/>
  <c r="AD143" i="8" s="1"/>
  <c r="S47" i="8"/>
  <c r="Q47" i="8"/>
  <c r="S41" i="8"/>
  <c r="Q41" i="8"/>
  <c r="S35" i="8"/>
  <c r="Q35" i="8"/>
  <c r="R17" i="8"/>
  <c r="S17" i="8" s="1"/>
  <c r="R22" i="8"/>
  <c r="S22" i="8" s="1"/>
  <c r="R24" i="8"/>
  <c r="S24" i="8" s="1"/>
  <c r="R15" i="8"/>
  <c r="S15" i="8" s="1"/>
  <c r="R20" i="8"/>
  <c r="S20" i="8" s="1"/>
  <c r="AC19" i="8"/>
  <c r="AD19" i="8" s="1"/>
  <c r="R26" i="8"/>
  <c r="S26" i="8" s="1"/>
  <c r="Q23" i="8"/>
  <c r="W174" i="8"/>
  <c r="W176" i="8" s="1"/>
  <c r="W29" i="8"/>
  <c r="AA174" i="8"/>
  <c r="AA30" i="8"/>
  <c r="AB30" i="8" s="1"/>
  <c r="AB31" i="8" s="1"/>
  <c r="Z174" i="8"/>
  <c r="Z29" i="8"/>
  <c r="Y28" i="8"/>
  <c r="Y174" i="8"/>
  <c r="Y175" i="8" s="1"/>
  <c r="Y178" i="8" s="1"/>
  <c r="U28" i="8"/>
  <c r="U174" i="8"/>
  <c r="X28" i="8"/>
  <c r="X174" i="8"/>
  <c r="AB156" i="8"/>
  <c r="AD156" i="8" s="1"/>
  <c r="AB22" i="8"/>
  <c r="T83" i="8"/>
  <c r="T102" i="8"/>
  <c r="T94" i="8"/>
  <c r="AD24" i="8"/>
  <c r="T126" i="8"/>
  <c r="AB152" i="8"/>
  <c r="AD152" i="8" s="1"/>
  <c r="T50" i="8"/>
  <c r="AB128" i="8"/>
  <c r="AD128" i="8" s="1"/>
  <c r="T76" i="8"/>
  <c r="T150" i="8"/>
  <c r="T169" i="8"/>
  <c r="AC21" i="8"/>
  <c r="AD21" i="8" s="1"/>
  <c r="T49" i="8"/>
  <c r="AC23" i="8"/>
  <c r="AD23" i="8" s="1"/>
  <c r="AC17" i="8"/>
  <c r="AD17" i="8" s="1"/>
  <c r="T148" i="8"/>
  <c r="T124" i="8"/>
  <c r="AC26" i="8"/>
  <c r="AD26" i="8" s="1"/>
  <c r="T161" i="8"/>
  <c r="T93" i="8"/>
  <c r="T57" i="8"/>
  <c r="AB56" i="8"/>
  <c r="AD56" i="8" s="1"/>
  <c r="T58" i="8"/>
  <c r="T54" i="8"/>
  <c r="AB38" i="8"/>
  <c r="AD38" i="8" s="1"/>
  <c r="T97" i="8"/>
  <c r="T165" i="8"/>
  <c r="AB81" i="8"/>
  <c r="AD81" i="8" s="1"/>
  <c r="T45" i="8"/>
  <c r="T163" i="8"/>
  <c r="T98" i="8"/>
  <c r="AB154" i="8"/>
  <c r="AD154" i="8" s="1"/>
  <c r="T171" i="8"/>
  <c r="T40" i="8"/>
  <c r="T146" i="8"/>
  <c r="T101" i="8"/>
  <c r="T167" i="8"/>
  <c r="T106" i="8"/>
  <c r="AB18" i="8"/>
  <c r="AB61" i="8"/>
  <c r="AD61" i="8" s="1"/>
  <c r="V27" i="8"/>
  <c r="AB63" i="8"/>
  <c r="AD63" i="8" s="1"/>
  <c r="T63" i="8"/>
  <c r="AB39" i="8"/>
  <c r="AD39" i="8" s="1"/>
  <c r="T39" i="8"/>
  <c r="AB108" i="8"/>
  <c r="AD108" i="8" s="1"/>
  <c r="T108" i="8"/>
  <c r="AB41" i="8"/>
  <c r="AD41" i="8" s="1"/>
  <c r="AB104" i="8"/>
  <c r="AD104" i="8" s="1"/>
  <c r="T104" i="8"/>
  <c r="T88" i="8"/>
  <c r="T80" i="8"/>
  <c r="T53" i="8"/>
  <c r="T37" i="8"/>
  <c r="T20" i="8"/>
  <c r="AB20" i="8"/>
  <c r="AB55" i="8"/>
  <c r="AD55" i="8" s="1"/>
  <c r="T55" i="8"/>
  <c r="AB99" i="8"/>
  <c r="AD99" i="8" s="1"/>
  <c r="T99" i="8"/>
  <c r="T84" i="8"/>
  <c r="AB112" i="8"/>
  <c r="AD112" i="8" s="1"/>
  <c r="AB95" i="8"/>
  <c r="AD95" i="8" s="1"/>
  <c r="T95" i="8"/>
  <c r="T16" i="8"/>
  <c r="AB16" i="8"/>
  <c r="AC16" i="8" s="1"/>
  <c r="AB110" i="8"/>
  <c r="AD110" i="8" s="1"/>
  <c r="T110" i="8"/>
  <c r="T82" i="8"/>
  <c r="AB82" i="8"/>
  <c r="AD82" i="8" s="1"/>
  <c r="T47" i="8"/>
  <c r="AB47" i="8"/>
  <c r="AD47" i="8" s="1"/>
  <c r="AB91" i="8"/>
  <c r="AD91" i="8" s="1"/>
  <c r="T91" i="8"/>
  <c r="AB86" i="8"/>
  <c r="AD86" i="8" s="1"/>
  <c r="T86" i="8"/>
  <c r="AB78" i="8"/>
  <c r="AD78" i="8" s="1"/>
  <c r="T78" i="8"/>
  <c r="AB59" i="8"/>
  <c r="AD59" i="8" s="1"/>
  <c r="T59" i="8"/>
  <c r="AB51" i="8"/>
  <c r="AD51" i="8" s="1"/>
  <c r="T51" i="8"/>
  <c r="AB43" i="8"/>
  <c r="AD43" i="8" s="1"/>
  <c r="T43" i="8"/>
  <c r="AB35" i="8"/>
  <c r="AD35" i="8" s="1"/>
  <c r="T35" i="8"/>
  <c r="T25" i="8"/>
  <c r="T173" i="8" l="1"/>
  <c r="AD173" i="8"/>
  <c r="AB27" i="8"/>
  <c r="AC22" i="8"/>
  <c r="AD22" i="8" s="1"/>
  <c r="R23" i="8"/>
  <c r="S23" i="8" s="1"/>
  <c r="X175" i="8"/>
  <c r="X178" i="8" s="1"/>
  <c r="V174" i="8"/>
  <c r="V175" i="8" s="1"/>
  <c r="V178" i="8" s="1"/>
  <c r="V28" i="8"/>
  <c r="AB28" i="8" s="1"/>
  <c r="Z176" i="8"/>
  <c r="Z178" i="8" s="1"/>
  <c r="AB29" i="8"/>
  <c r="AA177" i="8"/>
  <c r="AA178" i="8" s="1"/>
  <c r="AC30" i="8"/>
  <c r="AD30" i="8" s="1"/>
  <c r="W178" i="8"/>
  <c r="AB173" i="8"/>
  <c r="AC18" i="8"/>
  <c r="AD18" i="8" s="1"/>
  <c r="AC25" i="8"/>
  <c r="AD25" i="8" s="1"/>
  <c r="AD16" i="8"/>
  <c r="AC20" i="8"/>
  <c r="AD20" i="8" s="1"/>
  <c r="T27" i="8"/>
  <c r="T174" i="8" l="1"/>
  <c r="AB177" i="8"/>
  <c r="AD177" i="8" s="1"/>
  <c r="X5" i="9" s="1"/>
  <c r="AB174" i="8"/>
  <c r="AB176" i="8"/>
  <c r="AD176" i="8" s="1"/>
  <c r="W5" i="9" s="1"/>
  <c r="AC28" i="8"/>
  <c r="AC29" i="8"/>
  <c r="AD29" i="8" s="1"/>
  <c r="U175" i="8"/>
  <c r="AC27" i="8"/>
  <c r="AC174" i="8" s="1"/>
  <c r="AD27" i="8"/>
  <c r="AD28" i="8" l="1"/>
  <c r="AD31" i="8" s="1"/>
  <c r="AC31" i="8"/>
  <c r="AD174" i="8"/>
  <c r="AB175" i="8"/>
  <c r="AD175" i="8" l="1"/>
  <c r="V5" i="9" s="1"/>
  <c r="Y5" i="9" s="1"/>
  <c r="AB178" i="8"/>
  <c r="AD178" i="8" l="1"/>
</calcChain>
</file>

<file path=xl/sharedStrings.xml><?xml version="1.0" encoding="utf-8"?>
<sst xmlns="http://schemas.openxmlformats.org/spreadsheetml/2006/main" count="521" uniqueCount="297">
  <si>
    <t>„Valsts asinsdonoru centra maksas</t>
  </si>
  <si>
    <t xml:space="preserve">pakalpojumu cenrādis" sākotnējās (ex-ante) </t>
  </si>
  <si>
    <t xml:space="preserve">ietekmes novērtējuma ziņojumam (anotācijai) </t>
  </si>
  <si>
    <t>1.</t>
  </si>
  <si>
    <t>Mācību organizēšana</t>
  </si>
  <si>
    <t>1.1.</t>
  </si>
  <si>
    <t>1.2.</t>
  </si>
  <si>
    <t>1.3.</t>
  </si>
  <si>
    <t>1.4.</t>
  </si>
  <si>
    <t>1.5.</t>
  </si>
  <si>
    <t>1.6.</t>
  </si>
  <si>
    <t>1.7.</t>
  </si>
  <si>
    <t>1.8.</t>
  </si>
  <si>
    <t>1.9.</t>
  </si>
  <si>
    <t>1.10.</t>
  </si>
  <si>
    <t>1.11.</t>
  </si>
  <si>
    <t>1.12.</t>
  </si>
  <si>
    <t>2.</t>
  </si>
  <si>
    <t>2.1.</t>
  </si>
  <si>
    <t>Asins grupas noteikšana ABO sistēmā izmantojot plaknes metodi (tiešā reakcija)</t>
  </si>
  <si>
    <t>2.2.</t>
  </si>
  <si>
    <t>Vēnas punkcija ar 1 vakutaineri</t>
  </si>
  <si>
    <t>2.3.</t>
  </si>
  <si>
    <t>Vēnas punkcija ar 2 vai vairāk vakutaineriem</t>
  </si>
  <si>
    <t>2.4.</t>
  </si>
  <si>
    <t>Asins grupas noteikšana ABO sistēmā izmantojot plaknes metodi (dubultreakcija)</t>
  </si>
  <si>
    <t>2.5.</t>
  </si>
  <si>
    <t>A apakšgrupas (A1 un A2) precizēšana ABO sistēmā ar lektīniem, stobriņu metodi</t>
  </si>
  <si>
    <t>2.6.</t>
  </si>
  <si>
    <t>ABO asins grupas (dubultreakcija) un Rh (D) noteikšana ar gelkaršu metodi (karte ABO/D+reverse grouping)</t>
  </si>
  <si>
    <t>2.7.</t>
  </si>
  <si>
    <t>ABO asins grupas (tiešā reakcija) un RH(D) noteikšana ar gelkaršu metodi (karte DiaClon ABO/D)</t>
  </si>
  <si>
    <t>2.8.</t>
  </si>
  <si>
    <t>ABO asins grupas (tiešā reakcija) un RH(D) un DAT noteikšana ar gelkaršu metodi (karte DiaClon ABO/D+DAT)</t>
  </si>
  <si>
    <t>2.9.</t>
  </si>
  <si>
    <t>Rh(D) noteikšana ar plaknes metodi</t>
  </si>
  <si>
    <t>2.10.</t>
  </si>
  <si>
    <t>Rh fenotipa CcEe un Kell antigēna noteikšana ar gelkaršu metodi</t>
  </si>
  <si>
    <t>2.11.</t>
  </si>
  <si>
    <t>Eritrocitāra antigēna noteikšana ar gelkaršu metodi.</t>
  </si>
  <si>
    <t>2.12.</t>
  </si>
  <si>
    <t>Eritrocitāru antigēnu P1,Lea,Leb,Lua, Lub vai K,Kpa,Kpb,ka,kb kompleksa noteikšana ar gelkaršu metodi (ag profils I vai II)</t>
  </si>
  <si>
    <t>2.13.</t>
  </si>
  <si>
    <t>Eritrocitāru antigēnu M,N,S,s,Fya,Fyb kompleksa noteikšana ar gelkaršu metodi (ag profils III)</t>
  </si>
  <si>
    <t>2.14.</t>
  </si>
  <si>
    <t>D antigēna apstiprināšana ar gelkaršu metodi, netiešo antiglobulīna testu, ar karti Coombs anti IgG un parciālā D antigēna noteikšanas komplektu</t>
  </si>
  <si>
    <t>2.15.</t>
  </si>
  <si>
    <t>Antieritrocitāro antivielu skrīnings ar gelkaršu metodi, netiešo antiglobulīna testu (1/2 karte Liss Coombs)</t>
  </si>
  <si>
    <t>2.16.</t>
  </si>
  <si>
    <t>2.17.</t>
  </si>
  <si>
    <t>Antieritrocitāro antivielu identifikācija ar gelkaršu metodi, netiešais antiglobulīna tests (2 kartes Liss/Coombs)</t>
  </si>
  <si>
    <t>2.18.</t>
  </si>
  <si>
    <t>2.19.</t>
  </si>
  <si>
    <t>Antieritrocitāro antivielu identifikācija ar gelkaršu metodi, netiešais antiglobulīna tests izmantojot papildus paneli ID Dia Panel Plus (1 karte Liss /Coombs)</t>
  </si>
  <si>
    <t>2.20.</t>
  </si>
  <si>
    <t>Antieritrocitāro antivielu identifikācija ar gelkaršu metodi, netiešo antiglobulīna testu izmantojot papildus paneli "Column panel 16" (3 kartes Liss/Coombs)</t>
  </si>
  <si>
    <t>2.21.</t>
  </si>
  <si>
    <t>Recipienta un donora asins saderības tests ar gelkaršu metodi (netiešais antiglobulīna tests)- vienas eritrocītu masas saderināšanai</t>
  </si>
  <si>
    <t>2.22.</t>
  </si>
  <si>
    <t>Antieritrocitāro antivielu titrēšana ar gelkaršu metodi (1 antigēnu, 2 kartes Liss/Coombs)</t>
  </si>
  <si>
    <t>2.23.</t>
  </si>
  <si>
    <t>Antieritrocitāro antivielu titrēšana ar gelkaršu metodi (1 antigēnu, 1 karti Liss/Coombs)</t>
  </si>
  <si>
    <t>2.24.</t>
  </si>
  <si>
    <t>Hemolīzes tests 0 grupas standarteritrocītiem (Donāta -Landšteinera tests)</t>
  </si>
  <si>
    <t>2.25.</t>
  </si>
  <si>
    <t>Tiešais antiglobulīna tests (DAT) ar gelkaršu metodi</t>
  </si>
  <si>
    <t>2.26.</t>
  </si>
  <si>
    <t>2.27.</t>
  </si>
  <si>
    <t>2.28.</t>
  </si>
  <si>
    <t>Eluāta iegūšana no DAT pozitīviem eritrocītiem ar Dia Cidel</t>
  </si>
  <si>
    <t>2.29.</t>
  </si>
  <si>
    <t>Seruma autoadsorbcija ar PEG (divkārša)</t>
  </si>
  <si>
    <t>2.30.</t>
  </si>
  <si>
    <t>Seruma alloadsorbcija ar PEG (divkārša)</t>
  </si>
  <si>
    <t>2.31.</t>
  </si>
  <si>
    <t>Seruma alloadsorbcija ar enzīmiem apstrādātiem eritrocītiem (bez skrīninga un identifikācijas)</t>
  </si>
  <si>
    <t>2.32.</t>
  </si>
  <si>
    <t>Izmeklējamo eritrocītu atmazgāšana imūnhenatoloģiskiem testiem (trīskārša)</t>
  </si>
  <si>
    <t>3.</t>
  </si>
  <si>
    <t>Laboratorijas pakalpojumi- neatliekami- materiāls saņemts pēc plkst. 12:00, izmeklējums veikts tajā pašā dienā līdz plkst.17:00 (piemaksa par steidzamību)</t>
  </si>
  <si>
    <t>3.1.</t>
  </si>
  <si>
    <t>3.2.</t>
  </si>
  <si>
    <t>3.3.</t>
  </si>
  <si>
    <t>3.4.</t>
  </si>
  <si>
    <t>3.5.</t>
  </si>
  <si>
    <t>3.6.</t>
  </si>
  <si>
    <t>3.7.</t>
  </si>
  <si>
    <t>3.8.</t>
  </si>
  <si>
    <t>3.9.</t>
  </si>
  <si>
    <t>3.10.</t>
  </si>
  <si>
    <t>3.11.</t>
  </si>
  <si>
    <t>3.12.</t>
  </si>
  <si>
    <t>3.13.</t>
  </si>
  <si>
    <t>4.</t>
  </si>
  <si>
    <t>4.1.</t>
  </si>
  <si>
    <t>4.2.</t>
  </si>
  <si>
    <t>4.3.</t>
  </si>
  <si>
    <t>4.4.</t>
  </si>
  <si>
    <t>4.5.</t>
  </si>
  <si>
    <t>4.6.</t>
  </si>
  <si>
    <t>4.7.</t>
  </si>
  <si>
    <t>4.8.</t>
  </si>
  <si>
    <t>4.9.</t>
  </si>
  <si>
    <t>4.10.</t>
  </si>
  <si>
    <t>4.11.</t>
  </si>
  <si>
    <t>4.12.</t>
  </si>
  <si>
    <t>5.</t>
  </si>
  <si>
    <t>5.1.</t>
  </si>
  <si>
    <t>5.2.</t>
  </si>
  <si>
    <t>5.3.</t>
  </si>
  <si>
    <t>5.4.</t>
  </si>
  <si>
    <t>5.5.</t>
  </si>
  <si>
    <t>5.6.</t>
  </si>
  <si>
    <t>5.7.</t>
  </si>
  <si>
    <t>5.8.</t>
  </si>
  <si>
    <t>5.9.</t>
  </si>
  <si>
    <t>5.10.</t>
  </si>
  <si>
    <t>5.11.</t>
  </si>
  <si>
    <t>5.12.</t>
  </si>
  <si>
    <t>5.13.</t>
  </si>
  <si>
    <t>6.</t>
  </si>
  <si>
    <t>6.1.</t>
  </si>
  <si>
    <t>6.2.</t>
  </si>
  <si>
    <t>6.3.</t>
  </si>
  <si>
    <t>6.4.</t>
  </si>
  <si>
    <t>6.5.</t>
  </si>
  <si>
    <t>6.6.</t>
  </si>
  <si>
    <t>6.7.</t>
  </si>
  <si>
    <t>6.8.</t>
  </si>
  <si>
    <t>6.9.</t>
  </si>
  <si>
    <t>6.10.</t>
  </si>
  <si>
    <t>6.11.</t>
  </si>
  <si>
    <t>6.12.</t>
  </si>
  <si>
    <t>6.13.</t>
  </si>
  <si>
    <t>Kopā</t>
  </si>
  <si>
    <t>Asins grupas noteikšana ABO sistēmā izmantojot plaknes metodi (dubultreakcija)-neatliekami</t>
  </si>
  <si>
    <t>ABO asins grupas (dubultreakcija) un Rh (D) noteikšana ar gelkaršu metodi (karte ABO/D+reverse grouping)-neatliekami</t>
  </si>
  <si>
    <t>Rh(D) noteikšana ar plaknes metodi-neatliekami</t>
  </si>
  <si>
    <t>Rh fenotipa CcEe un Kell antigēna noteikšana ar gelkaršu metodi-neatliekami</t>
  </si>
  <si>
    <t>Antieritrocitāro antivielu skrīnings ar gelkaršu metodi, netiešo antiglobulīna testu (1/2 karte Liss Coombs)-neatliekami</t>
  </si>
  <si>
    <t>Antieritrocitāro antivielu identifikācija ar gelkaršu metodi, netiešais antiglobulīna tests (2 kartes Liss/Coombs)-neatliekami</t>
  </si>
  <si>
    <t>Antieritrocitāro antivielu identifikācija ar gelkaršu metodi, netiešais antiglobulīna tests izmantojot papildus paneli ID Dia Panel Plus (1 karte Liss /Coombs)-neatliekami</t>
  </si>
  <si>
    <t>Antieritrocitāro antivielu identifikācija ar gelkaršu metodi, netiešo antiglobulīna testu izmantojot papildus paneli "Column panel 16" (3 kartes Liss/Coombs)-neatliekami</t>
  </si>
  <si>
    <t>Recipienta un donora asins saderības tests ar gelkaršu metodi (netiešais antiglobulīna tests)- vienas eritrocītu masas saderināšanai-neatliekami</t>
  </si>
  <si>
    <t>Tiešais antiglobulīna tests (DAT) ar gelkaršu metodi-neatliekami</t>
  </si>
  <si>
    <t>Eluāta iegūšana no DAT pozitīviem eritrocītiem ar Dia Cidel-neatliekami</t>
  </si>
  <si>
    <t>Asins grupas noteikšana ABO sistēmā izmantojot plaknes metodi (dubultreakcija)-virsstundas</t>
  </si>
  <si>
    <t>Rh(D) noteikšana ar plaknes metodi-virsstundas</t>
  </si>
  <si>
    <t>Rh fenotipa CcEe un Kell antigēna noteikšana ar gelkaršu metodi-virsstundas</t>
  </si>
  <si>
    <t>Antieritrocitāro antivielu skrīnings ar gelkaršu metodi, netiešo antiglobulīna testu (1/2 karte Liss Coombs)-virsstundas</t>
  </si>
  <si>
    <t>Antieritrocitāro antivielu identifikācija ar gelkaršu metodi, netiešais antiglobulīna tests (2 kartes Liss/Coombs)-virsstundas</t>
  </si>
  <si>
    <t>Antieritrocitāro antivielu identifikācija ar gelkaršu metodi, netiešais antiglobulīna tests izmantojot papildus paneli ID Dia Panel Plus (1 karte Liss /Coombs)-virsstundas</t>
  </si>
  <si>
    <t>Antieritrocitāro antivielu identifikācija ar gelkaršu metodi, netiešo antiglobulīna testu izmantojot papildus paneli "Column panel 16" (3 kartes Liss/Coombs)-virsstundas</t>
  </si>
  <si>
    <t>Recipienta un donora asins saderības tests ar gelkaršu metodi (netiešais antiglobulīna tests)- vienas eritrocītu masas saderināšanai-virsstundas</t>
  </si>
  <si>
    <t>Tiešais antiglobulīna tests (DAT) ar gelkaršu metodi-virsstundas</t>
  </si>
  <si>
    <t>Eluāta iegūšana no DAT pozitīviem eritrocītiem ar Dia Cidel-virsstundas</t>
  </si>
  <si>
    <t>ABO asins grupas (dubultreakcija) un Rh (D) noteikšana ar gelkaršu metodi (karte ABO/D+reverse grouping)-virsstundas</t>
  </si>
  <si>
    <t xml:space="preserve">Tiešās izmaksas </t>
  </si>
  <si>
    <t>Netiešās izmaksas       2000 EKK</t>
  </si>
  <si>
    <t>Netiešās izmaksas       5000 EKK</t>
  </si>
  <si>
    <t>7.1.</t>
  </si>
  <si>
    <t>7.2.</t>
  </si>
  <si>
    <t>7.3.</t>
  </si>
  <si>
    <t>7.4.</t>
  </si>
  <si>
    <t>7.5.</t>
  </si>
  <si>
    <t>7.6.</t>
  </si>
  <si>
    <t>7.7.</t>
  </si>
  <si>
    <t>7.13.</t>
  </si>
  <si>
    <t>7.12.</t>
  </si>
  <si>
    <t>7.11.</t>
  </si>
  <si>
    <t>7.10.</t>
  </si>
  <si>
    <t>7.9.</t>
  </si>
  <si>
    <t>7.8.</t>
  </si>
  <si>
    <t>4.13.</t>
  </si>
  <si>
    <t>Laboratorijas pakalpojumi- sniegti darba laikā</t>
  </si>
  <si>
    <t>Cena, EUR</t>
  </si>
  <si>
    <t xml:space="preserve">Laboratorijas pakalpojumi- izmeklējums veikts naktī no plkst. 22:00-6:00- 8 stundas (dežūra darba dienā, piemaksa par nakts darbu), atlīdzība par "izsaukuma gatavību" darba dienās- no plkst.17:00 līdz plkst.08:00- 15 stundas                   </t>
  </si>
  <si>
    <t>Recipienta un donora asins saderības tests ar gelkaršu metodi (netiešais antiglobulīna tests)- vienas eritrocītu masas saderināšana</t>
  </si>
  <si>
    <t xml:space="preserve">Laboratorijas pakalpojumi- izmeklējums veikts  brīvdienā no plkst. 08:00 līdz 08:00 ( piemaksa par virsstundu darbu brīvdienās), atlīdzība par "izsaukuma gatavību"  brīvdienās par laika periodu no plkst. 08:00 līdz plkst. 08:00- 24 stundas       </t>
  </si>
  <si>
    <t xml:space="preserve">Laboratorijas pakalpojumi- izmeklējums veikts brīvdienās- naktī no plkst. 22:00 līdz 06:00- 8 stundas (virsstundas, piemaksa par nakts darbu), "izsaukuma gatavība" brīvdienās- no plkst. 08:00 līdz plkst. 08:00- 24 stundas           </t>
  </si>
  <si>
    <t>8.1.</t>
  </si>
  <si>
    <t>8.2.</t>
  </si>
  <si>
    <t>8.3.</t>
  </si>
  <si>
    <t>8.4.</t>
  </si>
  <si>
    <t>8.5.</t>
  </si>
  <si>
    <t>8.6.</t>
  </si>
  <si>
    <t>8.7.</t>
  </si>
  <si>
    <t>8.8.</t>
  </si>
  <si>
    <t>8.9.</t>
  </si>
  <si>
    <t>8.10.</t>
  </si>
  <si>
    <t>8.11.</t>
  </si>
  <si>
    <t>8.12.</t>
  </si>
  <si>
    <t>8.13.</t>
  </si>
  <si>
    <t xml:space="preserve">Laboratorijas pakalpojumi- izmeklējums veikts svētku dienā no plkst. 8:00 līdz 22:00 (dežūra svētku dienā, piemaksa par virsstundu darbu svētku dienā), "izsaukuma gatavība" no plkst. 08:00 līdz plkst.08:00- 24 stundas                                         </t>
  </si>
  <si>
    <t>7.</t>
  </si>
  <si>
    <t>8.</t>
  </si>
  <si>
    <t>9.</t>
  </si>
  <si>
    <t>9.1.</t>
  </si>
  <si>
    <t>9.2.</t>
  </si>
  <si>
    <t>9.3.</t>
  </si>
  <si>
    <t>9.4.</t>
  </si>
  <si>
    <t>9.5.</t>
  </si>
  <si>
    <t>9.6.</t>
  </si>
  <si>
    <t>9.7.</t>
  </si>
  <si>
    <t>9.8.</t>
  </si>
  <si>
    <t>9.9.</t>
  </si>
  <si>
    <t>9.10.</t>
  </si>
  <si>
    <t>9.11.</t>
  </si>
  <si>
    <t>9.12.</t>
  </si>
  <si>
    <t>9.13.</t>
  </si>
  <si>
    <t xml:space="preserve">Laboratorijas pakalpojumi-  izmeklējums veikts  svētku dienā no plkst. 22:00 līdz 06:00- 8 stundas (dežūra svētku dienā, piemaksa par nakts darbu,  piemaksa par virsstundu darbu svētku dienā), "izsaukuma gatavība" no plkst.08:00 līdz plkst. 08:00- 24 stundas                                                     </t>
  </si>
  <si>
    <t>Tiešā antiglobulīna testa diferencēšana (IgG, C3d, ctl) ar gelkaršu metodi</t>
  </si>
  <si>
    <t>Tiešā antiglobulīna testa diferencēšana (IgG, IgA, IgM, C3c, C3d, ctl) ar gelkaršu metodi</t>
  </si>
  <si>
    <t>Tiešā antiglobulīna testa diferencēšana (IgG, C3d, ctl) ar gelkaršu metodi- neatliekami</t>
  </si>
  <si>
    <t>Tiešā antiglobulīna testa diferencēšana (IgG, C3d, ctl) ar gelkaršu metodi-virsstundas</t>
  </si>
  <si>
    <t xml:space="preserve">Laboratorijas pakalpojumi-  izmeklējums veikts tajā pašā darba dienā no plkst. 17:00 līdz 22:00 (dežūra darba dienā, virsstundas), "izsaukuma gatavība" darba dienās no plkst.17:00 līdz plkst. 08:00- 15 stundas                    </t>
  </si>
  <si>
    <t xml:space="preserve">Kursi “Imūnhematoloģija kvalifikācijas uzturēšanai” (16 akadēmiskās stundas) </t>
  </si>
  <si>
    <t>Lekcija Valsts asinsdonoru centrā (1 akadēmiskā stunda) 10 dalībnieki</t>
  </si>
  <si>
    <t xml:space="preserve">Lekcija Valsts asinsdonoru centrā  ar vieslektoru (1 akadēmiskā stunda) </t>
  </si>
  <si>
    <t>Izbraukuma kursi Rīgā “Transfuzioloģija un imūnhematoloģija” (12 akadēmiskās stundas)</t>
  </si>
  <si>
    <t>Izbraukuma kursi ārpus Rīgas “Transfuzioloģija un imūnhematoloģija” (12 akadēmiskās stundas)</t>
  </si>
  <si>
    <t>Vebinārs (1 akadēmiskā stunda)</t>
  </si>
  <si>
    <t>Vebinārs (12 akadēmiskās stundas)</t>
  </si>
  <si>
    <t>Vebinārs (12 akadēmiskās stundas) 10 dalībnieki</t>
  </si>
  <si>
    <t>Atalgojums EKK1100</t>
  </si>
  <si>
    <t>Darba devēja valsts sociālās apdrošināšanas obligātās iemaksas 23,59% EKK1210</t>
  </si>
  <si>
    <t>PVN 21%</t>
  </si>
  <si>
    <t>Preces un pakalpojumi       2000 EKK</t>
  </si>
  <si>
    <t>Kapitālie izdevumi  EKK5000</t>
  </si>
  <si>
    <t xml:space="preserve">   Netiešās izmaksas      </t>
  </si>
  <si>
    <t>Kopā sadaļa "Mācību organizēšana"</t>
  </si>
  <si>
    <t>Kopā tiešās un netiešās izmaksas</t>
  </si>
  <si>
    <t>Ieņēmumi/izdevumi bez PVN 21%</t>
  </si>
  <si>
    <t>Mērvienība</t>
  </si>
  <si>
    <t xml:space="preserve">Pakalpojumu skaits </t>
  </si>
  <si>
    <t>1 dalībnieks</t>
  </si>
  <si>
    <t>1 kurss</t>
  </si>
  <si>
    <t>1 izmeklējums</t>
  </si>
  <si>
    <t>Izdevumi ar  PVN 21%, kopā</t>
  </si>
  <si>
    <t>Ieņēmumi ar PVN 21%, kopā</t>
  </si>
  <si>
    <t>Nr.p.k.</t>
  </si>
  <si>
    <t>Pakalpojuma veids</t>
  </si>
  <si>
    <t>Kopā sadaļa "Laboratorijas pakalpojumi"</t>
  </si>
  <si>
    <t xml:space="preserve">                   Ministru kabineta noteikumu projekta</t>
  </si>
  <si>
    <t xml:space="preserve">                     "Valsts asinsdonoru centrs" anotācijai</t>
  </si>
  <si>
    <t>Darba devēja valsts soc. apdroš. oblig.iemaksas,  23,59%, EKK1210</t>
  </si>
  <si>
    <t>Plānotie ieņēmumi sadalījumā pa EKK 2022.g.</t>
  </si>
  <si>
    <t>Plānotie ieņēmumi sadalījumā pa EKK 2023.g.</t>
  </si>
  <si>
    <t>Plānotie ieņēmumi sadalījumā pa EKK 2017.g.</t>
  </si>
  <si>
    <t xml:space="preserve">Preces un pakalpojumi EKK2000 (EKK2341) </t>
  </si>
  <si>
    <t>Atlīdzība EKK1000</t>
  </si>
  <si>
    <t>Preces un pakalpojumi EKK2000</t>
  </si>
  <si>
    <t>t.sk.</t>
  </si>
  <si>
    <t>Kapitālie izdevumi EKK5000</t>
  </si>
  <si>
    <t>2.33.</t>
  </si>
  <si>
    <t>2.34.</t>
  </si>
  <si>
    <t>2.35.</t>
  </si>
  <si>
    <t>2.36.</t>
  </si>
  <si>
    <t>2.37.</t>
  </si>
  <si>
    <t>2.38.</t>
  </si>
  <si>
    <t>2.39.</t>
  </si>
  <si>
    <t>2.40.</t>
  </si>
  <si>
    <t>2.41.</t>
  </si>
  <si>
    <t>2.42.</t>
  </si>
  <si>
    <t>Asins grupas apgrieztās reakcijas (netiešā reakcija) noteikšana ar NaCl enzīmu kartēm un O A1 B standarteritrocītiem (izmanto 1/2 NaCl enzyme kartes)</t>
  </si>
  <si>
    <t>Anti-HIV 1/2 un p 24 Ag noteikšana</t>
  </si>
  <si>
    <t>HBsAg noteikšana (kvalitatīvi, bez apstiprināšanas)</t>
  </si>
  <si>
    <t>Anti-HCV noteikšana</t>
  </si>
  <si>
    <t>Anti- Treponema pallidum antivielu IgG/IgM noteikšana</t>
  </si>
  <si>
    <t>Vīrusu HCV-RNS, HBV-DNS un HIV-RNS noteikšana ar nukleīnskābju amplifikācijas testu (NAT)- skrīnings</t>
  </si>
  <si>
    <t>HCV-RNS noteikšana ar nukleīnskābju amplifikācijas testu (NAT)</t>
  </si>
  <si>
    <t>HIV-RNS noteikšana ar nukleīnskābju amplifikācijas testu (NAT)</t>
  </si>
  <si>
    <t>HBV-DNS noteikšana ar nukleīnskābju amplifikācijas testu (NAT)</t>
  </si>
  <si>
    <t>Atalgojums EKK 1100</t>
  </si>
  <si>
    <t xml:space="preserve">Kursi “Imūnhematoloģijas pamati” (70 akadēmiskās stundas,t.sk. 40 vebinārs un 30 praktiskās) </t>
  </si>
  <si>
    <t xml:space="preserve">Kursi “Transfuzioloģija Asins dienesta ārstniecības personām” (24 akadēmiskās stundas) </t>
  </si>
  <si>
    <t xml:space="preserve">Kursi “Transfuzioloģijas pamati” (12 akadēmiskās stundas) </t>
  </si>
  <si>
    <t xml:space="preserve">Vebinārs (16 akadēmiskās stundas) </t>
  </si>
  <si>
    <t>Plānotie ieņēmumi sadalījumā pa EKK 2025.g.</t>
  </si>
  <si>
    <t>4.pielikums</t>
  </si>
  <si>
    <t>Ieņēmumu un izdevumu prognoze</t>
  </si>
  <si>
    <t xml:space="preserve">NAT skrīnings ar atšifrēšanu </t>
  </si>
  <si>
    <t>Plānotie ieņēmumi sadalījumā pa EKK 2024.g.</t>
  </si>
  <si>
    <t>Plānotie ieņēmumi sadalījumā pa EKK 2026.g.</t>
  </si>
  <si>
    <t>Netiešās izmaksas Kopā</t>
  </si>
  <si>
    <t>Tiešās izmaksas Kopā</t>
  </si>
  <si>
    <t xml:space="preserve">   Ieņēmumi pa ekonomiskās klasifikācijas kodiem</t>
  </si>
  <si>
    <t xml:space="preserve">   Netiešās izmaksas    </t>
  </si>
  <si>
    <t>Zāles, ķimikālijas, laboratorijas preces EKK2341</t>
  </si>
  <si>
    <r>
      <t>Cena bez PVN (</t>
    </r>
    <r>
      <rPr>
        <i/>
        <sz val="10"/>
        <color theme="1"/>
        <rFont val="Times New Roman"/>
        <family val="1"/>
      </rPr>
      <t>euro</t>
    </r>
    <r>
      <rPr>
        <sz val="10"/>
        <color theme="1"/>
        <rFont val="Times New Roman"/>
        <family val="1"/>
      </rPr>
      <t>)</t>
    </r>
  </si>
  <si>
    <r>
      <t xml:space="preserve"> PVN (</t>
    </r>
    <r>
      <rPr>
        <i/>
        <sz val="10"/>
        <color theme="1"/>
        <rFont val="Times New Roman"/>
        <family val="1"/>
      </rPr>
      <t>euro</t>
    </r>
    <r>
      <rPr>
        <sz val="10"/>
        <color theme="1"/>
        <rFont val="Times New Roman"/>
        <family val="1"/>
      </rPr>
      <t>)</t>
    </r>
  </si>
  <si>
    <r>
      <t>Cena ar PVN (</t>
    </r>
    <r>
      <rPr>
        <i/>
        <sz val="10"/>
        <color theme="1"/>
        <rFont val="Times New Roman"/>
        <family val="1"/>
      </rPr>
      <t>euro</t>
    </r>
    <r>
      <rPr>
        <sz val="10"/>
        <color theme="1"/>
        <rFont val="Times New Roman"/>
        <family val="1"/>
      </rPr>
      <t>)</t>
    </r>
  </si>
  <si>
    <r>
      <t>Antieritrocitāro antivielu identifikācija (37</t>
    </r>
    <r>
      <rPr>
        <vertAlign val="superscript"/>
        <sz val="10"/>
        <color theme="1"/>
        <rFont val="Times New Roman"/>
        <family val="1"/>
      </rPr>
      <t xml:space="preserve">o </t>
    </r>
    <r>
      <rPr>
        <sz val="10"/>
        <color theme="1"/>
        <rFont val="Times New Roman"/>
        <family val="1"/>
      </rPr>
      <t>vai 4</t>
    </r>
    <r>
      <rPr>
        <vertAlign val="superscript"/>
        <sz val="10"/>
        <color theme="1"/>
        <rFont val="Times New Roman"/>
        <family val="1"/>
      </rPr>
      <t>o</t>
    </r>
    <r>
      <rPr>
        <sz val="10"/>
        <color theme="1"/>
        <rFont val="Times New Roman"/>
        <family val="1"/>
      </rPr>
      <t>, vai 20</t>
    </r>
    <r>
      <rPr>
        <vertAlign val="superscript"/>
        <sz val="10"/>
        <color theme="1"/>
        <rFont val="Times New Roman"/>
        <family val="1"/>
      </rPr>
      <t>o)</t>
    </r>
    <r>
      <rPr>
        <sz val="10"/>
        <color theme="1"/>
        <rFont val="Times New Roman"/>
        <family val="1"/>
      </rPr>
      <t>ar gelkaršu metodi, enzīmu testu (2 kartes Na Cl enzyme)</t>
    </r>
  </si>
  <si>
    <r>
      <t>Antieritrocitāro antivielu skrīnings (37</t>
    </r>
    <r>
      <rPr>
        <vertAlign val="superscript"/>
        <sz val="10"/>
        <color theme="1"/>
        <rFont val="Times New Roman"/>
        <family val="1"/>
      </rPr>
      <t>o</t>
    </r>
    <r>
      <rPr>
        <sz val="10"/>
        <color theme="1"/>
        <rFont val="Times New Roman"/>
        <family val="1"/>
      </rPr>
      <t>vai 4</t>
    </r>
    <r>
      <rPr>
        <vertAlign val="superscript"/>
        <sz val="10"/>
        <color theme="1"/>
        <rFont val="Times New Roman"/>
        <family val="1"/>
      </rPr>
      <t>o</t>
    </r>
    <r>
      <rPr>
        <sz val="10"/>
        <color theme="1"/>
        <rFont val="Times New Roman"/>
        <family val="1"/>
      </rPr>
      <t xml:space="preserve"> , vai 20</t>
    </r>
    <r>
      <rPr>
        <vertAlign val="superscript"/>
        <sz val="10"/>
        <color theme="1"/>
        <rFont val="Times New Roman"/>
        <family val="1"/>
      </rPr>
      <t>o</t>
    </r>
    <r>
      <rPr>
        <sz val="10"/>
        <color theme="1"/>
        <rFont val="Times New Roman"/>
        <family val="1"/>
      </rPr>
      <t>)</t>
    </r>
    <r>
      <rPr>
        <vertAlign val="superscript"/>
        <sz val="10"/>
        <color theme="1"/>
        <rFont val="Times New Roman"/>
        <family val="1"/>
      </rPr>
      <t xml:space="preserve"> </t>
    </r>
    <r>
      <rPr>
        <sz val="10"/>
        <color theme="1"/>
        <rFont val="Times New Roman"/>
        <family val="1"/>
      </rPr>
      <t>ar gelkaršu metodi ,enzīmu testu (1/2 karte Na Cl enzyme)</t>
    </r>
  </si>
  <si>
    <r>
      <t>Antieritrocitāro antivielu identifikācija (37</t>
    </r>
    <r>
      <rPr>
        <vertAlign val="superscript"/>
        <sz val="10"/>
        <color theme="1"/>
        <rFont val="Times New Roman"/>
        <family val="1"/>
      </rPr>
      <t xml:space="preserve">o </t>
    </r>
    <r>
      <rPr>
        <sz val="10"/>
        <color theme="1"/>
        <rFont val="Times New Roman"/>
        <family val="1"/>
      </rPr>
      <t>vai 4</t>
    </r>
    <r>
      <rPr>
        <vertAlign val="superscript"/>
        <sz val="10"/>
        <color theme="1"/>
        <rFont val="Times New Roman"/>
        <family val="1"/>
      </rPr>
      <t>o</t>
    </r>
    <r>
      <rPr>
        <sz val="10"/>
        <color theme="1"/>
        <rFont val="Times New Roman"/>
        <family val="1"/>
      </rPr>
      <t>, vai 20</t>
    </r>
    <r>
      <rPr>
        <vertAlign val="superscript"/>
        <sz val="10"/>
        <color theme="1"/>
        <rFont val="Times New Roman"/>
        <family val="1"/>
      </rPr>
      <t>o)</t>
    </r>
    <r>
      <rPr>
        <sz val="10"/>
        <color theme="1"/>
        <rFont val="Times New Roman"/>
        <family val="1"/>
      </rPr>
      <t>ar gelkaršu metodi, enzīmu testu (2 kartes Na Cl enzyme)-neatliekami</t>
    </r>
  </si>
  <si>
    <r>
      <t>Antieritrocitāro antivielu identifikācija (37</t>
    </r>
    <r>
      <rPr>
        <vertAlign val="superscript"/>
        <sz val="10"/>
        <color theme="1"/>
        <rFont val="Times New Roman"/>
        <family val="1"/>
      </rPr>
      <t xml:space="preserve">o </t>
    </r>
    <r>
      <rPr>
        <sz val="10"/>
        <color theme="1"/>
        <rFont val="Times New Roman"/>
        <family val="1"/>
      </rPr>
      <t>vai 4</t>
    </r>
    <r>
      <rPr>
        <vertAlign val="superscript"/>
        <sz val="10"/>
        <color theme="1"/>
        <rFont val="Times New Roman"/>
        <family val="1"/>
      </rPr>
      <t>o</t>
    </r>
    <r>
      <rPr>
        <sz val="10"/>
        <color theme="1"/>
        <rFont val="Times New Roman"/>
        <family val="1"/>
      </rPr>
      <t>, vai 20</t>
    </r>
    <r>
      <rPr>
        <vertAlign val="superscript"/>
        <sz val="10"/>
        <color theme="1"/>
        <rFont val="Times New Roman"/>
        <family val="1"/>
      </rPr>
      <t>o)</t>
    </r>
    <r>
      <rPr>
        <sz val="10"/>
        <color theme="1"/>
        <rFont val="Times New Roman"/>
        <family val="1"/>
      </rPr>
      <t>ar gelkaršu metodi, enzīmu testu (2 kartes Na Cl enzyme)-virsstundas</t>
    </r>
  </si>
  <si>
    <t xml:space="preserve">         Izdevumi pa ekonomiskās klasifikācijas kodiem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</si>
</sst>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b/>
      <sz val="10"/>
      <color theme="1"/>
      <name val="Times New Roman"/>
      <family val="1"/>
      <charset val="186"/>
    </font>
    <font>
      <u/>
      <sz val="11"/>
      <color theme="10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i/>
      <sz val="10"/>
      <color theme="1"/>
      <name val="Times New Roman"/>
      <family val="1"/>
    </font>
    <font>
      <sz val="10"/>
      <color rgb="FF000000"/>
      <name val="Times New Roman"/>
      <family val="1"/>
    </font>
    <font>
      <b/>
      <sz val="10"/>
      <color rgb="FF000000"/>
      <name val="Times New Roman"/>
      <family val="1"/>
    </font>
    <font>
      <vertAlign val="superscript"/>
      <sz val="10"/>
      <color theme="1"/>
      <name val="Times New Roman"/>
      <family val="1"/>
    </font>
    <font>
      <u/>
      <sz val="10"/>
      <color theme="10"/>
      <name val="Times New Roman"/>
      <family val="1"/>
    </font>
    <font>
      <sz val="10"/>
      <color rgb="FFFF0000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59999389629810485"/>
        <bgColor indexed="64"/>
      </patternFill>
    </fill>
  </fills>
  <borders count="5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225">
    <xf numFmtId="0" fontId="0" fillId="0" borderId="0" xfId="0"/>
    <xf numFmtId="0" fontId="1" fillId="0" borderId="1" xfId="0" applyFont="1" applyBorder="1" applyAlignment="1">
      <alignment horizontal="right"/>
    </xf>
    <xf numFmtId="0" fontId="1" fillId="0" borderId="6" xfId="0" applyFont="1" applyBorder="1" applyAlignment="1">
      <alignment horizontal="right"/>
    </xf>
    <xf numFmtId="0" fontId="1" fillId="0" borderId="37" xfId="0" applyFont="1" applyBorder="1" applyAlignment="1">
      <alignment horizontal="right"/>
    </xf>
    <xf numFmtId="3" fontId="1" fillId="0" borderId="38" xfId="0" applyNumberFormat="1" applyFont="1" applyBorder="1" applyAlignment="1">
      <alignment horizontal="right"/>
    </xf>
    <xf numFmtId="3" fontId="1" fillId="0" borderId="39" xfId="0" applyNumberFormat="1" applyFont="1" applyBorder="1" applyAlignment="1">
      <alignment horizontal="right"/>
    </xf>
    <xf numFmtId="3" fontId="2" fillId="0" borderId="40" xfId="0" applyNumberFormat="1" applyFont="1" applyBorder="1" applyAlignment="1">
      <alignment horizontal="right"/>
    </xf>
    <xf numFmtId="3" fontId="0" fillId="0" borderId="0" xfId="0" applyNumberFormat="1"/>
    <xf numFmtId="3" fontId="5" fillId="0" borderId="0" xfId="0" applyNumberFormat="1" applyFont="1"/>
    <xf numFmtId="4" fontId="6" fillId="0" borderId="0" xfId="0" applyNumberFormat="1" applyFont="1" applyAlignment="1">
      <alignment horizontal="right"/>
    </xf>
    <xf numFmtId="4" fontId="6" fillId="0" borderId="0" xfId="0" applyNumberFormat="1" applyFont="1" applyAlignment="1">
      <alignment horizontal="left"/>
    </xf>
    <xf numFmtId="4" fontId="6" fillId="0" borderId="0" xfId="0" applyNumberFormat="1" applyFont="1"/>
    <xf numFmtId="4" fontId="7" fillId="0" borderId="1" xfId="0" applyNumberFormat="1" applyFont="1" applyBorder="1" applyAlignment="1">
      <alignment horizontal="center" vertical="center" wrapText="1"/>
    </xf>
    <xf numFmtId="4" fontId="7" fillId="3" borderId="4" xfId="0" applyNumberFormat="1" applyFont="1" applyFill="1" applyBorder="1" applyAlignment="1">
      <alignment horizontal="center" vertical="center"/>
    </xf>
    <xf numFmtId="4" fontId="8" fillId="3" borderId="14" xfId="0" applyNumberFormat="1" applyFont="1" applyFill="1" applyBorder="1" applyAlignment="1">
      <alignment horizontal="center" vertical="top"/>
    </xf>
    <xf numFmtId="4" fontId="8" fillId="3" borderId="9" xfId="0" applyNumberFormat="1" applyFont="1" applyFill="1" applyBorder="1" applyAlignment="1">
      <alignment horizontal="center" vertical="top"/>
    </xf>
    <xf numFmtId="4" fontId="8" fillId="3" borderId="16" xfId="0" applyNumberFormat="1" applyFont="1" applyFill="1" applyBorder="1" applyAlignment="1">
      <alignment horizontal="center" vertical="top" wrapText="1"/>
    </xf>
    <xf numFmtId="4" fontId="9" fillId="0" borderId="0" xfId="0" applyNumberFormat="1" applyFont="1" applyAlignment="1">
      <alignment horizontal="right"/>
    </xf>
    <xf numFmtId="4" fontId="8" fillId="0" borderId="0" xfId="0" applyNumberFormat="1" applyFont="1" applyAlignment="1">
      <alignment horizontal="right"/>
    </xf>
    <xf numFmtId="0" fontId="6" fillId="0" borderId="0" xfId="0" applyFont="1"/>
    <xf numFmtId="0" fontId="9" fillId="0" borderId="0" xfId="0" applyFont="1" applyAlignment="1">
      <alignment horizontal="right"/>
    </xf>
    <xf numFmtId="0" fontId="6" fillId="0" borderId="0" xfId="0" applyFont="1" applyAlignment="1">
      <alignment horizontal="right"/>
    </xf>
    <xf numFmtId="4" fontId="7" fillId="0" borderId="0" xfId="0" applyNumberFormat="1" applyFont="1" applyAlignment="1">
      <alignment horizontal="right"/>
    </xf>
    <xf numFmtId="4" fontId="7" fillId="0" borderId="0" xfId="0" applyNumberFormat="1" applyFont="1"/>
    <xf numFmtId="4" fontId="9" fillId="3" borderId="4" xfId="0" applyNumberFormat="1" applyFont="1" applyFill="1" applyBorder="1" applyAlignment="1">
      <alignment horizontal="center" vertical="center" wrapText="1"/>
    </xf>
    <xf numFmtId="4" fontId="9" fillId="3" borderId="3" xfId="0" applyNumberFormat="1" applyFont="1" applyFill="1" applyBorder="1" applyAlignment="1">
      <alignment horizontal="center" vertical="center" wrapText="1"/>
    </xf>
    <xf numFmtId="0" fontId="8" fillId="5" borderId="1" xfId="0" applyFont="1" applyFill="1" applyBorder="1" applyAlignment="1">
      <alignment vertical="center" wrapText="1"/>
    </xf>
    <xf numFmtId="0" fontId="8" fillId="5" borderId="1" xfId="0" applyFont="1" applyFill="1" applyBorder="1" applyAlignment="1">
      <alignment horizontal="left" vertical="top" wrapText="1"/>
    </xf>
    <xf numFmtId="4" fontId="8" fillId="5" borderId="8" xfId="0" applyNumberFormat="1" applyFont="1" applyFill="1" applyBorder="1" applyAlignment="1">
      <alignment horizontal="left" vertical="top" wrapText="1"/>
    </xf>
    <xf numFmtId="4" fontId="8" fillId="5" borderId="1" xfId="0" applyNumberFormat="1" applyFont="1" applyFill="1" applyBorder="1" applyAlignment="1">
      <alignment horizontal="left" vertical="top" wrapText="1"/>
    </xf>
    <xf numFmtId="4" fontId="7" fillId="5" borderId="1" xfId="0" applyNumberFormat="1" applyFont="1" applyFill="1" applyBorder="1"/>
    <xf numFmtId="4" fontId="7" fillId="5" borderId="6" xfId="0" applyNumberFormat="1" applyFont="1" applyFill="1" applyBorder="1"/>
    <xf numFmtId="4" fontId="6" fillId="5" borderId="1" xfId="0" applyNumberFormat="1" applyFont="1" applyFill="1" applyBorder="1"/>
    <xf numFmtId="0" fontId="9" fillId="0" borderId="1" xfId="0" applyFont="1" applyBorder="1" applyAlignment="1">
      <alignment vertical="center" wrapText="1"/>
    </xf>
    <xf numFmtId="0" fontId="11" fillId="0" borderId="1" xfId="0" applyFont="1" applyBorder="1" applyAlignment="1">
      <alignment wrapText="1"/>
    </xf>
    <xf numFmtId="0" fontId="11" fillId="0" borderId="1" xfId="0" applyFont="1" applyBorder="1" applyAlignment="1">
      <alignment horizontal="center" wrapText="1"/>
    </xf>
    <xf numFmtId="0" fontId="11" fillId="0" borderId="1" xfId="0" applyFont="1" applyBorder="1" applyAlignment="1">
      <alignment horizontal="center"/>
    </xf>
    <xf numFmtId="4" fontId="11" fillId="0" borderId="1" xfId="0" applyNumberFormat="1" applyFont="1" applyBorder="1" applyAlignment="1">
      <alignment horizontal="center"/>
    </xf>
    <xf numFmtId="4" fontId="9" fillId="0" borderId="1" xfId="0" applyNumberFormat="1" applyFont="1" applyBorder="1" applyAlignment="1">
      <alignment horizontal="center" wrapText="1"/>
    </xf>
    <xf numFmtId="4" fontId="7" fillId="0" borderId="8" xfId="0" applyNumberFormat="1" applyFont="1" applyBorder="1" applyAlignment="1">
      <alignment horizontal="center" wrapText="1"/>
    </xf>
    <xf numFmtId="4" fontId="6" fillId="0" borderId="1" xfId="0" applyNumberFormat="1" applyFont="1" applyBorder="1"/>
    <xf numFmtId="4" fontId="9" fillId="0" borderId="1" xfId="0" applyNumberFormat="1" applyFont="1" applyBorder="1" applyAlignment="1">
      <alignment horizontal="center"/>
    </xf>
    <xf numFmtId="4" fontId="6" fillId="0" borderId="6" xfId="0" applyNumberFormat="1" applyFont="1" applyBorder="1"/>
    <xf numFmtId="4" fontId="7" fillId="0" borderId="1" xfId="0" applyNumberFormat="1" applyFont="1" applyBorder="1"/>
    <xf numFmtId="4" fontId="8" fillId="0" borderId="8" xfId="0" applyNumberFormat="1" applyFont="1" applyBorder="1" applyAlignment="1">
      <alignment horizontal="center" wrapText="1"/>
    </xf>
    <xf numFmtId="2" fontId="11" fillId="0" borderId="1" xfId="0" applyNumberFormat="1" applyFont="1" applyBorder="1" applyAlignment="1">
      <alignment horizontal="center"/>
    </xf>
    <xf numFmtId="0" fontId="9" fillId="0" borderId="1" xfId="0" applyFont="1" applyBorder="1" applyAlignment="1">
      <alignment horizontal="left" vertical="top"/>
    </xf>
    <xf numFmtId="0" fontId="6" fillId="0" borderId="1" xfId="0" applyFont="1" applyBorder="1"/>
    <xf numFmtId="0" fontId="6" fillId="0" borderId="5" xfId="0" applyFont="1" applyBorder="1"/>
    <xf numFmtId="0" fontId="11" fillId="0" borderId="5" xfId="0" applyFont="1" applyBorder="1" applyAlignment="1">
      <alignment wrapText="1"/>
    </xf>
    <xf numFmtId="0" fontId="11" fillId="0" borderId="5" xfId="0" applyFont="1" applyBorder="1" applyAlignment="1">
      <alignment horizontal="center" wrapText="1"/>
    </xf>
    <xf numFmtId="2" fontId="11" fillId="0" borderId="5" xfId="0" applyNumberFormat="1" applyFont="1" applyBorder="1" applyAlignment="1">
      <alignment horizontal="center"/>
    </xf>
    <xf numFmtId="4" fontId="11" fillId="0" borderId="5" xfId="0" applyNumberFormat="1" applyFont="1" applyBorder="1" applyAlignment="1">
      <alignment horizontal="center"/>
    </xf>
    <xf numFmtId="4" fontId="8" fillId="0" borderId="14" xfId="0" applyNumberFormat="1" applyFont="1" applyBorder="1" applyAlignment="1">
      <alignment horizontal="center" wrapText="1"/>
    </xf>
    <xf numFmtId="4" fontId="6" fillId="0" borderId="5" xfId="0" applyNumberFormat="1" applyFont="1" applyBorder="1"/>
    <xf numFmtId="4" fontId="9" fillId="0" borderId="5" xfId="0" applyNumberFormat="1" applyFont="1" applyBorder="1" applyAlignment="1">
      <alignment horizontal="center"/>
    </xf>
    <xf numFmtId="4" fontId="6" fillId="0" borderId="10" xfId="0" applyNumberFormat="1" applyFont="1" applyBorder="1"/>
    <xf numFmtId="4" fontId="7" fillId="0" borderId="5" xfId="0" applyNumberFormat="1" applyFont="1" applyBorder="1"/>
    <xf numFmtId="0" fontId="6" fillId="5" borderId="11" xfId="0" applyFont="1" applyFill="1" applyBorder="1"/>
    <xf numFmtId="0" fontId="11" fillId="5" borderId="12" xfId="0" applyFont="1" applyFill="1" applyBorder="1" applyAlignment="1">
      <alignment horizontal="center" wrapText="1"/>
    </xf>
    <xf numFmtId="0" fontId="11" fillId="5" borderId="12" xfId="0" applyFont="1" applyFill="1" applyBorder="1" applyAlignment="1">
      <alignment wrapText="1"/>
    </xf>
    <xf numFmtId="4" fontId="11" fillId="5" borderId="30" xfId="0" applyNumberFormat="1" applyFont="1" applyFill="1" applyBorder="1" applyAlignment="1">
      <alignment wrapText="1"/>
    </xf>
    <xf numFmtId="4" fontId="11" fillId="5" borderId="12" xfId="0" applyNumberFormat="1" applyFont="1" applyFill="1" applyBorder="1" applyAlignment="1">
      <alignment wrapText="1"/>
    </xf>
    <xf numFmtId="4" fontId="8" fillId="5" borderId="12" xfId="0" applyNumberFormat="1" applyFont="1" applyFill="1" applyBorder="1" applyAlignment="1">
      <alignment horizontal="center" wrapText="1"/>
    </xf>
    <xf numFmtId="4" fontId="7" fillId="5" borderId="11" xfId="0" applyNumberFormat="1" applyFont="1" applyFill="1" applyBorder="1"/>
    <xf numFmtId="4" fontId="7" fillId="5" borderId="12" xfId="0" applyNumberFormat="1" applyFont="1" applyFill="1" applyBorder="1"/>
    <xf numFmtId="4" fontId="7" fillId="5" borderId="13" xfId="0" applyNumberFormat="1" applyFont="1" applyFill="1" applyBorder="1"/>
    <xf numFmtId="0" fontId="6" fillId="0" borderId="9" xfId="0" applyFont="1" applyBorder="1"/>
    <xf numFmtId="0" fontId="11" fillId="0" borderId="4" xfId="0" applyFont="1" applyBorder="1" applyAlignment="1">
      <alignment horizontal="center" wrapText="1"/>
    </xf>
    <xf numFmtId="0" fontId="11" fillId="0" borderId="4" xfId="0" applyFont="1" applyBorder="1" applyAlignment="1">
      <alignment wrapText="1"/>
    </xf>
    <xf numFmtId="4" fontId="11" fillId="0" borderId="4" xfId="0" applyNumberFormat="1" applyFont="1" applyBorder="1" applyAlignment="1">
      <alignment wrapText="1"/>
    </xf>
    <xf numFmtId="4" fontId="7" fillId="0" borderId="4" xfId="0" applyNumberFormat="1" applyFont="1" applyBorder="1"/>
    <xf numFmtId="0" fontId="6" fillId="3" borderId="1" xfId="0" applyFont="1" applyFill="1" applyBorder="1" applyAlignment="1">
      <alignment wrapText="1"/>
    </xf>
    <xf numFmtId="4" fontId="11" fillId="0" borderId="1" xfId="0" applyNumberFormat="1" applyFont="1" applyBorder="1" applyAlignment="1">
      <alignment wrapText="1"/>
    </xf>
    <xf numFmtId="4" fontId="7" fillId="3" borderId="4" xfId="0" applyNumberFormat="1" applyFont="1" applyFill="1" applyBorder="1"/>
    <xf numFmtId="0" fontId="7" fillId="0" borderId="1" xfId="0" applyFont="1" applyBorder="1"/>
    <xf numFmtId="4" fontId="7" fillId="3" borderId="1" xfId="0" applyNumberFormat="1" applyFont="1" applyFill="1" applyBorder="1"/>
    <xf numFmtId="0" fontId="8" fillId="2" borderId="1" xfId="0" applyFont="1" applyFill="1" applyBorder="1" applyAlignment="1">
      <alignment vertical="center" wrapText="1"/>
    </xf>
    <xf numFmtId="0" fontId="8" fillId="2" borderId="1" xfId="0" applyFont="1" applyFill="1" applyBorder="1" applyAlignment="1">
      <alignment horizontal="left" wrapText="1"/>
    </xf>
    <xf numFmtId="4" fontId="8" fillId="2" borderId="8" xfId="0" applyNumberFormat="1" applyFont="1" applyFill="1" applyBorder="1" applyAlignment="1">
      <alignment horizontal="left" wrapText="1"/>
    </xf>
    <xf numFmtId="4" fontId="8" fillId="2" borderId="1" xfId="0" applyNumberFormat="1" applyFont="1" applyFill="1" applyBorder="1" applyAlignment="1">
      <alignment horizontal="left" wrapText="1"/>
    </xf>
    <xf numFmtId="4" fontId="8" fillId="2" borderId="1" xfId="0" applyNumberFormat="1" applyFont="1" applyFill="1" applyBorder="1" applyAlignment="1">
      <alignment horizontal="center" wrapText="1"/>
    </xf>
    <xf numFmtId="4" fontId="6" fillId="2" borderId="1" xfId="0" applyNumberFormat="1" applyFont="1" applyFill="1" applyBorder="1"/>
    <xf numFmtId="4" fontId="6" fillId="2" borderId="6" xfId="0" applyNumberFormat="1" applyFont="1" applyFill="1" applyBorder="1"/>
    <xf numFmtId="0" fontId="6" fillId="0" borderId="1" xfId="0" applyFont="1" applyBorder="1" applyAlignment="1">
      <alignment vertical="center"/>
    </xf>
    <xf numFmtId="0" fontId="9" fillId="0" borderId="1" xfId="0" applyFont="1" applyBorder="1" applyAlignment="1">
      <alignment horizontal="center" wrapText="1"/>
    </xf>
    <xf numFmtId="4" fontId="6" fillId="0" borderId="24" xfId="0" applyNumberFormat="1" applyFont="1" applyBorder="1" applyAlignment="1">
      <alignment horizontal="center" wrapText="1"/>
    </xf>
    <xf numFmtId="4" fontId="7" fillId="3" borderId="1" xfId="0" applyNumberFormat="1" applyFont="1" applyFill="1" applyBorder="1" applyAlignment="1">
      <alignment horizontal="center" wrapText="1"/>
    </xf>
    <xf numFmtId="4" fontId="6" fillId="3" borderId="8" xfId="0" applyNumberFormat="1" applyFont="1" applyFill="1" applyBorder="1"/>
    <xf numFmtId="4" fontId="9" fillId="3" borderId="1" xfId="0" applyNumberFormat="1" applyFont="1" applyFill="1" applyBorder="1" applyAlignment="1">
      <alignment horizontal="center"/>
    </xf>
    <xf numFmtId="4" fontId="6" fillId="3" borderId="1" xfId="0" applyNumberFormat="1" applyFont="1" applyFill="1" applyBorder="1"/>
    <xf numFmtId="4" fontId="6" fillId="3" borderId="5" xfId="0" applyNumberFormat="1" applyFont="1" applyFill="1" applyBorder="1"/>
    <xf numFmtId="4" fontId="7" fillId="3" borderId="6" xfId="0" applyNumberFormat="1" applyFont="1" applyFill="1" applyBorder="1"/>
    <xf numFmtId="4" fontId="6" fillId="3" borderId="2" xfId="0" applyNumberFormat="1" applyFont="1" applyFill="1" applyBorder="1"/>
    <xf numFmtId="4" fontId="6" fillId="3" borderId="1" xfId="0" applyNumberFormat="1" applyFont="1" applyFill="1" applyBorder="1" applyAlignment="1">
      <alignment horizontal="center"/>
    </xf>
    <xf numFmtId="2" fontId="6" fillId="0" borderId="0" xfId="0" applyNumberFormat="1" applyFont="1"/>
    <xf numFmtId="0" fontId="9" fillId="0" borderId="1" xfId="0" applyFont="1" applyBorder="1" applyAlignment="1">
      <alignment horizontal="left" vertical="center" wrapText="1"/>
    </xf>
    <xf numFmtId="4" fontId="7" fillId="3" borderId="1" xfId="0" applyNumberFormat="1" applyFont="1" applyFill="1" applyBorder="1" applyAlignment="1">
      <alignment horizontal="center"/>
    </xf>
    <xf numFmtId="4" fontId="7" fillId="3" borderId="4" xfId="0" applyNumberFormat="1" applyFont="1" applyFill="1" applyBorder="1" applyAlignment="1">
      <alignment horizontal="center" wrapText="1"/>
    </xf>
    <xf numFmtId="4" fontId="6" fillId="3" borderId="4" xfId="0" applyNumberFormat="1" applyFont="1" applyFill="1" applyBorder="1"/>
    <xf numFmtId="0" fontId="9" fillId="0" borderId="1" xfId="0" applyFont="1" applyBorder="1" applyAlignment="1">
      <alignment horizontal="left" vertical="center"/>
    </xf>
    <xf numFmtId="4" fontId="7" fillId="3" borderId="4" xfId="0" applyNumberFormat="1" applyFont="1" applyFill="1" applyBorder="1" applyAlignment="1">
      <alignment horizontal="center"/>
    </xf>
    <xf numFmtId="16" fontId="6" fillId="0" borderId="1" xfId="0" applyNumberFormat="1" applyFont="1" applyBorder="1" applyAlignment="1">
      <alignment vertical="center"/>
    </xf>
    <xf numFmtId="17" fontId="6" fillId="0" borderId="1" xfId="0" applyNumberFormat="1" applyFont="1" applyBorder="1" applyAlignment="1">
      <alignment vertical="center"/>
    </xf>
    <xf numFmtId="4" fontId="6" fillId="0" borderId="1" xfId="0" applyNumberFormat="1" applyFont="1" applyBorder="1" applyAlignment="1">
      <alignment horizontal="center" wrapText="1"/>
    </xf>
    <xf numFmtId="0" fontId="8" fillId="0" borderId="1" xfId="0" applyFont="1" applyBorder="1" applyAlignment="1">
      <alignment horizontal="center" vertical="center" wrapText="1"/>
    </xf>
    <xf numFmtId="4" fontId="8" fillId="2" borderId="0" xfId="0" applyNumberFormat="1" applyFont="1" applyFill="1" applyAlignment="1">
      <alignment horizontal="left" wrapText="1"/>
    </xf>
    <xf numFmtId="4" fontId="9" fillId="2" borderId="4" xfId="0" applyNumberFormat="1" applyFont="1" applyFill="1" applyBorder="1" applyAlignment="1">
      <alignment horizontal="center" wrapText="1"/>
    </xf>
    <xf numFmtId="4" fontId="8" fillId="2" borderId="9" xfId="0" applyNumberFormat="1" applyFont="1" applyFill="1" applyBorder="1" applyAlignment="1">
      <alignment horizontal="center" wrapText="1"/>
    </xf>
    <xf numFmtId="4" fontId="6" fillId="2" borderId="16" xfId="0" applyNumberFormat="1" applyFont="1" applyFill="1" applyBorder="1"/>
    <xf numFmtId="4" fontId="6" fillId="2" borderId="2" xfId="0" applyNumberFormat="1" applyFont="1" applyFill="1" applyBorder="1"/>
    <xf numFmtId="4" fontId="11" fillId="2" borderId="1" xfId="0" applyNumberFormat="1" applyFont="1" applyFill="1" applyBorder="1" applyAlignment="1">
      <alignment horizontal="center"/>
    </xf>
    <xf numFmtId="4" fontId="9" fillId="2" borderId="1" xfId="0" applyNumberFormat="1" applyFont="1" applyFill="1" applyBorder="1" applyAlignment="1">
      <alignment horizontal="center" wrapText="1"/>
    </xf>
    <xf numFmtId="4" fontId="9" fillId="2" borderId="0" xfId="0" applyNumberFormat="1" applyFont="1" applyFill="1" applyAlignment="1">
      <alignment horizontal="left" wrapText="1"/>
    </xf>
    <xf numFmtId="4" fontId="9" fillId="2" borderId="1" xfId="0" applyNumberFormat="1" applyFont="1" applyFill="1" applyBorder="1" applyAlignment="1">
      <alignment horizontal="left" wrapText="1"/>
    </xf>
    <xf numFmtId="0" fontId="9" fillId="0" borderId="1" xfId="0" applyFont="1" applyBorder="1" applyAlignment="1">
      <alignment horizontal="center" vertical="center" wrapText="1"/>
    </xf>
    <xf numFmtId="4" fontId="9" fillId="3" borderId="8" xfId="0" applyNumberFormat="1" applyFont="1" applyFill="1" applyBorder="1"/>
    <xf numFmtId="4" fontId="9" fillId="3" borderId="1" xfId="0" applyNumberFormat="1" applyFont="1" applyFill="1" applyBorder="1"/>
    <xf numFmtId="0" fontId="6" fillId="0" borderId="5" xfId="0" applyFont="1" applyBorder="1" applyAlignment="1">
      <alignment vertical="center"/>
    </xf>
    <xf numFmtId="0" fontId="9" fillId="0" borderId="5" xfId="0" applyFont="1" applyBorder="1" applyAlignment="1">
      <alignment horizontal="center" wrapText="1"/>
    </xf>
    <xf numFmtId="4" fontId="6" fillId="0" borderId="18" xfId="0" applyNumberFormat="1" applyFont="1" applyBorder="1" applyAlignment="1">
      <alignment horizontal="center" wrapText="1"/>
    </xf>
    <xf numFmtId="4" fontId="9" fillId="0" borderId="5" xfId="0" applyNumberFormat="1" applyFont="1" applyBorder="1" applyAlignment="1">
      <alignment horizontal="center" wrapText="1"/>
    </xf>
    <xf numFmtId="4" fontId="7" fillId="3" borderId="5" xfId="0" applyNumberFormat="1" applyFont="1" applyFill="1" applyBorder="1" applyAlignment="1">
      <alignment horizontal="center"/>
    </xf>
    <xf numFmtId="4" fontId="6" fillId="3" borderId="14" xfId="0" applyNumberFormat="1" applyFont="1" applyFill="1" applyBorder="1"/>
    <xf numFmtId="4" fontId="9" fillId="3" borderId="5" xfId="0" applyNumberFormat="1" applyFont="1" applyFill="1" applyBorder="1" applyAlignment="1">
      <alignment horizontal="center"/>
    </xf>
    <xf numFmtId="4" fontId="7" fillId="3" borderId="10" xfId="0" applyNumberFormat="1" applyFont="1" applyFill="1" applyBorder="1"/>
    <xf numFmtId="4" fontId="6" fillId="3" borderId="17" xfId="0" applyNumberFormat="1" applyFont="1" applyFill="1" applyBorder="1"/>
    <xf numFmtId="4" fontId="7" fillId="3" borderId="5" xfId="0" applyNumberFormat="1" applyFont="1" applyFill="1" applyBorder="1"/>
    <xf numFmtId="0" fontId="6" fillId="2" borderId="11" xfId="0" applyFont="1" applyFill="1" applyBorder="1" applyAlignment="1">
      <alignment vertical="center"/>
    </xf>
    <xf numFmtId="0" fontId="9" fillId="2" borderId="12" xfId="0" applyFont="1" applyFill="1" applyBorder="1" applyAlignment="1">
      <alignment horizontal="center" wrapText="1"/>
    </xf>
    <xf numFmtId="0" fontId="11" fillId="2" borderId="12" xfId="0" applyFont="1" applyFill="1" applyBorder="1" applyAlignment="1">
      <alignment horizontal="center"/>
    </xf>
    <xf numFmtId="4" fontId="6" fillId="2" borderId="12" xfId="0" applyNumberFormat="1" applyFont="1" applyFill="1" applyBorder="1" applyAlignment="1">
      <alignment horizontal="center" wrapText="1"/>
    </xf>
    <xf numFmtId="4" fontId="9" fillId="2" borderId="12" xfId="0" applyNumberFormat="1" applyFont="1" applyFill="1" applyBorder="1" applyAlignment="1">
      <alignment horizontal="center" wrapText="1"/>
    </xf>
    <xf numFmtId="4" fontId="7" fillId="2" borderId="12" xfId="0" applyNumberFormat="1" applyFont="1" applyFill="1" applyBorder="1" applyAlignment="1">
      <alignment horizontal="center"/>
    </xf>
    <xf numFmtId="4" fontId="6" fillId="2" borderId="12" xfId="0" applyNumberFormat="1" applyFont="1" applyFill="1" applyBorder="1"/>
    <xf numFmtId="4" fontId="9" fillId="2" borderId="12" xfId="0" applyNumberFormat="1" applyFont="1" applyFill="1" applyBorder="1" applyAlignment="1">
      <alignment horizontal="center"/>
    </xf>
    <xf numFmtId="4" fontId="6" fillId="2" borderId="15" xfId="0" applyNumberFormat="1" applyFont="1" applyFill="1" applyBorder="1"/>
    <xf numFmtId="4" fontId="7" fillId="2" borderId="33" xfId="0" applyNumberFormat="1" applyFont="1" applyFill="1" applyBorder="1" applyAlignment="1">
      <alignment horizontal="center"/>
    </xf>
    <xf numFmtId="4" fontId="7" fillId="2" borderId="19" xfId="0" applyNumberFormat="1" applyFont="1" applyFill="1" applyBorder="1" applyAlignment="1">
      <alignment horizontal="center"/>
    </xf>
    <xf numFmtId="4" fontId="7" fillId="2" borderId="20" xfId="0" applyNumberFormat="1" applyFont="1" applyFill="1" applyBorder="1" applyAlignment="1">
      <alignment horizontal="center"/>
    </xf>
    <xf numFmtId="0" fontId="7" fillId="6" borderId="11" xfId="0" applyFont="1" applyFill="1" applyBorder="1" applyAlignment="1">
      <alignment vertical="center"/>
    </xf>
    <xf numFmtId="0" fontId="7" fillId="6" borderId="12" xfId="0" applyFont="1" applyFill="1" applyBorder="1" applyAlignment="1">
      <alignment horizontal="left" wrapText="1"/>
    </xf>
    <xf numFmtId="4" fontId="7" fillId="6" borderId="30" xfId="0" applyNumberFormat="1" applyFont="1" applyFill="1" applyBorder="1" applyAlignment="1">
      <alignment horizontal="left" wrapText="1"/>
    </xf>
    <xf numFmtId="4" fontId="7" fillId="6" borderId="12" xfId="0" applyNumberFormat="1" applyFont="1" applyFill="1" applyBorder="1" applyAlignment="1">
      <alignment horizontal="left" wrapText="1"/>
    </xf>
    <xf numFmtId="4" fontId="7" fillId="6" borderId="11" xfId="0" applyNumberFormat="1" applyFont="1" applyFill="1" applyBorder="1" applyAlignment="1">
      <alignment horizontal="center"/>
    </xf>
    <xf numFmtId="4" fontId="7" fillId="6" borderId="12" xfId="0" applyNumberFormat="1" applyFont="1" applyFill="1" applyBorder="1"/>
    <xf numFmtId="4" fontId="7" fillId="6" borderId="15" xfId="0" applyNumberFormat="1" applyFont="1" applyFill="1" applyBorder="1"/>
    <xf numFmtId="4" fontId="7" fillId="6" borderId="42" xfId="0" applyNumberFormat="1" applyFont="1" applyFill="1" applyBorder="1" applyAlignment="1">
      <alignment horizontal="center"/>
    </xf>
    <xf numFmtId="3" fontId="7" fillId="0" borderId="0" xfId="0" applyNumberFormat="1" applyFont="1"/>
    <xf numFmtId="0" fontId="7" fillId="3" borderId="4" xfId="0" applyFont="1" applyFill="1" applyBorder="1"/>
    <xf numFmtId="0" fontId="6" fillId="3" borderId="4" xfId="0" applyFont="1" applyFill="1" applyBorder="1" applyAlignment="1">
      <alignment vertical="center" wrapText="1"/>
    </xf>
    <xf numFmtId="0" fontId="7" fillId="3" borderId="4" xfId="0" applyFont="1" applyFill="1" applyBorder="1" applyAlignment="1">
      <alignment horizontal="left" vertical="center" wrapText="1"/>
    </xf>
    <xf numFmtId="4" fontId="7" fillId="3" borderId="4" xfId="0" applyNumberFormat="1" applyFont="1" applyFill="1" applyBorder="1" applyAlignment="1">
      <alignment horizontal="left" vertical="center" wrapText="1"/>
    </xf>
    <xf numFmtId="4" fontId="6" fillId="0" borderId="4" xfId="0" applyNumberFormat="1" applyFont="1" applyBorder="1"/>
    <xf numFmtId="0" fontId="6" fillId="3" borderId="1" xfId="0" applyFont="1" applyFill="1" applyBorder="1" applyAlignment="1">
      <alignment vertical="center" wrapText="1"/>
    </xf>
    <xf numFmtId="4" fontId="6" fillId="0" borderId="1" xfId="0" applyNumberFormat="1" applyFont="1" applyBorder="1" applyAlignment="1">
      <alignment horizontal="right" wrapText="1"/>
    </xf>
    <xf numFmtId="0" fontId="7" fillId="0" borderId="1" xfId="0" applyFont="1" applyBorder="1" applyAlignment="1">
      <alignment vertical="center"/>
    </xf>
    <xf numFmtId="4" fontId="6" fillId="0" borderId="1" xfId="0" applyNumberFormat="1" applyFont="1" applyBorder="1" applyAlignment="1">
      <alignment vertical="center"/>
    </xf>
    <xf numFmtId="0" fontId="14" fillId="0" borderId="0" xfId="1" applyFont="1"/>
    <xf numFmtId="4" fontId="15" fillId="0" borderId="0" xfId="0" applyNumberFormat="1" applyFont="1"/>
    <xf numFmtId="0" fontId="6" fillId="0" borderId="1" xfId="0" applyFont="1" applyBorder="1" applyAlignment="1">
      <alignment horizontal="left" vertical="top" wrapText="1"/>
    </xf>
    <xf numFmtId="0" fontId="9" fillId="0" borderId="1" xfId="0" applyFont="1" applyBorder="1" applyAlignment="1">
      <alignment horizontal="left" vertical="top" wrapText="1"/>
    </xf>
    <xf numFmtId="0" fontId="8" fillId="2" borderId="1" xfId="0" applyFont="1" applyFill="1" applyBorder="1" applyAlignment="1">
      <alignment horizontal="left" vertical="top" wrapText="1"/>
    </xf>
    <xf numFmtId="0" fontId="6" fillId="0" borderId="5" xfId="0" applyFont="1" applyBorder="1" applyAlignment="1">
      <alignment horizontal="left" vertical="top" wrapText="1"/>
    </xf>
    <xf numFmtId="0" fontId="6" fillId="2" borderId="12" xfId="0" applyFont="1" applyFill="1" applyBorder="1" applyAlignment="1">
      <alignment horizontal="left" vertical="top" wrapText="1"/>
    </xf>
    <xf numFmtId="4" fontId="8" fillId="0" borderId="41" xfId="0" applyNumberFormat="1" applyFont="1" applyBorder="1" applyAlignment="1">
      <alignment horizontal="center" wrapText="1"/>
    </xf>
    <xf numFmtId="4" fontId="7" fillId="0" borderId="16" xfId="0" applyNumberFormat="1" applyFont="1" applyBorder="1"/>
    <xf numFmtId="4" fontId="7" fillId="0" borderId="8" xfId="0" applyNumberFormat="1" applyFont="1" applyBorder="1"/>
    <xf numFmtId="4" fontId="6" fillId="5" borderId="43" xfId="0" applyNumberFormat="1" applyFont="1" applyFill="1" applyBorder="1"/>
    <xf numFmtId="4" fontId="9" fillId="5" borderId="19" xfId="0" applyNumberFormat="1" applyFont="1" applyFill="1" applyBorder="1" applyAlignment="1">
      <alignment horizontal="center"/>
    </xf>
    <xf numFmtId="4" fontId="6" fillId="5" borderId="19" xfId="0" applyNumberFormat="1" applyFont="1" applyFill="1" applyBorder="1"/>
    <xf numFmtId="4" fontId="6" fillId="2" borderId="4" xfId="0" applyNumberFormat="1" applyFont="1" applyFill="1" applyBorder="1"/>
    <xf numFmtId="4" fontId="6" fillId="0" borderId="44" xfId="0" applyNumberFormat="1" applyFont="1" applyBorder="1"/>
    <xf numFmtId="4" fontId="6" fillId="0" borderId="45" xfId="0" applyNumberFormat="1" applyFont="1" applyBorder="1"/>
    <xf numFmtId="4" fontId="6" fillId="0" borderId="46" xfId="0" applyNumberFormat="1" applyFont="1" applyBorder="1"/>
    <xf numFmtId="4" fontId="6" fillId="0" borderId="32" xfId="0" applyNumberFormat="1" applyFont="1" applyBorder="1"/>
    <xf numFmtId="4" fontId="6" fillId="0" borderId="47" xfId="0" applyNumberFormat="1" applyFont="1" applyBorder="1"/>
    <xf numFmtId="4" fontId="6" fillId="0" borderId="48" xfId="0" applyNumberFormat="1" applyFont="1" applyBorder="1"/>
    <xf numFmtId="4" fontId="6" fillId="0" borderId="49" xfId="0" applyNumberFormat="1" applyFont="1" applyBorder="1"/>
    <xf numFmtId="4" fontId="6" fillId="0" borderId="50" xfId="0" applyNumberFormat="1" applyFont="1" applyBorder="1"/>
    <xf numFmtId="0" fontId="12" fillId="5" borderId="19" xfId="0" applyFont="1" applyFill="1" applyBorder="1" applyAlignment="1">
      <alignment wrapText="1"/>
    </xf>
    <xf numFmtId="0" fontId="6" fillId="0" borderId="1" xfId="0" applyFont="1" applyBorder="1" applyAlignment="1">
      <alignment wrapText="1"/>
    </xf>
    <xf numFmtId="4" fontId="7" fillId="0" borderId="14" xfId="0" applyNumberFormat="1" applyFont="1" applyBorder="1" applyAlignment="1">
      <alignment horizontal="center" vertical="center" wrapText="1"/>
    </xf>
    <xf numFmtId="4" fontId="7" fillId="0" borderId="9" xfId="0" applyNumberFormat="1" applyFont="1" applyBorder="1" applyAlignment="1">
      <alignment horizontal="center" vertical="center" wrapText="1"/>
    </xf>
    <xf numFmtId="4" fontId="7" fillId="0" borderId="16" xfId="0" applyNumberFormat="1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4" fontId="6" fillId="3" borderId="5" xfId="0" applyNumberFormat="1" applyFont="1" applyFill="1" applyBorder="1" applyAlignment="1">
      <alignment horizontal="center" vertical="center" wrapText="1"/>
    </xf>
    <xf numFmtId="4" fontId="6" fillId="3" borderId="7" xfId="0" applyNumberFormat="1" applyFont="1" applyFill="1" applyBorder="1" applyAlignment="1">
      <alignment horizontal="center" vertical="center" wrapText="1"/>
    </xf>
    <xf numFmtId="4" fontId="6" fillId="3" borderId="4" xfId="0" applyNumberFormat="1" applyFont="1" applyFill="1" applyBorder="1" applyAlignment="1">
      <alignment horizontal="center" vertical="center" wrapText="1"/>
    </xf>
    <xf numFmtId="4" fontId="6" fillId="3" borderId="28" xfId="0" applyNumberFormat="1" applyFont="1" applyFill="1" applyBorder="1" applyAlignment="1">
      <alignment horizontal="center" vertical="center" wrapText="1"/>
    </xf>
    <xf numFmtId="4" fontId="6" fillId="3" borderId="9" xfId="0" applyNumberFormat="1" applyFont="1" applyFill="1" applyBorder="1" applyAlignment="1">
      <alignment horizontal="center" vertical="center" wrapText="1"/>
    </xf>
    <xf numFmtId="4" fontId="6" fillId="3" borderId="29" xfId="0" applyNumberFormat="1" applyFont="1" applyFill="1" applyBorder="1" applyAlignment="1">
      <alignment horizontal="center" vertical="center" wrapText="1"/>
    </xf>
    <xf numFmtId="4" fontId="7" fillId="0" borderId="5" xfId="0" applyNumberFormat="1" applyFont="1" applyBorder="1" applyAlignment="1">
      <alignment horizontal="center" vertical="center" wrapText="1"/>
    </xf>
    <xf numFmtId="4" fontId="7" fillId="0" borderId="7" xfId="0" applyNumberFormat="1" applyFont="1" applyBorder="1" applyAlignment="1">
      <alignment horizontal="center" vertical="center" wrapText="1"/>
    </xf>
    <xf numFmtId="4" fontId="7" fillId="0" borderId="4" xfId="0" applyNumberFormat="1" applyFont="1" applyBorder="1" applyAlignment="1">
      <alignment horizontal="center" vertical="center" wrapText="1"/>
    </xf>
    <xf numFmtId="4" fontId="8" fillId="3" borderId="22" xfId="0" applyNumberFormat="1" applyFont="1" applyFill="1" applyBorder="1" applyAlignment="1">
      <alignment horizontal="center" vertical="center" wrapText="1"/>
    </xf>
    <xf numFmtId="4" fontId="8" fillId="3" borderId="31" xfId="0" applyNumberFormat="1" applyFont="1" applyFill="1" applyBorder="1" applyAlignment="1">
      <alignment horizontal="center" vertical="center" wrapText="1"/>
    </xf>
    <xf numFmtId="4" fontId="8" fillId="3" borderId="23" xfId="0" applyNumberFormat="1" applyFont="1" applyFill="1" applyBorder="1" applyAlignment="1">
      <alignment horizontal="center" vertical="center" wrapText="1"/>
    </xf>
    <xf numFmtId="4" fontId="7" fillId="0" borderId="25" xfId="0" applyNumberFormat="1" applyFont="1" applyBorder="1" applyAlignment="1">
      <alignment horizontal="center" vertical="center" wrapText="1"/>
    </xf>
    <xf numFmtId="4" fontId="7" fillId="0" borderId="32" xfId="0" applyNumberFormat="1" applyFont="1" applyBorder="1" applyAlignment="1">
      <alignment horizontal="center" vertical="center" wrapText="1"/>
    </xf>
    <xf numFmtId="4" fontId="7" fillId="0" borderId="21" xfId="0" applyNumberFormat="1" applyFont="1" applyBorder="1" applyAlignment="1">
      <alignment horizontal="center" vertical="center" wrapText="1"/>
    </xf>
    <xf numFmtId="4" fontId="7" fillId="0" borderId="1" xfId="0" applyNumberFormat="1" applyFont="1" applyBorder="1" applyAlignment="1">
      <alignment horizontal="center" vertical="center"/>
    </xf>
    <xf numFmtId="4" fontId="7" fillId="0" borderId="2" xfId="0" applyNumberFormat="1" applyFont="1" applyBorder="1" applyAlignment="1">
      <alignment horizontal="center" vertical="center"/>
    </xf>
    <xf numFmtId="4" fontId="7" fillId="0" borderId="24" xfId="0" applyNumberFormat="1" applyFont="1" applyBorder="1" applyAlignment="1">
      <alignment horizontal="center" vertical="center"/>
    </xf>
    <xf numFmtId="4" fontId="7" fillId="0" borderId="8" xfId="0" applyNumberFormat="1" applyFont="1" applyBorder="1" applyAlignment="1">
      <alignment horizontal="center" vertical="center"/>
    </xf>
    <xf numFmtId="4" fontId="8" fillId="3" borderId="5" xfId="0" applyNumberFormat="1" applyFont="1" applyFill="1" applyBorder="1" applyAlignment="1">
      <alignment horizontal="center" vertical="center" wrapText="1"/>
    </xf>
    <xf numFmtId="4" fontId="8" fillId="3" borderId="7" xfId="0" applyNumberFormat="1" applyFont="1" applyFill="1" applyBorder="1" applyAlignment="1">
      <alignment horizontal="center" vertical="center" wrapText="1"/>
    </xf>
    <xf numFmtId="4" fontId="8" fillId="3" borderId="4" xfId="0" applyNumberFormat="1" applyFont="1" applyFill="1" applyBorder="1" applyAlignment="1">
      <alignment horizontal="center" vertical="center" wrapText="1"/>
    </xf>
    <xf numFmtId="4" fontId="7" fillId="0" borderId="2" xfId="0" applyNumberFormat="1" applyFont="1" applyBorder="1" applyAlignment="1">
      <alignment horizontal="center" wrapText="1"/>
    </xf>
    <xf numFmtId="4" fontId="7" fillId="0" borderId="24" xfId="0" applyNumberFormat="1" applyFont="1" applyBorder="1" applyAlignment="1">
      <alignment horizontal="center" wrapText="1"/>
    </xf>
    <xf numFmtId="4" fontId="7" fillId="0" borderId="8" xfId="0" applyNumberFormat="1" applyFont="1" applyBorder="1" applyAlignment="1">
      <alignment horizontal="center" wrapText="1"/>
    </xf>
    <xf numFmtId="4" fontId="9" fillId="0" borderId="0" xfId="0" applyNumberFormat="1" applyFont="1" applyAlignment="1">
      <alignment horizontal="right"/>
    </xf>
    <xf numFmtId="0" fontId="9" fillId="0" borderId="0" xfId="0" applyFont="1" applyAlignment="1">
      <alignment horizontal="right"/>
    </xf>
    <xf numFmtId="0" fontId="6" fillId="0" borderId="0" xfId="0" applyFont="1" applyAlignment="1">
      <alignment horizontal="right"/>
    </xf>
    <xf numFmtId="0" fontId="6" fillId="3" borderId="26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6" fillId="3" borderId="27" xfId="0" applyFont="1" applyFill="1" applyBorder="1" applyAlignment="1">
      <alignment horizontal="center" vertical="center" wrapText="1"/>
    </xf>
    <xf numFmtId="0" fontId="3" fillId="4" borderId="34" xfId="0" applyFont="1" applyFill="1" applyBorder="1" applyAlignment="1">
      <alignment horizontal="center" wrapText="1"/>
    </xf>
    <xf numFmtId="0" fontId="3" fillId="4" borderId="35" xfId="0" applyFont="1" applyFill="1" applyBorder="1" applyAlignment="1">
      <alignment horizontal="center" wrapText="1"/>
    </xf>
    <xf numFmtId="0" fontId="3" fillId="4" borderId="36" xfId="0" applyFont="1" applyFill="1" applyBorder="1" applyAlignment="1">
      <alignment horizont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7F74ED-68F0-4977-9EA1-0B5DA40E02E4}">
  <dimension ref="A1:AH186"/>
  <sheetViews>
    <sheetView tabSelected="1" topLeftCell="A5" zoomScale="89" zoomScaleNormal="89" workbookViewId="0">
      <pane xSplit="2" ySplit="9" topLeftCell="C139" activePane="bottomRight" state="frozen"/>
      <selection activeCell="A5" sqref="A5"/>
      <selection pane="topRight" activeCell="C5" sqref="C5"/>
      <selection pane="bottomLeft" activeCell="A8" sqref="A8"/>
      <selection pane="bottomRight" activeCell="F143" sqref="F143"/>
    </sheetView>
  </sheetViews>
  <sheetFormatPr defaultRowHeight="12.75" x14ac:dyDescent="0.2"/>
  <cols>
    <col min="1" max="1" width="11" style="19" customWidth="1"/>
    <col min="2" max="2" width="30.140625" style="19" customWidth="1"/>
    <col min="3" max="3" width="11" style="19" customWidth="1"/>
    <col min="4" max="4" width="10" style="19" customWidth="1"/>
    <col min="5" max="5" width="9.7109375" style="11" customWidth="1"/>
    <col min="6" max="6" width="9.85546875" style="11" customWidth="1"/>
    <col min="7" max="7" width="12.5703125" style="23" customWidth="1"/>
    <col min="8" max="8" width="9.7109375" style="11" hidden="1" customWidth="1"/>
    <col min="9" max="9" width="12.140625" style="11" hidden="1" customWidth="1"/>
    <col min="10" max="10" width="11.42578125" style="11" hidden="1" customWidth="1"/>
    <col min="11" max="11" width="10.28515625" style="11" hidden="1" customWidth="1"/>
    <col min="12" max="12" width="8.140625" style="11" hidden="1" customWidth="1"/>
    <col min="13" max="13" width="13.85546875" style="11" hidden="1" customWidth="1"/>
    <col min="14" max="14" width="10.85546875" style="11" hidden="1" customWidth="1"/>
    <col min="15" max="15" width="10.7109375" style="11" hidden="1" customWidth="1"/>
    <col min="16" max="16" width="9" style="11" hidden="1" customWidth="1"/>
    <col min="17" max="17" width="9" style="11" customWidth="1"/>
    <col min="18" max="18" width="6.42578125" style="11" customWidth="1"/>
    <col min="19" max="19" width="7.7109375" style="11" customWidth="1"/>
    <col min="20" max="20" width="13.85546875" style="11" customWidth="1"/>
    <col min="21" max="21" width="10.140625" style="11" customWidth="1"/>
    <col min="22" max="22" width="12.85546875" style="11" customWidth="1"/>
    <col min="23" max="23" width="10" style="11" customWidth="1"/>
    <col min="24" max="24" width="10.140625" style="11" customWidth="1"/>
    <col min="25" max="25" width="13" style="11" customWidth="1"/>
    <col min="26" max="26" width="9" style="11" customWidth="1"/>
    <col min="27" max="27" width="10" style="11" customWidth="1"/>
    <col min="28" max="28" width="10.42578125" style="11" customWidth="1"/>
    <col min="29" max="29" width="9.140625" style="11" customWidth="1"/>
    <col min="30" max="30" width="12.7109375" style="11" customWidth="1"/>
    <col min="31" max="33" width="11.28515625" style="19" customWidth="1"/>
    <col min="34" max="34" width="11.85546875" style="19" customWidth="1"/>
    <col min="35" max="16384" width="9.140625" style="19"/>
  </cols>
  <sheetData>
    <row r="1" spans="1:30" hidden="1" x14ac:dyDescent="0.2">
      <c r="A1" s="216" t="s">
        <v>0</v>
      </c>
      <c r="B1" s="216"/>
      <c r="C1" s="17"/>
      <c r="D1" s="17"/>
      <c r="E1" s="17"/>
      <c r="F1" s="17"/>
      <c r="G1" s="18"/>
    </row>
    <row r="2" spans="1:30" hidden="1" x14ac:dyDescent="0.2">
      <c r="A2" s="217" t="s">
        <v>1</v>
      </c>
      <c r="B2" s="217"/>
      <c r="C2" s="20"/>
      <c r="D2" s="20"/>
      <c r="E2" s="17"/>
      <c r="F2" s="17"/>
      <c r="G2" s="18"/>
    </row>
    <row r="3" spans="1:30" hidden="1" x14ac:dyDescent="0.2">
      <c r="A3" s="218" t="s">
        <v>2</v>
      </c>
      <c r="B3" s="218"/>
      <c r="C3" s="21"/>
      <c r="D3" s="21"/>
      <c r="E3" s="9"/>
      <c r="F3" s="9"/>
      <c r="G3" s="22"/>
    </row>
    <row r="4" spans="1:30" hidden="1" x14ac:dyDescent="0.2">
      <c r="A4" s="21"/>
      <c r="B4" s="21"/>
      <c r="C4" s="21"/>
      <c r="D4" s="21"/>
      <c r="E4" s="9"/>
      <c r="F4" s="9"/>
      <c r="G4" s="22"/>
    </row>
    <row r="5" spans="1:30" x14ac:dyDescent="0.2">
      <c r="A5" s="21"/>
      <c r="B5" s="21"/>
      <c r="C5" s="21"/>
      <c r="D5" s="21"/>
      <c r="E5" s="9"/>
      <c r="F5" s="9"/>
      <c r="G5" s="22"/>
      <c r="AA5" s="10"/>
      <c r="AB5" s="9"/>
      <c r="AC5" s="9"/>
      <c r="AD5" s="9" t="s">
        <v>279</v>
      </c>
    </row>
    <row r="6" spans="1:30" x14ac:dyDescent="0.2">
      <c r="A6" s="21"/>
      <c r="B6" s="21"/>
      <c r="C6" s="21"/>
      <c r="D6" s="21"/>
      <c r="E6" s="9"/>
      <c r="F6" s="9"/>
      <c r="G6" s="22"/>
      <c r="AA6" s="10" t="s">
        <v>243</v>
      </c>
      <c r="AB6" s="9"/>
      <c r="AC6" s="10"/>
      <c r="AD6" s="9"/>
    </row>
    <row r="7" spans="1:30" x14ac:dyDescent="0.2">
      <c r="A7" s="21"/>
      <c r="B7" s="21"/>
      <c r="C7" s="21"/>
      <c r="D7" s="21"/>
      <c r="E7" s="9"/>
      <c r="F7" s="9"/>
      <c r="G7" s="22"/>
      <c r="AA7" s="10" t="s">
        <v>244</v>
      </c>
      <c r="AB7" s="10"/>
      <c r="AC7" s="10"/>
      <c r="AD7" s="9"/>
    </row>
    <row r="8" spans="1:30" x14ac:dyDescent="0.2">
      <c r="A8" s="21"/>
      <c r="B8" s="21"/>
      <c r="C8" s="21"/>
      <c r="D8" s="21"/>
      <c r="E8" s="9"/>
      <c r="F8" s="9"/>
      <c r="G8" s="22"/>
    </row>
    <row r="9" spans="1:30" x14ac:dyDescent="0.2">
      <c r="A9" s="21"/>
      <c r="B9" s="21"/>
      <c r="C9" s="21"/>
      <c r="D9" s="21"/>
      <c r="E9" s="9"/>
      <c r="F9" s="9"/>
      <c r="G9" s="22"/>
      <c r="T9" s="23" t="s">
        <v>280</v>
      </c>
    </row>
    <row r="10" spans="1:30" x14ac:dyDescent="0.2">
      <c r="A10" s="21"/>
      <c r="B10" s="21"/>
      <c r="C10" s="21"/>
      <c r="D10" s="21"/>
      <c r="E10" s="9"/>
      <c r="F10" s="9"/>
      <c r="G10" s="22"/>
    </row>
    <row r="11" spans="1:30" ht="14.25" customHeight="1" x14ac:dyDescent="0.2">
      <c r="A11" s="185" t="s">
        <v>240</v>
      </c>
      <c r="B11" s="188" t="s">
        <v>241</v>
      </c>
      <c r="C11" s="188" t="s">
        <v>233</v>
      </c>
      <c r="D11" s="219" t="s">
        <v>289</v>
      </c>
      <c r="E11" s="191" t="s">
        <v>290</v>
      </c>
      <c r="F11" s="194" t="s">
        <v>291</v>
      </c>
      <c r="G11" s="197" t="s">
        <v>234</v>
      </c>
      <c r="H11" s="206" t="s">
        <v>286</v>
      </c>
      <c r="I11" s="206"/>
      <c r="J11" s="206"/>
      <c r="K11" s="206"/>
      <c r="L11" s="206"/>
      <c r="M11" s="206"/>
      <c r="N11" s="206"/>
      <c r="O11" s="206"/>
      <c r="P11" s="206"/>
      <c r="Q11" s="14"/>
      <c r="R11" s="210" t="s">
        <v>226</v>
      </c>
      <c r="S11" s="200" t="s">
        <v>175</v>
      </c>
      <c r="T11" s="203" t="s">
        <v>239</v>
      </c>
      <c r="U11" s="213" t="s">
        <v>296</v>
      </c>
      <c r="V11" s="214"/>
      <c r="W11" s="214"/>
      <c r="X11" s="214"/>
      <c r="Y11" s="214"/>
      <c r="Z11" s="214"/>
      <c r="AA11" s="215"/>
      <c r="AB11" s="182" t="s">
        <v>232</v>
      </c>
      <c r="AC11" s="210" t="s">
        <v>226</v>
      </c>
      <c r="AD11" s="182" t="s">
        <v>238</v>
      </c>
    </row>
    <row r="12" spans="1:30" ht="14.25" customHeight="1" x14ac:dyDescent="0.2">
      <c r="A12" s="186"/>
      <c r="B12" s="189"/>
      <c r="C12" s="189"/>
      <c r="D12" s="220"/>
      <c r="E12" s="192"/>
      <c r="F12" s="195"/>
      <c r="G12" s="198"/>
      <c r="H12" s="206" t="s">
        <v>157</v>
      </c>
      <c r="I12" s="206"/>
      <c r="J12" s="206"/>
      <c r="K12" s="206"/>
      <c r="L12" s="206" t="s">
        <v>287</v>
      </c>
      <c r="M12" s="206"/>
      <c r="N12" s="206"/>
      <c r="O12" s="206"/>
      <c r="P12" s="206"/>
      <c r="Q12" s="15"/>
      <c r="R12" s="211"/>
      <c r="S12" s="201"/>
      <c r="T12" s="204"/>
      <c r="U12" s="207" t="s">
        <v>157</v>
      </c>
      <c r="V12" s="208"/>
      <c r="W12" s="209"/>
      <c r="X12" s="207" t="s">
        <v>229</v>
      </c>
      <c r="Y12" s="208"/>
      <c r="Z12" s="208"/>
      <c r="AA12" s="209"/>
      <c r="AB12" s="183"/>
      <c r="AC12" s="211"/>
      <c r="AD12" s="183"/>
    </row>
    <row r="13" spans="1:30" ht="102.75" customHeight="1" x14ac:dyDescent="0.2">
      <c r="A13" s="187"/>
      <c r="B13" s="190"/>
      <c r="C13" s="190"/>
      <c r="D13" s="221"/>
      <c r="E13" s="193"/>
      <c r="F13" s="196"/>
      <c r="G13" s="199"/>
      <c r="H13" s="24" t="s">
        <v>224</v>
      </c>
      <c r="I13" s="24" t="s">
        <v>225</v>
      </c>
      <c r="J13" s="24" t="s">
        <v>288</v>
      </c>
      <c r="K13" s="25" t="s">
        <v>285</v>
      </c>
      <c r="L13" s="24" t="s">
        <v>273</v>
      </c>
      <c r="M13" s="24" t="s">
        <v>225</v>
      </c>
      <c r="N13" s="24" t="s">
        <v>227</v>
      </c>
      <c r="O13" s="24" t="s">
        <v>228</v>
      </c>
      <c r="P13" s="24" t="s">
        <v>284</v>
      </c>
      <c r="Q13" s="16" t="s">
        <v>231</v>
      </c>
      <c r="R13" s="212"/>
      <c r="S13" s="202"/>
      <c r="T13" s="205"/>
      <c r="U13" s="24" t="s">
        <v>224</v>
      </c>
      <c r="V13" s="24" t="s">
        <v>245</v>
      </c>
      <c r="W13" s="24" t="s">
        <v>249</v>
      </c>
      <c r="X13" s="25" t="s">
        <v>273</v>
      </c>
      <c r="Y13" s="24" t="s">
        <v>245</v>
      </c>
      <c r="Z13" s="24" t="s">
        <v>158</v>
      </c>
      <c r="AA13" s="24" t="s">
        <v>159</v>
      </c>
      <c r="AB13" s="184"/>
      <c r="AC13" s="212"/>
      <c r="AD13" s="184"/>
    </row>
    <row r="14" spans="1:30" x14ac:dyDescent="0.2">
      <c r="A14" s="26" t="s">
        <v>3</v>
      </c>
      <c r="B14" s="27" t="s">
        <v>4</v>
      </c>
      <c r="C14" s="27"/>
      <c r="D14" s="27"/>
      <c r="E14" s="28"/>
      <c r="F14" s="29"/>
      <c r="G14" s="29"/>
      <c r="H14" s="30"/>
      <c r="I14" s="30"/>
      <c r="J14" s="30"/>
      <c r="K14" s="30"/>
      <c r="L14" s="30"/>
      <c r="M14" s="30"/>
      <c r="N14" s="30"/>
      <c r="O14" s="30"/>
      <c r="P14" s="30"/>
      <c r="Q14" s="30"/>
      <c r="R14" s="30"/>
      <c r="S14" s="30"/>
      <c r="T14" s="31"/>
      <c r="U14" s="30"/>
      <c r="V14" s="30"/>
      <c r="W14" s="30"/>
      <c r="X14" s="30"/>
      <c r="Y14" s="30"/>
      <c r="Z14" s="30"/>
      <c r="AA14" s="30"/>
      <c r="AB14" s="32"/>
      <c r="AC14" s="30"/>
      <c r="AD14" s="32"/>
    </row>
    <row r="15" spans="1:30" ht="38.25" x14ac:dyDescent="0.2">
      <c r="A15" s="33" t="s">
        <v>5</v>
      </c>
      <c r="B15" s="34" t="s">
        <v>275</v>
      </c>
      <c r="C15" s="35" t="s">
        <v>235</v>
      </c>
      <c r="D15" s="36">
        <v>96.73</v>
      </c>
      <c r="E15" s="37">
        <v>20.309999999999999</v>
      </c>
      <c r="F15" s="38">
        <f t="shared" ref="F15:F26" si="0">D15+E15</f>
        <v>117.04</v>
      </c>
      <c r="G15" s="39">
        <v>30</v>
      </c>
      <c r="H15" s="40">
        <v>60.84</v>
      </c>
      <c r="I15" s="41">
        <f t="shared" ref="I15:I26" si="1">ROUND(H15*0.2359,2)</f>
        <v>14.35</v>
      </c>
      <c r="J15" s="40">
        <v>0</v>
      </c>
      <c r="K15" s="40">
        <f t="shared" ref="K15:K88" si="2">SUM(H15:J15)</f>
        <v>75.19</v>
      </c>
      <c r="L15" s="40"/>
      <c r="M15" s="40"/>
      <c r="N15" s="40">
        <f>0.45+1.09+0.09+2+0.31+0.55+0.15+0.07+1.04+1.3+1.07+1.46+0.06+0.05+5.03+3.13+0.02+0.55+0.2+0.23+0.5+0.71+0.04+0.07+0.03</f>
        <v>20.200000000000003</v>
      </c>
      <c r="O15" s="40">
        <f>0.08+0.46+0.8</f>
        <v>1.34</v>
      </c>
      <c r="P15" s="40">
        <f>SUM(L15:O15)</f>
        <v>21.540000000000003</v>
      </c>
      <c r="Q15" s="40">
        <f t="shared" ref="Q15:Q26" si="3">SUM(K15+P15)</f>
        <v>96.73</v>
      </c>
      <c r="R15" s="40">
        <f t="shared" ref="R15:R26" si="4">Q15*0.21</f>
        <v>20.313300000000002</v>
      </c>
      <c r="S15" s="40">
        <f t="shared" ref="S15:S26" si="5">Q15+R15</f>
        <v>117.0433</v>
      </c>
      <c r="T15" s="42">
        <f t="shared" ref="T15:T26" si="6">SUM(U15:AA15)+SUM(U15:AA15)*0.21</f>
        <v>3511.2989999999995</v>
      </c>
      <c r="U15" s="40">
        <f t="shared" ref="U15:U18" si="7">H15*G15</f>
        <v>1825.2</v>
      </c>
      <c r="V15" s="40">
        <f t="shared" ref="V15:V26" si="8">I15*G15</f>
        <v>430.5</v>
      </c>
      <c r="W15" s="40">
        <f t="shared" ref="W15:W18" si="9">J15*G15</f>
        <v>0</v>
      </c>
      <c r="X15" s="40"/>
      <c r="Y15" s="40"/>
      <c r="Z15" s="40">
        <f t="shared" ref="Z15:Z23" si="10">N15*G15</f>
        <v>606.00000000000011</v>
      </c>
      <c r="AA15" s="40">
        <f t="shared" ref="AA15:AA26" si="11">O15*G15</f>
        <v>40.200000000000003</v>
      </c>
      <c r="AB15" s="40">
        <f t="shared" ref="AB15:AB26" si="12">SUM(U15:AA15)</f>
        <v>2901.8999999999996</v>
      </c>
      <c r="AC15" s="40">
        <f>AB15*0.21</f>
        <v>609.39899999999989</v>
      </c>
      <c r="AD15" s="43">
        <f>SUM(AB15:AC15)</f>
        <v>3511.2989999999995</v>
      </c>
    </row>
    <row r="16" spans="1:30" ht="25.5" x14ac:dyDescent="0.2">
      <c r="A16" s="33" t="s">
        <v>6</v>
      </c>
      <c r="B16" s="34" t="s">
        <v>276</v>
      </c>
      <c r="C16" s="35" t="s">
        <v>235</v>
      </c>
      <c r="D16" s="36">
        <v>49.95</v>
      </c>
      <c r="E16" s="37">
        <v>10.49</v>
      </c>
      <c r="F16" s="38">
        <f t="shared" si="0"/>
        <v>60.440000000000005</v>
      </c>
      <c r="G16" s="39">
        <v>30</v>
      </c>
      <c r="H16" s="40">
        <v>30.42</v>
      </c>
      <c r="I16" s="41">
        <f t="shared" si="1"/>
        <v>7.18</v>
      </c>
      <c r="J16" s="40">
        <v>0</v>
      </c>
      <c r="K16" s="40">
        <f t="shared" ref="K16" si="13">SUM(H16:J16)</f>
        <v>37.6</v>
      </c>
      <c r="L16" s="40"/>
      <c r="M16" s="40"/>
      <c r="N16" s="40">
        <f>0.22+0.55+0.04+1+0.16+0.27+0.07+0.07+0.52+0.65+0.53+0.73+0.03+0.02+2.51+3.13+0.01+0.28+0.1+0.12+0.25+0.36+0.02+0.03+0.01</f>
        <v>11.679999999999996</v>
      </c>
      <c r="O16" s="40">
        <f>0.04+0.23+0.4</f>
        <v>0.67</v>
      </c>
      <c r="P16" s="40">
        <f t="shared" ref="P16:P26" si="14">SUM(L16:O16)</f>
        <v>12.349999999999996</v>
      </c>
      <c r="Q16" s="40">
        <f t="shared" si="3"/>
        <v>49.949999999999996</v>
      </c>
      <c r="R16" s="40">
        <f t="shared" si="4"/>
        <v>10.4895</v>
      </c>
      <c r="S16" s="40">
        <f t="shared" si="5"/>
        <v>60.439499999999995</v>
      </c>
      <c r="T16" s="42">
        <f t="shared" si="6"/>
        <v>1813.1849999999997</v>
      </c>
      <c r="U16" s="40">
        <f t="shared" si="7"/>
        <v>912.6</v>
      </c>
      <c r="V16" s="40">
        <f t="shared" si="8"/>
        <v>215.39999999999998</v>
      </c>
      <c r="W16" s="40">
        <f t="shared" si="9"/>
        <v>0</v>
      </c>
      <c r="X16" s="40"/>
      <c r="Y16" s="40"/>
      <c r="Z16" s="40">
        <f>N16*G16</f>
        <v>350.39999999999986</v>
      </c>
      <c r="AA16" s="40">
        <f>O16*G16</f>
        <v>20.100000000000001</v>
      </c>
      <c r="AB16" s="40">
        <f t="shared" si="12"/>
        <v>1498.4999999999998</v>
      </c>
      <c r="AC16" s="40">
        <f>AB16*0.21</f>
        <v>314.68499999999995</v>
      </c>
      <c r="AD16" s="43">
        <f t="shared" ref="AD16:AD26" si="15">SUM(AB16:AC16)</f>
        <v>1813.1849999999997</v>
      </c>
    </row>
    <row r="17" spans="1:30" x14ac:dyDescent="0.2">
      <c r="A17" s="33" t="s">
        <v>7</v>
      </c>
      <c r="B17" s="34" t="s">
        <v>277</v>
      </c>
      <c r="C17" s="35" t="s">
        <v>235</v>
      </c>
      <c r="D17" s="36">
        <v>29.3</v>
      </c>
      <c r="E17" s="37">
        <v>6.15</v>
      </c>
      <c r="F17" s="38">
        <f t="shared" si="0"/>
        <v>35.450000000000003</v>
      </c>
      <c r="G17" s="39">
        <v>10</v>
      </c>
      <c r="H17" s="40">
        <v>18.61</v>
      </c>
      <c r="I17" s="41">
        <f t="shared" si="1"/>
        <v>4.3899999999999997</v>
      </c>
      <c r="J17" s="40">
        <v>0</v>
      </c>
      <c r="K17" s="40">
        <f t="shared" si="2"/>
        <v>23</v>
      </c>
      <c r="L17" s="40">
        <v>0.91</v>
      </c>
      <c r="M17" s="41">
        <f>ROUND(L17*0.2359,2)</f>
        <v>0.21</v>
      </c>
      <c r="N17" s="40">
        <f>0.1+0.23+0.43+0.12+0.03+0.03+0.22+0.28+0.23+0.31+0.01+0.01+1.08+1.34+0.01+0.12+0.05+0.11+0.15+0.01+0.01+0.01</f>
        <v>4.8899999999999997</v>
      </c>
      <c r="O17" s="40">
        <f>0.02+0.1+0.17</f>
        <v>0.29000000000000004</v>
      </c>
      <c r="P17" s="40">
        <f t="shared" si="14"/>
        <v>6.3</v>
      </c>
      <c r="Q17" s="40">
        <f t="shared" si="3"/>
        <v>29.3</v>
      </c>
      <c r="R17" s="40">
        <f t="shared" si="4"/>
        <v>6.1529999999999996</v>
      </c>
      <c r="S17" s="40">
        <f t="shared" si="5"/>
        <v>35.453000000000003</v>
      </c>
      <c r="T17" s="42">
        <f t="shared" si="6"/>
        <v>354.52999999999992</v>
      </c>
      <c r="U17" s="40">
        <f>H17*G17</f>
        <v>186.1</v>
      </c>
      <c r="V17" s="40">
        <f t="shared" si="8"/>
        <v>43.9</v>
      </c>
      <c r="W17" s="40">
        <f t="shared" si="9"/>
        <v>0</v>
      </c>
      <c r="X17" s="40">
        <f>L17*G17</f>
        <v>9.1</v>
      </c>
      <c r="Y17" s="40">
        <f>M17*G17</f>
        <v>2.1</v>
      </c>
      <c r="Z17" s="40">
        <f t="shared" si="10"/>
        <v>48.9</v>
      </c>
      <c r="AA17" s="40">
        <f t="shared" si="11"/>
        <v>2.9000000000000004</v>
      </c>
      <c r="AB17" s="40">
        <f t="shared" si="12"/>
        <v>292.99999999999994</v>
      </c>
      <c r="AC17" s="40">
        <f t="shared" ref="AC17:AC26" si="16">AB17*0.21</f>
        <v>61.529999999999987</v>
      </c>
      <c r="AD17" s="43">
        <f t="shared" si="15"/>
        <v>354.52999999999992</v>
      </c>
    </row>
    <row r="18" spans="1:30" ht="38.25" x14ac:dyDescent="0.2">
      <c r="A18" s="33" t="s">
        <v>8</v>
      </c>
      <c r="B18" s="34" t="s">
        <v>274</v>
      </c>
      <c r="C18" s="35" t="s">
        <v>235</v>
      </c>
      <c r="D18" s="36">
        <v>303.79000000000002</v>
      </c>
      <c r="E18" s="37">
        <v>63.8</v>
      </c>
      <c r="F18" s="38">
        <f t="shared" si="0"/>
        <v>367.59000000000003</v>
      </c>
      <c r="G18" s="44">
        <v>10</v>
      </c>
      <c r="H18" s="40">
        <v>76.86</v>
      </c>
      <c r="I18" s="41">
        <f>ROUND(H18*0.2359,2)</f>
        <v>18.13</v>
      </c>
      <c r="J18" s="40">
        <v>193.42</v>
      </c>
      <c r="K18" s="40">
        <f t="shared" si="2"/>
        <v>288.40999999999997</v>
      </c>
      <c r="L18" s="40">
        <v>1.82</v>
      </c>
      <c r="M18" s="41">
        <f>ROUND(L18*0.2359,2)</f>
        <v>0.43</v>
      </c>
      <c r="N18" s="40">
        <f>0.24+0.59+0.05+1.07+0.17+0.29+0.08+0.07+0.56+0.69+0.57+0.78+0.03+0.03+2.69+3.35+0.01+0.3+0.12+0.27+0.38+0.02+0.04+0.02</f>
        <v>12.419999999999998</v>
      </c>
      <c r="O18" s="40">
        <f>0.04+0.24+0.43</f>
        <v>0.71</v>
      </c>
      <c r="P18" s="40">
        <f t="shared" si="14"/>
        <v>15.379999999999999</v>
      </c>
      <c r="Q18" s="40">
        <f t="shared" si="3"/>
        <v>303.78999999999996</v>
      </c>
      <c r="R18" s="40">
        <f t="shared" si="4"/>
        <v>63.795899999999989</v>
      </c>
      <c r="S18" s="40">
        <f t="shared" si="5"/>
        <v>367.58589999999992</v>
      </c>
      <c r="T18" s="42">
        <f>SUM(U18:AA18)+SUM(U18:AA18)*0.21</f>
        <v>3675.8589999999995</v>
      </c>
      <c r="U18" s="40">
        <f t="shared" si="7"/>
        <v>768.6</v>
      </c>
      <c r="V18" s="40">
        <f t="shared" si="8"/>
        <v>181.29999999999998</v>
      </c>
      <c r="W18" s="40">
        <f t="shared" si="9"/>
        <v>1934.1999999999998</v>
      </c>
      <c r="X18" s="40">
        <f>L18*G18</f>
        <v>18.2</v>
      </c>
      <c r="Y18" s="40">
        <f>M18*G18</f>
        <v>4.3</v>
      </c>
      <c r="Z18" s="40">
        <f t="shared" si="10"/>
        <v>124.19999999999999</v>
      </c>
      <c r="AA18" s="40">
        <f t="shared" si="11"/>
        <v>7.1</v>
      </c>
      <c r="AB18" s="40">
        <f t="shared" si="12"/>
        <v>3037.8999999999996</v>
      </c>
      <c r="AC18" s="40">
        <f t="shared" si="16"/>
        <v>637.95899999999995</v>
      </c>
      <c r="AD18" s="43">
        <f t="shared" si="15"/>
        <v>3675.8589999999995</v>
      </c>
    </row>
    <row r="19" spans="1:30" ht="38.25" x14ac:dyDescent="0.2">
      <c r="A19" s="33" t="s">
        <v>9</v>
      </c>
      <c r="B19" s="34" t="s">
        <v>216</v>
      </c>
      <c r="C19" s="35" t="s">
        <v>235</v>
      </c>
      <c r="D19" s="36">
        <v>64.73</v>
      </c>
      <c r="E19" s="37">
        <v>13.59</v>
      </c>
      <c r="F19" s="38">
        <f t="shared" si="0"/>
        <v>78.320000000000007</v>
      </c>
      <c r="G19" s="44">
        <v>30</v>
      </c>
      <c r="H19" s="40">
        <v>39.04</v>
      </c>
      <c r="I19" s="41">
        <f>ROUND(H19*0.2359,2)</f>
        <v>9.2100000000000009</v>
      </c>
      <c r="J19" s="40">
        <v>0</v>
      </c>
      <c r="K19" s="40">
        <f>SUM(H19:J19)</f>
        <v>48.25</v>
      </c>
      <c r="L19" s="40"/>
      <c r="M19" s="40"/>
      <c r="N19" s="40">
        <f>0.3+0.73+0.06+1.33+0.21+0.37+0.1+0.09+0.69+0.87+0.71+0.97+0.04+0.03+3.35+4.17+0.01+0.37+0.13+0.16+0.33+0.48+0.03+0.04+0.02</f>
        <v>15.589999999999998</v>
      </c>
      <c r="O19" s="40">
        <f>0.05+0.3+0.54</f>
        <v>0.89</v>
      </c>
      <c r="P19" s="40">
        <f t="shared" si="14"/>
        <v>16.479999999999997</v>
      </c>
      <c r="Q19" s="40">
        <f t="shared" si="3"/>
        <v>64.72999999999999</v>
      </c>
      <c r="R19" s="40">
        <f t="shared" si="4"/>
        <v>13.593299999999997</v>
      </c>
      <c r="S19" s="40">
        <f t="shared" si="5"/>
        <v>78.323299999999989</v>
      </c>
      <c r="T19" s="42">
        <f>SUM(U19:AA19)+SUM(U19:AA19)*0.21</f>
        <v>2349.6989999999996</v>
      </c>
      <c r="U19" s="40">
        <f>H19*G19</f>
        <v>1171.2</v>
      </c>
      <c r="V19" s="40">
        <f t="shared" si="8"/>
        <v>276.3</v>
      </c>
      <c r="W19" s="40"/>
      <c r="X19" s="40"/>
      <c r="Y19" s="40"/>
      <c r="Z19" s="40">
        <f t="shared" si="10"/>
        <v>467.69999999999993</v>
      </c>
      <c r="AA19" s="40">
        <f t="shared" si="11"/>
        <v>26.7</v>
      </c>
      <c r="AB19" s="40">
        <f t="shared" si="12"/>
        <v>1941.8999999999999</v>
      </c>
      <c r="AC19" s="40">
        <f>AB19*0.21</f>
        <v>407.79899999999998</v>
      </c>
      <c r="AD19" s="43">
        <f>SUM(AB19:AC19)</f>
        <v>2349.6989999999996</v>
      </c>
    </row>
    <row r="20" spans="1:30" ht="25.5" x14ac:dyDescent="0.2">
      <c r="A20" s="33" t="s">
        <v>10</v>
      </c>
      <c r="B20" s="34" t="s">
        <v>217</v>
      </c>
      <c r="C20" s="35" t="s">
        <v>235</v>
      </c>
      <c r="D20" s="36">
        <v>4.76</v>
      </c>
      <c r="E20" s="37">
        <v>1</v>
      </c>
      <c r="F20" s="38">
        <f t="shared" si="0"/>
        <v>5.76</v>
      </c>
      <c r="G20" s="44">
        <v>30</v>
      </c>
      <c r="H20" s="40">
        <v>3.04</v>
      </c>
      <c r="I20" s="41">
        <f t="shared" si="1"/>
        <v>0.72</v>
      </c>
      <c r="J20" s="40">
        <v>0</v>
      </c>
      <c r="K20" s="40">
        <f t="shared" si="2"/>
        <v>3.76</v>
      </c>
      <c r="L20" s="40"/>
      <c r="M20" s="40"/>
      <c r="N20" s="40">
        <f>0.02+0.05+0.08+0.01+0.02+0.01+0.01+0.04+0.05+0.04+0.06+0.21+0.26+0.02+0.01+0.01+0.02+0.03</f>
        <v>0.95000000000000007</v>
      </c>
      <c r="O20" s="40">
        <f>0.02+0.03</f>
        <v>0.05</v>
      </c>
      <c r="P20" s="40">
        <f t="shared" si="14"/>
        <v>1</v>
      </c>
      <c r="Q20" s="40">
        <f t="shared" si="3"/>
        <v>4.76</v>
      </c>
      <c r="R20" s="40">
        <f t="shared" si="4"/>
        <v>0.99959999999999993</v>
      </c>
      <c r="S20" s="40">
        <f t="shared" si="5"/>
        <v>5.7595999999999998</v>
      </c>
      <c r="T20" s="42">
        <f t="shared" si="6"/>
        <v>172.78800000000001</v>
      </c>
      <c r="U20" s="40">
        <f>H20*G20</f>
        <v>91.2</v>
      </c>
      <c r="V20" s="40">
        <f t="shared" si="8"/>
        <v>21.599999999999998</v>
      </c>
      <c r="W20" s="40"/>
      <c r="X20" s="40"/>
      <c r="Y20" s="40"/>
      <c r="Z20" s="40">
        <f t="shared" si="10"/>
        <v>28.500000000000004</v>
      </c>
      <c r="AA20" s="40">
        <f t="shared" si="11"/>
        <v>1.5</v>
      </c>
      <c r="AB20" s="40">
        <f t="shared" si="12"/>
        <v>142.80000000000001</v>
      </c>
      <c r="AC20" s="40">
        <f t="shared" si="16"/>
        <v>29.988</v>
      </c>
      <c r="AD20" s="43">
        <f t="shared" si="15"/>
        <v>172.78800000000001</v>
      </c>
    </row>
    <row r="21" spans="1:30" ht="25.5" x14ac:dyDescent="0.2">
      <c r="A21" s="33" t="s">
        <v>11</v>
      </c>
      <c r="B21" s="34" t="s">
        <v>218</v>
      </c>
      <c r="C21" s="35" t="s">
        <v>235</v>
      </c>
      <c r="D21" s="45">
        <v>6.62</v>
      </c>
      <c r="E21" s="37">
        <v>1.39</v>
      </c>
      <c r="F21" s="38">
        <f t="shared" si="0"/>
        <v>8.01</v>
      </c>
      <c r="G21" s="44">
        <v>30</v>
      </c>
      <c r="H21" s="40">
        <v>2.02</v>
      </c>
      <c r="I21" s="41">
        <v>0.79</v>
      </c>
      <c r="J21" s="40">
        <v>0</v>
      </c>
      <c r="K21" s="40">
        <f t="shared" si="2"/>
        <v>2.81</v>
      </c>
      <c r="L21" s="40">
        <v>2.27</v>
      </c>
      <c r="M21" s="40">
        <v>0.54</v>
      </c>
      <c r="N21" s="40">
        <f>0.02+0.05+0.08+0.01+0.02+0.01+0.01+0.04+0.05+0.04+0.06+0.21+0.26+0.02+0.01+0.01+0.02+0.03</f>
        <v>0.95000000000000007</v>
      </c>
      <c r="O21" s="40">
        <f>0.02+0.03</f>
        <v>0.05</v>
      </c>
      <c r="P21" s="40">
        <f t="shared" si="14"/>
        <v>3.81</v>
      </c>
      <c r="Q21" s="40">
        <f t="shared" si="3"/>
        <v>6.62</v>
      </c>
      <c r="R21" s="40">
        <f t="shared" si="4"/>
        <v>1.3901999999999999</v>
      </c>
      <c r="S21" s="40">
        <f t="shared" si="5"/>
        <v>8.0101999999999993</v>
      </c>
      <c r="T21" s="42">
        <f t="shared" si="6"/>
        <v>240.30600000000004</v>
      </c>
      <c r="U21" s="40">
        <f>H21*G21</f>
        <v>60.6</v>
      </c>
      <c r="V21" s="40">
        <f t="shared" si="8"/>
        <v>23.700000000000003</v>
      </c>
      <c r="W21" s="40"/>
      <c r="X21" s="40">
        <f>L21*G21</f>
        <v>68.099999999999994</v>
      </c>
      <c r="Y21" s="40">
        <f>M21*G21</f>
        <v>16.200000000000003</v>
      </c>
      <c r="Z21" s="40">
        <f t="shared" si="10"/>
        <v>28.500000000000004</v>
      </c>
      <c r="AA21" s="40">
        <f t="shared" si="11"/>
        <v>1.5</v>
      </c>
      <c r="AB21" s="40">
        <f t="shared" si="12"/>
        <v>198.60000000000002</v>
      </c>
      <c r="AC21" s="40">
        <f t="shared" si="16"/>
        <v>41.706000000000003</v>
      </c>
      <c r="AD21" s="43">
        <f t="shared" si="15"/>
        <v>240.30600000000004</v>
      </c>
    </row>
    <row r="22" spans="1:30" ht="51" x14ac:dyDescent="0.2">
      <c r="A22" s="46" t="s">
        <v>12</v>
      </c>
      <c r="B22" s="34" t="s">
        <v>219</v>
      </c>
      <c r="C22" s="35" t="s">
        <v>236</v>
      </c>
      <c r="D22" s="36">
        <v>263.11</v>
      </c>
      <c r="E22" s="37">
        <v>55.25</v>
      </c>
      <c r="F22" s="38">
        <f t="shared" si="0"/>
        <v>318.36</v>
      </c>
      <c r="G22" s="44">
        <v>3</v>
      </c>
      <c r="H22" s="40">
        <v>139.55000000000001</v>
      </c>
      <c r="I22" s="41">
        <f t="shared" si="1"/>
        <v>32.92</v>
      </c>
      <c r="J22" s="40">
        <v>0</v>
      </c>
      <c r="K22" s="40">
        <f t="shared" si="2"/>
        <v>172.47000000000003</v>
      </c>
      <c r="L22" s="40">
        <v>53.92</v>
      </c>
      <c r="M22" s="41">
        <v>12.72</v>
      </c>
      <c r="N22" s="40">
        <v>24</v>
      </c>
      <c r="O22" s="40">
        <v>0</v>
      </c>
      <c r="P22" s="40">
        <f t="shared" si="14"/>
        <v>90.64</v>
      </c>
      <c r="Q22" s="40">
        <f>SUM(K22+P22)</f>
        <v>263.11</v>
      </c>
      <c r="R22" s="40">
        <f t="shared" si="4"/>
        <v>55.253100000000003</v>
      </c>
      <c r="S22" s="40">
        <f t="shared" si="5"/>
        <v>318.36310000000003</v>
      </c>
      <c r="T22" s="42">
        <f t="shared" si="6"/>
        <v>955.08930000000009</v>
      </c>
      <c r="U22" s="40">
        <f t="shared" ref="U22" si="17">H22*G22</f>
        <v>418.65000000000003</v>
      </c>
      <c r="V22" s="40">
        <f t="shared" si="8"/>
        <v>98.76</v>
      </c>
      <c r="W22" s="40">
        <f>J22*G22</f>
        <v>0</v>
      </c>
      <c r="X22" s="40">
        <f>G22*L22</f>
        <v>161.76</v>
      </c>
      <c r="Y22" s="40">
        <f>G22*M22</f>
        <v>38.160000000000004</v>
      </c>
      <c r="Z22" s="40">
        <f t="shared" si="10"/>
        <v>72</v>
      </c>
      <c r="AA22" s="40">
        <f t="shared" si="11"/>
        <v>0</v>
      </c>
      <c r="AB22" s="40">
        <f t="shared" si="12"/>
        <v>789.33</v>
      </c>
      <c r="AC22" s="40">
        <f t="shared" si="16"/>
        <v>165.7593</v>
      </c>
      <c r="AD22" s="43">
        <f t="shared" si="15"/>
        <v>955.08930000000009</v>
      </c>
    </row>
    <row r="23" spans="1:30" ht="51" x14ac:dyDescent="0.2">
      <c r="A23" s="46" t="s">
        <v>13</v>
      </c>
      <c r="B23" s="34" t="s">
        <v>220</v>
      </c>
      <c r="C23" s="35" t="s">
        <v>236</v>
      </c>
      <c r="D23" s="36">
        <v>498.38</v>
      </c>
      <c r="E23" s="37">
        <v>104.66</v>
      </c>
      <c r="F23" s="38">
        <f t="shared" si="0"/>
        <v>603.04</v>
      </c>
      <c r="G23" s="44">
        <v>3</v>
      </c>
      <c r="H23" s="40">
        <v>139.55000000000001</v>
      </c>
      <c r="I23" s="41">
        <f t="shared" si="1"/>
        <v>32.92</v>
      </c>
      <c r="J23" s="40">
        <v>0</v>
      </c>
      <c r="K23" s="40">
        <f t="shared" si="2"/>
        <v>172.47000000000003</v>
      </c>
      <c r="L23" s="40">
        <v>200.72</v>
      </c>
      <c r="M23" s="41">
        <f t="shared" ref="M23:M26" si="18">ROUND(L23*0.2359,2)</f>
        <v>47.35</v>
      </c>
      <c r="N23" s="40">
        <v>77.84</v>
      </c>
      <c r="O23" s="40">
        <v>0</v>
      </c>
      <c r="P23" s="40">
        <f t="shared" si="14"/>
        <v>325.90999999999997</v>
      </c>
      <c r="Q23" s="40">
        <f t="shared" si="3"/>
        <v>498.38</v>
      </c>
      <c r="R23" s="40">
        <f t="shared" si="4"/>
        <v>104.65979999999999</v>
      </c>
      <c r="S23" s="40">
        <f t="shared" si="5"/>
        <v>603.03980000000001</v>
      </c>
      <c r="T23" s="42">
        <f t="shared" si="6"/>
        <v>1809.1194</v>
      </c>
      <c r="U23" s="40">
        <f>H23*G23</f>
        <v>418.65000000000003</v>
      </c>
      <c r="V23" s="40">
        <f t="shared" si="8"/>
        <v>98.76</v>
      </c>
      <c r="W23" s="40">
        <f>J23*G23</f>
        <v>0</v>
      </c>
      <c r="X23" s="40">
        <f>G23*L23</f>
        <v>602.16</v>
      </c>
      <c r="Y23" s="40">
        <f>G23*M23</f>
        <v>142.05000000000001</v>
      </c>
      <c r="Z23" s="40">
        <f t="shared" si="10"/>
        <v>233.52</v>
      </c>
      <c r="AA23" s="40">
        <f t="shared" si="11"/>
        <v>0</v>
      </c>
      <c r="AB23" s="40">
        <f t="shared" si="12"/>
        <v>1495.14</v>
      </c>
      <c r="AC23" s="40">
        <f t="shared" si="16"/>
        <v>313.9794</v>
      </c>
      <c r="AD23" s="43">
        <f t="shared" si="15"/>
        <v>1809.1194</v>
      </c>
    </row>
    <row r="24" spans="1:30" x14ac:dyDescent="0.2">
      <c r="A24" s="46" t="s">
        <v>14</v>
      </c>
      <c r="B24" s="34" t="s">
        <v>221</v>
      </c>
      <c r="C24" s="35" t="s">
        <v>236</v>
      </c>
      <c r="D24" s="36">
        <v>23.85</v>
      </c>
      <c r="E24" s="37">
        <v>5.01</v>
      </c>
      <c r="F24" s="38">
        <f t="shared" si="0"/>
        <v>28.86</v>
      </c>
      <c r="G24" s="44">
        <v>2</v>
      </c>
      <c r="H24" s="40">
        <v>12.14</v>
      </c>
      <c r="I24" s="41">
        <f t="shared" si="1"/>
        <v>2.86</v>
      </c>
      <c r="J24" s="40">
        <v>0</v>
      </c>
      <c r="K24" s="40">
        <f t="shared" si="2"/>
        <v>15</v>
      </c>
      <c r="L24" s="40">
        <v>4.54</v>
      </c>
      <c r="M24" s="41">
        <f t="shared" si="18"/>
        <v>1.07</v>
      </c>
      <c r="N24" s="40">
        <f>0.06+0.15+0.27+0.07+0.02+0.02+0.14+0.17+0.14+0.2+0.01+0.01+0.67+0.84+0.07+0.03+0.07+0.1+0.01+0.01</f>
        <v>3.0599999999999992</v>
      </c>
      <c r="O24" s="40">
        <f>0.01+0.06+0.11</f>
        <v>0.18</v>
      </c>
      <c r="P24" s="40">
        <f t="shared" si="14"/>
        <v>8.85</v>
      </c>
      <c r="Q24" s="40">
        <f t="shared" si="3"/>
        <v>23.85</v>
      </c>
      <c r="R24" s="40">
        <f t="shared" si="4"/>
        <v>5.0084999999999997</v>
      </c>
      <c r="S24" s="40">
        <f t="shared" si="5"/>
        <v>28.858499999999999</v>
      </c>
      <c r="T24" s="42">
        <f>SUM(U24:AA24)+SUM(U24:AA24)*0.21</f>
        <v>57.716999999999999</v>
      </c>
      <c r="U24" s="40">
        <f>H24*G24</f>
        <v>24.28</v>
      </c>
      <c r="V24" s="40">
        <f t="shared" si="8"/>
        <v>5.72</v>
      </c>
      <c r="W24" s="40">
        <f>J24*G24</f>
        <v>0</v>
      </c>
      <c r="X24" s="40">
        <v>9.08</v>
      </c>
      <c r="Y24" s="40">
        <f>G24*M24</f>
        <v>2.14</v>
      </c>
      <c r="Z24" s="40">
        <f>N24*G24</f>
        <v>6.1199999999999983</v>
      </c>
      <c r="AA24" s="40">
        <f t="shared" si="11"/>
        <v>0.36</v>
      </c>
      <c r="AB24" s="40">
        <f>SUM(U24:AA24)</f>
        <v>47.699999999999996</v>
      </c>
      <c r="AC24" s="40">
        <f t="shared" si="16"/>
        <v>10.016999999999999</v>
      </c>
      <c r="AD24" s="43">
        <f t="shared" si="15"/>
        <v>57.716999999999999</v>
      </c>
    </row>
    <row r="25" spans="1:30" x14ac:dyDescent="0.2">
      <c r="A25" s="47" t="s">
        <v>15</v>
      </c>
      <c r="B25" s="34" t="s">
        <v>222</v>
      </c>
      <c r="C25" s="35" t="s">
        <v>236</v>
      </c>
      <c r="D25" s="36">
        <v>222.36</v>
      </c>
      <c r="E25" s="37">
        <v>46.7</v>
      </c>
      <c r="F25" s="38">
        <f t="shared" si="0"/>
        <v>269.06</v>
      </c>
      <c r="G25" s="44">
        <v>2</v>
      </c>
      <c r="H25" s="40">
        <v>139.55000000000001</v>
      </c>
      <c r="I25" s="41">
        <f t="shared" si="1"/>
        <v>32.92</v>
      </c>
      <c r="J25" s="40">
        <v>0</v>
      </c>
      <c r="K25" s="40">
        <f t="shared" si="2"/>
        <v>172.47000000000003</v>
      </c>
      <c r="L25" s="40">
        <v>9.08</v>
      </c>
      <c r="M25" s="41">
        <f t="shared" si="18"/>
        <v>2.14</v>
      </c>
      <c r="N25" s="40">
        <f>0.72+1.75+3.21+0.88+0.23+0.22+1.66+2.08+1.71+2.34+0.09+0.08+8.06+10.04+0.03+0.89+0.37+0.8+1.14+0.07+0.11+0.04</f>
        <v>36.519999999999996</v>
      </c>
      <c r="O25" s="40">
        <f>0.13+0.73+1.29</f>
        <v>2.15</v>
      </c>
      <c r="P25" s="40">
        <f t="shared" si="14"/>
        <v>49.889999999999993</v>
      </c>
      <c r="Q25" s="40">
        <f t="shared" si="3"/>
        <v>222.36</v>
      </c>
      <c r="R25" s="40">
        <f t="shared" si="4"/>
        <v>46.695599999999999</v>
      </c>
      <c r="S25" s="40">
        <f t="shared" si="5"/>
        <v>269.05560000000003</v>
      </c>
      <c r="T25" s="42">
        <f t="shared" si="6"/>
        <v>538.11120000000005</v>
      </c>
      <c r="U25" s="40">
        <f t="shared" ref="U25:U26" si="19">H25*G25</f>
        <v>279.10000000000002</v>
      </c>
      <c r="V25" s="40">
        <f t="shared" si="8"/>
        <v>65.84</v>
      </c>
      <c r="W25" s="40">
        <f>J25*G25</f>
        <v>0</v>
      </c>
      <c r="X25" s="40">
        <f>L25*G25</f>
        <v>18.16</v>
      </c>
      <c r="Y25" s="40">
        <f>G25*M25</f>
        <v>4.28</v>
      </c>
      <c r="Z25" s="40">
        <f>N25*G25</f>
        <v>73.039999999999992</v>
      </c>
      <c r="AA25" s="40">
        <f>O25*G25</f>
        <v>4.3</v>
      </c>
      <c r="AB25" s="40">
        <f>SUM(U25:AA25)</f>
        <v>444.72000000000008</v>
      </c>
      <c r="AC25" s="40">
        <f t="shared" si="16"/>
        <v>93.391200000000012</v>
      </c>
      <c r="AD25" s="43">
        <f t="shared" si="15"/>
        <v>538.11120000000005</v>
      </c>
    </row>
    <row r="26" spans="1:30" ht="26.25" thickBot="1" x14ac:dyDescent="0.25">
      <c r="A26" s="48" t="s">
        <v>16</v>
      </c>
      <c r="B26" s="49" t="s">
        <v>223</v>
      </c>
      <c r="C26" s="50" t="s">
        <v>236</v>
      </c>
      <c r="D26" s="51">
        <v>22.23</v>
      </c>
      <c r="E26" s="52">
        <v>4.67</v>
      </c>
      <c r="F26" s="38">
        <f t="shared" si="0"/>
        <v>26.9</v>
      </c>
      <c r="G26" s="53">
        <v>10</v>
      </c>
      <c r="H26" s="54">
        <v>13.96</v>
      </c>
      <c r="I26" s="55">
        <f t="shared" si="1"/>
        <v>3.29</v>
      </c>
      <c r="J26" s="54">
        <v>0</v>
      </c>
      <c r="K26" s="54">
        <f t="shared" si="2"/>
        <v>17.25</v>
      </c>
      <c r="L26" s="54">
        <v>0.91</v>
      </c>
      <c r="M26" s="41">
        <f t="shared" si="18"/>
        <v>0.21</v>
      </c>
      <c r="N26" s="54">
        <f>0.07+0.18+0.32+0.09+0.02+0.02+0.17+0.21+0.17+0.23+0.01+0.01+0.81+1+0.09+0.04+0.08+0.11+0.01+0.01</f>
        <v>3.6499999999999995</v>
      </c>
      <c r="O26" s="54">
        <f>0.01+0.07+0.13</f>
        <v>0.21000000000000002</v>
      </c>
      <c r="P26" s="54">
        <f t="shared" si="14"/>
        <v>4.9799999999999995</v>
      </c>
      <c r="Q26" s="54">
        <f t="shared" si="3"/>
        <v>22.23</v>
      </c>
      <c r="R26" s="40">
        <f t="shared" si="4"/>
        <v>4.6683000000000003</v>
      </c>
      <c r="S26" s="40">
        <f t="shared" si="5"/>
        <v>26.898299999999999</v>
      </c>
      <c r="T26" s="56">
        <f t="shared" si="6"/>
        <v>268.983</v>
      </c>
      <c r="U26" s="54">
        <f t="shared" si="19"/>
        <v>139.60000000000002</v>
      </c>
      <c r="V26" s="54">
        <f t="shared" si="8"/>
        <v>32.9</v>
      </c>
      <c r="W26" s="54">
        <f t="shared" ref="W26" si="20">J26*G26</f>
        <v>0</v>
      </c>
      <c r="X26" s="54">
        <f>L26*G26</f>
        <v>9.1</v>
      </c>
      <c r="Y26" s="54">
        <f>M26*G26</f>
        <v>2.1</v>
      </c>
      <c r="Z26" s="54">
        <f>N26*G26</f>
        <v>36.499999999999993</v>
      </c>
      <c r="AA26" s="54">
        <f t="shared" si="11"/>
        <v>2.1</v>
      </c>
      <c r="AB26" s="54">
        <f t="shared" si="12"/>
        <v>222.3</v>
      </c>
      <c r="AC26" s="54">
        <f t="shared" si="16"/>
        <v>46.683</v>
      </c>
      <c r="AD26" s="57">
        <f t="shared" si="15"/>
        <v>268.983</v>
      </c>
    </row>
    <row r="27" spans="1:30" ht="30" customHeight="1" thickBot="1" x14ac:dyDescent="0.25">
      <c r="A27" s="58"/>
      <c r="B27" s="180" t="s">
        <v>230</v>
      </c>
      <c r="C27" s="59" t="s">
        <v>235</v>
      </c>
      <c r="D27" s="60"/>
      <c r="E27" s="61"/>
      <c r="F27" s="62"/>
      <c r="G27" s="63">
        <f>SUM(G15:G26)</f>
        <v>190</v>
      </c>
      <c r="H27" s="168"/>
      <c r="I27" s="169"/>
      <c r="J27" s="170"/>
      <c r="K27" s="170"/>
      <c r="L27" s="170"/>
      <c r="M27" s="170"/>
      <c r="N27" s="170"/>
      <c r="O27" s="170"/>
      <c r="P27" s="170"/>
      <c r="Q27" s="170"/>
      <c r="R27" s="170"/>
      <c r="S27" s="170"/>
      <c r="T27" s="64">
        <f t="shared" ref="T27:AD27" si="21">SUM(T15:T26)</f>
        <v>15746.6859</v>
      </c>
      <c r="U27" s="65">
        <f t="shared" si="21"/>
        <v>6295.78</v>
      </c>
      <c r="V27" s="65">
        <f t="shared" si="21"/>
        <v>1494.6799999999998</v>
      </c>
      <c r="W27" s="65">
        <f t="shared" si="21"/>
        <v>1934.1999999999998</v>
      </c>
      <c r="X27" s="65">
        <f t="shared" si="21"/>
        <v>895.66</v>
      </c>
      <c r="Y27" s="65">
        <f t="shared" si="21"/>
        <v>211.32999999999998</v>
      </c>
      <c r="Z27" s="65">
        <f t="shared" si="21"/>
        <v>2075.3799999999997</v>
      </c>
      <c r="AA27" s="65">
        <f t="shared" si="21"/>
        <v>106.75999999999999</v>
      </c>
      <c r="AB27" s="65">
        <f t="shared" si="21"/>
        <v>13013.789999999997</v>
      </c>
      <c r="AC27" s="65">
        <f t="shared" si="21"/>
        <v>2732.8959</v>
      </c>
      <c r="AD27" s="66">
        <f t="shared" si="21"/>
        <v>15746.6859</v>
      </c>
    </row>
    <row r="28" spans="1:30" x14ac:dyDescent="0.2">
      <c r="A28" s="67" t="s">
        <v>252</v>
      </c>
      <c r="B28" s="181" t="s">
        <v>250</v>
      </c>
      <c r="C28" s="68"/>
      <c r="D28" s="69"/>
      <c r="E28" s="70"/>
      <c r="F28" s="70"/>
      <c r="G28" s="165"/>
      <c r="H28" s="172"/>
      <c r="I28" s="173"/>
      <c r="J28" s="173"/>
      <c r="K28" s="173"/>
      <c r="L28" s="173"/>
      <c r="M28" s="173"/>
      <c r="N28" s="173"/>
      <c r="O28" s="173"/>
      <c r="P28" s="173"/>
      <c r="Q28" s="173"/>
      <c r="R28" s="173"/>
      <c r="S28" s="174"/>
      <c r="T28" s="166"/>
      <c r="U28" s="71">
        <f>U27</f>
        <v>6295.78</v>
      </c>
      <c r="V28" s="71">
        <f t="shared" ref="V28:Y28" si="22">V27</f>
        <v>1494.6799999999998</v>
      </c>
      <c r="W28" s="71"/>
      <c r="X28" s="71">
        <f t="shared" si="22"/>
        <v>895.66</v>
      </c>
      <c r="Y28" s="71">
        <f t="shared" si="22"/>
        <v>211.32999999999998</v>
      </c>
      <c r="Z28" s="71"/>
      <c r="AA28" s="71"/>
      <c r="AB28" s="71">
        <f>SUM(T28:AA28)</f>
        <v>8897.4499999999989</v>
      </c>
      <c r="AC28" s="71">
        <f>AB28*21%</f>
        <v>1868.4644999999996</v>
      </c>
      <c r="AD28" s="71">
        <f>SUM(AB28:AC28)</f>
        <v>10765.914499999999</v>
      </c>
    </row>
    <row r="29" spans="1:30" x14ac:dyDescent="0.2">
      <c r="A29" s="67"/>
      <c r="B29" s="72" t="s">
        <v>251</v>
      </c>
      <c r="C29" s="35"/>
      <c r="D29" s="34"/>
      <c r="E29" s="73"/>
      <c r="F29" s="73"/>
      <c r="G29" s="165"/>
      <c r="H29" s="175"/>
      <c r="S29" s="176"/>
      <c r="T29" s="167"/>
      <c r="U29" s="43"/>
      <c r="V29" s="43"/>
      <c r="W29" s="43">
        <f>W27</f>
        <v>1934.1999999999998</v>
      </c>
      <c r="X29" s="43"/>
      <c r="Y29" s="43"/>
      <c r="Z29" s="43">
        <f t="shared" ref="Z29" si="23">Z27</f>
        <v>2075.3799999999997</v>
      </c>
      <c r="AA29" s="43"/>
      <c r="AB29" s="74">
        <f>SUM(T29:AA29)</f>
        <v>4009.5799999999995</v>
      </c>
      <c r="AC29" s="71">
        <f t="shared" ref="AC29:AC30" si="24">AB29*21%</f>
        <v>842.01179999999988</v>
      </c>
      <c r="AD29" s="74">
        <f t="shared" ref="AD29:AD30" si="25">SUM(AB29:AC29)</f>
        <v>4851.5917999999992</v>
      </c>
    </row>
    <row r="30" spans="1:30" x14ac:dyDescent="0.2">
      <c r="A30" s="67"/>
      <c r="B30" s="72" t="s">
        <v>253</v>
      </c>
      <c r="C30" s="35"/>
      <c r="D30" s="34"/>
      <c r="E30" s="73"/>
      <c r="F30" s="73"/>
      <c r="G30" s="165"/>
      <c r="H30" s="175"/>
      <c r="S30" s="176"/>
      <c r="T30" s="167"/>
      <c r="U30" s="43"/>
      <c r="V30" s="43"/>
      <c r="W30" s="43"/>
      <c r="X30" s="43"/>
      <c r="Y30" s="43"/>
      <c r="Z30" s="43"/>
      <c r="AA30" s="43">
        <f>AA27</f>
        <v>106.75999999999999</v>
      </c>
      <c r="AB30" s="74">
        <f>SUM(T30:AA30)</f>
        <v>106.75999999999999</v>
      </c>
      <c r="AC30" s="71">
        <f t="shared" si="24"/>
        <v>22.419599999999996</v>
      </c>
      <c r="AD30" s="74">
        <f t="shared" si="25"/>
        <v>129.17959999999999</v>
      </c>
    </row>
    <row r="31" spans="1:30" ht="13.5" thickBot="1" x14ac:dyDescent="0.25">
      <c r="A31" s="67"/>
      <c r="B31" s="75" t="s">
        <v>134</v>
      </c>
      <c r="C31" s="35"/>
      <c r="D31" s="34"/>
      <c r="E31" s="73"/>
      <c r="F31" s="73"/>
      <c r="G31" s="165"/>
      <c r="H31" s="177"/>
      <c r="I31" s="178"/>
      <c r="J31" s="178"/>
      <c r="K31" s="178"/>
      <c r="L31" s="178"/>
      <c r="M31" s="178"/>
      <c r="N31" s="178"/>
      <c r="O31" s="178"/>
      <c r="P31" s="178"/>
      <c r="Q31" s="178"/>
      <c r="R31" s="178"/>
      <c r="S31" s="179"/>
      <c r="T31" s="167"/>
      <c r="U31" s="43"/>
      <c r="V31" s="43"/>
      <c r="W31" s="43"/>
      <c r="X31" s="43"/>
      <c r="Y31" s="43"/>
      <c r="Z31" s="43"/>
      <c r="AA31" s="43"/>
      <c r="AB31" s="76">
        <f>8897.45+4009.58+AB30</f>
        <v>13013.79</v>
      </c>
      <c r="AC31" s="43">
        <f>AC28+AC29+AC30</f>
        <v>2732.8958999999995</v>
      </c>
      <c r="AD31" s="76">
        <f>AD28+AD29+AD30</f>
        <v>15746.685899999997</v>
      </c>
    </row>
    <row r="32" spans="1:30" ht="35.25" customHeight="1" x14ac:dyDescent="0.2">
      <c r="A32" s="77" t="s">
        <v>17</v>
      </c>
      <c r="B32" s="162" t="s">
        <v>174</v>
      </c>
      <c r="C32" s="78"/>
      <c r="D32" s="78"/>
      <c r="E32" s="79"/>
      <c r="F32" s="80"/>
      <c r="G32" s="81"/>
      <c r="H32" s="109"/>
      <c r="I32" s="171"/>
      <c r="J32" s="171"/>
      <c r="K32" s="171"/>
      <c r="L32" s="171"/>
      <c r="M32" s="171"/>
      <c r="N32" s="171"/>
      <c r="O32" s="171"/>
      <c r="P32" s="171"/>
      <c r="Q32" s="171"/>
      <c r="R32" s="171"/>
      <c r="S32" s="171"/>
      <c r="T32" s="83"/>
      <c r="U32" s="82"/>
      <c r="V32" s="82"/>
      <c r="W32" s="82"/>
      <c r="X32" s="82"/>
      <c r="Y32" s="82"/>
      <c r="Z32" s="82"/>
      <c r="AA32" s="82"/>
      <c r="AB32" s="82"/>
      <c r="AC32" s="82"/>
      <c r="AD32" s="82"/>
    </row>
    <row r="33" spans="1:33" ht="38.25" x14ac:dyDescent="0.2">
      <c r="A33" s="84" t="s">
        <v>18</v>
      </c>
      <c r="B33" s="161" t="s">
        <v>25</v>
      </c>
      <c r="C33" s="85" t="s">
        <v>237</v>
      </c>
      <c r="D33" s="37">
        <v>4.8000999999999996</v>
      </c>
      <c r="E33" s="86">
        <v>0</v>
      </c>
      <c r="F33" s="38">
        <f>D33+E33</f>
        <v>4.8000999999999996</v>
      </c>
      <c r="G33" s="87">
        <v>269</v>
      </c>
      <c r="H33" s="88">
        <v>1.2</v>
      </c>
      <c r="I33" s="89">
        <f>ROUND(H33*0.2359,2)</f>
        <v>0.28000000000000003</v>
      </c>
      <c r="J33" s="90">
        <v>1.94</v>
      </c>
      <c r="K33" s="90">
        <f>SUM(H33:J33)</f>
        <v>3.42</v>
      </c>
      <c r="L33" s="90"/>
      <c r="M33" s="90"/>
      <c r="N33" s="90">
        <v>1.2461</v>
      </c>
      <c r="O33" s="90">
        <v>0.13400000000000001</v>
      </c>
      <c r="P33" s="91">
        <f t="shared" ref="P33" si="26">SUM(L33:O33)</f>
        <v>1.3801000000000001</v>
      </c>
      <c r="Q33" s="91">
        <f t="shared" ref="Q33" si="27">SUM(K33+P33)</f>
        <v>4.8001000000000005</v>
      </c>
      <c r="R33" s="90"/>
      <c r="S33" s="90">
        <f>SUM(K33:O33)</f>
        <v>4.8001000000000005</v>
      </c>
      <c r="T33" s="92">
        <f>SUM(U33:AA33)</f>
        <v>1291.2269000000001</v>
      </c>
      <c r="U33" s="40">
        <f>H33*G33</f>
        <v>322.8</v>
      </c>
      <c r="V33" s="40">
        <f t="shared" ref="V33:V64" si="28">I33*G33</f>
        <v>75.320000000000007</v>
      </c>
      <c r="W33" s="40">
        <f>J33*G33</f>
        <v>521.86</v>
      </c>
      <c r="X33" s="40"/>
      <c r="Y33" s="40"/>
      <c r="Z33" s="40">
        <f>N33*G33</f>
        <v>335.20089999999999</v>
      </c>
      <c r="AA33" s="40">
        <f>O33*G33</f>
        <v>36.045999999999999</v>
      </c>
      <c r="AB33" s="93">
        <f>SUM(U33:AA33)</f>
        <v>1291.2269000000001</v>
      </c>
      <c r="AC33" s="94">
        <v>0</v>
      </c>
      <c r="AD33" s="76">
        <f>SUM(AB33:AC33)</f>
        <v>1291.2269000000001</v>
      </c>
      <c r="AE33" s="95"/>
      <c r="AF33" s="95"/>
      <c r="AG33" s="95"/>
    </row>
    <row r="34" spans="1:33" ht="39.75" customHeight="1" x14ac:dyDescent="0.2">
      <c r="A34" s="96" t="s">
        <v>20</v>
      </c>
      <c r="B34" s="161" t="s">
        <v>29</v>
      </c>
      <c r="C34" s="85" t="s">
        <v>237</v>
      </c>
      <c r="D34" s="37">
        <v>11.360099999999999</v>
      </c>
      <c r="E34" s="86">
        <v>0</v>
      </c>
      <c r="F34" s="38">
        <f t="shared" ref="F34:F107" si="29">D34+E34</f>
        <v>11.360099999999999</v>
      </c>
      <c r="G34" s="97">
        <v>895</v>
      </c>
      <c r="H34" s="88">
        <v>4</v>
      </c>
      <c r="I34" s="89">
        <f>ROUND(H34*0.2359,2)</f>
        <v>0.94</v>
      </c>
      <c r="J34" s="90">
        <v>5.04</v>
      </c>
      <c r="K34" s="90">
        <f t="shared" si="2"/>
        <v>9.98</v>
      </c>
      <c r="L34" s="90"/>
      <c r="M34" s="90"/>
      <c r="N34" s="90">
        <v>1.2461</v>
      </c>
      <c r="O34" s="90">
        <v>0.13400000000000001</v>
      </c>
      <c r="P34" s="91">
        <f t="shared" ref="P34:P74" si="30">SUM(L34:O34)</f>
        <v>1.3801000000000001</v>
      </c>
      <c r="Q34" s="91">
        <f t="shared" ref="Q34:Q74" si="31">SUM(K34+P34)</f>
        <v>11.360100000000001</v>
      </c>
      <c r="R34" s="90"/>
      <c r="S34" s="90">
        <f t="shared" ref="S34:S74" si="32">SUM(K34:O34)</f>
        <v>11.360100000000001</v>
      </c>
      <c r="T34" s="92">
        <f t="shared" ref="T34:T74" si="33">SUM(U34:AA34)</f>
        <v>10167.289500000001</v>
      </c>
      <c r="U34" s="40">
        <f t="shared" ref="U34:U64" si="34">H34*G34</f>
        <v>3580</v>
      </c>
      <c r="V34" s="40">
        <f t="shared" si="28"/>
        <v>841.3</v>
      </c>
      <c r="W34" s="40">
        <f t="shared" ref="W34:W64" si="35">J34*G34</f>
        <v>4510.8</v>
      </c>
      <c r="X34" s="40"/>
      <c r="Y34" s="40"/>
      <c r="Z34" s="40">
        <f t="shared" ref="Z34:Z64" si="36">N34*G34</f>
        <v>1115.2594999999999</v>
      </c>
      <c r="AA34" s="40">
        <f>O34*G34</f>
        <v>119.93</v>
      </c>
      <c r="AB34" s="93">
        <f t="shared" ref="AB34:AB64" si="37">SUM(U34:AA34)</f>
        <v>10167.289500000001</v>
      </c>
      <c r="AC34" s="94">
        <v>0</v>
      </c>
      <c r="AD34" s="76">
        <f t="shared" ref="AD34:AD64" si="38">SUM(AB34:AC34)</f>
        <v>10167.289500000001</v>
      </c>
      <c r="AE34" s="95"/>
      <c r="AF34" s="95"/>
      <c r="AG34" s="95"/>
    </row>
    <row r="35" spans="1:33" ht="13.5" customHeight="1" x14ac:dyDescent="0.2">
      <c r="A35" s="33" t="s">
        <v>22</v>
      </c>
      <c r="B35" s="161" t="s">
        <v>35</v>
      </c>
      <c r="C35" s="85" t="s">
        <v>237</v>
      </c>
      <c r="D35" s="37">
        <v>6.9801000000000002</v>
      </c>
      <c r="E35" s="86">
        <v>0</v>
      </c>
      <c r="F35" s="38">
        <f t="shared" si="29"/>
        <v>6.9801000000000002</v>
      </c>
      <c r="G35" s="98">
        <v>269</v>
      </c>
      <c r="H35" s="88">
        <v>4</v>
      </c>
      <c r="I35" s="89">
        <f>ROUND(H35*0.2359,2)</f>
        <v>0.94</v>
      </c>
      <c r="J35" s="99">
        <v>0.66</v>
      </c>
      <c r="K35" s="99">
        <f t="shared" si="2"/>
        <v>5.6</v>
      </c>
      <c r="L35" s="99"/>
      <c r="M35" s="99"/>
      <c r="N35" s="90">
        <v>1.2461</v>
      </c>
      <c r="O35" s="90">
        <v>0.13400000000000001</v>
      </c>
      <c r="P35" s="91">
        <f t="shared" si="30"/>
        <v>1.3801000000000001</v>
      </c>
      <c r="Q35" s="91">
        <f t="shared" si="31"/>
        <v>6.9801000000000002</v>
      </c>
      <c r="R35" s="90"/>
      <c r="S35" s="90">
        <f t="shared" si="32"/>
        <v>6.9801000000000002</v>
      </c>
      <c r="T35" s="92">
        <f t="shared" si="33"/>
        <v>1877.6469</v>
      </c>
      <c r="U35" s="40">
        <f t="shared" si="34"/>
        <v>1076</v>
      </c>
      <c r="V35" s="40">
        <f t="shared" si="28"/>
        <v>252.85999999999999</v>
      </c>
      <c r="W35" s="40">
        <f t="shared" si="35"/>
        <v>177.54000000000002</v>
      </c>
      <c r="X35" s="40"/>
      <c r="Y35" s="40"/>
      <c r="Z35" s="40">
        <f t="shared" si="36"/>
        <v>335.20089999999999</v>
      </c>
      <c r="AA35" s="40">
        <f>O35*G35</f>
        <v>36.045999999999999</v>
      </c>
      <c r="AB35" s="93">
        <f t="shared" si="37"/>
        <v>1877.6469</v>
      </c>
      <c r="AC35" s="94">
        <v>0</v>
      </c>
      <c r="AD35" s="76">
        <f t="shared" si="38"/>
        <v>1877.6469</v>
      </c>
      <c r="AE35" s="95"/>
      <c r="AF35" s="95"/>
      <c r="AG35" s="95"/>
    </row>
    <row r="36" spans="1:33" ht="27.75" customHeight="1" x14ac:dyDescent="0.2">
      <c r="A36" s="33" t="s">
        <v>24</v>
      </c>
      <c r="B36" s="160" t="s">
        <v>37</v>
      </c>
      <c r="C36" s="85" t="s">
        <v>237</v>
      </c>
      <c r="D36" s="37">
        <v>11.8201</v>
      </c>
      <c r="E36" s="86">
        <v>0</v>
      </c>
      <c r="F36" s="38">
        <f t="shared" si="29"/>
        <v>11.8201</v>
      </c>
      <c r="G36" s="97">
        <v>626</v>
      </c>
      <c r="H36" s="88">
        <v>4</v>
      </c>
      <c r="I36" s="89">
        <f>ROUND(H36*0.2359,2)</f>
        <v>0.94</v>
      </c>
      <c r="J36" s="90">
        <v>5.5</v>
      </c>
      <c r="K36" s="90">
        <f t="shared" si="2"/>
        <v>10.44</v>
      </c>
      <c r="L36" s="90"/>
      <c r="M36" s="90"/>
      <c r="N36" s="90">
        <v>1.2461</v>
      </c>
      <c r="O36" s="90">
        <v>0.13400000000000001</v>
      </c>
      <c r="P36" s="91">
        <f t="shared" si="30"/>
        <v>1.3801000000000001</v>
      </c>
      <c r="Q36" s="91">
        <f t="shared" si="31"/>
        <v>11.8201</v>
      </c>
      <c r="R36" s="90"/>
      <c r="S36" s="90">
        <f t="shared" si="32"/>
        <v>11.8201</v>
      </c>
      <c r="T36" s="92">
        <f t="shared" si="33"/>
        <v>7399.3826000000008</v>
      </c>
      <c r="U36" s="40">
        <f t="shared" si="34"/>
        <v>2504</v>
      </c>
      <c r="V36" s="40">
        <f t="shared" si="28"/>
        <v>588.43999999999994</v>
      </c>
      <c r="W36" s="40">
        <f t="shared" si="35"/>
        <v>3443</v>
      </c>
      <c r="X36" s="40"/>
      <c r="Y36" s="40"/>
      <c r="Z36" s="40">
        <f t="shared" si="36"/>
        <v>780.05859999999996</v>
      </c>
      <c r="AA36" s="40">
        <f>O36*G36</f>
        <v>83.884</v>
      </c>
      <c r="AB36" s="93">
        <f t="shared" si="37"/>
        <v>7399.3826000000008</v>
      </c>
      <c r="AC36" s="94">
        <v>0</v>
      </c>
      <c r="AD36" s="76">
        <f t="shared" si="38"/>
        <v>7399.3826000000008</v>
      </c>
      <c r="AE36" s="95"/>
      <c r="AF36" s="95"/>
      <c r="AG36" s="95"/>
    </row>
    <row r="37" spans="1:33" ht="39" customHeight="1" x14ac:dyDescent="0.2">
      <c r="A37" s="33" t="s">
        <v>26</v>
      </c>
      <c r="B37" s="160" t="s">
        <v>47</v>
      </c>
      <c r="C37" s="85" t="s">
        <v>237</v>
      </c>
      <c r="D37" s="37">
        <v>10.9701</v>
      </c>
      <c r="E37" s="86">
        <v>0</v>
      </c>
      <c r="F37" s="38">
        <f t="shared" si="29"/>
        <v>10.9701</v>
      </c>
      <c r="G37" s="97">
        <v>224</v>
      </c>
      <c r="H37" s="88">
        <v>4</v>
      </c>
      <c r="I37" s="89">
        <f>ROUND(H37*0.2359,2)</f>
        <v>0.94</v>
      </c>
      <c r="J37" s="90">
        <v>4.6500000000000004</v>
      </c>
      <c r="K37" s="90">
        <f t="shared" si="2"/>
        <v>9.59</v>
      </c>
      <c r="L37" s="90"/>
      <c r="M37" s="90"/>
      <c r="N37" s="90">
        <v>1.2461</v>
      </c>
      <c r="O37" s="90">
        <v>0.13400000000000001</v>
      </c>
      <c r="P37" s="91">
        <f t="shared" si="30"/>
        <v>1.3801000000000001</v>
      </c>
      <c r="Q37" s="91">
        <f t="shared" si="31"/>
        <v>10.9701</v>
      </c>
      <c r="R37" s="90"/>
      <c r="S37" s="90">
        <f t="shared" si="32"/>
        <v>10.9701</v>
      </c>
      <c r="T37" s="92">
        <f t="shared" si="33"/>
        <v>2457.3024</v>
      </c>
      <c r="U37" s="40">
        <f t="shared" si="34"/>
        <v>896</v>
      </c>
      <c r="V37" s="40">
        <f t="shared" si="28"/>
        <v>210.56</v>
      </c>
      <c r="W37" s="40">
        <f t="shared" si="35"/>
        <v>1041.6000000000001</v>
      </c>
      <c r="X37" s="40"/>
      <c r="Y37" s="40"/>
      <c r="Z37" s="40">
        <f t="shared" si="36"/>
        <v>279.12639999999999</v>
      </c>
      <c r="AA37" s="40">
        <f t="shared" ref="AA37:AA110" si="39">O37*G37</f>
        <v>30.016000000000002</v>
      </c>
      <c r="AB37" s="93">
        <f t="shared" si="37"/>
        <v>2457.3024</v>
      </c>
      <c r="AC37" s="94">
        <v>0</v>
      </c>
      <c r="AD37" s="76">
        <f t="shared" si="38"/>
        <v>2457.3024</v>
      </c>
      <c r="AE37" s="95"/>
      <c r="AF37" s="95"/>
      <c r="AG37" s="95"/>
    </row>
    <row r="38" spans="1:33" ht="51" x14ac:dyDescent="0.2">
      <c r="A38" s="100" t="s">
        <v>28</v>
      </c>
      <c r="B38" s="160" t="s">
        <v>50</v>
      </c>
      <c r="C38" s="85" t="s">
        <v>237</v>
      </c>
      <c r="D38" s="37">
        <v>23.790099999999999</v>
      </c>
      <c r="E38" s="86">
        <v>0</v>
      </c>
      <c r="F38" s="38">
        <f t="shared" si="29"/>
        <v>23.790099999999999</v>
      </c>
      <c r="G38" s="97">
        <v>895</v>
      </c>
      <c r="H38" s="88">
        <v>4</v>
      </c>
      <c r="I38" s="89">
        <f t="shared" ref="I38:I124" si="40">ROUND(H38*0.2359,2)</f>
        <v>0.94</v>
      </c>
      <c r="J38" s="90">
        <v>17.47</v>
      </c>
      <c r="K38" s="90">
        <f t="shared" si="2"/>
        <v>22.409999999999997</v>
      </c>
      <c r="L38" s="90"/>
      <c r="M38" s="90"/>
      <c r="N38" s="90">
        <v>1.2461</v>
      </c>
      <c r="O38" s="90">
        <v>0.13400000000000001</v>
      </c>
      <c r="P38" s="91">
        <f t="shared" si="30"/>
        <v>1.3801000000000001</v>
      </c>
      <c r="Q38" s="91">
        <f t="shared" si="31"/>
        <v>23.790099999999995</v>
      </c>
      <c r="R38" s="90"/>
      <c r="S38" s="90">
        <f t="shared" si="32"/>
        <v>23.790099999999995</v>
      </c>
      <c r="T38" s="92">
        <f t="shared" si="33"/>
        <v>21292.139500000001</v>
      </c>
      <c r="U38" s="40">
        <f t="shared" si="34"/>
        <v>3580</v>
      </c>
      <c r="V38" s="40">
        <f t="shared" si="28"/>
        <v>841.3</v>
      </c>
      <c r="W38" s="40">
        <f t="shared" si="35"/>
        <v>15635.65</v>
      </c>
      <c r="X38" s="40"/>
      <c r="Y38" s="40"/>
      <c r="Z38" s="40">
        <f t="shared" si="36"/>
        <v>1115.2594999999999</v>
      </c>
      <c r="AA38" s="40">
        <f t="shared" si="39"/>
        <v>119.93</v>
      </c>
      <c r="AB38" s="93">
        <f t="shared" si="37"/>
        <v>21292.139500000001</v>
      </c>
      <c r="AC38" s="94">
        <v>0</v>
      </c>
      <c r="AD38" s="76">
        <f t="shared" si="38"/>
        <v>21292.139500000001</v>
      </c>
      <c r="AE38" s="95"/>
      <c r="AF38" s="95"/>
      <c r="AG38" s="95"/>
    </row>
    <row r="39" spans="1:33" ht="43.5" customHeight="1" x14ac:dyDescent="0.2">
      <c r="A39" s="100" t="s">
        <v>30</v>
      </c>
      <c r="B39" s="160" t="s">
        <v>292</v>
      </c>
      <c r="C39" s="85" t="s">
        <v>237</v>
      </c>
      <c r="D39" s="37">
        <v>21.2501</v>
      </c>
      <c r="E39" s="86">
        <v>0</v>
      </c>
      <c r="F39" s="38">
        <f t="shared" si="29"/>
        <v>21.2501</v>
      </c>
      <c r="G39" s="97">
        <v>895</v>
      </c>
      <c r="H39" s="88">
        <v>4</v>
      </c>
      <c r="I39" s="89">
        <f>ROUND(H39*0.2359,2)</f>
        <v>0.94</v>
      </c>
      <c r="J39" s="90">
        <v>14.93</v>
      </c>
      <c r="K39" s="90">
        <f t="shared" si="2"/>
        <v>19.869999999999997</v>
      </c>
      <c r="L39" s="90"/>
      <c r="M39" s="90"/>
      <c r="N39" s="90">
        <v>1.2461</v>
      </c>
      <c r="O39" s="90">
        <v>0.13400000000000001</v>
      </c>
      <c r="P39" s="91">
        <f t="shared" si="30"/>
        <v>1.3801000000000001</v>
      </c>
      <c r="Q39" s="91">
        <f t="shared" si="31"/>
        <v>21.250099999999996</v>
      </c>
      <c r="R39" s="90"/>
      <c r="S39" s="90">
        <f t="shared" si="32"/>
        <v>21.250099999999996</v>
      </c>
      <c r="T39" s="92">
        <f t="shared" si="33"/>
        <v>19018.839500000002</v>
      </c>
      <c r="U39" s="40">
        <f t="shared" si="34"/>
        <v>3580</v>
      </c>
      <c r="V39" s="40">
        <f t="shared" si="28"/>
        <v>841.3</v>
      </c>
      <c r="W39" s="40">
        <f t="shared" si="35"/>
        <v>13362.35</v>
      </c>
      <c r="X39" s="40"/>
      <c r="Y39" s="40"/>
      <c r="Z39" s="40">
        <f t="shared" si="36"/>
        <v>1115.2594999999999</v>
      </c>
      <c r="AA39" s="40">
        <f t="shared" si="39"/>
        <v>119.93</v>
      </c>
      <c r="AB39" s="93">
        <f t="shared" si="37"/>
        <v>19018.839500000002</v>
      </c>
      <c r="AC39" s="94">
        <v>0</v>
      </c>
      <c r="AD39" s="76">
        <f t="shared" si="38"/>
        <v>19018.839500000002</v>
      </c>
      <c r="AE39" s="95"/>
      <c r="AF39" s="95"/>
      <c r="AG39" s="95"/>
    </row>
    <row r="40" spans="1:33" ht="63.75" x14ac:dyDescent="0.2">
      <c r="A40" s="84" t="s">
        <v>32</v>
      </c>
      <c r="B40" s="160" t="s">
        <v>53</v>
      </c>
      <c r="C40" s="85" t="s">
        <v>237</v>
      </c>
      <c r="D40" s="37">
        <v>16.130099999999999</v>
      </c>
      <c r="E40" s="86">
        <v>0</v>
      </c>
      <c r="F40" s="38">
        <f t="shared" si="29"/>
        <v>16.130099999999999</v>
      </c>
      <c r="G40" s="97">
        <v>7</v>
      </c>
      <c r="H40" s="88">
        <v>4</v>
      </c>
      <c r="I40" s="89">
        <f t="shared" si="40"/>
        <v>0.94</v>
      </c>
      <c r="J40" s="90">
        <v>9.81</v>
      </c>
      <c r="K40" s="90">
        <f t="shared" si="2"/>
        <v>14.75</v>
      </c>
      <c r="L40" s="90"/>
      <c r="M40" s="90"/>
      <c r="N40" s="90">
        <v>1.2461</v>
      </c>
      <c r="O40" s="90">
        <v>0.13400000000000001</v>
      </c>
      <c r="P40" s="91">
        <f t="shared" si="30"/>
        <v>1.3801000000000001</v>
      </c>
      <c r="Q40" s="91">
        <f t="shared" si="31"/>
        <v>16.130099999999999</v>
      </c>
      <c r="R40" s="90"/>
      <c r="S40" s="90">
        <f>SUM(K40:O40)</f>
        <v>16.130099999999999</v>
      </c>
      <c r="T40" s="92">
        <f t="shared" si="33"/>
        <v>112.91070000000001</v>
      </c>
      <c r="U40" s="40">
        <f t="shared" si="34"/>
        <v>28</v>
      </c>
      <c r="V40" s="40">
        <f t="shared" si="28"/>
        <v>6.58</v>
      </c>
      <c r="W40" s="40">
        <f t="shared" si="35"/>
        <v>68.67</v>
      </c>
      <c r="X40" s="40"/>
      <c r="Y40" s="40"/>
      <c r="Z40" s="40">
        <f t="shared" si="36"/>
        <v>8.7226999999999997</v>
      </c>
      <c r="AA40" s="40">
        <f t="shared" si="39"/>
        <v>0.93800000000000006</v>
      </c>
      <c r="AB40" s="93">
        <f t="shared" si="37"/>
        <v>112.91070000000001</v>
      </c>
      <c r="AC40" s="94">
        <v>0</v>
      </c>
      <c r="AD40" s="76">
        <f t="shared" si="38"/>
        <v>112.91070000000001</v>
      </c>
      <c r="AE40" s="95"/>
      <c r="AF40" s="95"/>
      <c r="AG40" s="95"/>
    </row>
    <row r="41" spans="1:33" ht="66" customHeight="1" x14ac:dyDescent="0.2">
      <c r="A41" s="84" t="s">
        <v>34</v>
      </c>
      <c r="B41" s="160" t="s">
        <v>55</v>
      </c>
      <c r="C41" s="85" t="s">
        <v>237</v>
      </c>
      <c r="D41" s="37">
        <v>30.120100000000001</v>
      </c>
      <c r="E41" s="86">
        <v>0</v>
      </c>
      <c r="F41" s="38">
        <f t="shared" si="29"/>
        <v>30.120100000000001</v>
      </c>
      <c r="G41" s="97">
        <v>16</v>
      </c>
      <c r="H41" s="88">
        <v>4</v>
      </c>
      <c r="I41" s="89">
        <f t="shared" si="40"/>
        <v>0.94</v>
      </c>
      <c r="J41" s="90">
        <v>23.8</v>
      </c>
      <c r="K41" s="90">
        <f t="shared" si="2"/>
        <v>28.740000000000002</v>
      </c>
      <c r="L41" s="90"/>
      <c r="M41" s="90"/>
      <c r="N41" s="90">
        <v>1.2461</v>
      </c>
      <c r="O41" s="90">
        <v>0.13400000000000001</v>
      </c>
      <c r="P41" s="91">
        <f t="shared" si="30"/>
        <v>1.3801000000000001</v>
      </c>
      <c r="Q41" s="91">
        <f t="shared" si="31"/>
        <v>30.120100000000001</v>
      </c>
      <c r="R41" s="90"/>
      <c r="S41" s="90">
        <f t="shared" si="32"/>
        <v>30.120100000000001</v>
      </c>
      <c r="T41" s="92">
        <f t="shared" si="33"/>
        <v>481.92160000000001</v>
      </c>
      <c r="U41" s="40">
        <f t="shared" si="34"/>
        <v>64</v>
      </c>
      <c r="V41" s="40">
        <f t="shared" si="28"/>
        <v>15.04</v>
      </c>
      <c r="W41" s="40">
        <f t="shared" si="35"/>
        <v>380.8</v>
      </c>
      <c r="X41" s="40"/>
      <c r="Y41" s="40"/>
      <c r="Z41" s="40">
        <f t="shared" si="36"/>
        <v>19.9376</v>
      </c>
      <c r="AA41" s="40">
        <f t="shared" si="39"/>
        <v>2.1440000000000001</v>
      </c>
      <c r="AB41" s="93">
        <f t="shared" si="37"/>
        <v>481.92160000000001</v>
      </c>
      <c r="AC41" s="94">
        <v>0</v>
      </c>
      <c r="AD41" s="76">
        <f t="shared" si="38"/>
        <v>481.92160000000001</v>
      </c>
      <c r="AE41" s="95"/>
      <c r="AF41" s="95"/>
      <c r="AG41" s="95"/>
    </row>
    <row r="42" spans="1:33" ht="51" x14ac:dyDescent="0.2">
      <c r="A42" s="84" t="s">
        <v>36</v>
      </c>
      <c r="B42" s="160" t="s">
        <v>57</v>
      </c>
      <c r="C42" s="85" t="s">
        <v>237</v>
      </c>
      <c r="D42" s="37">
        <v>8.4300999999999995</v>
      </c>
      <c r="E42" s="86">
        <v>0</v>
      </c>
      <c r="F42" s="38">
        <f t="shared" si="29"/>
        <v>8.4300999999999995</v>
      </c>
      <c r="G42" s="97">
        <v>1970</v>
      </c>
      <c r="H42" s="88">
        <v>4</v>
      </c>
      <c r="I42" s="89">
        <f t="shared" si="40"/>
        <v>0.94</v>
      </c>
      <c r="J42" s="90">
        <v>2.11</v>
      </c>
      <c r="K42" s="90">
        <f t="shared" si="2"/>
        <v>7.0499999999999989</v>
      </c>
      <c r="L42" s="90"/>
      <c r="M42" s="90"/>
      <c r="N42" s="90">
        <v>1.2461</v>
      </c>
      <c r="O42" s="90">
        <v>0.13400000000000001</v>
      </c>
      <c r="P42" s="91">
        <f t="shared" si="30"/>
        <v>1.3801000000000001</v>
      </c>
      <c r="Q42" s="91">
        <f t="shared" si="31"/>
        <v>8.4300999999999995</v>
      </c>
      <c r="R42" s="90"/>
      <c r="S42" s="90">
        <f t="shared" si="32"/>
        <v>8.4300999999999995</v>
      </c>
      <c r="T42" s="92">
        <f t="shared" si="33"/>
        <v>16607.296999999999</v>
      </c>
      <c r="U42" s="40">
        <f t="shared" si="34"/>
        <v>7880</v>
      </c>
      <c r="V42" s="40">
        <f t="shared" si="28"/>
        <v>1851.8</v>
      </c>
      <c r="W42" s="40">
        <f t="shared" si="35"/>
        <v>4156.7</v>
      </c>
      <c r="X42" s="40"/>
      <c r="Y42" s="40"/>
      <c r="Z42" s="40">
        <f t="shared" si="36"/>
        <v>2454.817</v>
      </c>
      <c r="AA42" s="40">
        <f t="shared" si="39"/>
        <v>263.98</v>
      </c>
      <c r="AB42" s="93">
        <f t="shared" si="37"/>
        <v>16607.296999999999</v>
      </c>
      <c r="AC42" s="94">
        <v>0</v>
      </c>
      <c r="AD42" s="76">
        <f t="shared" si="38"/>
        <v>16607.296999999999</v>
      </c>
      <c r="AE42" s="95"/>
      <c r="AF42" s="95"/>
      <c r="AG42" s="95"/>
    </row>
    <row r="43" spans="1:33" ht="27.75" customHeight="1" x14ac:dyDescent="0.2">
      <c r="A43" s="84" t="s">
        <v>38</v>
      </c>
      <c r="B43" s="160" t="s">
        <v>65</v>
      </c>
      <c r="C43" s="85" t="s">
        <v>237</v>
      </c>
      <c r="D43" s="37">
        <v>5.5601000000000003</v>
      </c>
      <c r="E43" s="86">
        <v>0</v>
      </c>
      <c r="F43" s="38">
        <f t="shared" si="29"/>
        <v>5.5601000000000003</v>
      </c>
      <c r="G43" s="101">
        <v>50</v>
      </c>
      <c r="H43" s="88">
        <v>2</v>
      </c>
      <c r="I43" s="89">
        <f t="shared" si="40"/>
        <v>0.47</v>
      </c>
      <c r="J43" s="90">
        <v>1.71</v>
      </c>
      <c r="K43" s="90">
        <f t="shared" si="2"/>
        <v>4.18</v>
      </c>
      <c r="L43" s="90"/>
      <c r="M43" s="90"/>
      <c r="N43" s="90">
        <v>1.2461</v>
      </c>
      <c r="O43" s="90">
        <v>0.13400000000000001</v>
      </c>
      <c r="P43" s="91">
        <f t="shared" si="30"/>
        <v>1.3801000000000001</v>
      </c>
      <c r="Q43" s="91">
        <f t="shared" si="31"/>
        <v>5.5601000000000003</v>
      </c>
      <c r="R43" s="90"/>
      <c r="S43" s="90">
        <f t="shared" si="32"/>
        <v>5.5601000000000003</v>
      </c>
      <c r="T43" s="92">
        <f t="shared" si="33"/>
        <v>278.005</v>
      </c>
      <c r="U43" s="40">
        <f t="shared" si="34"/>
        <v>100</v>
      </c>
      <c r="V43" s="40">
        <f t="shared" si="28"/>
        <v>23.5</v>
      </c>
      <c r="W43" s="40">
        <f t="shared" si="35"/>
        <v>85.5</v>
      </c>
      <c r="X43" s="40"/>
      <c r="Y43" s="40"/>
      <c r="Z43" s="40">
        <f t="shared" si="36"/>
        <v>62.305</v>
      </c>
      <c r="AA43" s="40">
        <f t="shared" si="39"/>
        <v>6.7</v>
      </c>
      <c r="AB43" s="93">
        <f t="shared" si="37"/>
        <v>278.005</v>
      </c>
      <c r="AC43" s="94">
        <v>0</v>
      </c>
      <c r="AD43" s="76">
        <f t="shared" si="38"/>
        <v>278.005</v>
      </c>
      <c r="AE43" s="95"/>
      <c r="AF43" s="95"/>
      <c r="AG43" s="95"/>
    </row>
    <row r="44" spans="1:33" ht="28.5" customHeight="1" x14ac:dyDescent="0.2">
      <c r="A44" s="84" t="s">
        <v>40</v>
      </c>
      <c r="B44" s="160" t="s">
        <v>211</v>
      </c>
      <c r="C44" s="85" t="s">
        <v>237</v>
      </c>
      <c r="D44" s="37">
        <v>10.5901</v>
      </c>
      <c r="E44" s="86">
        <v>0</v>
      </c>
      <c r="F44" s="38">
        <f t="shared" si="29"/>
        <v>10.5901</v>
      </c>
      <c r="G44" s="97">
        <v>100</v>
      </c>
      <c r="H44" s="88">
        <v>3</v>
      </c>
      <c r="I44" s="89">
        <f t="shared" si="40"/>
        <v>0.71</v>
      </c>
      <c r="J44" s="90">
        <v>5.5</v>
      </c>
      <c r="K44" s="90">
        <f t="shared" si="2"/>
        <v>9.2100000000000009</v>
      </c>
      <c r="L44" s="90"/>
      <c r="M44" s="90"/>
      <c r="N44" s="90">
        <v>1.2461</v>
      </c>
      <c r="O44" s="90">
        <v>0.13400000000000001</v>
      </c>
      <c r="P44" s="91">
        <f t="shared" si="30"/>
        <v>1.3801000000000001</v>
      </c>
      <c r="Q44" s="91">
        <f t="shared" si="31"/>
        <v>10.590100000000001</v>
      </c>
      <c r="R44" s="90"/>
      <c r="S44" s="90">
        <f t="shared" si="32"/>
        <v>10.590100000000001</v>
      </c>
      <c r="T44" s="92">
        <f t="shared" si="33"/>
        <v>1059.01</v>
      </c>
      <c r="U44" s="40">
        <f t="shared" si="34"/>
        <v>300</v>
      </c>
      <c r="V44" s="40">
        <f t="shared" si="28"/>
        <v>71</v>
      </c>
      <c r="W44" s="40">
        <f t="shared" si="35"/>
        <v>550</v>
      </c>
      <c r="X44" s="40"/>
      <c r="Y44" s="40"/>
      <c r="Z44" s="40">
        <f t="shared" si="36"/>
        <v>124.61</v>
      </c>
      <c r="AA44" s="40">
        <f t="shared" si="39"/>
        <v>13.4</v>
      </c>
      <c r="AB44" s="93">
        <f t="shared" si="37"/>
        <v>1059.01</v>
      </c>
      <c r="AC44" s="94">
        <v>0</v>
      </c>
      <c r="AD44" s="76">
        <f t="shared" si="38"/>
        <v>1059.01</v>
      </c>
      <c r="AE44" s="95"/>
      <c r="AF44" s="95"/>
      <c r="AG44" s="95"/>
    </row>
    <row r="45" spans="1:33" ht="30.75" customHeight="1" x14ac:dyDescent="0.2">
      <c r="A45" s="84" t="s">
        <v>42</v>
      </c>
      <c r="B45" s="160" t="s">
        <v>69</v>
      </c>
      <c r="C45" s="85" t="s">
        <v>237</v>
      </c>
      <c r="D45" s="37">
        <v>9.6900999999999993</v>
      </c>
      <c r="E45" s="86">
        <v>0</v>
      </c>
      <c r="F45" s="38">
        <f t="shared" si="29"/>
        <v>9.6900999999999993</v>
      </c>
      <c r="G45" s="97">
        <v>50</v>
      </c>
      <c r="H45" s="88">
        <v>2</v>
      </c>
      <c r="I45" s="89">
        <f t="shared" si="40"/>
        <v>0.47</v>
      </c>
      <c r="J45" s="90">
        <v>5.84</v>
      </c>
      <c r="K45" s="90">
        <f t="shared" si="2"/>
        <v>8.3099999999999987</v>
      </c>
      <c r="L45" s="90"/>
      <c r="M45" s="90"/>
      <c r="N45" s="90">
        <v>1.2461</v>
      </c>
      <c r="O45" s="90">
        <v>0.13400000000000001</v>
      </c>
      <c r="P45" s="91">
        <f t="shared" si="30"/>
        <v>1.3801000000000001</v>
      </c>
      <c r="Q45" s="91">
        <f t="shared" si="31"/>
        <v>9.6900999999999993</v>
      </c>
      <c r="R45" s="90"/>
      <c r="S45" s="90">
        <f t="shared" si="32"/>
        <v>9.6900999999999993</v>
      </c>
      <c r="T45" s="92">
        <f t="shared" si="33"/>
        <v>484.505</v>
      </c>
      <c r="U45" s="40">
        <f t="shared" si="34"/>
        <v>100</v>
      </c>
      <c r="V45" s="40">
        <f t="shared" si="28"/>
        <v>23.5</v>
      </c>
      <c r="W45" s="40">
        <f t="shared" si="35"/>
        <v>292</v>
      </c>
      <c r="X45" s="40"/>
      <c r="Y45" s="40"/>
      <c r="Z45" s="40">
        <f t="shared" si="36"/>
        <v>62.305</v>
      </c>
      <c r="AA45" s="40">
        <f t="shared" si="39"/>
        <v>6.7</v>
      </c>
      <c r="AB45" s="93">
        <f t="shared" si="37"/>
        <v>484.505</v>
      </c>
      <c r="AC45" s="94">
        <v>0</v>
      </c>
      <c r="AD45" s="76">
        <f t="shared" si="38"/>
        <v>484.505</v>
      </c>
      <c r="AE45" s="95"/>
      <c r="AF45" s="95"/>
      <c r="AG45" s="95"/>
    </row>
    <row r="46" spans="1:33" ht="38.25" x14ac:dyDescent="0.2">
      <c r="A46" s="84" t="s">
        <v>44</v>
      </c>
      <c r="B46" s="160" t="s">
        <v>19</v>
      </c>
      <c r="C46" s="85" t="s">
        <v>237</v>
      </c>
      <c r="D46" s="37">
        <v>4.7301000000000002</v>
      </c>
      <c r="E46" s="86">
        <v>0</v>
      </c>
      <c r="F46" s="38">
        <f t="shared" si="29"/>
        <v>4.7301000000000002</v>
      </c>
      <c r="G46" s="97">
        <v>100</v>
      </c>
      <c r="H46" s="88">
        <v>1</v>
      </c>
      <c r="I46" s="89">
        <f t="shared" si="40"/>
        <v>0.24</v>
      </c>
      <c r="J46" s="90">
        <v>2.11</v>
      </c>
      <c r="K46" s="90">
        <f t="shared" si="2"/>
        <v>3.3499999999999996</v>
      </c>
      <c r="L46" s="90"/>
      <c r="M46" s="90"/>
      <c r="N46" s="90">
        <v>1.2461</v>
      </c>
      <c r="O46" s="90">
        <v>0.13400000000000001</v>
      </c>
      <c r="P46" s="91">
        <f t="shared" si="30"/>
        <v>1.3801000000000001</v>
      </c>
      <c r="Q46" s="91">
        <f t="shared" si="31"/>
        <v>4.7301000000000002</v>
      </c>
      <c r="R46" s="90"/>
      <c r="S46" s="90">
        <f t="shared" si="32"/>
        <v>4.7301000000000002</v>
      </c>
      <c r="T46" s="92">
        <f t="shared" si="33"/>
        <v>473.01</v>
      </c>
      <c r="U46" s="40">
        <f t="shared" si="34"/>
        <v>100</v>
      </c>
      <c r="V46" s="40">
        <f t="shared" si="28"/>
        <v>24</v>
      </c>
      <c r="W46" s="40">
        <f t="shared" si="35"/>
        <v>211</v>
      </c>
      <c r="X46" s="40"/>
      <c r="Y46" s="40"/>
      <c r="Z46" s="40">
        <f t="shared" si="36"/>
        <v>124.61</v>
      </c>
      <c r="AA46" s="40">
        <f t="shared" si="39"/>
        <v>13.4</v>
      </c>
      <c r="AB46" s="93">
        <f t="shared" si="37"/>
        <v>473.01</v>
      </c>
      <c r="AC46" s="94">
        <v>0</v>
      </c>
      <c r="AD46" s="76">
        <f t="shared" si="38"/>
        <v>473.01</v>
      </c>
      <c r="AE46" s="95"/>
      <c r="AF46" s="95"/>
      <c r="AG46" s="95"/>
    </row>
    <row r="47" spans="1:33" ht="15.75" customHeight="1" x14ac:dyDescent="0.2">
      <c r="A47" s="84" t="s">
        <v>46</v>
      </c>
      <c r="B47" s="160" t="s">
        <v>21</v>
      </c>
      <c r="C47" s="85" t="s">
        <v>237</v>
      </c>
      <c r="D47" s="37">
        <v>4.8201000000000001</v>
      </c>
      <c r="E47" s="86">
        <v>0</v>
      </c>
      <c r="F47" s="38">
        <f t="shared" si="29"/>
        <v>4.8201000000000001</v>
      </c>
      <c r="G47" s="97">
        <v>200</v>
      </c>
      <c r="H47" s="88">
        <v>2</v>
      </c>
      <c r="I47" s="89">
        <f t="shared" si="40"/>
        <v>0.47</v>
      </c>
      <c r="J47" s="90">
        <v>0.97</v>
      </c>
      <c r="K47" s="90">
        <f t="shared" si="2"/>
        <v>3.4399999999999995</v>
      </c>
      <c r="L47" s="90"/>
      <c r="M47" s="90"/>
      <c r="N47" s="90">
        <v>1.2461</v>
      </c>
      <c r="O47" s="90">
        <v>0.13400000000000001</v>
      </c>
      <c r="P47" s="91">
        <f t="shared" si="30"/>
        <v>1.3801000000000001</v>
      </c>
      <c r="Q47" s="91">
        <f t="shared" si="31"/>
        <v>4.8201000000000001</v>
      </c>
      <c r="R47" s="90"/>
      <c r="S47" s="90">
        <f t="shared" si="32"/>
        <v>4.8201000000000001</v>
      </c>
      <c r="T47" s="92">
        <f t="shared" si="33"/>
        <v>964.02</v>
      </c>
      <c r="U47" s="40">
        <f t="shared" si="34"/>
        <v>400</v>
      </c>
      <c r="V47" s="40">
        <f t="shared" si="28"/>
        <v>94</v>
      </c>
      <c r="W47" s="40">
        <f t="shared" si="35"/>
        <v>194</v>
      </c>
      <c r="X47" s="40"/>
      <c r="Y47" s="40"/>
      <c r="Z47" s="40">
        <f t="shared" si="36"/>
        <v>249.22</v>
      </c>
      <c r="AA47" s="40">
        <f t="shared" si="39"/>
        <v>26.8</v>
      </c>
      <c r="AB47" s="93">
        <f t="shared" si="37"/>
        <v>964.02</v>
      </c>
      <c r="AC47" s="94">
        <v>0</v>
      </c>
      <c r="AD47" s="76">
        <f t="shared" si="38"/>
        <v>964.02</v>
      </c>
      <c r="AE47" s="95"/>
      <c r="AF47" s="95"/>
      <c r="AG47" s="95"/>
    </row>
    <row r="48" spans="1:33" ht="27" customHeight="1" x14ac:dyDescent="0.2">
      <c r="A48" s="84" t="s">
        <v>48</v>
      </c>
      <c r="B48" s="161" t="s">
        <v>23</v>
      </c>
      <c r="C48" s="85" t="s">
        <v>237</v>
      </c>
      <c r="D48" s="37">
        <v>5.0101000000000004</v>
      </c>
      <c r="E48" s="86">
        <v>0</v>
      </c>
      <c r="F48" s="38">
        <f t="shared" si="29"/>
        <v>5.0101000000000004</v>
      </c>
      <c r="G48" s="97">
        <v>100</v>
      </c>
      <c r="H48" s="88">
        <v>2</v>
      </c>
      <c r="I48" s="89">
        <f t="shared" si="40"/>
        <v>0.47</v>
      </c>
      <c r="J48" s="90">
        <v>1.1599999999999999</v>
      </c>
      <c r="K48" s="90">
        <f t="shared" si="2"/>
        <v>3.63</v>
      </c>
      <c r="L48" s="90"/>
      <c r="M48" s="90"/>
      <c r="N48" s="90">
        <v>1.2461</v>
      </c>
      <c r="O48" s="90">
        <v>0.13400000000000001</v>
      </c>
      <c r="P48" s="91">
        <f t="shared" si="30"/>
        <v>1.3801000000000001</v>
      </c>
      <c r="Q48" s="91">
        <f t="shared" si="31"/>
        <v>5.0100999999999996</v>
      </c>
      <c r="R48" s="90"/>
      <c r="S48" s="90">
        <f t="shared" si="32"/>
        <v>5.0101000000000004</v>
      </c>
      <c r="T48" s="92">
        <f t="shared" si="33"/>
        <v>501.01</v>
      </c>
      <c r="U48" s="40">
        <f t="shared" si="34"/>
        <v>200</v>
      </c>
      <c r="V48" s="40">
        <f t="shared" si="28"/>
        <v>47</v>
      </c>
      <c r="W48" s="40">
        <f t="shared" si="35"/>
        <v>115.99999999999999</v>
      </c>
      <c r="X48" s="40"/>
      <c r="Y48" s="40"/>
      <c r="Z48" s="40">
        <f t="shared" si="36"/>
        <v>124.61</v>
      </c>
      <c r="AA48" s="40">
        <f t="shared" si="39"/>
        <v>13.4</v>
      </c>
      <c r="AB48" s="93">
        <f t="shared" si="37"/>
        <v>501.01</v>
      </c>
      <c r="AC48" s="94">
        <v>0</v>
      </c>
      <c r="AD48" s="76">
        <f t="shared" si="38"/>
        <v>501.01</v>
      </c>
      <c r="AE48" s="95"/>
      <c r="AF48" s="95"/>
      <c r="AG48" s="95"/>
    </row>
    <row r="49" spans="1:33" ht="38.25" x14ac:dyDescent="0.2">
      <c r="A49" s="84" t="s">
        <v>49</v>
      </c>
      <c r="B49" s="161" t="s">
        <v>27</v>
      </c>
      <c r="C49" s="85" t="s">
        <v>237</v>
      </c>
      <c r="D49" s="37">
        <v>5.5601000000000003</v>
      </c>
      <c r="E49" s="86">
        <v>0</v>
      </c>
      <c r="F49" s="38">
        <f t="shared" si="29"/>
        <v>5.5601000000000003</v>
      </c>
      <c r="G49" s="97">
        <v>20</v>
      </c>
      <c r="H49" s="88">
        <v>1</v>
      </c>
      <c r="I49" s="89">
        <f t="shared" si="40"/>
        <v>0.24</v>
      </c>
      <c r="J49" s="90">
        <v>2.94</v>
      </c>
      <c r="K49" s="90">
        <f t="shared" si="2"/>
        <v>4.18</v>
      </c>
      <c r="L49" s="90"/>
      <c r="M49" s="90"/>
      <c r="N49" s="90">
        <v>1.2461</v>
      </c>
      <c r="O49" s="90">
        <v>0.13400000000000001</v>
      </c>
      <c r="P49" s="91">
        <f t="shared" si="30"/>
        <v>1.3801000000000001</v>
      </c>
      <c r="Q49" s="91">
        <f t="shared" si="31"/>
        <v>5.5601000000000003</v>
      </c>
      <c r="R49" s="90"/>
      <c r="S49" s="90">
        <f t="shared" si="32"/>
        <v>5.5601000000000003</v>
      </c>
      <c r="T49" s="92">
        <f t="shared" si="33"/>
        <v>111.202</v>
      </c>
      <c r="U49" s="40">
        <f t="shared" si="34"/>
        <v>20</v>
      </c>
      <c r="V49" s="40">
        <f t="shared" si="28"/>
        <v>4.8</v>
      </c>
      <c r="W49" s="40">
        <f t="shared" si="35"/>
        <v>58.8</v>
      </c>
      <c r="X49" s="40"/>
      <c r="Y49" s="40"/>
      <c r="Z49" s="40">
        <f t="shared" si="36"/>
        <v>24.922000000000001</v>
      </c>
      <c r="AA49" s="40">
        <f t="shared" si="39"/>
        <v>2.68</v>
      </c>
      <c r="AB49" s="93">
        <f t="shared" si="37"/>
        <v>111.202</v>
      </c>
      <c r="AC49" s="94">
        <v>0</v>
      </c>
      <c r="AD49" s="76">
        <f t="shared" si="38"/>
        <v>111.202</v>
      </c>
      <c r="AE49" s="95"/>
      <c r="AF49" s="95"/>
      <c r="AG49" s="95"/>
    </row>
    <row r="50" spans="1:33" ht="38.25" x14ac:dyDescent="0.2">
      <c r="A50" s="84" t="s">
        <v>51</v>
      </c>
      <c r="B50" s="161" t="s">
        <v>31</v>
      </c>
      <c r="C50" s="85" t="s">
        <v>237</v>
      </c>
      <c r="D50" s="37">
        <v>10.940099999999999</v>
      </c>
      <c r="E50" s="86">
        <v>0</v>
      </c>
      <c r="F50" s="38">
        <f t="shared" si="29"/>
        <v>10.940099999999999</v>
      </c>
      <c r="G50" s="97">
        <v>50</v>
      </c>
      <c r="H50" s="88">
        <v>4</v>
      </c>
      <c r="I50" s="89">
        <f t="shared" si="40"/>
        <v>0.94</v>
      </c>
      <c r="J50" s="90">
        <v>4.62</v>
      </c>
      <c r="K50" s="90">
        <f t="shared" si="2"/>
        <v>9.5599999999999987</v>
      </c>
      <c r="L50" s="90"/>
      <c r="M50" s="90"/>
      <c r="N50" s="90">
        <v>1.2461</v>
      </c>
      <c r="O50" s="90">
        <v>0.13400000000000001</v>
      </c>
      <c r="P50" s="91">
        <f t="shared" si="30"/>
        <v>1.3801000000000001</v>
      </c>
      <c r="Q50" s="91">
        <f t="shared" si="31"/>
        <v>10.940099999999999</v>
      </c>
      <c r="R50" s="90"/>
      <c r="S50" s="90">
        <f t="shared" si="32"/>
        <v>10.940099999999999</v>
      </c>
      <c r="T50" s="92">
        <f t="shared" si="33"/>
        <v>547.005</v>
      </c>
      <c r="U50" s="40">
        <f t="shared" si="34"/>
        <v>200</v>
      </c>
      <c r="V50" s="40">
        <f t="shared" si="28"/>
        <v>47</v>
      </c>
      <c r="W50" s="40">
        <f t="shared" si="35"/>
        <v>231</v>
      </c>
      <c r="X50" s="40"/>
      <c r="Y50" s="40"/>
      <c r="Z50" s="40">
        <f t="shared" si="36"/>
        <v>62.305</v>
      </c>
      <c r="AA50" s="40">
        <f t="shared" si="39"/>
        <v>6.7</v>
      </c>
      <c r="AB50" s="93">
        <f t="shared" si="37"/>
        <v>547.005</v>
      </c>
      <c r="AC50" s="94">
        <v>0</v>
      </c>
      <c r="AD50" s="76">
        <f t="shared" si="38"/>
        <v>547.005</v>
      </c>
      <c r="AE50" s="95"/>
      <c r="AF50" s="95"/>
      <c r="AG50" s="95"/>
    </row>
    <row r="51" spans="1:33" ht="51" x14ac:dyDescent="0.2">
      <c r="A51" s="84" t="s">
        <v>52</v>
      </c>
      <c r="B51" s="161" t="s">
        <v>33</v>
      </c>
      <c r="C51" s="85" t="s">
        <v>237</v>
      </c>
      <c r="D51" s="37">
        <v>11.0801</v>
      </c>
      <c r="E51" s="86">
        <v>0</v>
      </c>
      <c r="F51" s="38">
        <f t="shared" si="29"/>
        <v>11.0801</v>
      </c>
      <c r="G51" s="97">
        <v>50</v>
      </c>
      <c r="H51" s="88">
        <v>4</v>
      </c>
      <c r="I51" s="89">
        <f t="shared" si="40"/>
        <v>0.94</v>
      </c>
      <c r="J51" s="90">
        <v>4.76</v>
      </c>
      <c r="K51" s="90">
        <f t="shared" si="2"/>
        <v>9.6999999999999993</v>
      </c>
      <c r="L51" s="90"/>
      <c r="M51" s="90"/>
      <c r="N51" s="90">
        <v>1.2461</v>
      </c>
      <c r="O51" s="90">
        <v>0.13400000000000001</v>
      </c>
      <c r="P51" s="91">
        <f t="shared" si="30"/>
        <v>1.3801000000000001</v>
      </c>
      <c r="Q51" s="91">
        <f t="shared" si="31"/>
        <v>11.0801</v>
      </c>
      <c r="R51" s="90"/>
      <c r="S51" s="90">
        <f t="shared" si="32"/>
        <v>11.0801</v>
      </c>
      <c r="T51" s="92">
        <f t="shared" si="33"/>
        <v>554.005</v>
      </c>
      <c r="U51" s="40">
        <f t="shared" si="34"/>
        <v>200</v>
      </c>
      <c r="V51" s="40">
        <f t="shared" si="28"/>
        <v>47</v>
      </c>
      <c r="W51" s="40">
        <f t="shared" si="35"/>
        <v>238</v>
      </c>
      <c r="X51" s="40"/>
      <c r="Y51" s="40"/>
      <c r="Z51" s="40">
        <f t="shared" si="36"/>
        <v>62.305</v>
      </c>
      <c r="AA51" s="40">
        <f t="shared" si="39"/>
        <v>6.7</v>
      </c>
      <c r="AB51" s="93">
        <f t="shared" si="37"/>
        <v>554.005</v>
      </c>
      <c r="AC51" s="94">
        <v>0</v>
      </c>
      <c r="AD51" s="76">
        <f t="shared" si="38"/>
        <v>554.005</v>
      </c>
      <c r="AE51" s="95"/>
      <c r="AF51" s="95"/>
      <c r="AG51" s="95"/>
    </row>
    <row r="52" spans="1:33" ht="29.25" customHeight="1" x14ac:dyDescent="0.2">
      <c r="A52" s="84" t="s">
        <v>54</v>
      </c>
      <c r="B52" s="160" t="s">
        <v>39</v>
      </c>
      <c r="C52" s="85" t="s">
        <v>237</v>
      </c>
      <c r="D52" s="37">
        <v>11.0801</v>
      </c>
      <c r="E52" s="86">
        <v>0</v>
      </c>
      <c r="F52" s="38">
        <f t="shared" si="29"/>
        <v>11.0801</v>
      </c>
      <c r="G52" s="97">
        <v>700</v>
      </c>
      <c r="H52" s="88">
        <v>4</v>
      </c>
      <c r="I52" s="89">
        <f t="shared" si="40"/>
        <v>0.94</v>
      </c>
      <c r="J52" s="90">
        <v>4.76</v>
      </c>
      <c r="K52" s="90">
        <f t="shared" si="2"/>
        <v>9.6999999999999993</v>
      </c>
      <c r="L52" s="90"/>
      <c r="M52" s="90"/>
      <c r="N52" s="90">
        <v>1.2461</v>
      </c>
      <c r="O52" s="90">
        <v>0.13400000000000001</v>
      </c>
      <c r="P52" s="91">
        <f t="shared" si="30"/>
        <v>1.3801000000000001</v>
      </c>
      <c r="Q52" s="91">
        <f t="shared" si="31"/>
        <v>11.0801</v>
      </c>
      <c r="R52" s="90"/>
      <c r="S52" s="90">
        <f t="shared" si="32"/>
        <v>11.0801</v>
      </c>
      <c r="T52" s="92">
        <f t="shared" si="33"/>
        <v>7756.0700000000006</v>
      </c>
      <c r="U52" s="40">
        <f t="shared" si="34"/>
        <v>2800</v>
      </c>
      <c r="V52" s="40">
        <f t="shared" si="28"/>
        <v>658</v>
      </c>
      <c r="W52" s="40">
        <f t="shared" si="35"/>
        <v>3332</v>
      </c>
      <c r="X52" s="40"/>
      <c r="Y52" s="40"/>
      <c r="Z52" s="40">
        <f t="shared" si="36"/>
        <v>872.27</v>
      </c>
      <c r="AA52" s="40">
        <f t="shared" si="39"/>
        <v>93.800000000000011</v>
      </c>
      <c r="AB52" s="93">
        <f t="shared" si="37"/>
        <v>7756.0700000000006</v>
      </c>
      <c r="AC52" s="94">
        <v>0</v>
      </c>
      <c r="AD52" s="76">
        <f t="shared" si="38"/>
        <v>7756.0700000000006</v>
      </c>
      <c r="AE52" s="95"/>
      <c r="AF52" s="95"/>
      <c r="AG52" s="95"/>
    </row>
    <row r="53" spans="1:33" ht="51" x14ac:dyDescent="0.2">
      <c r="A53" s="84" t="s">
        <v>56</v>
      </c>
      <c r="B53" s="160" t="s">
        <v>41</v>
      </c>
      <c r="C53" s="85" t="s">
        <v>237</v>
      </c>
      <c r="D53" s="37">
        <v>23.330100000000002</v>
      </c>
      <c r="E53" s="86">
        <v>0</v>
      </c>
      <c r="F53" s="38">
        <f t="shared" si="29"/>
        <v>23.330100000000002</v>
      </c>
      <c r="G53" s="97">
        <v>20</v>
      </c>
      <c r="H53" s="88">
        <v>4</v>
      </c>
      <c r="I53" s="89">
        <f t="shared" si="40"/>
        <v>0.94</v>
      </c>
      <c r="J53" s="90">
        <v>17.010000000000002</v>
      </c>
      <c r="K53" s="90">
        <f>SUM(H53:J53)</f>
        <v>21.950000000000003</v>
      </c>
      <c r="L53" s="90"/>
      <c r="M53" s="90"/>
      <c r="N53" s="90">
        <v>1.2461</v>
      </c>
      <c r="O53" s="90">
        <v>0.13400000000000001</v>
      </c>
      <c r="P53" s="91">
        <f t="shared" si="30"/>
        <v>1.3801000000000001</v>
      </c>
      <c r="Q53" s="91">
        <f t="shared" si="31"/>
        <v>23.330100000000002</v>
      </c>
      <c r="R53" s="90"/>
      <c r="S53" s="90">
        <f t="shared" si="32"/>
        <v>23.330100000000002</v>
      </c>
      <c r="T53" s="92">
        <f t="shared" si="33"/>
        <v>466.60200000000009</v>
      </c>
      <c r="U53" s="40">
        <f t="shared" si="34"/>
        <v>80</v>
      </c>
      <c r="V53" s="40">
        <f t="shared" si="28"/>
        <v>18.799999999999997</v>
      </c>
      <c r="W53" s="40">
        <f t="shared" si="35"/>
        <v>340.20000000000005</v>
      </c>
      <c r="X53" s="40"/>
      <c r="Y53" s="40"/>
      <c r="Z53" s="40">
        <f t="shared" si="36"/>
        <v>24.922000000000001</v>
      </c>
      <c r="AA53" s="40">
        <f t="shared" si="39"/>
        <v>2.68</v>
      </c>
      <c r="AB53" s="93">
        <f t="shared" si="37"/>
        <v>466.60200000000009</v>
      </c>
      <c r="AC53" s="94">
        <v>0</v>
      </c>
      <c r="AD53" s="76">
        <f t="shared" si="38"/>
        <v>466.60200000000009</v>
      </c>
      <c r="AE53" s="95"/>
      <c r="AF53" s="95"/>
      <c r="AG53" s="95"/>
    </row>
    <row r="54" spans="1:33" ht="51" x14ac:dyDescent="0.2">
      <c r="A54" s="84" t="s">
        <v>58</v>
      </c>
      <c r="B54" s="160" t="s">
        <v>43</v>
      </c>
      <c r="C54" s="85" t="s">
        <v>237</v>
      </c>
      <c r="D54" s="37">
        <v>23.100100000000001</v>
      </c>
      <c r="E54" s="86">
        <v>0</v>
      </c>
      <c r="F54" s="38">
        <f t="shared" si="29"/>
        <v>23.100100000000001</v>
      </c>
      <c r="G54" s="97">
        <v>20</v>
      </c>
      <c r="H54" s="88">
        <v>4</v>
      </c>
      <c r="I54" s="89">
        <f t="shared" si="40"/>
        <v>0.94</v>
      </c>
      <c r="J54" s="90">
        <v>16.78</v>
      </c>
      <c r="K54" s="90">
        <f t="shared" si="2"/>
        <v>21.72</v>
      </c>
      <c r="L54" s="90"/>
      <c r="M54" s="90"/>
      <c r="N54" s="90">
        <v>1.2461</v>
      </c>
      <c r="O54" s="90">
        <v>0.13400000000000001</v>
      </c>
      <c r="P54" s="91">
        <f t="shared" si="30"/>
        <v>1.3801000000000001</v>
      </c>
      <c r="Q54" s="91">
        <f t="shared" si="31"/>
        <v>23.100099999999998</v>
      </c>
      <c r="R54" s="90"/>
      <c r="S54" s="90">
        <f>SUM(K54:O54)</f>
        <v>23.100099999999998</v>
      </c>
      <c r="T54" s="92">
        <f t="shared" si="33"/>
        <v>462.00200000000007</v>
      </c>
      <c r="U54" s="40">
        <f t="shared" si="34"/>
        <v>80</v>
      </c>
      <c r="V54" s="40">
        <f t="shared" si="28"/>
        <v>18.799999999999997</v>
      </c>
      <c r="W54" s="40">
        <f t="shared" si="35"/>
        <v>335.6</v>
      </c>
      <c r="X54" s="40"/>
      <c r="Y54" s="40"/>
      <c r="Z54" s="40">
        <f t="shared" si="36"/>
        <v>24.922000000000001</v>
      </c>
      <c r="AA54" s="40">
        <f t="shared" si="39"/>
        <v>2.68</v>
      </c>
      <c r="AB54" s="93">
        <f t="shared" si="37"/>
        <v>462.00200000000007</v>
      </c>
      <c r="AC54" s="94">
        <v>0</v>
      </c>
      <c r="AD54" s="76">
        <f t="shared" si="38"/>
        <v>462.00200000000007</v>
      </c>
      <c r="AE54" s="95"/>
      <c r="AF54" s="95"/>
      <c r="AG54" s="95"/>
    </row>
    <row r="55" spans="1:33" ht="54.75" customHeight="1" x14ac:dyDescent="0.2">
      <c r="A55" s="84" t="s">
        <v>60</v>
      </c>
      <c r="B55" s="160" t="s">
        <v>45</v>
      </c>
      <c r="C55" s="85" t="s">
        <v>237</v>
      </c>
      <c r="D55" s="37">
        <v>81.930099999999996</v>
      </c>
      <c r="E55" s="86">
        <v>0</v>
      </c>
      <c r="F55" s="38">
        <f t="shared" si="29"/>
        <v>81.930099999999996</v>
      </c>
      <c r="G55" s="97">
        <v>20</v>
      </c>
      <c r="H55" s="88">
        <v>9</v>
      </c>
      <c r="I55" s="89">
        <f t="shared" si="40"/>
        <v>2.12</v>
      </c>
      <c r="J55" s="90">
        <v>69.430000000000007</v>
      </c>
      <c r="K55" s="90">
        <f t="shared" si="2"/>
        <v>80.550000000000011</v>
      </c>
      <c r="L55" s="90"/>
      <c r="M55" s="90"/>
      <c r="N55" s="90">
        <v>1.2461</v>
      </c>
      <c r="O55" s="90">
        <v>0.13400000000000001</v>
      </c>
      <c r="P55" s="91">
        <f t="shared" si="30"/>
        <v>1.3801000000000001</v>
      </c>
      <c r="Q55" s="91">
        <f t="shared" si="31"/>
        <v>81.93010000000001</v>
      </c>
      <c r="R55" s="90"/>
      <c r="S55" s="90">
        <f t="shared" si="32"/>
        <v>81.93010000000001</v>
      </c>
      <c r="T55" s="92">
        <f t="shared" si="33"/>
        <v>1638.6020000000003</v>
      </c>
      <c r="U55" s="40">
        <f t="shared" si="34"/>
        <v>180</v>
      </c>
      <c r="V55" s="40">
        <f t="shared" si="28"/>
        <v>42.400000000000006</v>
      </c>
      <c r="W55" s="40">
        <f t="shared" si="35"/>
        <v>1388.6000000000001</v>
      </c>
      <c r="X55" s="40"/>
      <c r="Y55" s="40"/>
      <c r="Z55" s="40">
        <f t="shared" si="36"/>
        <v>24.922000000000001</v>
      </c>
      <c r="AA55" s="40">
        <f t="shared" si="39"/>
        <v>2.68</v>
      </c>
      <c r="AB55" s="93">
        <f t="shared" si="37"/>
        <v>1638.6020000000003</v>
      </c>
      <c r="AC55" s="94">
        <v>0</v>
      </c>
      <c r="AD55" s="76">
        <f t="shared" si="38"/>
        <v>1638.6020000000003</v>
      </c>
      <c r="AE55" s="95"/>
      <c r="AF55" s="95"/>
      <c r="AG55" s="95"/>
    </row>
    <row r="56" spans="1:33" ht="54" x14ac:dyDescent="0.2">
      <c r="A56" s="84" t="s">
        <v>62</v>
      </c>
      <c r="B56" s="160" t="s">
        <v>293</v>
      </c>
      <c r="C56" s="85" t="s">
        <v>237</v>
      </c>
      <c r="D56" s="37">
        <v>10.0001</v>
      </c>
      <c r="E56" s="86">
        <v>0</v>
      </c>
      <c r="F56" s="38">
        <f t="shared" si="29"/>
        <v>10.0001</v>
      </c>
      <c r="G56" s="97">
        <v>100</v>
      </c>
      <c r="H56" s="88">
        <v>4</v>
      </c>
      <c r="I56" s="89">
        <f t="shared" si="40"/>
        <v>0.94</v>
      </c>
      <c r="J56" s="90">
        <v>3.68</v>
      </c>
      <c r="K56" s="90">
        <f t="shared" si="2"/>
        <v>8.6199999999999992</v>
      </c>
      <c r="L56" s="90"/>
      <c r="M56" s="90"/>
      <c r="N56" s="90">
        <v>1.2461</v>
      </c>
      <c r="O56" s="90">
        <v>0.13400000000000001</v>
      </c>
      <c r="P56" s="91">
        <f t="shared" si="30"/>
        <v>1.3801000000000001</v>
      </c>
      <c r="Q56" s="91">
        <f t="shared" si="31"/>
        <v>10.0001</v>
      </c>
      <c r="R56" s="90"/>
      <c r="S56" s="90">
        <f t="shared" si="32"/>
        <v>10.0001</v>
      </c>
      <c r="T56" s="92">
        <f t="shared" si="33"/>
        <v>1000.01</v>
      </c>
      <c r="U56" s="40">
        <f t="shared" si="34"/>
        <v>400</v>
      </c>
      <c r="V56" s="40">
        <f t="shared" si="28"/>
        <v>94</v>
      </c>
      <c r="W56" s="40">
        <f t="shared" si="35"/>
        <v>368</v>
      </c>
      <c r="X56" s="40"/>
      <c r="Y56" s="40"/>
      <c r="Z56" s="40">
        <f t="shared" si="36"/>
        <v>124.61</v>
      </c>
      <c r="AA56" s="40">
        <f t="shared" si="39"/>
        <v>13.4</v>
      </c>
      <c r="AB56" s="93">
        <f t="shared" si="37"/>
        <v>1000.01</v>
      </c>
      <c r="AC56" s="94">
        <v>0</v>
      </c>
      <c r="AD56" s="76">
        <f t="shared" si="38"/>
        <v>1000.01</v>
      </c>
      <c r="AE56" s="95"/>
      <c r="AF56" s="95"/>
      <c r="AG56" s="95"/>
    </row>
    <row r="57" spans="1:33" ht="38.25" x14ac:dyDescent="0.2">
      <c r="A57" s="84" t="s">
        <v>64</v>
      </c>
      <c r="B57" s="160" t="s">
        <v>59</v>
      </c>
      <c r="C57" s="85" t="s">
        <v>237</v>
      </c>
      <c r="D57" s="37">
        <v>26.040099999999999</v>
      </c>
      <c r="E57" s="86">
        <v>0</v>
      </c>
      <c r="F57" s="38">
        <f t="shared" si="29"/>
        <v>26.040099999999999</v>
      </c>
      <c r="G57" s="97">
        <v>200</v>
      </c>
      <c r="H57" s="88">
        <v>6</v>
      </c>
      <c r="I57" s="89">
        <f t="shared" si="40"/>
        <v>1.42</v>
      </c>
      <c r="J57" s="90">
        <v>17.239999999999998</v>
      </c>
      <c r="K57" s="90">
        <f t="shared" si="2"/>
        <v>24.659999999999997</v>
      </c>
      <c r="L57" s="90"/>
      <c r="M57" s="90"/>
      <c r="N57" s="90">
        <v>1.2461</v>
      </c>
      <c r="O57" s="90">
        <v>0.13400000000000001</v>
      </c>
      <c r="P57" s="91">
        <f t="shared" si="30"/>
        <v>1.3801000000000001</v>
      </c>
      <c r="Q57" s="91">
        <f t="shared" si="31"/>
        <v>26.040099999999995</v>
      </c>
      <c r="R57" s="90"/>
      <c r="S57" s="90">
        <f t="shared" si="32"/>
        <v>26.040099999999995</v>
      </c>
      <c r="T57" s="92">
        <f t="shared" si="33"/>
        <v>5208.0200000000004</v>
      </c>
      <c r="U57" s="40">
        <f t="shared" si="34"/>
        <v>1200</v>
      </c>
      <c r="V57" s="40">
        <f t="shared" si="28"/>
        <v>284</v>
      </c>
      <c r="W57" s="40">
        <f t="shared" si="35"/>
        <v>3447.9999999999995</v>
      </c>
      <c r="X57" s="40"/>
      <c r="Y57" s="40"/>
      <c r="Z57" s="40">
        <f t="shared" si="36"/>
        <v>249.22</v>
      </c>
      <c r="AA57" s="40">
        <f t="shared" si="39"/>
        <v>26.8</v>
      </c>
      <c r="AB57" s="93">
        <f t="shared" si="37"/>
        <v>5208.0200000000004</v>
      </c>
      <c r="AC57" s="94">
        <v>0</v>
      </c>
      <c r="AD57" s="76">
        <f t="shared" si="38"/>
        <v>5208.0200000000004</v>
      </c>
      <c r="AE57" s="95"/>
      <c r="AF57" s="95"/>
      <c r="AG57" s="95"/>
    </row>
    <row r="58" spans="1:33" ht="38.25" x14ac:dyDescent="0.2">
      <c r="A58" s="84" t="s">
        <v>66</v>
      </c>
      <c r="B58" s="160" t="s">
        <v>61</v>
      </c>
      <c r="C58" s="85" t="s">
        <v>237</v>
      </c>
      <c r="D58" s="37">
        <v>17.650099999999998</v>
      </c>
      <c r="E58" s="86">
        <v>0</v>
      </c>
      <c r="F58" s="38">
        <f t="shared" si="29"/>
        <v>17.650099999999998</v>
      </c>
      <c r="G58" s="97">
        <v>100</v>
      </c>
      <c r="H58" s="88">
        <v>6</v>
      </c>
      <c r="I58" s="89">
        <f t="shared" si="40"/>
        <v>1.42</v>
      </c>
      <c r="J58" s="90">
        <v>8.85</v>
      </c>
      <c r="K58" s="90">
        <f t="shared" si="2"/>
        <v>16.27</v>
      </c>
      <c r="L58" s="90"/>
      <c r="M58" s="90"/>
      <c r="N58" s="90">
        <v>1.2461</v>
      </c>
      <c r="O58" s="90">
        <v>0.13400000000000001</v>
      </c>
      <c r="P58" s="91">
        <f t="shared" si="30"/>
        <v>1.3801000000000001</v>
      </c>
      <c r="Q58" s="91">
        <f t="shared" si="31"/>
        <v>17.650099999999998</v>
      </c>
      <c r="R58" s="90"/>
      <c r="S58" s="90">
        <f t="shared" si="32"/>
        <v>17.650099999999998</v>
      </c>
      <c r="T58" s="92">
        <f t="shared" si="33"/>
        <v>1765.01</v>
      </c>
      <c r="U58" s="40">
        <f t="shared" si="34"/>
        <v>600</v>
      </c>
      <c r="V58" s="40">
        <f t="shared" si="28"/>
        <v>142</v>
      </c>
      <c r="W58" s="40">
        <f t="shared" si="35"/>
        <v>885</v>
      </c>
      <c r="X58" s="40"/>
      <c r="Y58" s="40"/>
      <c r="Z58" s="40">
        <f t="shared" si="36"/>
        <v>124.61</v>
      </c>
      <c r="AA58" s="40">
        <f t="shared" si="39"/>
        <v>13.4</v>
      </c>
      <c r="AB58" s="93">
        <f t="shared" si="37"/>
        <v>1765.01</v>
      </c>
      <c r="AC58" s="94">
        <v>0</v>
      </c>
      <c r="AD58" s="76">
        <f t="shared" si="38"/>
        <v>1765.01</v>
      </c>
      <c r="AE58" s="95"/>
      <c r="AF58" s="95"/>
      <c r="AG58" s="95"/>
    </row>
    <row r="59" spans="1:33" ht="38.25" x14ac:dyDescent="0.2">
      <c r="A59" s="84" t="s">
        <v>67</v>
      </c>
      <c r="B59" s="160" t="s">
        <v>63</v>
      </c>
      <c r="C59" s="85" t="s">
        <v>237</v>
      </c>
      <c r="D59" s="37">
        <v>21.830100000000002</v>
      </c>
      <c r="E59" s="86">
        <v>0</v>
      </c>
      <c r="F59" s="38">
        <f t="shared" si="29"/>
        <v>21.830100000000002</v>
      </c>
      <c r="G59" s="97">
        <v>20</v>
      </c>
      <c r="H59" s="88">
        <v>16</v>
      </c>
      <c r="I59" s="89">
        <f t="shared" si="40"/>
        <v>3.77</v>
      </c>
      <c r="J59" s="90">
        <v>0.68</v>
      </c>
      <c r="K59" s="90">
        <f t="shared" si="2"/>
        <v>20.45</v>
      </c>
      <c r="L59" s="90"/>
      <c r="M59" s="90"/>
      <c r="N59" s="90">
        <v>1.2461</v>
      </c>
      <c r="O59" s="90">
        <v>0.13400000000000001</v>
      </c>
      <c r="P59" s="91">
        <f t="shared" si="30"/>
        <v>1.3801000000000001</v>
      </c>
      <c r="Q59" s="91">
        <f t="shared" si="31"/>
        <v>21.830099999999998</v>
      </c>
      <c r="R59" s="90"/>
      <c r="S59" s="90">
        <f t="shared" si="32"/>
        <v>21.830099999999998</v>
      </c>
      <c r="T59" s="92">
        <f t="shared" si="33"/>
        <v>436.60200000000003</v>
      </c>
      <c r="U59" s="40">
        <f t="shared" si="34"/>
        <v>320</v>
      </c>
      <c r="V59" s="40">
        <f t="shared" si="28"/>
        <v>75.400000000000006</v>
      </c>
      <c r="W59" s="40">
        <f t="shared" si="35"/>
        <v>13.600000000000001</v>
      </c>
      <c r="X59" s="40"/>
      <c r="Y59" s="40"/>
      <c r="Z59" s="40">
        <f t="shared" si="36"/>
        <v>24.922000000000001</v>
      </c>
      <c r="AA59" s="40">
        <f t="shared" si="39"/>
        <v>2.68</v>
      </c>
      <c r="AB59" s="93">
        <f t="shared" si="37"/>
        <v>436.60200000000003</v>
      </c>
      <c r="AC59" s="94">
        <v>0</v>
      </c>
      <c r="AD59" s="76">
        <f t="shared" si="38"/>
        <v>436.60200000000003</v>
      </c>
      <c r="AE59" s="95"/>
      <c r="AF59" s="95"/>
      <c r="AG59" s="95"/>
    </row>
    <row r="60" spans="1:33" ht="41.25" customHeight="1" x14ac:dyDescent="0.2">
      <c r="A60" s="84" t="s">
        <v>68</v>
      </c>
      <c r="B60" s="160" t="s">
        <v>212</v>
      </c>
      <c r="C60" s="85" t="s">
        <v>237</v>
      </c>
      <c r="D60" s="37">
        <v>34.530099999999997</v>
      </c>
      <c r="E60" s="86">
        <v>0</v>
      </c>
      <c r="F60" s="38">
        <f t="shared" si="29"/>
        <v>34.530099999999997</v>
      </c>
      <c r="G60" s="97">
        <v>80</v>
      </c>
      <c r="H60" s="88">
        <v>3</v>
      </c>
      <c r="I60" s="89">
        <f t="shared" si="40"/>
        <v>0.71</v>
      </c>
      <c r="J60" s="90">
        <v>29.44</v>
      </c>
      <c r="K60" s="90">
        <f t="shared" si="2"/>
        <v>33.15</v>
      </c>
      <c r="L60" s="90"/>
      <c r="M60" s="90"/>
      <c r="N60" s="90">
        <v>1.2461</v>
      </c>
      <c r="O60" s="90">
        <v>0.13400000000000001</v>
      </c>
      <c r="P60" s="91">
        <f t="shared" si="30"/>
        <v>1.3801000000000001</v>
      </c>
      <c r="Q60" s="91">
        <f t="shared" si="31"/>
        <v>34.530099999999997</v>
      </c>
      <c r="R60" s="90"/>
      <c r="S60" s="90">
        <f t="shared" si="32"/>
        <v>34.530099999999997</v>
      </c>
      <c r="T60" s="92">
        <f t="shared" si="33"/>
        <v>2762.4080000000004</v>
      </c>
      <c r="U60" s="40">
        <f t="shared" si="34"/>
        <v>240</v>
      </c>
      <c r="V60" s="40">
        <f t="shared" si="28"/>
        <v>56.8</v>
      </c>
      <c r="W60" s="40">
        <f t="shared" si="35"/>
        <v>2355.2000000000003</v>
      </c>
      <c r="X60" s="40"/>
      <c r="Y60" s="40"/>
      <c r="Z60" s="40">
        <f t="shared" si="36"/>
        <v>99.688000000000002</v>
      </c>
      <c r="AA60" s="40">
        <f t="shared" si="39"/>
        <v>10.72</v>
      </c>
      <c r="AB60" s="93">
        <f t="shared" si="37"/>
        <v>2762.4080000000004</v>
      </c>
      <c r="AC60" s="94">
        <v>0</v>
      </c>
      <c r="AD60" s="76">
        <f t="shared" si="38"/>
        <v>2762.4080000000004</v>
      </c>
      <c r="AE60" s="95"/>
      <c r="AF60" s="95"/>
      <c r="AG60" s="95"/>
    </row>
    <row r="61" spans="1:33" ht="27.75" customHeight="1" x14ac:dyDescent="0.2">
      <c r="A61" s="102" t="s">
        <v>70</v>
      </c>
      <c r="B61" s="160" t="s">
        <v>71</v>
      </c>
      <c r="C61" s="85" t="s">
        <v>237</v>
      </c>
      <c r="D61" s="37">
        <v>11.100099999999999</v>
      </c>
      <c r="E61" s="86">
        <v>0</v>
      </c>
      <c r="F61" s="38">
        <f t="shared" si="29"/>
        <v>11.100099999999999</v>
      </c>
      <c r="G61" s="97">
        <v>7</v>
      </c>
      <c r="H61" s="88">
        <v>6</v>
      </c>
      <c r="I61" s="89">
        <f t="shared" si="40"/>
        <v>1.42</v>
      </c>
      <c r="J61" s="90">
        <v>2.2999999999999998</v>
      </c>
      <c r="K61" s="90">
        <f t="shared" si="2"/>
        <v>9.7199999999999989</v>
      </c>
      <c r="L61" s="90"/>
      <c r="M61" s="90"/>
      <c r="N61" s="90">
        <v>1.2461</v>
      </c>
      <c r="O61" s="90">
        <v>0.13400000000000001</v>
      </c>
      <c r="P61" s="91">
        <f t="shared" si="30"/>
        <v>1.3801000000000001</v>
      </c>
      <c r="Q61" s="91">
        <f t="shared" si="31"/>
        <v>11.100099999999999</v>
      </c>
      <c r="R61" s="90"/>
      <c r="S61" s="90">
        <f t="shared" si="32"/>
        <v>11.100099999999999</v>
      </c>
      <c r="T61" s="92">
        <f t="shared" si="33"/>
        <v>77.700699999999998</v>
      </c>
      <c r="U61" s="40">
        <f t="shared" si="34"/>
        <v>42</v>
      </c>
      <c r="V61" s="40">
        <f t="shared" si="28"/>
        <v>9.94</v>
      </c>
      <c r="W61" s="40">
        <f t="shared" si="35"/>
        <v>16.099999999999998</v>
      </c>
      <c r="X61" s="40"/>
      <c r="Y61" s="40"/>
      <c r="Z61" s="40">
        <f t="shared" si="36"/>
        <v>8.7226999999999997</v>
      </c>
      <c r="AA61" s="40">
        <f t="shared" si="39"/>
        <v>0.93800000000000006</v>
      </c>
      <c r="AB61" s="93">
        <f t="shared" si="37"/>
        <v>77.700699999999998</v>
      </c>
      <c r="AC61" s="94">
        <v>0</v>
      </c>
      <c r="AD61" s="76">
        <f t="shared" si="38"/>
        <v>77.700699999999998</v>
      </c>
      <c r="AE61" s="95"/>
      <c r="AF61" s="95"/>
      <c r="AG61" s="95"/>
    </row>
    <row r="62" spans="1:33" ht="25.5" customHeight="1" x14ac:dyDescent="0.2">
      <c r="A62" s="84" t="s">
        <v>72</v>
      </c>
      <c r="B62" s="160" t="s">
        <v>73</v>
      </c>
      <c r="C62" s="85" t="s">
        <v>237</v>
      </c>
      <c r="D62" s="37">
        <v>35.990099999999998</v>
      </c>
      <c r="E62" s="86">
        <v>0</v>
      </c>
      <c r="F62" s="38">
        <f t="shared" si="29"/>
        <v>35.990099999999998</v>
      </c>
      <c r="G62" s="97">
        <v>7</v>
      </c>
      <c r="H62" s="88">
        <v>22</v>
      </c>
      <c r="I62" s="89">
        <f t="shared" si="40"/>
        <v>5.19</v>
      </c>
      <c r="J62" s="90">
        <v>7.42</v>
      </c>
      <c r="K62" s="90">
        <f t="shared" si="2"/>
        <v>34.61</v>
      </c>
      <c r="L62" s="90"/>
      <c r="M62" s="90"/>
      <c r="N62" s="90">
        <v>1.2461</v>
      </c>
      <c r="O62" s="90">
        <v>0.13400000000000001</v>
      </c>
      <c r="P62" s="91">
        <f t="shared" si="30"/>
        <v>1.3801000000000001</v>
      </c>
      <c r="Q62" s="91">
        <f t="shared" si="31"/>
        <v>35.990099999999998</v>
      </c>
      <c r="R62" s="90"/>
      <c r="S62" s="90">
        <f t="shared" si="32"/>
        <v>35.990099999999998</v>
      </c>
      <c r="T62" s="92">
        <f t="shared" si="33"/>
        <v>251.9307</v>
      </c>
      <c r="U62" s="40">
        <f t="shared" si="34"/>
        <v>154</v>
      </c>
      <c r="V62" s="40">
        <f t="shared" si="28"/>
        <v>36.330000000000005</v>
      </c>
      <c r="W62" s="40">
        <f t="shared" si="35"/>
        <v>51.94</v>
      </c>
      <c r="X62" s="40"/>
      <c r="Y62" s="40"/>
      <c r="Z62" s="40">
        <f t="shared" si="36"/>
        <v>8.7226999999999997</v>
      </c>
      <c r="AA62" s="40">
        <f t="shared" si="39"/>
        <v>0.93800000000000006</v>
      </c>
      <c r="AB62" s="93">
        <f t="shared" si="37"/>
        <v>251.9307</v>
      </c>
      <c r="AC62" s="94">
        <v>0</v>
      </c>
      <c r="AD62" s="76">
        <f t="shared" si="38"/>
        <v>251.9307</v>
      </c>
      <c r="AE62" s="95"/>
      <c r="AF62" s="95"/>
      <c r="AG62" s="95"/>
    </row>
    <row r="63" spans="1:33" ht="39.75" customHeight="1" x14ac:dyDescent="0.2">
      <c r="A63" s="84" t="s">
        <v>74</v>
      </c>
      <c r="B63" s="160" t="s">
        <v>75</v>
      </c>
      <c r="C63" s="85" t="s">
        <v>237</v>
      </c>
      <c r="D63" s="37">
        <v>80.170100000000005</v>
      </c>
      <c r="E63" s="86">
        <v>0</v>
      </c>
      <c r="F63" s="38">
        <f t="shared" si="29"/>
        <v>80.170100000000005</v>
      </c>
      <c r="G63" s="97">
        <v>7</v>
      </c>
      <c r="H63" s="88">
        <v>39</v>
      </c>
      <c r="I63" s="89">
        <f t="shared" si="40"/>
        <v>9.1999999999999993</v>
      </c>
      <c r="J63" s="90">
        <v>30.59</v>
      </c>
      <c r="K63" s="90">
        <f t="shared" si="2"/>
        <v>78.790000000000006</v>
      </c>
      <c r="L63" s="90"/>
      <c r="M63" s="90"/>
      <c r="N63" s="90">
        <v>1.2461</v>
      </c>
      <c r="O63" s="90">
        <v>0.13400000000000001</v>
      </c>
      <c r="P63" s="91">
        <f t="shared" si="30"/>
        <v>1.3801000000000001</v>
      </c>
      <c r="Q63" s="91">
        <f t="shared" si="31"/>
        <v>80.170100000000005</v>
      </c>
      <c r="R63" s="90"/>
      <c r="S63" s="90">
        <f t="shared" si="32"/>
        <v>80.170100000000005</v>
      </c>
      <c r="T63" s="92">
        <f t="shared" si="33"/>
        <v>561.19069999999999</v>
      </c>
      <c r="U63" s="40">
        <f t="shared" si="34"/>
        <v>273</v>
      </c>
      <c r="V63" s="40">
        <f t="shared" si="28"/>
        <v>64.399999999999991</v>
      </c>
      <c r="W63" s="40">
        <f t="shared" si="35"/>
        <v>214.13</v>
      </c>
      <c r="X63" s="40"/>
      <c r="Y63" s="40"/>
      <c r="Z63" s="40">
        <f t="shared" si="36"/>
        <v>8.7226999999999997</v>
      </c>
      <c r="AA63" s="40">
        <f t="shared" si="39"/>
        <v>0.93800000000000006</v>
      </c>
      <c r="AB63" s="93">
        <f t="shared" si="37"/>
        <v>561.19069999999999</v>
      </c>
      <c r="AC63" s="94">
        <v>0</v>
      </c>
      <c r="AD63" s="76">
        <f t="shared" si="38"/>
        <v>561.19069999999999</v>
      </c>
      <c r="AE63" s="95"/>
      <c r="AF63" s="95"/>
      <c r="AG63" s="95"/>
    </row>
    <row r="64" spans="1:33" ht="38.25" x14ac:dyDescent="0.2">
      <c r="A64" s="84" t="s">
        <v>76</v>
      </c>
      <c r="B64" s="160" t="s">
        <v>77</v>
      </c>
      <c r="C64" s="85" t="s">
        <v>237</v>
      </c>
      <c r="D64" s="37">
        <v>3.4500999999999999</v>
      </c>
      <c r="E64" s="86">
        <v>0</v>
      </c>
      <c r="F64" s="38">
        <f t="shared" si="29"/>
        <v>3.4500999999999999</v>
      </c>
      <c r="G64" s="97">
        <v>30</v>
      </c>
      <c r="H64" s="88">
        <v>1</v>
      </c>
      <c r="I64" s="89">
        <f t="shared" si="40"/>
        <v>0.24</v>
      </c>
      <c r="J64" s="90">
        <v>0.83</v>
      </c>
      <c r="K64" s="90">
        <f t="shared" si="2"/>
        <v>2.0699999999999998</v>
      </c>
      <c r="L64" s="90"/>
      <c r="M64" s="90"/>
      <c r="N64" s="90">
        <v>1.2461</v>
      </c>
      <c r="O64" s="90">
        <v>0.13400000000000001</v>
      </c>
      <c r="P64" s="91">
        <f t="shared" si="30"/>
        <v>1.3801000000000001</v>
      </c>
      <c r="Q64" s="91">
        <f t="shared" si="31"/>
        <v>3.4500999999999999</v>
      </c>
      <c r="R64" s="90"/>
      <c r="S64" s="90">
        <f t="shared" si="32"/>
        <v>3.4500999999999995</v>
      </c>
      <c r="T64" s="92">
        <f t="shared" si="33"/>
        <v>103.503</v>
      </c>
      <c r="U64" s="40">
        <f t="shared" si="34"/>
        <v>30</v>
      </c>
      <c r="V64" s="40">
        <f t="shared" si="28"/>
        <v>7.1999999999999993</v>
      </c>
      <c r="W64" s="40">
        <f t="shared" si="35"/>
        <v>24.9</v>
      </c>
      <c r="X64" s="40"/>
      <c r="Y64" s="40"/>
      <c r="Z64" s="40">
        <f t="shared" si="36"/>
        <v>37.383000000000003</v>
      </c>
      <c r="AA64" s="40">
        <f t="shared" si="39"/>
        <v>4.0200000000000005</v>
      </c>
      <c r="AB64" s="93">
        <f t="shared" si="37"/>
        <v>103.503</v>
      </c>
      <c r="AC64" s="94">
        <v>0</v>
      </c>
      <c r="AD64" s="76">
        <f t="shared" si="38"/>
        <v>103.503</v>
      </c>
      <c r="AE64" s="95"/>
      <c r="AF64" s="95"/>
      <c r="AG64" s="95"/>
    </row>
    <row r="65" spans="1:33" ht="63.75" x14ac:dyDescent="0.2">
      <c r="A65" s="103" t="s">
        <v>254</v>
      </c>
      <c r="B65" s="160" t="s">
        <v>264</v>
      </c>
      <c r="C65" s="85" t="s">
        <v>237</v>
      </c>
      <c r="D65" s="37">
        <v>9.5601000000000003</v>
      </c>
      <c r="E65" s="104">
        <v>0</v>
      </c>
      <c r="F65" s="38">
        <f t="shared" si="29"/>
        <v>9.5601000000000003</v>
      </c>
      <c r="G65" s="97">
        <v>30</v>
      </c>
      <c r="H65" s="90">
        <v>4</v>
      </c>
      <c r="I65" s="89">
        <f t="shared" si="40"/>
        <v>0.94</v>
      </c>
      <c r="J65" s="90">
        <v>3.24</v>
      </c>
      <c r="K65" s="90">
        <f t="shared" si="2"/>
        <v>8.18</v>
      </c>
      <c r="L65" s="90"/>
      <c r="M65" s="90"/>
      <c r="N65" s="90">
        <v>1.2461</v>
      </c>
      <c r="O65" s="90">
        <v>0.13400000000000001</v>
      </c>
      <c r="P65" s="91">
        <f t="shared" si="30"/>
        <v>1.3801000000000001</v>
      </c>
      <c r="Q65" s="91">
        <f t="shared" si="31"/>
        <v>9.5601000000000003</v>
      </c>
      <c r="R65" s="90"/>
      <c r="S65" s="90">
        <f t="shared" si="32"/>
        <v>9.5601000000000003</v>
      </c>
      <c r="T65" s="92">
        <f>SUM(U65:AA65)</f>
        <v>286.80299999999994</v>
      </c>
      <c r="U65" s="40">
        <f t="shared" ref="U65:U74" si="41">H65*G65</f>
        <v>120</v>
      </c>
      <c r="V65" s="40">
        <f t="shared" ref="V65:V74" si="42">I65*G65</f>
        <v>28.2</v>
      </c>
      <c r="W65" s="40">
        <f t="shared" ref="W65:W74" si="43">J65*G65</f>
        <v>97.2</v>
      </c>
      <c r="X65" s="40"/>
      <c r="Y65" s="40"/>
      <c r="Z65" s="40">
        <f t="shared" ref="Z65:Z74" si="44">N65*G65</f>
        <v>37.383000000000003</v>
      </c>
      <c r="AA65" s="40">
        <f t="shared" ref="AA65:AA74" si="45">O65*G65</f>
        <v>4.0200000000000005</v>
      </c>
      <c r="AB65" s="93">
        <f t="shared" ref="AB65:AB74" si="46">SUM(U65:AA65)</f>
        <v>286.80299999999994</v>
      </c>
      <c r="AC65" s="94">
        <v>0</v>
      </c>
      <c r="AD65" s="76">
        <f>SUM(AB65:AC65)</f>
        <v>286.80299999999994</v>
      </c>
      <c r="AE65" s="95"/>
      <c r="AF65" s="95"/>
      <c r="AG65" s="95"/>
    </row>
    <row r="66" spans="1:33" ht="18.75" customHeight="1" x14ac:dyDescent="0.2">
      <c r="A66" s="84" t="s">
        <v>255</v>
      </c>
      <c r="B66" s="160" t="s">
        <v>265</v>
      </c>
      <c r="C66" s="85" t="s">
        <v>237</v>
      </c>
      <c r="D66" s="37">
        <v>3.4100999999999999</v>
      </c>
      <c r="E66" s="104"/>
      <c r="F66" s="38">
        <f t="shared" si="29"/>
        <v>3.4100999999999999</v>
      </c>
      <c r="G66" s="97">
        <v>60</v>
      </c>
      <c r="H66" s="90">
        <v>0.8</v>
      </c>
      <c r="I66" s="89">
        <f t="shared" si="40"/>
        <v>0.19</v>
      </c>
      <c r="J66" s="90">
        <v>1.04</v>
      </c>
      <c r="K66" s="90">
        <f t="shared" si="2"/>
        <v>2.0300000000000002</v>
      </c>
      <c r="L66" s="90"/>
      <c r="M66" s="90"/>
      <c r="N66" s="90">
        <v>1.2461</v>
      </c>
      <c r="O66" s="90">
        <v>0.13400000000000001</v>
      </c>
      <c r="P66" s="91">
        <f t="shared" si="30"/>
        <v>1.3801000000000001</v>
      </c>
      <c r="Q66" s="91">
        <f t="shared" si="31"/>
        <v>3.4101000000000004</v>
      </c>
      <c r="R66" s="90"/>
      <c r="S66" s="90">
        <f t="shared" si="32"/>
        <v>3.4101000000000004</v>
      </c>
      <c r="T66" s="92">
        <f t="shared" si="33"/>
        <v>204.60600000000002</v>
      </c>
      <c r="U66" s="40">
        <f t="shared" si="41"/>
        <v>48</v>
      </c>
      <c r="V66" s="40">
        <f t="shared" si="42"/>
        <v>11.4</v>
      </c>
      <c r="W66" s="40">
        <f t="shared" si="43"/>
        <v>62.400000000000006</v>
      </c>
      <c r="X66" s="40"/>
      <c r="Y66" s="40"/>
      <c r="Z66" s="40">
        <f t="shared" si="44"/>
        <v>74.766000000000005</v>
      </c>
      <c r="AA66" s="40">
        <f t="shared" si="45"/>
        <v>8.0400000000000009</v>
      </c>
      <c r="AB66" s="93">
        <f t="shared" si="46"/>
        <v>204.60600000000002</v>
      </c>
      <c r="AC66" s="94">
        <v>0</v>
      </c>
      <c r="AD66" s="76">
        <f t="shared" ref="AD66:AD74" si="47">SUM(AB66:AC66)</f>
        <v>204.60600000000002</v>
      </c>
      <c r="AE66" s="95"/>
      <c r="AF66" s="95"/>
      <c r="AG66" s="95"/>
    </row>
    <row r="67" spans="1:33" ht="33" customHeight="1" x14ac:dyDescent="0.2">
      <c r="A67" s="84" t="s">
        <v>256</v>
      </c>
      <c r="B67" s="160" t="s">
        <v>266</v>
      </c>
      <c r="C67" s="85" t="s">
        <v>237</v>
      </c>
      <c r="D67" s="37">
        <v>3.4200999999999997</v>
      </c>
      <c r="E67" s="104"/>
      <c r="F67" s="38">
        <f t="shared" si="29"/>
        <v>3.4200999999999997</v>
      </c>
      <c r="G67" s="97">
        <v>60</v>
      </c>
      <c r="H67" s="90">
        <v>0.8</v>
      </c>
      <c r="I67" s="89">
        <f t="shared" si="40"/>
        <v>0.19</v>
      </c>
      <c r="J67" s="90">
        <v>1.05</v>
      </c>
      <c r="K67" s="90">
        <f t="shared" si="2"/>
        <v>2.04</v>
      </c>
      <c r="L67" s="90"/>
      <c r="M67" s="90"/>
      <c r="N67" s="90">
        <v>1.2461</v>
      </c>
      <c r="O67" s="90">
        <v>0.13400000000000001</v>
      </c>
      <c r="P67" s="91">
        <f t="shared" si="30"/>
        <v>1.3801000000000001</v>
      </c>
      <c r="Q67" s="91">
        <f t="shared" si="31"/>
        <v>3.4201000000000001</v>
      </c>
      <c r="R67" s="90"/>
      <c r="S67" s="90">
        <f t="shared" si="32"/>
        <v>3.4201000000000001</v>
      </c>
      <c r="T67" s="92">
        <f t="shared" si="33"/>
        <v>205.20599999999999</v>
      </c>
      <c r="U67" s="40">
        <f t="shared" si="41"/>
        <v>48</v>
      </c>
      <c r="V67" s="40">
        <f t="shared" si="42"/>
        <v>11.4</v>
      </c>
      <c r="W67" s="40">
        <f t="shared" si="43"/>
        <v>63</v>
      </c>
      <c r="X67" s="40"/>
      <c r="Y67" s="40"/>
      <c r="Z67" s="40">
        <f t="shared" si="44"/>
        <v>74.766000000000005</v>
      </c>
      <c r="AA67" s="40">
        <f t="shared" si="45"/>
        <v>8.0400000000000009</v>
      </c>
      <c r="AB67" s="93">
        <f t="shared" si="46"/>
        <v>205.20599999999999</v>
      </c>
      <c r="AC67" s="94">
        <v>0</v>
      </c>
      <c r="AD67" s="76">
        <f t="shared" si="47"/>
        <v>205.20599999999999</v>
      </c>
      <c r="AE67" s="95"/>
      <c r="AF67" s="95"/>
      <c r="AG67" s="95"/>
    </row>
    <row r="68" spans="1:33" ht="15.75" customHeight="1" x14ac:dyDescent="0.2">
      <c r="A68" s="84" t="s">
        <v>257</v>
      </c>
      <c r="B68" s="160" t="s">
        <v>267</v>
      </c>
      <c r="C68" s="85" t="s">
        <v>237</v>
      </c>
      <c r="D68" s="37">
        <v>4.8000999999999996</v>
      </c>
      <c r="E68" s="104"/>
      <c r="F68" s="38">
        <f t="shared" si="29"/>
        <v>4.8000999999999996</v>
      </c>
      <c r="G68" s="97">
        <v>60</v>
      </c>
      <c r="H68" s="90">
        <v>0.8</v>
      </c>
      <c r="I68" s="89">
        <f t="shared" si="40"/>
        <v>0.19</v>
      </c>
      <c r="J68" s="90">
        <v>2.4300000000000002</v>
      </c>
      <c r="K68" s="90">
        <f t="shared" si="2"/>
        <v>3.42</v>
      </c>
      <c r="L68" s="90"/>
      <c r="M68" s="90"/>
      <c r="N68" s="90">
        <v>1.2461</v>
      </c>
      <c r="O68" s="90">
        <v>0.13400000000000001</v>
      </c>
      <c r="P68" s="91">
        <f t="shared" si="30"/>
        <v>1.3801000000000001</v>
      </c>
      <c r="Q68" s="91">
        <f t="shared" si="31"/>
        <v>4.8001000000000005</v>
      </c>
      <c r="R68" s="90"/>
      <c r="S68" s="90">
        <f t="shared" si="32"/>
        <v>4.8001000000000005</v>
      </c>
      <c r="T68" s="92">
        <f t="shared" si="33"/>
        <v>288.00600000000003</v>
      </c>
      <c r="U68" s="40">
        <f t="shared" si="41"/>
        <v>48</v>
      </c>
      <c r="V68" s="40">
        <f t="shared" si="42"/>
        <v>11.4</v>
      </c>
      <c r="W68" s="40">
        <f t="shared" si="43"/>
        <v>145.80000000000001</v>
      </c>
      <c r="X68" s="40"/>
      <c r="Y68" s="40"/>
      <c r="Z68" s="40">
        <f t="shared" si="44"/>
        <v>74.766000000000005</v>
      </c>
      <c r="AA68" s="40">
        <f t="shared" si="45"/>
        <v>8.0400000000000009</v>
      </c>
      <c r="AB68" s="93">
        <f t="shared" si="46"/>
        <v>288.00600000000003</v>
      </c>
      <c r="AC68" s="94">
        <v>0</v>
      </c>
      <c r="AD68" s="76">
        <f t="shared" si="47"/>
        <v>288.00600000000003</v>
      </c>
      <c r="AE68" s="95"/>
      <c r="AF68" s="95"/>
      <c r="AG68" s="95"/>
    </row>
    <row r="69" spans="1:33" ht="33.75" customHeight="1" x14ac:dyDescent="0.2">
      <c r="A69" s="84" t="s">
        <v>258</v>
      </c>
      <c r="B69" s="160" t="s">
        <v>268</v>
      </c>
      <c r="C69" s="85" t="s">
        <v>237</v>
      </c>
      <c r="D69" s="37">
        <v>3.2100999999999997</v>
      </c>
      <c r="E69" s="104"/>
      <c r="F69" s="38">
        <f t="shared" si="29"/>
        <v>3.2100999999999997</v>
      </c>
      <c r="G69" s="97">
        <v>60</v>
      </c>
      <c r="H69" s="90">
        <v>0.8</v>
      </c>
      <c r="I69" s="89">
        <f t="shared" si="40"/>
        <v>0.19</v>
      </c>
      <c r="J69" s="90">
        <v>0.84</v>
      </c>
      <c r="K69" s="90">
        <f t="shared" si="2"/>
        <v>1.83</v>
      </c>
      <c r="L69" s="90"/>
      <c r="M69" s="90"/>
      <c r="N69" s="90">
        <v>1.2461</v>
      </c>
      <c r="O69" s="90">
        <v>0.13400000000000001</v>
      </c>
      <c r="P69" s="91">
        <f t="shared" si="30"/>
        <v>1.3801000000000001</v>
      </c>
      <c r="Q69" s="91">
        <f t="shared" si="31"/>
        <v>3.2101000000000002</v>
      </c>
      <c r="R69" s="90"/>
      <c r="S69" s="90">
        <f t="shared" si="32"/>
        <v>3.2101000000000002</v>
      </c>
      <c r="T69" s="92">
        <f t="shared" si="33"/>
        <v>192.60599999999999</v>
      </c>
      <c r="U69" s="40">
        <f t="shared" si="41"/>
        <v>48</v>
      </c>
      <c r="V69" s="40">
        <f t="shared" si="42"/>
        <v>11.4</v>
      </c>
      <c r="W69" s="40">
        <f t="shared" si="43"/>
        <v>50.4</v>
      </c>
      <c r="X69" s="40"/>
      <c r="Y69" s="40"/>
      <c r="Z69" s="40">
        <f t="shared" si="44"/>
        <v>74.766000000000005</v>
      </c>
      <c r="AA69" s="40">
        <f t="shared" si="45"/>
        <v>8.0400000000000009</v>
      </c>
      <c r="AB69" s="93">
        <f t="shared" si="46"/>
        <v>192.60599999999999</v>
      </c>
      <c r="AC69" s="94">
        <v>0</v>
      </c>
      <c r="AD69" s="76">
        <f t="shared" si="47"/>
        <v>192.60599999999999</v>
      </c>
      <c r="AE69" s="95"/>
      <c r="AF69" s="95"/>
      <c r="AG69" s="95"/>
    </row>
    <row r="70" spans="1:33" ht="42.75" customHeight="1" x14ac:dyDescent="0.2">
      <c r="A70" s="84" t="s">
        <v>259</v>
      </c>
      <c r="B70" s="160" t="s">
        <v>269</v>
      </c>
      <c r="C70" s="85" t="s">
        <v>237</v>
      </c>
      <c r="D70" s="37">
        <v>12.700099999999999</v>
      </c>
      <c r="E70" s="104"/>
      <c r="F70" s="38">
        <f t="shared" si="29"/>
        <v>12.700099999999999</v>
      </c>
      <c r="G70" s="97">
        <v>60</v>
      </c>
      <c r="H70" s="90">
        <v>0.8</v>
      </c>
      <c r="I70" s="89">
        <f t="shared" si="40"/>
        <v>0.19</v>
      </c>
      <c r="J70" s="90">
        <v>10.33</v>
      </c>
      <c r="K70" s="90">
        <f t="shared" si="2"/>
        <v>11.32</v>
      </c>
      <c r="L70" s="90"/>
      <c r="M70" s="90"/>
      <c r="N70" s="90">
        <v>1.2461</v>
      </c>
      <c r="O70" s="90">
        <v>0.13400000000000001</v>
      </c>
      <c r="P70" s="91">
        <f t="shared" si="30"/>
        <v>1.3801000000000001</v>
      </c>
      <c r="Q70" s="91">
        <f t="shared" si="31"/>
        <v>12.700100000000001</v>
      </c>
      <c r="R70" s="90"/>
      <c r="S70" s="90">
        <f t="shared" si="32"/>
        <v>12.700100000000001</v>
      </c>
      <c r="T70" s="92">
        <f t="shared" si="33"/>
        <v>762.00599999999986</v>
      </c>
      <c r="U70" s="40">
        <f t="shared" si="41"/>
        <v>48</v>
      </c>
      <c r="V70" s="40">
        <f t="shared" si="42"/>
        <v>11.4</v>
      </c>
      <c r="W70" s="40">
        <f t="shared" si="43"/>
        <v>619.79999999999995</v>
      </c>
      <c r="X70" s="40"/>
      <c r="Y70" s="40"/>
      <c r="Z70" s="40">
        <f t="shared" si="44"/>
        <v>74.766000000000005</v>
      </c>
      <c r="AA70" s="40">
        <f t="shared" si="45"/>
        <v>8.0400000000000009</v>
      </c>
      <c r="AB70" s="93">
        <f t="shared" si="46"/>
        <v>762.00599999999986</v>
      </c>
      <c r="AC70" s="94">
        <v>0</v>
      </c>
      <c r="AD70" s="76">
        <f t="shared" si="47"/>
        <v>762.00599999999986</v>
      </c>
      <c r="AE70" s="95"/>
      <c r="AF70" s="95"/>
      <c r="AG70" s="95"/>
    </row>
    <row r="71" spans="1:33" ht="15" customHeight="1" x14ac:dyDescent="0.2">
      <c r="A71" s="84" t="s">
        <v>260</v>
      </c>
      <c r="B71" s="160" t="s">
        <v>281</v>
      </c>
      <c r="C71" s="85" t="s">
        <v>237</v>
      </c>
      <c r="D71" s="37">
        <v>40.500099999999996</v>
      </c>
      <c r="E71" s="104"/>
      <c r="F71" s="38">
        <v>44.680099999999996</v>
      </c>
      <c r="G71" s="97">
        <v>60</v>
      </c>
      <c r="H71" s="90">
        <v>1.6</v>
      </c>
      <c r="I71" s="89">
        <f t="shared" si="40"/>
        <v>0.38</v>
      </c>
      <c r="J71" s="90">
        <v>41.32</v>
      </c>
      <c r="K71" s="90">
        <f t="shared" si="2"/>
        <v>43.3</v>
      </c>
      <c r="L71" s="90"/>
      <c r="M71" s="90"/>
      <c r="N71" s="90">
        <v>1.2461</v>
      </c>
      <c r="O71" s="90">
        <v>0.13400000000000001</v>
      </c>
      <c r="P71" s="91">
        <f t="shared" si="30"/>
        <v>1.3801000000000001</v>
      </c>
      <c r="Q71" s="91">
        <f t="shared" si="31"/>
        <v>44.680099999999996</v>
      </c>
      <c r="R71" s="90"/>
      <c r="S71" s="90">
        <f t="shared" si="32"/>
        <v>44.680099999999996</v>
      </c>
      <c r="T71" s="92">
        <f t="shared" si="33"/>
        <v>2680.806</v>
      </c>
      <c r="U71" s="40">
        <f t="shared" si="41"/>
        <v>96</v>
      </c>
      <c r="V71" s="40">
        <f t="shared" si="42"/>
        <v>22.8</v>
      </c>
      <c r="W71" s="40">
        <f t="shared" si="43"/>
        <v>2479.1999999999998</v>
      </c>
      <c r="X71" s="40"/>
      <c r="Y71" s="40"/>
      <c r="Z71" s="40">
        <f t="shared" si="44"/>
        <v>74.766000000000005</v>
      </c>
      <c r="AA71" s="40">
        <f t="shared" si="45"/>
        <v>8.0400000000000009</v>
      </c>
      <c r="AB71" s="93">
        <f t="shared" si="46"/>
        <v>2680.806</v>
      </c>
      <c r="AC71" s="94">
        <v>0</v>
      </c>
      <c r="AD71" s="76">
        <f t="shared" si="47"/>
        <v>2680.806</v>
      </c>
      <c r="AE71" s="95"/>
      <c r="AF71" s="95"/>
      <c r="AG71" s="95"/>
    </row>
    <row r="72" spans="1:33" ht="38.25" x14ac:dyDescent="0.2">
      <c r="A72" s="84" t="s">
        <v>261</v>
      </c>
      <c r="B72" s="160" t="s">
        <v>270</v>
      </c>
      <c r="C72" s="85" t="s">
        <v>237</v>
      </c>
      <c r="D72" s="37">
        <v>12.700099999999999</v>
      </c>
      <c r="E72" s="104"/>
      <c r="F72" s="38">
        <f t="shared" si="29"/>
        <v>12.700099999999999</v>
      </c>
      <c r="G72" s="97">
        <v>60</v>
      </c>
      <c r="H72" s="90">
        <v>0.8</v>
      </c>
      <c r="I72" s="89">
        <f t="shared" si="40"/>
        <v>0.19</v>
      </c>
      <c r="J72" s="90">
        <v>10.33</v>
      </c>
      <c r="K72" s="90">
        <f t="shared" si="2"/>
        <v>11.32</v>
      </c>
      <c r="L72" s="90"/>
      <c r="M72" s="90"/>
      <c r="N72" s="90">
        <v>1.2461</v>
      </c>
      <c r="O72" s="90">
        <v>0.13400000000000001</v>
      </c>
      <c r="P72" s="91">
        <f t="shared" si="30"/>
        <v>1.3801000000000001</v>
      </c>
      <c r="Q72" s="91">
        <f t="shared" si="31"/>
        <v>12.700100000000001</v>
      </c>
      <c r="R72" s="90"/>
      <c r="S72" s="90">
        <f t="shared" si="32"/>
        <v>12.700100000000001</v>
      </c>
      <c r="T72" s="92">
        <f t="shared" si="33"/>
        <v>762.00599999999986</v>
      </c>
      <c r="U72" s="40">
        <f t="shared" si="41"/>
        <v>48</v>
      </c>
      <c r="V72" s="40">
        <f t="shared" si="42"/>
        <v>11.4</v>
      </c>
      <c r="W72" s="40">
        <f t="shared" si="43"/>
        <v>619.79999999999995</v>
      </c>
      <c r="X72" s="40"/>
      <c r="Y72" s="40"/>
      <c r="Z72" s="40">
        <f t="shared" si="44"/>
        <v>74.766000000000005</v>
      </c>
      <c r="AA72" s="40">
        <f t="shared" si="45"/>
        <v>8.0400000000000009</v>
      </c>
      <c r="AB72" s="93">
        <f t="shared" si="46"/>
        <v>762.00599999999986</v>
      </c>
      <c r="AC72" s="94">
        <v>0</v>
      </c>
      <c r="AD72" s="76">
        <f t="shared" si="47"/>
        <v>762.00599999999986</v>
      </c>
      <c r="AE72" s="95"/>
      <c r="AF72" s="95"/>
      <c r="AG72" s="95"/>
    </row>
    <row r="73" spans="1:33" ht="28.5" customHeight="1" x14ac:dyDescent="0.2">
      <c r="A73" s="84" t="s">
        <v>262</v>
      </c>
      <c r="B73" s="160" t="s">
        <v>271</v>
      </c>
      <c r="C73" s="85" t="s">
        <v>237</v>
      </c>
      <c r="D73" s="37">
        <v>12.700099999999999</v>
      </c>
      <c r="E73" s="104"/>
      <c r="F73" s="38">
        <f t="shared" si="29"/>
        <v>12.700099999999999</v>
      </c>
      <c r="G73" s="97">
        <v>60</v>
      </c>
      <c r="H73" s="90">
        <v>0.8</v>
      </c>
      <c r="I73" s="89">
        <f t="shared" si="40"/>
        <v>0.19</v>
      </c>
      <c r="J73" s="90">
        <v>10.33</v>
      </c>
      <c r="K73" s="90">
        <f t="shared" si="2"/>
        <v>11.32</v>
      </c>
      <c r="L73" s="90"/>
      <c r="M73" s="90"/>
      <c r="N73" s="90">
        <v>1.2461</v>
      </c>
      <c r="O73" s="90">
        <v>0.13400000000000001</v>
      </c>
      <c r="P73" s="91">
        <f t="shared" si="30"/>
        <v>1.3801000000000001</v>
      </c>
      <c r="Q73" s="91">
        <f t="shared" si="31"/>
        <v>12.700100000000001</v>
      </c>
      <c r="R73" s="90"/>
      <c r="S73" s="90">
        <f t="shared" si="32"/>
        <v>12.700100000000001</v>
      </c>
      <c r="T73" s="92">
        <f t="shared" si="33"/>
        <v>762.00599999999986</v>
      </c>
      <c r="U73" s="40">
        <f t="shared" si="41"/>
        <v>48</v>
      </c>
      <c r="V73" s="40">
        <f t="shared" si="42"/>
        <v>11.4</v>
      </c>
      <c r="W73" s="40">
        <f t="shared" si="43"/>
        <v>619.79999999999995</v>
      </c>
      <c r="X73" s="40"/>
      <c r="Y73" s="40"/>
      <c r="Z73" s="40">
        <f t="shared" si="44"/>
        <v>74.766000000000005</v>
      </c>
      <c r="AA73" s="40">
        <f t="shared" si="45"/>
        <v>8.0400000000000009</v>
      </c>
      <c r="AB73" s="93">
        <f t="shared" si="46"/>
        <v>762.00599999999986</v>
      </c>
      <c r="AC73" s="94">
        <v>0</v>
      </c>
      <c r="AD73" s="76">
        <f t="shared" si="47"/>
        <v>762.00599999999986</v>
      </c>
      <c r="AE73" s="95"/>
      <c r="AF73" s="95"/>
      <c r="AG73" s="95"/>
    </row>
    <row r="74" spans="1:33" ht="38.25" x14ac:dyDescent="0.2">
      <c r="A74" s="84" t="s">
        <v>263</v>
      </c>
      <c r="B74" s="160" t="s">
        <v>272</v>
      </c>
      <c r="C74" s="85" t="s">
        <v>237</v>
      </c>
      <c r="D74" s="37">
        <v>12.7</v>
      </c>
      <c r="E74" s="104"/>
      <c r="F74" s="38">
        <f t="shared" si="29"/>
        <v>12.7</v>
      </c>
      <c r="G74" s="97">
        <v>60</v>
      </c>
      <c r="H74" s="90">
        <v>0.8</v>
      </c>
      <c r="I74" s="89">
        <f t="shared" si="40"/>
        <v>0.19</v>
      </c>
      <c r="J74" s="90">
        <v>10.33</v>
      </c>
      <c r="K74" s="90">
        <f t="shared" si="2"/>
        <v>11.32</v>
      </c>
      <c r="L74" s="90"/>
      <c r="M74" s="90"/>
      <c r="N74" s="90">
        <v>1.2461</v>
      </c>
      <c r="O74" s="90">
        <v>0.13400000000000001</v>
      </c>
      <c r="P74" s="91">
        <f t="shared" si="30"/>
        <v>1.3801000000000001</v>
      </c>
      <c r="Q74" s="91">
        <f t="shared" si="31"/>
        <v>12.700100000000001</v>
      </c>
      <c r="R74" s="90"/>
      <c r="S74" s="90">
        <f t="shared" si="32"/>
        <v>12.700100000000001</v>
      </c>
      <c r="T74" s="92">
        <f t="shared" si="33"/>
        <v>762.00599999999986</v>
      </c>
      <c r="U74" s="40">
        <f t="shared" si="41"/>
        <v>48</v>
      </c>
      <c r="V74" s="40">
        <f t="shared" si="42"/>
        <v>11.4</v>
      </c>
      <c r="W74" s="40">
        <f t="shared" si="43"/>
        <v>619.79999999999995</v>
      </c>
      <c r="X74" s="40"/>
      <c r="Y74" s="40"/>
      <c r="Z74" s="40">
        <f t="shared" si="44"/>
        <v>74.766000000000005</v>
      </c>
      <c r="AA74" s="40">
        <f t="shared" si="45"/>
        <v>8.0400000000000009</v>
      </c>
      <c r="AB74" s="93">
        <f t="shared" si="46"/>
        <v>762.00599999999986</v>
      </c>
      <c r="AC74" s="94">
        <v>0</v>
      </c>
      <c r="AD74" s="76">
        <f t="shared" si="47"/>
        <v>762.00599999999986</v>
      </c>
      <c r="AE74" s="95"/>
      <c r="AF74" s="95"/>
      <c r="AG74" s="95"/>
    </row>
    <row r="75" spans="1:33" ht="63.75" x14ac:dyDescent="0.2">
      <c r="A75" s="105" t="s">
        <v>78</v>
      </c>
      <c r="B75" s="162" t="s">
        <v>79</v>
      </c>
      <c r="C75" s="78"/>
      <c r="D75" s="80"/>
      <c r="E75" s="106"/>
      <c r="F75" s="107"/>
      <c r="G75" s="108"/>
      <c r="H75" s="109"/>
      <c r="I75" s="82"/>
      <c r="J75" s="82"/>
      <c r="K75" s="82"/>
      <c r="L75" s="82"/>
      <c r="M75" s="82"/>
      <c r="N75" s="82"/>
      <c r="O75" s="82"/>
      <c r="P75" s="82"/>
      <c r="Q75" s="82"/>
      <c r="R75" s="82"/>
      <c r="S75" s="82"/>
      <c r="T75" s="83"/>
      <c r="U75" s="82"/>
      <c r="V75" s="82"/>
      <c r="W75" s="82"/>
      <c r="X75" s="82"/>
      <c r="Y75" s="82"/>
      <c r="Z75" s="82"/>
      <c r="AA75" s="82"/>
      <c r="AB75" s="110"/>
      <c r="AC75" s="82"/>
      <c r="AD75" s="82"/>
      <c r="AE75" s="95"/>
      <c r="AF75" s="95"/>
      <c r="AG75" s="95"/>
    </row>
    <row r="76" spans="1:33" ht="38.25" x14ac:dyDescent="0.2">
      <c r="A76" s="33" t="s">
        <v>80</v>
      </c>
      <c r="B76" s="161" t="s">
        <v>135</v>
      </c>
      <c r="C76" s="85" t="s">
        <v>237</v>
      </c>
      <c r="D76" s="37">
        <v>8.0200999999999993</v>
      </c>
      <c r="E76" s="86">
        <v>0</v>
      </c>
      <c r="F76" s="38">
        <f>D76+E76</f>
        <v>8.0200999999999993</v>
      </c>
      <c r="G76" s="97">
        <v>20</v>
      </c>
      <c r="H76" s="88">
        <v>3.8</v>
      </c>
      <c r="I76" s="89">
        <f t="shared" si="40"/>
        <v>0.9</v>
      </c>
      <c r="J76" s="90">
        <v>1.94</v>
      </c>
      <c r="K76" s="90">
        <f t="shared" si="2"/>
        <v>6.6400000000000006</v>
      </c>
      <c r="L76" s="90"/>
      <c r="M76" s="90"/>
      <c r="N76" s="90">
        <v>1.2461</v>
      </c>
      <c r="O76" s="90">
        <v>0.13400000000000001</v>
      </c>
      <c r="P76" s="91">
        <f>SUM(L76:O76)</f>
        <v>1.3801000000000001</v>
      </c>
      <c r="Q76" s="91">
        <f>SUM(K76+P76)</f>
        <v>8.0201000000000011</v>
      </c>
      <c r="R76" s="90"/>
      <c r="S76" s="90">
        <f t="shared" ref="S76:S88" si="48">SUM(K76:O76)</f>
        <v>8.0201000000000011</v>
      </c>
      <c r="T76" s="92">
        <f t="shared" ref="T76:T88" si="49">SUM(U76:AA76)</f>
        <v>160.40200000000002</v>
      </c>
      <c r="U76" s="40">
        <f t="shared" ref="U76:U88" si="50">H76*G76</f>
        <v>76</v>
      </c>
      <c r="V76" s="40">
        <f t="shared" ref="V76:V88" si="51">I76*G76</f>
        <v>18</v>
      </c>
      <c r="W76" s="40">
        <f t="shared" ref="W76:W88" si="52">J76*G76</f>
        <v>38.799999999999997</v>
      </c>
      <c r="X76" s="40"/>
      <c r="Y76" s="40"/>
      <c r="Z76" s="40">
        <f t="shared" ref="Z76:Z88" si="53">N76*G76</f>
        <v>24.922000000000001</v>
      </c>
      <c r="AA76" s="40">
        <f t="shared" si="39"/>
        <v>2.68</v>
      </c>
      <c r="AB76" s="93">
        <f t="shared" ref="AB76:AB88" si="54">SUM(U76:AA76)</f>
        <v>160.40200000000002</v>
      </c>
      <c r="AC76" s="94">
        <v>0</v>
      </c>
      <c r="AD76" s="76">
        <f t="shared" ref="AD76:AD88" si="55">SUM(AB76:AC76)</f>
        <v>160.40200000000002</v>
      </c>
      <c r="AE76" s="95"/>
      <c r="AF76" s="95"/>
      <c r="AG76" s="95"/>
    </row>
    <row r="77" spans="1:33" ht="51" x14ac:dyDescent="0.2">
      <c r="A77" s="100" t="s">
        <v>81</v>
      </c>
      <c r="B77" s="161" t="s">
        <v>136</v>
      </c>
      <c r="C77" s="85" t="s">
        <v>237</v>
      </c>
      <c r="D77" s="37">
        <v>14.5801</v>
      </c>
      <c r="E77" s="86">
        <v>0</v>
      </c>
      <c r="F77" s="38">
        <f t="shared" si="29"/>
        <v>14.5801</v>
      </c>
      <c r="G77" s="97">
        <v>200</v>
      </c>
      <c r="H77" s="88">
        <v>6.6</v>
      </c>
      <c r="I77" s="89">
        <f t="shared" si="40"/>
        <v>1.56</v>
      </c>
      <c r="J77" s="90">
        <v>5.04</v>
      </c>
      <c r="K77" s="90">
        <f t="shared" si="2"/>
        <v>13.2</v>
      </c>
      <c r="L77" s="90"/>
      <c r="M77" s="90"/>
      <c r="N77" s="90">
        <v>1.2461</v>
      </c>
      <c r="O77" s="90">
        <v>0.13400000000000001</v>
      </c>
      <c r="P77" s="91">
        <f>SUM(L77:O77)</f>
        <v>1.3801000000000001</v>
      </c>
      <c r="Q77" s="91">
        <f>SUM(K77+P77)</f>
        <v>14.5801</v>
      </c>
      <c r="R77" s="90"/>
      <c r="S77" s="90">
        <f t="shared" si="48"/>
        <v>14.5801</v>
      </c>
      <c r="T77" s="92">
        <f>SUM(U77:AA77)</f>
        <v>2916.02</v>
      </c>
      <c r="U77" s="40">
        <f>H77*G77</f>
        <v>1320</v>
      </c>
      <c r="V77" s="40">
        <f>I77*G77</f>
        <v>312</v>
      </c>
      <c r="W77" s="40">
        <f t="shared" si="52"/>
        <v>1008</v>
      </c>
      <c r="X77" s="40"/>
      <c r="Y77" s="40"/>
      <c r="Z77" s="40">
        <f t="shared" si="53"/>
        <v>249.22</v>
      </c>
      <c r="AA77" s="40">
        <f t="shared" si="39"/>
        <v>26.8</v>
      </c>
      <c r="AB77" s="93">
        <f t="shared" si="54"/>
        <v>2916.02</v>
      </c>
      <c r="AC77" s="94">
        <v>0</v>
      </c>
      <c r="AD77" s="76">
        <f>SUM(AB77:AC77)</f>
        <v>2916.02</v>
      </c>
      <c r="AE77" s="95"/>
      <c r="AF77" s="95"/>
      <c r="AG77" s="95"/>
    </row>
    <row r="78" spans="1:33" ht="28.5" customHeight="1" x14ac:dyDescent="0.2">
      <c r="A78" s="84" t="s">
        <v>82</v>
      </c>
      <c r="B78" s="161" t="s">
        <v>137</v>
      </c>
      <c r="C78" s="85" t="s">
        <v>237</v>
      </c>
      <c r="D78" s="37">
        <v>10.200100000000001</v>
      </c>
      <c r="E78" s="86">
        <v>0</v>
      </c>
      <c r="F78" s="38">
        <f t="shared" si="29"/>
        <v>10.200100000000001</v>
      </c>
      <c r="G78" s="97">
        <v>60</v>
      </c>
      <c r="H78" s="88">
        <v>6.6</v>
      </c>
      <c r="I78" s="89">
        <f t="shared" si="40"/>
        <v>1.56</v>
      </c>
      <c r="J78" s="90">
        <v>0.66</v>
      </c>
      <c r="K78" s="90">
        <f t="shared" si="2"/>
        <v>8.82</v>
      </c>
      <c r="L78" s="90"/>
      <c r="M78" s="90"/>
      <c r="N78" s="90">
        <v>1.2461</v>
      </c>
      <c r="O78" s="90">
        <v>0.13400000000000001</v>
      </c>
      <c r="P78" s="91">
        <f t="shared" ref="P78:P88" si="56">SUM(L78:O78)</f>
        <v>1.3801000000000001</v>
      </c>
      <c r="Q78" s="91">
        <f t="shared" ref="Q78:Q88" si="57">SUM(K78+P78)</f>
        <v>10.200100000000001</v>
      </c>
      <c r="R78" s="90"/>
      <c r="S78" s="90">
        <f t="shared" si="48"/>
        <v>10.200100000000001</v>
      </c>
      <c r="T78" s="92">
        <f t="shared" si="49"/>
        <v>612.00599999999997</v>
      </c>
      <c r="U78" s="40">
        <f t="shared" si="50"/>
        <v>396</v>
      </c>
      <c r="V78" s="40">
        <f t="shared" si="51"/>
        <v>93.600000000000009</v>
      </c>
      <c r="W78" s="40">
        <f t="shared" si="52"/>
        <v>39.6</v>
      </c>
      <c r="X78" s="40"/>
      <c r="Y78" s="40"/>
      <c r="Z78" s="40">
        <f t="shared" si="53"/>
        <v>74.766000000000005</v>
      </c>
      <c r="AA78" s="40">
        <f t="shared" si="39"/>
        <v>8.0400000000000009</v>
      </c>
      <c r="AB78" s="93">
        <f t="shared" si="54"/>
        <v>612.00599999999997</v>
      </c>
      <c r="AC78" s="94">
        <v>0</v>
      </c>
      <c r="AD78" s="76">
        <f t="shared" si="55"/>
        <v>612.00599999999997</v>
      </c>
      <c r="AE78" s="95"/>
      <c r="AF78" s="95"/>
      <c r="AG78" s="95"/>
    </row>
    <row r="79" spans="1:33" ht="38.25" x14ac:dyDescent="0.2">
      <c r="A79" s="84" t="s">
        <v>83</v>
      </c>
      <c r="B79" s="160" t="s">
        <v>138</v>
      </c>
      <c r="C79" s="85" t="s">
        <v>237</v>
      </c>
      <c r="D79" s="37">
        <v>15.040100000000001</v>
      </c>
      <c r="E79" s="86">
        <v>0</v>
      </c>
      <c r="F79" s="38">
        <f t="shared" si="29"/>
        <v>15.040100000000001</v>
      </c>
      <c r="G79" s="97">
        <v>60</v>
      </c>
      <c r="H79" s="88">
        <v>6.6</v>
      </c>
      <c r="I79" s="89">
        <f t="shared" si="40"/>
        <v>1.56</v>
      </c>
      <c r="J79" s="90">
        <v>5.5</v>
      </c>
      <c r="K79" s="90">
        <f t="shared" si="2"/>
        <v>13.66</v>
      </c>
      <c r="L79" s="90"/>
      <c r="M79" s="90"/>
      <c r="N79" s="90">
        <v>1.2461</v>
      </c>
      <c r="O79" s="90">
        <v>0.13400000000000001</v>
      </c>
      <c r="P79" s="91">
        <f t="shared" si="56"/>
        <v>1.3801000000000001</v>
      </c>
      <c r="Q79" s="91">
        <f t="shared" si="57"/>
        <v>15.040100000000001</v>
      </c>
      <c r="R79" s="90"/>
      <c r="S79" s="90">
        <f t="shared" si="48"/>
        <v>15.040100000000001</v>
      </c>
      <c r="T79" s="92">
        <f t="shared" si="49"/>
        <v>902.40599999999995</v>
      </c>
      <c r="U79" s="40">
        <f t="shared" si="50"/>
        <v>396</v>
      </c>
      <c r="V79" s="40">
        <f t="shared" si="51"/>
        <v>93.600000000000009</v>
      </c>
      <c r="W79" s="40">
        <f t="shared" si="52"/>
        <v>330</v>
      </c>
      <c r="X79" s="40"/>
      <c r="Y79" s="40"/>
      <c r="Z79" s="40">
        <f t="shared" si="53"/>
        <v>74.766000000000005</v>
      </c>
      <c r="AA79" s="40">
        <f t="shared" si="39"/>
        <v>8.0400000000000009</v>
      </c>
      <c r="AB79" s="93">
        <f t="shared" si="54"/>
        <v>902.40599999999995</v>
      </c>
      <c r="AC79" s="94">
        <v>0</v>
      </c>
      <c r="AD79" s="76">
        <f t="shared" si="55"/>
        <v>902.40599999999995</v>
      </c>
      <c r="AE79" s="95"/>
      <c r="AF79" s="95"/>
      <c r="AG79" s="95"/>
    </row>
    <row r="80" spans="1:33" ht="51" x14ac:dyDescent="0.2">
      <c r="A80" s="84" t="s">
        <v>84</v>
      </c>
      <c r="B80" s="160" t="s">
        <v>139</v>
      </c>
      <c r="C80" s="85" t="s">
        <v>237</v>
      </c>
      <c r="D80" s="37">
        <v>14.190099999999999</v>
      </c>
      <c r="E80" s="86">
        <v>0</v>
      </c>
      <c r="F80" s="38">
        <f t="shared" si="29"/>
        <v>14.190099999999999</v>
      </c>
      <c r="G80" s="97">
        <v>20</v>
      </c>
      <c r="H80" s="88">
        <v>6.6</v>
      </c>
      <c r="I80" s="89">
        <f t="shared" si="40"/>
        <v>1.56</v>
      </c>
      <c r="J80" s="90">
        <v>4.6500000000000004</v>
      </c>
      <c r="K80" s="90">
        <f t="shared" si="2"/>
        <v>12.81</v>
      </c>
      <c r="L80" s="90"/>
      <c r="M80" s="90"/>
      <c r="N80" s="90">
        <v>1.2461</v>
      </c>
      <c r="O80" s="90">
        <v>0.13400000000000001</v>
      </c>
      <c r="P80" s="91">
        <f t="shared" si="56"/>
        <v>1.3801000000000001</v>
      </c>
      <c r="Q80" s="91">
        <f t="shared" si="57"/>
        <v>14.190100000000001</v>
      </c>
      <c r="R80" s="90"/>
      <c r="S80" s="90">
        <f t="shared" si="48"/>
        <v>14.190100000000001</v>
      </c>
      <c r="T80" s="92">
        <f t="shared" si="49"/>
        <v>283.80200000000002</v>
      </c>
      <c r="U80" s="40">
        <f t="shared" si="50"/>
        <v>132</v>
      </c>
      <c r="V80" s="40">
        <f t="shared" si="51"/>
        <v>31.200000000000003</v>
      </c>
      <c r="W80" s="40">
        <f t="shared" si="52"/>
        <v>93</v>
      </c>
      <c r="X80" s="40"/>
      <c r="Y80" s="40"/>
      <c r="Z80" s="40">
        <f t="shared" si="53"/>
        <v>24.922000000000001</v>
      </c>
      <c r="AA80" s="40">
        <f t="shared" si="39"/>
        <v>2.68</v>
      </c>
      <c r="AB80" s="93">
        <f t="shared" si="54"/>
        <v>283.80200000000002</v>
      </c>
      <c r="AC80" s="94">
        <v>0</v>
      </c>
      <c r="AD80" s="76">
        <f t="shared" si="55"/>
        <v>283.80200000000002</v>
      </c>
      <c r="AE80" s="95"/>
      <c r="AF80" s="95"/>
      <c r="AG80" s="95"/>
    </row>
    <row r="81" spans="1:33" ht="51" x14ac:dyDescent="0.2">
      <c r="A81" s="84" t="s">
        <v>85</v>
      </c>
      <c r="B81" s="160" t="s">
        <v>140</v>
      </c>
      <c r="C81" s="85" t="s">
        <v>237</v>
      </c>
      <c r="D81" s="37">
        <v>27.010100000000001</v>
      </c>
      <c r="E81" s="86">
        <v>0</v>
      </c>
      <c r="F81" s="38">
        <f t="shared" si="29"/>
        <v>27.010100000000001</v>
      </c>
      <c r="G81" s="97">
        <v>100</v>
      </c>
      <c r="H81" s="88">
        <v>6.6</v>
      </c>
      <c r="I81" s="89">
        <f t="shared" si="40"/>
        <v>1.56</v>
      </c>
      <c r="J81" s="90">
        <v>17.47</v>
      </c>
      <c r="K81" s="90">
        <f t="shared" si="2"/>
        <v>25.63</v>
      </c>
      <c r="L81" s="90"/>
      <c r="M81" s="90"/>
      <c r="N81" s="90">
        <v>1.2461</v>
      </c>
      <c r="O81" s="90">
        <v>0.13400000000000001</v>
      </c>
      <c r="P81" s="91">
        <f t="shared" si="56"/>
        <v>1.3801000000000001</v>
      </c>
      <c r="Q81" s="91">
        <f t="shared" si="57"/>
        <v>27.010099999999998</v>
      </c>
      <c r="R81" s="90"/>
      <c r="S81" s="90">
        <f t="shared" si="48"/>
        <v>27.010099999999998</v>
      </c>
      <c r="T81" s="92">
        <f t="shared" si="49"/>
        <v>2701.01</v>
      </c>
      <c r="U81" s="40">
        <f t="shared" si="50"/>
        <v>660</v>
      </c>
      <c r="V81" s="40">
        <f t="shared" si="51"/>
        <v>156</v>
      </c>
      <c r="W81" s="40">
        <f t="shared" si="52"/>
        <v>1747</v>
      </c>
      <c r="X81" s="40"/>
      <c r="Y81" s="40"/>
      <c r="Z81" s="40">
        <f t="shared" si="53"/>
        <v>124.61</v>
      </c>
      <c r="AA81" s="40">
        <f t="shared" si="39"/>
        <v>13.4</v>
      </c>
      <c r="AB81" s="93">
        <f t="shared" si="54"/>
        <v>2701.01</v>
      </c>
      <c r="AC81" s="94">
        <v>0</v>
      </c>
      <c r="AD81" s="76">
        <f t="shared" si="55"/>
        <v>2701.01</v>
      </c>
      <c r="AE81" s="95"/>
      <c r="AF81" s="95"/>
      <c r="AG81" s="95"/>
    </row>
    <row r="82" spans="1:33" ht="58.5" customHeight="1" x14ac:dyDescent="0.2">
      <c r="A82" s="84" t="s">
        <v>86</v>
      </c>
      <c r="B82" s="160" t="s">
        <v>294</v>
      </c>
      <c r="C82" s="85" t="s">
        <v>237</v>
      </c>
      <c r="D82" s="37">
        <v>24.470100000000002</v>
      </c>
      <c r="E82" s="86">
        <v>0</v>
      </c>
      <c r="F82" s="38">
        <f t="shared" si="29"/>
        <v>24.470100000000002</v>
      </c>
      <c r="G82" s="97">
        <v>100</v>
      </c>
      <c r="H82" s="88">
        <v>6.6</v>
      </c>
      <c r="I82" s="89">
        <f t="shared" si="40"/>
        <v>1.56</v>
      </c>
      <c r="J82" s="90">
        <v>14.93</v>
      </c>
      <c r="K82" s="90">
        <f t="shared" si="2"/>
        <v>23.09</v>
      </c>
      <c r="L82" s="90"/>
      <c r="M82" s="90"/>
      <c r="N82" s="90">
        <v>1.2461</v>
      </c>
      <c r="O82" s="90">
        <v>0.13400000000000001</v>
      </c>
      <c r="P82" s="91">
        <f t="shared" si="56"/>
        <v>1.3801000000000001</v>
      </c>
      <c r="Q82" s="91">
        <f t="shared" si="57"/>
        <v>24.470099999999999</v>
      </c>
      <c r="R82" s="90"/>
      <c r="S82" s="90">
        <f t="shared" si="48"/>
        <v>24.470099999999999</v>
      </c>
      <c r="T82" s="92">
        <f t="shared" si="49"/>
        <v>2447.0100000000002</v>
      </c>
      <c r="U82" s="40">
        <f t="shared" si="50"/>
        <v>660</v>
      </c>
      <c r="V82" s="40">
        <f t="shared" si="51"/>
        <v>156</v>
      </c>
      <c r="W82" s="40">
        <f t="shared" si="52"/>
        <v>1493</v>
      </c>
      <c r="X82" s="40"/>
      <c r="Y82" s="40"/>
      <c r="Z82" s="40">
        <f t="shared" si="53"/>
        <v>124.61</v>
      </c>
      <c r="AA82" s="40">
        <f t="shared" si="39"/>
        <v>13.4</v>
      </c>
      <c r="AB82" s="93">
        <f t="shared" si="54"/>
        <v>2447.0100000000002</v>
      </c>
      <c r="AC82" s="94">
        <v>0</v>
      </c>
      <c r="AD82" s="76">
        <f t="shared" si="55"/>
        <v>2447.0100000000002</v>
      </c>
      <c r="AE82" s="95"/>
      <c r="AF82" s="95"/>
      <c r="AG82" s="95"/>
    </row>
    <row r="83" spans="1:33" ht="64.5" customHeight="1" x14ac:dyDescent="0.2">
      <c r="A83" s="84" t="s">
        <v>87</v>
      </c>
      <c r="B83" s="160" t="s">
        <v>141</v>
      </c>
      <c r="C83" s="85" t="s">
        <v>237</v>
      </c>
      <c r="D83" s="37">
        <v>19.350099999999998</v>
      </c>
      <c r="E83" s="86">
        <v>0</v>
      </c>
      <c r="F83" s="38">
        <f t="shared" si="29"/>
        <v>19.350099999999998</v>
      </c>
      <c r="G83" s="97">
        <v>20</v>
      </c>
      <c r="H83" s="88">
        <v>6.6</v>
      </c>
      <c r="I83" s="89">
        <f t="shared" si="40"/>
        <v>1.56</v>
      </c>
      <c r="J83" s="90">
        <v>9.81</v>
      </c>
      <c r="K83" s="90">
        <f t="shared" si="2"/>
        <v>17.97</v>
      </c>
      <c r="L83" s="90"/>
      <c r="M83" s="90"/>
      <c r="N83" s="90">
        <v>1.2461</v>
      </c>
      <c r="O83" s="90">
        <v>0.13400000000000001</v>
      </c>
      <c r="P83" s="91">
        <f t="shared" si="56"/>
        <v>1.3801000000000001</v>
      </c>
      <c r="Q83" s="91">
        <f t="shared" si="57"/>
        <v>19.350099999999998</v>
      </c>
      <c r="R83" s="90"/>
      <c r="S83" s="90">
        <f t="shared" si="48"/>
        <v>19.350099999999998</v>
      </c>
      <c r="T83" s="92">
        <f t="shared" si="49"/>
        <v>387.00200000000001</v>
      </c>
      <c r="U83" s="40">
        <f t="shared" si="50"/>
        <v>132</v>
      </c>
      <c r="V83" s="40">
        <f t="shared" si="51"/>
        <v>31.200000000000003</v>
      </c>
      <c r="W83" s="40">
        <f t="shared" si="52"/>
        <v>196.20000000000002</v>
      </c>
      <c r="X83" s="40"/>
      <c r="Y83" s="40"/>
      <c r="Z83" s="40">
        <f t="shared" si="53"/>
        <v>24.922000000000001</v>
      </c>
      <c r="AA83" s="40">
        <f t="shared" si="39"/>
        <v>2.68</v>
      </c>
      <c r="AB83" s="93">
        <f t="shared" si="54"/>
        <v>387.00200000000001</v>
      </c>
      <c r="AC83" s="94">
        <v>0</v>
      </c>
      <c r="AD83" s="76">
        <f t="shared" si="55"/>
        <v>387.00200000000001</v>
      </c>
      <c r="AE83" s="95"/>
      <c r="AF83" s="95"/>
      <c r="AG83" s="95"/>
    </row>
    <row r="84" spans="1:33" ht="65.25" customHeight="1" x14ac:dyDescent="0.2">
      <c r="A84" s="84" t="s">
        <v>88</v>
      </c>
      <c r="B84" s="160" t="s">
        <v>142</v>
      </c>
      <c r="C84" s="85" t="s">
        <v>237</v>
      </c>
      <c r="D84" s="37">
        <v>33.3401</v>
      </c>
      <c r="E84" s="86">
        <v>0</v>
      </c>
      <c r="F84" s="38">
        <f t="shared" si="29"/>
        <v>33.3401</v>
      </c>
      <c r="G84" s="97">
        <v>20</v>
      </c>
      <c r="H84" s="88">
        <v>6.6</v>
      </c>
      <c r="I84" s="89">
        <f t="shared" si="40"/>
        <v>1.56</v>
      </c>
      <c r="J84" s="90">
        <v>23.8</v>
      </c>
      <c r="K84" s="90">
        <f t="shared" si="2"/>
        <v>31.96</v>
      </c>
      <c r="L84" s="90"/>
      <c r="M84" s="90"/>
      <c r="N84" s="90">
        <v>1.2461</v>
      </c>
      <c r="O84" s="90">
        <v>0.13400000000000001</v>
      </c>
      <c r="P84" s="91">
        <f t="shared" si="56"/>
        <v>1.3801000000000001</v>
      </c>
      <c r="Q84" s="91">
        <f t="shared" si="57"/>
        <v>33.3401</v>
      </c>
      <c r="R84" s="90"/>
      <c r="S84" s="90">
        <f t="shared" si="48"/>
        <v>33.3401</v>
      </c>
      <c r="T84" s="92">
        <f t="shared" si="49"/>
        <v>666.80200000000002</v>
      </c>
      <c r="U84" s="40">
        <f t="shared" si="50"/>
        <v>132</v>
      </c>
      <c r="V84" s="40">
        <f t="shared" si="51"/>
        <v>31.200000000000003</v>
      </c>
      <c r="W84" s="40">
        <f t="shared" si="52"/>
        <v>476</v>
      </c>
      <c r="X84" s="40"/>
      <c r="Y84" s="40"/>
      <c r="Z84" s="40">
        <f t="shared" si="53"/>
        <v>24.922000000000001</v>
      </c>
      <c r="AA84" s="40">
        <f t="shared" si="39"/>
        <v>2.68</v>
      </c>
      <c r="AB84" s="93">
        <f t="shared" si="54"/>
        <v>666.80200000000002</v>
      </c>
      <c r="AC84" s="94">
        <v>0</v>
      </c>
      <c r="AD84" s="76">
        <f t="shared" si="55"/>
        <v>666.80200000000002</v>
      </c>
      <c r="AE84" s="95"/>
      <c r="AF84" s="95"/>
      <c r="AG84" s="95"/>
    </row>
    <row r="85" spans="1:33" ht="63.75" x14ac:dyDescent="0.2">
      <c r="A85" s="84" t="s">
        <v>89</v>
      </c>
      <c r="B85" s="160" t="s">
        <v>143</v>
      </c>
      <c r="C85" s="85" t="s">
        <v>237</v>
      </c>
      <c r="D85" s="37">
        <v>11.6501</v>
      </c>
      <c r="E85" s="86">
        <v>0</v>
      </c>
      <c r="F85" s="38">
        <f t="shared" si="29"/>
        <v>11.6501</v>
      </c>
      <c r="G85" s="97">
        <v>400</v>
      </c>
      <c r="H85" s="88">
        <v>6.6</v>
      </c>
      <c r="I85" s="89">
        <f t="shared" si="40"/>
        <v>1.56</v>
      </c>
      <c r="J85" s="90">
        <v>2.11</v>
      </c>
      <c r="K85" s="90">
        <f t="shared" si="2"/>
        <v>10.27</v>
      </c>
      <c r="L85" s="90"/>
      <c r="M85" s="90"/>
      <c r="N85" s="90">
        <v>1.2461</v>
      </c>
      <c r="O85" s="90">
        <v>0.13400000000000001</v>
      </c>
      <c r="P85" s="91">
        <f t="shared" si="56"/>
        <v>1.3801000000000001</v>
      </c>
      <c r="Q85" s="91">
        <f t="shared" si="57"/>
        <v>11.6501</v>
      </c>
      <c r="R85" s="90"/>
      <c r="S85" s="90">
        <f t="shared" si="48"/>
        <v>11.6501</v>
      </c>
      <c r="T85" s="92">
        <f t="shared" si="49"/>
        <v>4660.04</v>
      </c>
      <c r="U85" s="40">
        <f t="shared" si="50"/>
        <v>2640</v>
      </c>
      <c r="V85" s="40">
        <f t="shared" si="51"/>
        <v>624</v>
      </c>
      <c r="W85" s="40">
        <f t="shared" si="52"/>
        <v>844</v>
      </c>
      <c r="X85" s="40"/>
      <c r="Y85" s="40"/>
      <c r="Z85" s="40">
        <f t="shared" si="53"/>
        <v>498.44</v>
      </c>
      <c r="AA85" s="40">
        <f t="shared" si="39"/>
        <v>53.6</v>
      </c>
      <c r="AB85" s="93">
        <f t="shared" si="54"/>
        <v>4660.04</v>
      </c>
      <c r="AC85" s="94">
        <v>0</v>
      </c>
      <c r="AD85" s="76">
        <f t="shared" si="55"/>
        <v>4660.04</v>
      </c>
      <c r="AE85" s="95"/>
      <c r="AF85" s="95"/>
      <c r="AG85" s="95"/>
    </row>
    <row r="86" spans="1:33" ht="27" customHeight="1" x14ac:dyDescent="0.2">
      <c r="A86" s="84" t="s">
        <v>90</v>
      </c>
      <c r="B86" s="160" t="s">
        <v>144</v>
      </c>
      <c r="C86" s="85" t="s">
        <v>237</v>
      </c>
      <c r="D86" s="37">
        <v>8.7801000000000009</v>
      </c>
      <c r="E86" s="86">
        <v>0</v>
      </c>
      <c r="F86" s="38">
        <f t="shared" si="29"/>
        <v>8.7801000000000009</v>
      </c>
      <c r="G86" s="97">
        <v>20</v>
      </c>
      <c r="H86" s="88">
        <v>4.5999999999999996</v>
      </c>
      <c r="I86" s="89">
        <f t="shared" si="40"/>
        <v>1.0900000000000001</v>
      </c>
      <c r="J86" s="90">
        <v>1.71</v>
      </c>
      <c r="K86" s="90">
        <f t="shared" si="2"/>
        <v>7.3999999999999995</v>
      </c>
      <c r="L86" s="90"/>
      <c r="M86" s="90"/>
      <c r="N86" s="90">
        <v>1.2461</v>
      </c>
      <c r="O86" s="90">
        <v>0.13400000000000001</v>
      </c>
      <c r="P86" s="91">
        <f t="shared" si="56"/>
        <v>1.3801000000000001</v>
      </c>
      <c r="Q86" s="91">
        <f t="shared" si="57"/>
        <v>8.7800999999999991</v>
      </c>
      <c r="R86" s="90"/>
      <c r="S86" s="90">
        <f t="shared" si="48"/>
        <v>8.7800999999999991</v>
      </c>
      <c r="T86" s="92">
        <f t="shared" si="49"/>
        <v>175.602</v>
      </c>
      <c r="U86" s="40">
        <f t="shared" si="50"/>
        <v>92</v>
      </c>
      <c r="V86" s="40">
        <f t="shared" si="51"/>
        <v>21.8</v>
      </c>
      <c r="W86" s="40">
        <f t="shared" si="52"/>
        <v>34.200000000000003</v>
      </c>
      <c r="X86" s="40"/>
      <c r="Y86" s="40"/>
      <c r="Z86" s="40">
        <f t="shared" si="53"/>
        <v>24.922000000000001</v>
      </c>
      <c r="AA86" s="40">
        <f t="shared" si="39"/>
        <v>2.68</v>
      </c>
      <c r="AB86" s="93">
        <f t="shared" si="54"/>
        <v>175.602</v>
      </c>
      <c r="AC86" s="94">
        <v>0</v>
      </c>
      <c r="AD86" s="76">
        <f t="shared" si="55"/>
        <v>175.602</v>
      </c>
      <c r="AE86" s="95"/>
      <c r="AF86" s="95"/>
      <c r="AG86" s="95"/>
    </row>
    <row r="87" spans="1:33" ht="38.25" x14ac:dyDescent="0.2">
      <c r="A87" s="84" t="s">
        <v>91</v>
      </c>
      <c r="B87" s="160" t="s">
        <v>213</v>
      </c>
      <c r="C87" s="85" t="s">
        <v>237</v>
      </c>
      <c r="D87" s="37">
        <v>13.8001</v>
      </c>
      <c r="E87" s="86">
        <v>0</v>
      </c>
      <c r="F87" s="38">
        <f t="shared" si="29"/>
        <v>13.8001</v>
      </c>
      <c r="G87" s="97">
        <v>20</v>
      </c>
      <c r="H87" s="88">
        <v>5.6</v>
      </c>
      <c r="I87" s="89">
        <f t="shared" si="40"/>
        <v>1.32</v>
      </c>
      <c r="J87" s="90">
        <v>5.5</v>
      </c>
      <c r="K87" s="90">
        <f t="shared" si="2"/>
        <v>12.42</v>
      </c>
      <c r="L87" s="90"/>
      <c r="M87" s="90"/>
      <c r="N87" s="90">
        <v>1.2461</v>
      </c>
      <c r="O87" s="90">
        <v>0.13400000000000001</v>
      </c>
      <c r="P87" s="91">
        <f t="shared" si="56"/>
        <v>1.3801000000000001</v>
      </c>
      <c r="Q87" s="91">
        <f t="shared" si="57"/>
        <v>13.8001</v>
      </c>
      <c r="R87" s="90"/>
      <c r="S87" s="90">
        <f t="shared" si="48"/>
        <v>13.8001</v>
      </c>
      <c r="T87" s="92">
        <f t="shared" si="49"/>
        <v>276.00200000000001</v>
      </c>
      <c r="U87" s="40">
        <f t="shared" si="50"/>
        <v>112</v>
      </c>
      <c r="V87" s="40">
        <f t="shared" si="51"/>
        <v>26.400000000000002</v>
      </c>
      <c r="W87" s="40">
        <f t="shared" si="52"/>
        <v>110</v>
      </c>
      <c r="X87" s="40"/>
      <c r="Y87" s="40"/>
      <c r="Z87" s="40">
        <f t="shared" si="53"/>
        <v>24.922000000000001</v>
      </c>
      <c r="AA87" s="40">
        <f t="shared" si="39"/>
        <v>2.68</v>
      </c>
      <c r="AB87" s="93">
        <f t="shared" si="54"/>
        <v>276.00200000000001</v>
      </c>
      <c r="AC87" s="94">
        <v>0</v>
      </c>
      <c r="AD87" s="76">
        <f t="shared" si="55"/>
        <v>276.00200000000001</v>
      </c>
      <c r="AE87" s="95"/>
      <c r="AF87" s="95"/>
      <c r="AG87" s="95"/>
    </row>
    <row r="88" spans="1:33" ht="25.5" x14ac:dyDescent="0.2">
      <c r="A88" s="84" t="s">
        <v>92</v>
      </c>
      <c r="B88" s="160" t="s">
        <v>145</v>
      </c>
      <c r="C88" s="85" t="s">
        <v>237</v>
      </c>
      <c r="D88" s="37">
        <v>12.9101</v>
      </c>
      <c r="E88" s="86">
        <v>0</v>
      </c>
      <c r="F88" s="38">
        <f t="shared" si="29"/>
        <v>12.9101</v>
      </c>
      <c r="G88" s="97">
        <v>20</v>
      </c>
      <c r="H88" s="88">
        <v>4.5999999999999996</v>
      </c>
      <c r="I88" s="89">
        <f t="shared" si="40"/>
        <v>1.0900000000000001</v>
      </c>
      <c r="J88" s="90">
        <v>5.84</v>
      </c>
      <c r="K88" s="90">
        <f t="shared" si="2"/>
        <v>11.53</v>
      </c>
      <c r="L88" s="90"/>
      <c r="M88" s="90"/>
      <c r="N88" s="90">
        <v>1.2461</v>
      </c>
      <c r="O88" s="90">
        <v>0.13400000000000001</v>
      </c>
      <c r="P88" s="90">
        <f t="shared" si="56"/>
        <v>1.3801000000000001</v>
      </c>
      <c r="Q88" s="90">
        <f t="shared" si="57"/>
        <v>12.9101</v>
      </c>
      <c r="R88" s="90"/>
      <c r="S88" s="90">
        <f t="shared" si="48"/>
        <v>12.9101</v>
      </c>
      <c r="T88" s="92">
        <f t="shared" si="49"/>
        <v>258.202</v>
      </c>
      <c r="U88" s="40">
        <f t="shared" si="50"/>
        <v>92</v>
      </c>
      <c r="V88" s="40">
        <f t="shared" si="51"/>
        <v>21.8</v>
      </c>
      <c r="W88" s="40">
        <f t="shared" si="52"/>
        <v>116.8</v>
      </c>
      <c r="X88" s="40"/>
      <c r="Y88" s="40"/>
      <c r="Z88" s="40">
        <f t="shared" si="53"/>
        <v>24.922000000000001</v>
      </c>
      <c r="AA88" s="40">
        <f t="shared" si="39"/>
        <v>2.68</v>
      </c>
      <c r="AB88" s="93">
        <f t="shared" si="54"/>
        <v>258.202</v>
      </c>
      <c r="AC88" s="94">
        <v>0</v>
      </c>
      <c r="AD88" s="76">
        <f t="shared" si="55"/>
        <v>258.202</v>
      </c>
      <c r="AE88" s="95"/>
      <c r="AF88" s="95"/>
      <c r="AG88" s="95"/>
    </row>
    <row r="89" spans="1:33" ht="105.75" customHeight="1" x14ac:dyDescent="0.2">
      <c r="A89" s="105" t="s">
        <v>93</v>
      </c>
      <c r="B89" s="162" t="s">
        <v>215</v>
      </c>
      <c r="C89" s="78"/>
      <c r="D89" s="111"/>
      <c r="E89" s="106"/>
      <c r="F89" s="112"/>
      <c r="G89" s="108"/>
      <c r="H89" s="113"/>
      <c r="I89" s="113"/>
      <c r="J89" s="113"/>
      <c r="K89" s="113"/>
      <c r="L89" s="113"/>
      <c r="M89" s="113"/>
      <c r="N89" s="113"/>
      <c r="O89" s="113"/>
      <c r="P89" s="113"/>
      <c r="Q89" s="113"/>
      <c r="R89" s="113"/>
      <c r="S89" s="113"/>
      <c r="T89" s="113"/>
      <c r="U89" s="113"/>
      <c r="V89" s="113"/>
      <c r="W89" s="113"/>
      <c r="X89" s="113"/>
      <c r="Y89" s="113"/>
      <c r="Z89" s="113"/>
      <c r="AA89" s="113"/>
      <c r="AB89" s="113"/>
      <c r="AC89" s="114"/>
      <c r="AD89" s="114"/>
      <c r="AE89" s="95"/>
      <c r="AF89" s="95"/>
      <c r="AG89" s="95"/>
    </row>
    <row r="90" spans="1:33" ht="38.25" x14ac:dyDescent="0.2">
      <c r="A90" s="33" t="s">
        <v>94</v>
      </c>
      <c r="B90" s="161" t="s">
        <v>146</v>
      </c>
      <c r="C90" s="85" t="s">
        <v>237</v>
      </c>
      <c r="D90" s="37">
        <v>17.220099999999999</v>
      </c>
      <c r="E90" s="86">
        <v>0</v>
      </c>
      <c r="F90" s="38">
        <f t="shared" si="29"/>
        <v>17.220099999999999</v>
      </c>
      <c r="G90" s="97">
        <v>30</v>
      </c>
      <c r="H90" s="88">
        <v>11.25</v>
      </c>
      <c r="I90" s="89">
        <f t="shared" si="40"/>
        <v>2.65</v>
      </c>
      <c r="J90" s="90">
        <v>1.94</v>
      </c>
      <c r="K90" s="90">
        <f t="shared" ref="K90:K130" si="58">SUM(H90:J90)</f>
        <v>15.84</v>
      </c>
      <c r="L90" s="90"/>
      <c r="M90" s="90"/>
      <c r="N90" s="90">
        <v>1.2461</v>
      </c>
      <c r="O90" s="90">
        <v>0.13400000000000001</v>
      </c>
      <c r="P90" s="90">
        <f t="shared" ref="P90" si="59">SUM(L90:O90)</f>
        <v>1.3801000000000001</v>
      </c>
      <c r="Q90" s="90">
        <f t="shared" ref="Q90" si="60">SUM(K90+P90)</f>
        <v>17.220099999999999</v>
      </c>
      <c r="R90" s="90"/>
      <c r="S90" s="90">
        <f t="shared" ref="S90:S102" si="61">SUM(K90:O90)</f>
        <v>17.220099999999999</v>
      </c>
      <c r="T90" s="92">
        <f t="shared" ref="T90:T102" si="62">SUM(U90:AA90)</f>
        <v>516.60299999999995</v>
      </c>
      <c r="U90" s="40">
        <f t="shared" ref="U90:U102" si="63">H90*G90</f>
        <v>337.5</v>
      </c>
      <c r="V90" s="40">
        <f t="shared" ref="V90:V102" si="64">I90*G90</f>
        <v>79.5</v>
      </c>
      <c r="W90" s="40">
        <f t="shared" ref="W90:W102" si="65">J90*G90</f>
        <v>58.199999999999996</v>
      </c>
      <c r="X90" s="40"/>
      <c r="Y90" s="40"/>
      <c r="Z90" s="40">
        <f t="shared" ref="Z90:Z102" si="66">N90*G90</f>
        <v>37.383000000000003</v>
      </c>
      <c r="AA90" s="40">
        <f t="shared" si="39"/>
        <v>4.0200000000000005</v>
      </c>
      <c r="AB90" s="93">
        <f t="shared" ref="AB90:AB102" si="67">SUM(U90:AA90)</f>
        <v>516.60299999999995</v>
      </c>
      <c r="AC90" s="94">
        <v>0</v>
      </c>
      <c r="AD90" s="76">
        <f t="shared" ref="AD90:AD102" si="68">SUM(AB90:AC90)</f>
        <v>516.60299999999995</v>
      </c>
      <c r="AE90" s="95"/>
      <c r="AF90" s="95"/>
      <c r="AG90" s="95"/>
    </row>
    <row r="91" spans="1:33" ht="51" x14ac:dyDescent="0.2">
      <c r="A91" s="100" t="s">
        <v>95</v>
      </c>
      <c r="B91" s="161" t="s">
        <v>156</v>
      </c>
      <c r="C91" s="85" t="s">
        <v>237</v>
      </c>
      <c r="D91" s="37">
        <v>27.240100000000002</v>
      </c>
      <c r="E91" s="86">
        <v>0</v>
      </c>
      <c r="F91" s="38">
        <f t="shared" si="29"/>
        <v>27.240100000000002</v>
      </c>
      <c r="G91" s="97">
        <v>80</v>
      </c>
      <c r="H91" s="88">
        <v>16.850000000000001</v>
      </c>
      <c r="I91" s="89">
        <f t="shared" si="40"/>
        <v>3.97</v>
      </c>
      <c r="J91" s="90">
        <v>5.04</v>
      </c>
      <c r="K91" s="90">
        <f t="shared" si="58"/>
        <v>25.86</v>
      </c>
      <c r="L91" s="90"/>
      <c r="M91" s="90"/>
      <c r="N91" s="90">
        <v>1.2461</v>
      </c>
      <c r="O91" s="90">
        <v>0.13400000000000001</v>
      </c>
      <c r="P91" s="90">
        <f t="shared" ref="P91:P102" si="69">SUM(L91:O91)</f>
        <v>1.3801000000000001</v>
      </c>
      <c r="Q91" s="90">
        <f t="shared" ref="Q91:Q102" si="70">SUM(K91+P91)</f>
        <v>27.240099999999998</v>
      </c>
      <c r="R91" s="90"/>
      <c r="S91" s="90">
        <f t="shared" si="61"/>
        <v>27.240099999999998</v>
      </c>
      <c r="T91" s="92">
        <f t="shared" si="62"/>
        <v>2179.2079999999996</v>
      </c>
      <c r="U91" s="40">
        <f t="shared" si="63"/>
        <v>1348</v>
      </c>
      <c r="V91" s="40">
        <f t="shared" si="64"/>
        <v>317.60000000000002</v>
      </c>
      <c r="W91" s="40">
        <f t="shared" si="65"/>
        <v>403.2</v>
      </c>
      <c r="X91" s="40"/>
      <c r="Y91" s="40"/>
      <c r="Z91" s="40">
        <f t="shared" si="66"/>
        <v>99.688000000000002</v>
      </c>
      <c r="AA91" s="40">
        <f t="shared" si="39"/>
        <v>10.72</v>
      </c>
      <c r="AB91" s="93">
        <f t="shared" si="67"/>
        <v>2179.2079999999996</v>
      </c>
      <c r="AC91" s="94">
        <v>0</v>
      </c>
      <c r="AD91" s="76">
        <f t="shared" si="68"/>
        <v>2179.2079999999996</v>
      </c>
      <c r="AE91" s="95"/>
      <c r="AF91" s="95"/>
      <c r="AG91" s="95"/>
    </row>
    <row r="92" spans="1:33" ht="24.75" customHeight="1" x14ac:dyDescent="0.2">
      <c r="A92" s="84" t="s">
        <v>96</v>
      </c>
      <c r="B92" s="161" t="s">
        <v>147</v>
      </c>
      <c r="C92" s="85" t="s">
        <v>237</v>
      </c>
      <c r="D92" s="37">
        <v>22.860099999999999</v>
      </c>
      <c r="E92" s="86">
        <v>0</v>
      </c>
      <c r="F92" s="38">
        <f t="shared" si="29"/>
        <v>22.860099999999999</v>
      </c>
      <c r="G92" s="97">
        <v>30</v>
      </c>
      <c r="H92" s="88">
        <v>16.850000000000001</v>
      </c>
      <c r="I92" s="89">
        <f t="shared" si="40"/>
        <v>3.97</v>
      </c>
      <c r="J92" s="90">
        <v>0.66</v>
      </c>
      <c r="K92" s="90">
        <f t="shared" si="58"/>
        <v>21.48</v>
      </c>
      <c r="L92" s="90"/>
      <c r="M92" s="90"/>
      <c r="N92" s="90">
        <v>1.2461</v>
      </c>
      <c r="O92" s="90">
        <v>0.13400000000000001</v>
      </c>
      <c r="P92" s="90">
        <f t="shared" si="69"/>
        <v>1.3801000000000001</v>
      </c>
      <c r="Q92" s="90">
        <f t="shared" si="70"/>
        <v>22.860099999999999</v>
      </c>
      <c r="R92" s="90"/>
      <c r="S92" s="90">
        <f t="shared" si="61"/>
        <v>22.860099999999999</v>
      </c>
      <c r="T92" s="92">
        <f t="shared" si="62"/>
        <v>685.803</v>
      </c>
      <c r="U92" s="40">
        <f t="shared" si="63"/>
        <v>505.50000000000006</v>
      </c>
      <c r="V92" s="40">
        <f t="shared" si="64"/>
        <v>119.10000000000001</v>
      </c>
      <c r="W92" s="40">
        <f t="shared" si="65"/>
        <v>19.8</v>
      </c>
      <c r="X92" s="40"/>
      <c r="Y92" s="40"/>
      <c r="Z92" s="40">
        <f t="shared" si="66"/>
        <v>37.383000000000003</v>
      </c>
      <c r="AA92" s="40">
        <f t="shared" si="39"/>
        <v>4.0200000000000005</v>
      </c>
      <c r="AB92" s="93">
        <f t="shared" si="67"/>
        <v>685.803</v>
      </c>
      <c r="AC92" s="94">
        <v>0</v>
      </c>
      <c r="AD92" s="76">
        <f t="shared" si="68"/>
        <v>685.803</v>
      </c>
      <c r="AE92" s="95"/>
      <c r="AF92" s="95"/>
      <c r="AG92" s="95"/>
    </row>
    <row r="93" spans="1:33" ht="38.25" x14ac:dyDescent="0.2">
      <c r="A93" s="84" t="s">
        <v>97</v>
      </c>
      <c r="B93" s="160" t="s">
        <v>148</v>
      </c>
      <c r="C93" s="85" t="s">
        <v>237</v>
      </c>
      <c r="D93" s="37">
        <v>27.700100000000003</v>
      </c>
      <c r="E93" s="86">
        <v>0</v>
      </c>
      <c r="F93" s="38">
        <f t="shared" si="29"/>
        <v>27.700100000000003</v>
      </c>
      <c r="G93" s="97">
        <v>60</v>
      </c>
      <c r="H93" s="88">
        <v>16.850000000000001</v>
      </c>
      <c r="I93" s="89">
        <f t="shared" si="40"/>
        <v>3.97</v>
      </c>
      <c r="J93" s="90">
        <v>5.5</v>
      </c>
      <c r="K93" s="90">
        <f t="shared" si="58"/>
        <v>26.32</v>
      </c>
      <c r="L93" s="90"/>
      <c r="M93" s="90"/>
      <c r="N93" s="90">
        <v>1.2461</v>
      </c>
      <c r="O93" s="90">
        <v>0.13400000000000001</v>
      </c>
      <c r="P93" s="90">
        <f t="shared" si="69"/>
        <v>1.3801000000000001</v>
      </c>
      <c r="Q93" s="90">
        <f t="shared" si="70"/>
        <v>27.700099999999999</v>
      </c>
      <c r="R93" s="90"/>
      <c r="S93" s="90">
        <f t="shared" si="61"/>
        <v>27.700099999999999</v>
      </c>
      <c r="T93" s="92">
        <f t="shared" si="62"/>
        <v>1662.0060000000001</v>
      </c>
      <c r="U93" s="40">
        <f t="shared" si="63"/>
        <v>1011.0000000000001</v>
      </c>
      <c r="V93" s="40">
        <f t="shared" si="64"/>
        <v>238.20000000000002</v>
      </c>
      <c r="W93" s="40">
        <f t="shared" si="65"/>
        <v>330</v>
      </c>
      <c r="X93" s="40"/>
      <c r="Y93" s="40"/>
      <c r="Z93" s="40">
        <f t="shared" si="66"/>
        <v>74.766000000000005</v>
      </c>
      <c r="AA93" s="40">
        <f t="shared" si="39"/>
        <v>8.0400000000000009</v>
      </c>
      <c r="AB93" s="93">
        <f t="shared" si="67"/>
        <v>1662.0060000000001</v>
      </c>
      <c r="AC93" s="94">
        <v>0</v>
      </c>
      <c r="AD93" s="76">
        <f t="shared" si="68"/>
        <v>1662.0060000000001</v>
      </c>
      <c r="AE93" s="95"/>
      <c r="AF93" s="95"/>
      <c r="AG93" s="95"/>
    </row>
    <row r="94" spans="1:33" ht="51" x14ac:dyDescent="0.2">
      <c r="A94" s="84" t="s">
        <v>98</v>
      </c>
      <c r="B94" s="160" t="s">
        <v>149</v>
      </c>
      <c r="C94" s="85" t="s">
        <v>237</v>
      </c>
      <c r="D94" s="37">
        <v>26.850100000000001</v>
      </c>
      <c r="E94" s="86">
        <v>0</v>
      </c>
      <c r="F94" s="38">
        <f t="shared" si="29"/>
        <v>26.850100000000001</v>
      </c>
      <c r="G94" s="97">
        <v>30</v>
      </c>
      <c r="H94" s="88">
        <v>16.850000000000001</v>
      </c>
      <c r="I94" s="89">
        <f t="shared" si="40"/>
        <v>3.97</v>
      </c>
      <c r="J94" s="90">
        <v>4.6500000000000004</v>
      </c>
      <c r="K94" s="90">
        <f t="shared" si="58"/>
        <v>25.47</v>
      </c>
      <c r="L94" s="90"/>
      <c r="M94" s="90"/>
      <c r="N94" s="90">
        <v>1.2461</v>
      </c>
      <c r="O94" s="90">
        <v>0.13400000000000001</v>
      </c>
      <c r="P94" s="90">
        <f t="shared" si="69"/>
        <v>1.3801000000000001</v>
      </c>
      <c r="Q94" s="90">
        <f t="shared" si="70"/>
        <v>26.850099999999998</v>
      </c>
      <c r="R94" s="90"/>
      <c r="S94" s="90">
        <f t="shared" si="61"/>
        <v>26.850099999999998</v>
      </c>
      <c r="T94" s="92">
        <f t="shared" si="62"/>
        <v>805.50300000000004</v>
      </c>
      <c r="U94" s="40">
        <f t="shared" si="63"/>
        <v>505.50000000000006</v>
      </c>
      <c r="V94" s="40">
        <f t="shared" si="64"/>
        <v>119.10000000000001</v>
      </c>
      <c r="W94" s="40">
        <f t="shared" si="65"/>
        <v>139.5</v>
      </c>
      <c r="X94" s="40"/>
      <c r="Y94" s="40"/>
      <c r="Z94" s="40">
        <f t="shared" si="66"/>
        <v>37.383000000000003</v>
      </c>
      <c r="AA94" s="40">
        <f t="shared" si="39"/>
        <v>4.0200000000000005</v>
      </c>
      <c r="AB94" s="93">
        <f t="shared" si="67"/>
        <v>805.50300000000004</v>
      </c>
      <c r="AC94" s="94">
        <v>0</v>
      </c>
      <c r="AD94" s="76">
        <f t="shared" si="68"/>
        <v>805.50300000000004</v>
      </c>
      <c r="AE94" s="95"/>
      <c r="AF94" s="95"/>
      <c r="AG94" s="95"/>
    </row>
    <row r="95" spans="1:33" ht="51" x14ac:dyDescent="0.2">
      <c r="A95" s="84" t="s">
        <v>99</v>
      </c>
      <c r="B95" s="160" t="s">
        <v>150</v>
      </c>
      <c r="C95" s="85" t="s">
        <v>237</v>
      </c>
      <c r="D95" s="37">
        <v>39.670100000000005</v>
      </c>
      <c r="E95" s="86">
        <v>0</v>
      </c>
      <c r="F95" s="38">
        <f t="shared" si="29"/>
        <v>39.670100000000005</v>
      </c>
      <c r="G95" s="97">
        <v>80</v>
      </c>
      <c r="H95" s="88">
        <v>16.850000000000001</v>
      </c>
      <c r="I95" s="89">
        <f t="shared" si="40"/>
        <v>3.97</v>
      </c>
      <c r="J95" s="90">
        <v>17.47</v>
      </c>
      <c r="K95" s="90">
        <f t="shared" si="58"/>
        <v>38.29</v>
      </c>
      <c r="L95" s="90"/>
      <c r="M95" s="90"/>
      <c r="N95" s="90">
        <v>1.2461</v>
      </c>
      <c r="O95" s="90">
        <v>0.13400000000000001</v>
      </c>
      <c r="P95" s="90">
        <f t="shared" si="69"/>
        <v>1.3801000000000001</v>
      </c>
      <c r="Q95" s="90">
        <f t="shared" si="70"/>
        <v>39.670099999999998</v>
      </c>
      <c r="R95" s="90"/>
      <c r="S95" s="90">
        <f t="shared" si="61"/>
        <v>39.670099999999998</v>
      </c>
      <c r="T95" s="92">
        <f t="shared" si="62"/>
        <v>3173.6079999999997</v>
      </c>
      <c r="U95" s="40">
        <f t="shared" si="63"/>
        <v>1348</v>
      </c>
      <c r="V95" s="40">
        <f t="shared" si="64"/>
        <v>317.60000000000002</v>
      </c>
      <c r="W95" s="40">
        <f t="shared" si="65"/>
        <v>1397.6</v>
      </c>
      <c r="X95" s="40"/>
      <c r="Y95" s="40"/>
      <c r="Z95" s="40">
        <f t="shared" si="66"/>
        <v>99.688000000000002</v>
      </c>
      <c r="AA95" s="40">
        <f t="shared" si="39"/>
        <v>10.72</v>
      </c>
      <c r="AB95" s="93">
        <f t="shared" si="67"/>
        <v>3173.6079999999997</v>
      </c>
      <c r="AC95" s="94">
        <v>0</v>
      </c>
      <c r="AD95" s="76">
        <f t="shared" si="68"/>
        <v>3173.6079999999997</v>
      </c>
      <c r="AE95" s="95"/>
      <c r="AF95" s="95"/>
      <c r="AG95" s="95"/>
    </row>
    <row r="96" spans="1:33" ht="54" x14ac:dyDescent="0.2">
      <c r="A96" s="84" t="s">
        <v>100</v>
      </c>
      <c r="B96" s="160" t="s">
        <v>295</v>
      </c>
      <c r="C96" s="85" t="s">
        <v>237</v>
      </c>
      <c r="D96" s="37">
        <v>37.130099999999999</v>
      </c>
      <c r="E96" s="86">
        <v>0</v>
      </c>
      <c r="F96" s="38">
        <f t="shared" si="29"/>
        <v>37.130099999999999</v>
      </c>
      <c r="G96" s="97">
        <v>80</v>
      </c>
      <c r="H96" s="88">
        <v>16.850000000000001</v>
      </c>
      <c r="I96" s="89">
        <f t="shared" si="40"/>
        <v>3.97</v>
      </c>
      <c r="J96" s="90">
        <v>14.93</v>
      </c>
      <c r="K96" s="90">
        <f t="shared" si="58"/>
        <v>35.75</v>
      </c>
      <c r="L96" s="90"/>
      <c r="M96" s="90"/>
      <c r="N96" s="90">
        <v>1.2461</v>
      </c>
      <c r="O96" s="90">
        <v>0.13400000000000001</v>
      </c>
      <c r="P96" s="90">
        <f t="shared" si="69"/>
        <v>1.3801000000000001</v>
      </c>
      <c r="Q96" s="90">
        <f t="shared" si="70"/>
        <v>37.130099999999999</v>
      </c>
      <c r="R96" s="90"/>
      <c r="S96" s="90">
        <f t="shared" si="61"/>
        <v>37.130099999999999</v>
      </c>
      <c r="T96" s="92">
        <f t="shared" si="62"/>
        <v>2970.4079999999999</v>
      </c>
      <c r="U96" s="40">
        <f t="shared" si="63"/>
        <v>1348</v>
      </c>
      <c r="V96" s="40">
        <f t="shared" si="64"/>
        <v>317.60000000000002</v>
      </c>
      <c r="W96" s="40">
        <f t="shared" si="65"/>
        <v>1194.4000000000001</v>
      </c>
      <c r="X96" s="40"/>
      <c r="Y96" s="40"/>
      <c r="Z96" s="40">
        <f t="shared" si="66"/>
        <v>99.688000000000002</v>
      </c>
      <c r="AA96" s="40">
        <f t="shared" si="39"/>
        <v>10.72</v>
      </c>
      <c r="AB96" s="93">
        <f t="shared" si="67"/>
        <v>2970.4079999999999</v>
      </c>
      <c r="AC96" s="94">
        <v>0</v>
      </c>
      <c r="AD96" s="76">
        <f t="shared" si="68"/>
        <v>2970.4079999999999</v>
      </c>
      <c r="AE96" s="95"/>
      <c r="AF96" s="95"/>
      <c r="AG96" s="95"/>
    </row>
    <row r="97" spans="1:33" ht="65.25" customHeight="1" x14ac:dyDescent="0.2">
      <c r="A97" s="84" t="s">
        <v>101</v>
      </c>
      <c r="B97" s="160" t="s">
        <v>151</v>
      </c>
      <c r="C97" s="85" t="s">
        <v>237</v>
      </c>
      <c r="D97" s="37">
        <v>32.010100000000001</v>
      </c>
      <c r="E97" s="86">
        <v>0</v>
      </c>
      <c r="F97" s="38">
        <f t="shared" si="29"/>
        <v>32.010100000000001</v>
      </c>
      <c r="G97" s="97">
        <v>7</v>
      </c>
      <c r="H97" s="88">
        <v>16.850000000000001</v>
      </c>
      <c r="I97" s="89">
        <f t="shared" si="40"/>
        <v>3.97</v>
      </c>
      <c r="J97" s="90">
        <v>9.81</v>
      </c>
      <c r="K97" s="90">
        <f t="shared" si="58"/>
        <v>30.630000000000003</v>
      </c>
      <c r="L97" s="90"/>
      <c r="M97" s="90"/>
      <c r="N97" s="90">
        <v>1.2461</v>
      </c>
      <c r="O97" s="90">
        <v>0.13400000000000001</v>
      </c>
      <c r="P97" s="90">
        <f t="shared" si="69"/>
        <v>1.3801000000000001</v>
      </c>
      <c r="Q97" s="90">
        <f t="shared" si="70"/>
        <v>32.010100000000001</v>
      </c>
      <c r="R97" s="90"/>
      <c r="S97" s="90">
        <f t="shared" si="61"/>
        <v>32.010100000000001</v>
      </c>
      <c r="T97" s="92">
        <f t="shared" si="62"/>
        <v>224.07070000000002</v>
      </c>
      <c r="U97" s="40">
        <f t="shared" si="63"/>
        <v>117.95000000000002</v>
      </c>
      <c r="V97" s="40">
        <f t="shared" si="64"/>
        <v>27.790000000000003</v>
      </c>
      <c r="W97" s="40">
        <f t="shared" si="65"/>
        <v>68.67</v>
      </c>
      <c r="X97" s="40"/>
      <c r="Y97" s="40"/>
      <c r="Z97" s="40">
        <f t="shared" si="66"/>
        <v>8.7226999999999997</v>
      </c>
      <c r="AA97" s="40">
        <f t="shared" si="39"/>
        <v>0.93800000000000006</v>
      </c>
      <c r="AB97" s="93">
        <f t="shared" si="67"/>
        <v>224.07070000000002</v>
      </c>
      <c r="AC97" s="94">
        <v>0</v>
      </c>
      <c r="AD97" s="76">
        <f t="shared" si="68"/>
        <v>224.07070000000002</v>
      </c>
      <c r="AE97" s="95"/>
      <c r="AF97" s="95"/>
      <c r="AG97" s="95"/>
    </row>
    <row r="98" spans="1:33" ht="63.75" customHeight="1" x14ac:dyDescent="0.2">
      <c r="A98" s="102" t="s">
        <v>102</v>
      </c>
      <c r="B98" s="160" t="s">
        <v>152</v>
      </c>
      <c r="C98" s="85" t="s">
        <v>237</v>
      </c>
      <c r="D98" s="37">
        <v>46.000142857142855</v>
      </c>
      <c r="E98" s="86">
        <v>0</v>
      </c>
      <c r="F98" s="38">
        <f t="shared" si="29"/>
        <v>46.000142857142855</v>
      </c>
      <c r="G98" s="97">
        <v>7</v>
      </c>
      <c r="H98" s="88">
        <v>16.850000000000001</v>
      </c>
      <c r="I98" s="89">
        <f t="shared" si="40"/>
        <v>3.97</v>
      </c>
      <c r="J98" s="90">
        <v>23.8</v>
      </c>
      <c r="K98" s="90">
        <f t="shared" si="58"/>
        <v>44.620000000000005</v>
      </c>
      <c r="L98" s="90"/>
      <c r="M98" s="90"/>
      <c r="N98" s="90">
        <v>1.2461</v>
      </c>
      <c r="O98" s="90">
        <v>0.13400000000000001</v>
      </c>
      <c r="P98" s="90">
        <f t="shared" si="69"/>
        <v>1.3801000000000001</v>
      </c>
      <c r="Q98" s="90">
        <f t="shared" si="70"/>
        <v>46.000100000000003</v>
      </c>
      <c r="R98" s="90"/>
      <c r="S98" s="90">
        <f t="shared" si="61"/>
        <v>46.000100000000003</v>
      </c>
      <c r="T98" s="92">
        <f t="shared" si="62"/>
        <v>322.00069999999999</v>
      </c>
      <c r="U98" s="40">
        <f t="shared" si="63"/>
        <v>117.95000000000002</v>
      </c>
      <c r="V98" s="40">
        <f t="shared" si="64"/>
        <v>27.790000000000003</v>
      </c>
      <c r="W98" s="40">
        <f t="shared" si="65"/>
        <v>166.6</v>
      </c>
      <c r="X98" s="40"/>
      <c r="Y98" s="40"/>
      <c r="Z98" s="40">
        <f t="shared" si="66"/>
        <v>8.7226999999999997</v>
      </c>
      <c r="AA98" s="40">
        <f t="shared" si="39"/>
        <v>0.93800000000000006</v>
      </c>
      <c r="AB98" s="93">
        <f t="shared" si="67"/>
        <v>322.00069999999999</v>
      </c>
      <c r="AC98" s="94">
        <v>0</v>
      </c>
      <c r="AD98" s="76">
        <f t="shared" si="68"/>
        <v>322.00069999999999</v>
      </c>
      <c r="AE98" s="95"/>
      <c r="AF98" s="95"/>
      <c r="AG98" s="95"/>
    </row>
    <row r="99" spans="1:33" ht="63.75" x14ac:dyDescent="0.2">
      <c r="A99" s="84" t="s">
        <v>103</v>
      </c>
      <c r="B99" s="160" t="s">
        <v>153</v>
      </c>
      <c r="C99" s="85" t="s">
        <v>237</v>
      </c>
      <c r="D99" s="37">
        <v>24.310100000000002</v>
      </c>
      <c r="E99" s="86">
        <v>0</v>
      </c>
      <c r="F99" s="38">
        <f t="shared" si="29"/>
        <v>24.310100000000002</v>
      </c>
      <c r="G99" s="97">
        <v>200</v>
      </c>
      <c r="H99" s="88">
        <v>16.850000000000001</v>
      </c>
      <c r="I99" s="89">
        <f t="shared" si="40"/>
        <v>3.97</v>
      </c>
      <c r="J99" s="90">
        <v>2.11</v>
      </c>
      <c r="K99" s="90">
        <f t="shared" si="58"/>
        <v>22.93</v>
      </c>
      <c r="L99" s="90"/>
      <c r="M99" s="90"/>
      <c r="N99" s="90">
        <v>1.2461</v>
      </c>
      <c r="O99" s="90">
        <v>0.13400000000000001</v>
      </c>
      <c r="P99" s="90">
        <f t="shared" si="69"/>
        <v>1.3801000000000001</v>
      </c>
      <c r="Q99" s="90">
        <f t="shared" si="70"/>
        <v>24.310099999999998</v>
      </c>
      <c r="R99" s="90"/>
      <c r="S99" s="90">
        <f t="shared" si="61"/>
        <v>24.310099999999998</v>
      </c>
      <c r="T99" s="92">
        <f t="shared" si="62"/>
        <v>4862.0200000000004</v>
      </c>
      <c r="U99" s="40">
        <f t="shared" si="63"/>
        <v>3370.0000000000005</v>
      </c>
      <c r="V99" s="40">
        <f t="shared" si="64"/>
        <v>794</v>
      </c>
      <c r="W99" s="40">
        <f t="shared" si="65"/>
        <v>422</v>
      </c>
      <c r="X99" s="40"/>
      <c r="Y99" s="40"/>
      <c r="Z99" s="40">
        <f t="shared" si="66"/>
        <v>249.22</v>
      </c>
      <c r="AA99" s="40">
        <f t="shared" si="39"/>
        <v>26.8</v>
      </c>
      <c r="AB99" s="93">
        <f t="shared" si="67"/>
        <v>4862.0200000000004</v>
      </c>
      <c r="AC99" s="94">
        <v>0</v>
      </c>
      <c r="AD99" s="76">
        <f t="shared" si="68"/>
        <v>4862.0200000000004</v>
      </c>
      <c r="AE99" s="95"/>
      <c r="AF99" s="95"/>
      <c r="AG99" s="95"/>
    </row>
    <row r="100" spans="1:33" ht="26.25" customHeight="1" x14ac:dyDescent="0.2">
      <c r="A100" s="84" t="s">
        <v>104</v>
      </c>
      <c r="B100" s="160" t="s">
        <v>154</v>
      </c>
      <c r="C100" s="85" t="s">
        <v>237</v>
      </c>
      <c r="D100" s="37">
        <v>18.970099999999999</v>
      </c>
      <c r="E100" s="86">
        <v>0</v>
      </c>
      <c r="F100" s="38">
        <f t="shared" si="29"/>
        <v>18.970099999999999</v>
      </c>
      <c r="G100" s="97">
        <v>10</v>
      </c>
      <c r="H100" s="88">
        <v>12.85</v>
      </c>
      <c r="I100" s="89">
        <f t="shared" si="40"/>
        <v>3.03</v>
      </c>
      <c r="J100" s="90">
        <v>1.71</v>
      </c>
      <c r="K100" s="90">
        <f t="shared" si="58"/>
        <v>17.59</v>
      </c>
      <c r="L100" s="90"/>
      <c r="M100" s="90"/>
      <c r="N100" s="90">
        <v>1.2461</v>
      </c>
      <c r="O100" s="90">
        <v>0.13400000000000001</v>
      </c>
      <c r="P100" s="90">
        <f t="shared" si="69"/>
        <v>1.3801000000000001</v>
      </c>
      <c r="Q100" s="90">
        <f t="shared" si="70"/>
        <v>18.970099999999999</v>
      </c>
      <c r="R100" s="90"/>
      <c r="S100" s="90">
        <f t="shared" si="61"/>
        <v>18.970099999999999</v>
      </c>
      <c r="T100" s="92">
        <f t="shared" si="62"/>
        <v>189.70100000000002</v>
      </c>
      <c r="U100" s="40">
        <f t="shared" si="63"/>
        <v>128.5</v>
      </c>
      <c r="V100" s="40">
        <f t="shared" si="64"/>
        <v>30.299999999999997</v>
      </c>
      <c r="W100" s="40">
        <f t="shared" si="65"/>
        <v>17.100000000000001</v>
      </c>
      <c r="X100" s="40"/>
      <c r="Y100" s="40"/>
      <c r="Z100" s="40">
        <f t="shared" si="66"/>
        <v>12.461</v>
      </c>
      <c r="AA100" s="40">
        <f t="shared" si="39"/>
        <v>1.34</v>
      </c>
      <c r="AB100" s="93">
        <f t="shared" si="67"/>
        <v>189.70100000000002</v>
      </c>
      <c r="AC100" s="94">
        <v>0</v>
      </c>
      <c r="AD100" s="76">
        <f t="shared" si="68"/>
        <v>189.70100000000002</v>
      </c>
      <c r="AE100" s="95"/>
      <c r="AF100" s="95"/>
      <c r="AG100" s="95"/>
    </row>
    <row r="101" spans="1:33" ht="38.25" x14ac:dyDescent="0.2">
      <c r="A101" s="84" t="s">
        <v>105</v>
      </c>
      <c r="B101" s="160" t="s">
        <v>214</v>
      </c>
      <c r="C101" s="85" t="s">
        <v>237</v>
      </c>
      <c r="D101" s="37">
        <v>25.2301</v>
      </c>
      <c r="E101" s="86">
        <v>0</v>
      </c>
      <c r="F101" s="38">
        <f t="shared" si="29"/>
        <v>25.2301</v>
      </c>
      <c r="G101" s="97">
        <v>10</v>
      </c>
      <c r="H101" s="88">
        <v>14.85</v>
      </c>
      <c r="I101" s="89">
        <f t="shared" si="40"/>
        <v>3.5</v>
      </c>
      <c r="J101" s="90">
        <v>5.5</v>
      </c>
      <c r="K101" s="90">
        <f t="shared" si="58"/>
        <v>23.85</v>
      </c>
      <c r="L101" s="90"/>
      <c r="M101" s="90"/>
      <c r="N101" s="90">
        <v>1.2461</v>
      </c>
      <c r="O101" s="90">
        <v>0.13400000000000001</v>
      </c>
      <c r="P101" s="90">
        <f t="shared" si="69"/>
        <v>1.3801000000000001</v>
      </c>
      <c r="Q101" s="90">
        <f t="shared" si="70"/>
        <v>25.2301</v>
      </c>
      <c r="R101" s="90"/>
      <c r="S101" s="90">
        <f t="shared" si="61"/>
        <v>25.2301</v>
      </c>
      <c r="T101" s="92">
        <f t="shared" si="62"/>
        <v>252.30100000000002</v>
      </c>
      <c r="U101" s="40">
        <f t="shared" si="63"/>
        <v>148.5</v>
      </c>
      <c r="V101" s="40">
        <f t="shared" si="64"/>
        <v>35</v>
      </c>
      <c r="W101" s="40">
        <f t="shared" si="65"/>
        <v>55</v>
      </c>
      <c r="X101" s="40"/>
      <c r="Y101" s="40"/>
      <c r="Z101" s="40">
        <f t="shared" si="66"/>
        <v>12.461</v>
      </c>
      <c r="AA101" s="40">
        <f t="shared" si="39"/>
        <v>1.34</v>
      </c>
      <c r="AB101" s="93">
        <f t="shared" si="67"/>
        <v>252.30100000000002</v>
      </c>
      <c r="AC101" s="94">
        <v>0</v>
      </c>
      <c r="AD101" s="76">
        <f t="shared" si="68"/>
        <v>252.30100000000002</v>
      </c>
      <c r="AE101" s="95"/>
      <c r="AF101" s="95"/>
      <c r="AG101" s="95"/>
    </row>
    <row r="102" spans="1:33" ht="25.5" x14ac:dyDescent="0.2">
      <c r="A102" s="84" t="s">
        <v>173</v>
      </c>
      <c r="B102" s="160" t="s">
        <v>155</v>
      </c>
      <c r="C102" s="85" t="s">
        <v>237</v>
      </c>
      <c r="D102" s="37">
        <v>23.100142857142856</v>
      </c>
      <c r="E102" s="86">
        <v>0</v>
      </c>
      <c r="F102" s="38">
        <f t="shared" si="29"/>
        <v>23.100142857142856</v>
      </c>
      <c r="G102" s="97">
        <v>7</v>
      </c>
      <c r="H102" s="88">
        <v>12.85</v>
      </c>
      <c r="I102" s="89">
        <f t="shared" si="40"/>
        <v>3.03</v>
      </c>
      <c r="J102" s="90">
        <v>5.84</v>
      </c>
      <c r="K102" s="90">
        <f t="shared" si="58"/>
        <v>21.72</v>
      </c>
      <c r="L102" s="90"/>
      <c r="M102" s="90"/>
      <c r="N102" s="90">
        <v>1.2461</v>
      </c>
      <c r="O102" s="90">
        <v>0.13400000000000001</v>
      </c>
      <c r="P102" s="90">
        <f t="shared" si="69"/>
        <v>1.3801000000000001</v>
      </c>
      <c r="Q102" s="90">
        <f t="shared" si="70"/>
        <v>23.100099999999998</v>
      </c>
      <c r="R102" s="90"/>
      <c r="S102" s="90">
        <f t="shared" si="61"/>
        <v>23.100099999999998</v>
      </c>
      <c r="T102" s="92">
        <f t="shared" si="62"/>
        <v>161.70069999999998</v>
      </c>
      <c r="U102" s="40">
        <f t="shared" si="63"/>
        <v>89.95</v>
      </c>
      <c r="V102" s="40">
        <f t="shared" si="64"/>
        <v>21.209999999999997</v>
      </c>
      <c r="W102" s="40">
        <f t="shared" si="65"/>
        <v>40.879999999999995</v>
      </c>
      <c r="X102" s="40"/>
      <c r="Y102" s="40"/>
      <c r="Z102" s="40">
        <f t="shared" si="66"/>
        <v>8.7226999999999997</v>
      </c>
      <c r="AA102" s="40">
        <f t="shared" si="39"/>
        <v>0.93800000000000006</v>
      </c>
      <c r="AB102" s="93">
        <f t="shared" si="67"/>
        <v>161.70069999999998</v>
      </c>
      <c r="AC102" s="94">
        <v>0</v>
      </c>
      <c r="AD102" s="76">
        <f t="shared" si="68"/>
        <v>161.70069999999998</v>
      </c>
      <c r="AE102" s="95"/>
      <c r="AF102" s="95"/>
      <c r="AG102" s="95"/>
    </row>
    <row r="103" spans="1:33" ht="102.75" customHeight="1" x14ac:dyDescent="0.2">
      <c r="A103" s="105" t="s">
        <v>106</v>
      </c>
      <c r="B103" s="162" t="s">
        <v>176</v>
      </c>
      <c r="C103" s="78"/>
      <c r="D103" s="111"/>
      <c r="E103" s="106"/>
      <c r="F103" s="112"/>
      <c r="G103" s="108"/>
      <c r="H103" s="113"/>
      <c r="I103" s="113"/>
      <c r="J103" s="113"/>
      <c r="K103" s="113"/>
      <c r="L103" s="113"/>
      <c r="M103" s="113"/>
      <c r="N103" s="113"/>
      <c r="O103" s="113"/>
      <c r="P103" s="113"/>
      <c r="Q103" s="113"/>
      <c r="R103" s="113"/>
      <c r="S103" s="113"/>
      <c r="T103" s="113"/>
      <c r="U103" s="113"/>
      <c r="V103" s="113"/>
      <c r="W103" s="113"/>
      <c r="X103" s="113"/>
      <c r="Y103" s="113"/>
      <c r="Z103" s="113"/>
      <c r="AA103" s="113"/>
      <c r="AB103" s="113"/>
      <c r="AC103" s="114"/>
      <c r="AD103" s="114"/>
      <c r="AE103" s="95"/>
      <c r="AF103" s="95"/>
      <c r="AG103" s="95"/>
    </row>
    <row r="104" spans="1:33" ht="38.25" x14ac:dyDescent="0.2">
      <c r="A104" s="33" t="s">
        <v>107</v>
      </c>
      <c r="B104" s="161" t="s">
        <v>25</v>
      </c>
      <c r="C104" s="85" t="s">
        <v>237</v>
      </c>
      <c r="D104" s="37">
        <v>17.970142857142857</v>
      </c>
      <c r="E104" s="86">
        <v>0</v>
      </c>
      <c r="F104" s="38">
        <f t="shared" si="29"/>
        <v>17.970142857142857</v>
      </c>
      <c r="G104" s="97">
        <v>7</v>
      </c>
      <c r="H104" s="88">
        <v>11.85</v>
      </c>
      <c r="I104" s="89">
        <f t="shared" si="40"/>
        <v>2.8</v>
      </c>
      <c r="J104" s="90">
        <v>1.94</v>
      </c>
      <c r="K104" s="90">
        <f t="shared" ref="K104:K116" si="71">SUM(H104:J104)</f>
        <v>16.59</v>
      </c>
      <c r="L104" s="90"/>
      <c r="M104" s="90"/>
      <c r="N104" s="90">
        <v>1.2461</v>
      </c>
      <c r="O104" s="90">
        <v>0.13400000000000001</v>
      </c>
      <c r="P104" s="90">
        <f t="shared" ref="P104" si="72">SUM(L104:O104)</f>
        <v>1.3801000000000001</v>
      </c>
      <c r="Q104" s="90">
        <f t="shared" ref="Q104" si="73">SUM(K104+P104)</f>
        <v>17.970099999999999</v>
      </c>
      <c r="R104" s="90"/>
      <c r="S104" s="90">
        <f t="shared" ref="S104:S116" si="74">SUM(K104:O104)</f>
        <v>17.970099999999999</v>
      </c>
      <c r="T104" s="92">
        <f t="shared" ref="T104:T116" si="75">SUM(U104:AA104)</f>
        <v>125.7907</v>
      </c>
      <c r="U104" s="40">
        <f t="shared" ref="U104:U116" si="76">H104*G104</f>
        <v>82.95</v>
      </c>
      <c r="V104" s="40">
        <f t="shared" ref="V104:V116" si="77">I104*G104</f>
        <v>19.599999999999998</v>
      </c>
      <c r="W104" s="40">
        <f t="shared" ref="W104:W116" si="78">J104*G104</f>
        <v>13.58</v>
      </c>
      <c r="X104" s="40"/>
      <c r="Y104" s="40"/>
      <c r="Z104" s="40">
        <f t="shared" ref="Z104:Z116" si="79">N104*G104</f>
        <v>8.7226999999999997</v>
      </c>
      <c r="AA104" s="40">
        <f t="shared" si="39"/>
        <v>0.93800000000000006</v>
      </c>
      <c r="AB104" s="93">
        <f t="shared" ref="AB104:AB116" si="80">SUM(U104:AA104)</f>
        <v>125.7907</v>
      </c>
      <c r="AC104" s="94">
        <v>0</v>
      </c>
      <c r="AD104" s="76">
        <f t="shared" ref="AD104:AD116" si="81">SUM(AB104:AC104)</f>
        <v>125.7907</v>
      </c>
      <c r="AE104" s="95"/>
      <c r="AF104" s="95"/>
      <c r="AG104" s="95"/>
    </row>
    <row r="105" spans="1:33" ht="38.25" customHeight="1" x14ac:dyDescent="0.2">
      <c r="A105" s="100" t="s">
        <v>108</v>
      </c>
      <c r="B105" s="161" t="s">
        <v>29</v>
      </c>
      <c r="C105" s="85" t="s">
        <v>237</v>
      </c>
      <c r="D105" s="37">
        <v>29.720100000000002</v>
      </c>
      <c r="E105" s="86">
        <v>0</v>
      </c>
      <c r="F105" s="38">
        <f t="shared" si="29"/>
        <v>29.720100000000002</v>
      </c>
      <c r="G105" s="97">
        <v>20</v>
      </c>
      <c r="H105" s="88">
        <v>18.850000000000001</v>
      </c>
      <c r="I105" s="89">
        <f t="shared" si="40"/>
        <v>4.45</v>
      </c>
      <c r="J105" s="90">
        <v>5.04</v>
      </c>
      <c r="K105" s="90">
        <f t="shared" si="71"/>
        <v>28.34</v>
      </c>
      <c r="L105" s="90"/>
      <c r="M105" s="90"/>
      <c r="N105" s="90">
        <v>1.2461</v>
      </c>
      <c r="O105" s="90">
        <v>0.13400000000000001</v>
      </c>
      <c r="P105" s="90">
        <f t="shared" ref="P105:P106" si="82">SUM(L105:O105)</f>
        <v>1.3801000000000001</v>
      </c>
      <c r="Q105" s="90">
        <f t="shared" ref="Q105:Q106" si="83">SUM(K105+P105)</f>
        <v>29.720099999999999</v>
      </c>
      <c r="R105" s="90"/>
      <c r="S105" s="90">
        <f t="shared" si="74"/>
        <v>29.720099999999999</v>
      </c>
      <c r="T105" s="92">
        <f t="shared" si="75"/>
        <v>594.40199999999993</v>
      </c>
      <c r="U105" s="40">
        <f t="shared" si="76"/>
        <v>377</v>
      </c>
      <c r="V105" s="40">
        <f t="shared" si="77"/>
        <v>89</v>
      </c>
      <c r="W105" s="40">
        <f t="shared" si="78"/>
        <v>100.8</v>
      </c>
      <c r="X105" s="40"/>
      <c r="Y105" s="40"/>
      <c r="Z105" s="40">
        <f t="shared" si="79"/>
        <v>24.922000000000001</v>
      </c>
      <c r="AA105" s="40">
        <f t="shared" si="39"/>
        <v>2.68</v>
      </c>
      <c r="AB105" s="93">
        <f t="shared" si="80"/>
        <v>594.40199999999993</v>
      </c>
      <c r="AC105" s="94">
        <v>0</v>
      </c>
      <c r="AD105" s="76">
        <f t="shared" si="81"/>
        <v>594.40199999999993</v>
      </c>
      <c r="AE105" s="95"/>
      <c r="AF105" s="95"/>
      <c r="AG105" s="95"/>
    </row>
    <row r="106" spans="1:33" ht="18" customHeight="1" x14ac:dyDescent="0.2">
      <c r="A106" s="84" t="s">
        <v>109</v>
      </c>
      <c r="B106" s="161" t="s">
        <v>35</v>
      </c>
      <c r="C106" s="85" t="s">
        <v>237</v>
      </c>
      <c r="D106" s="37">
        <v>25.340142857142858</v>
      </c>
      <c r="E106" s="86">
        <v>0</v>
      </c>
      <c r="F106" s="38">
        <f t="shared" si="29"/>
        <v>25.340142857142858</v>
      </c>
      <c r="G106" s="97">
        <v>7</v>
      </c>
      <c r="H106" s="88">
        <v>18.850000000000001</v>
      </c>
      <c r="I106" s="89">
        <f t="shared" si="40"/>
        <v>4.45</v>
      </c>
      <c r="J106" s="90">
        <v>0.66</v>
      </c>
      <c r="K106" s="90">
        <f t="shared" si="71"/>
        <v>23.96</v>
      </c>
      <c r="L106" s="90"/>
      <c r="M106" s="90"/>
      <c r="N106" s="90">
        <v>1.2461</v>
      </c>
      <c r="O106" s="90">
        <v>0.13400000000000001</v>
      </c>
      <c r="P106" s="90">
        <f t="shared" si="82"/>
        <v>1.3801000000000001</v>
      </c>
      <c r="Q106" s="90">
        <f t="shared" si="83"/>
        <v>25.3401</v>
      </c>
      <c r="R106" s="90"/>
      <c r="S106" s="90">
        <f t="shared" si="74"/>
        <v>25.3401</v>
      </c>
      <c r="T106" s="92">
        <f t="shared" si="75"/>
        <v>177.38070000000002</v>
      </c>
      <c r="U106" s="40">
        <f t="shared" si="76"/>
        <v>131.95000000000002</v>
      </c>
      <c r="V106" s="40">
        <f t="shared" si="77"/>
        <v>31.150000000000002</v>
      </c>
      <c r="W106" s="40">
        <f t="shared" si="78"/>
        <v>4.62</v>
      </c>
      <c r="X106" s="40"/>
      <c r="Y106" s="40"/>
      <c r="Z106" s="40">
        <f t="shared" si="79"/>
        <v>8.7226999999999997</v>
      </c>
      <c r="AA106" s="40">
        <f t="shared" si="39"/>
        <v>0.93800000000000006</v>
      </c>
      <c r="AB106" s="93">
        <f t="shared" si="80"/>
        <v>177.38070000000002</v>
      </c>
      <c r="AC106" s="94">
        <v>0</v>
      </c>
      <c r="AD106" s="76">
        <f t="shared" si="81"/>
        <v>177.38070000000002</v>
      </c>
      <c r="AE106" s="95"/>
      <c r="AF106" s="95"/>
      <c r="AG106" s="95"/>
    </row>
    <row r="107" spans="1:33" ht="25.5" x14ac:dyDescent="0.2">
      <c r="A107" s="84" t="s">
        <v>110</v>
      </c>
      <c r="B107" s="160" t="s">
        <v>37</v>
      </c>
      <c r="C107" s="85" t="s">
        <v>237</v>
      </c>
      <c r="D107" s="37">
        <v>30.180099999999999</v>
      </c>
      <c r="E107" s="86">
        <v>0</v>
      </c>
      <c r="F107" s="38">
        <f t="shared" si="29"/>
        <v>30.180099999999999</v>
      </c>
      <c r="G107" s="97">
        <v>20</v>
      </c>
      <c r="H107" s="88">
        <v>18.850000000000001</v>
      </c>
      <c r="I107" s="89">
        <f t="shared" si="40"/>
        <v>4.45</v>
      </c>
      <c r="J107" s="90">
        <v>5.5</v>
      </c>
      <c r="K107" s="90">
        <f t="shared" si="71"/>
        <v>28.8</v>
      </c>
      <c r="L107" s="90"/>
      <c r="M107" s="90"/>
      <c r="N107" s="90">
        <v>1.2461</v>
      </c>
      <c r="O107" s="90">
        <v>0.13400000000000001</v>
      </c>
      <c r="P107" s="90">
        <f t="shared" ref="P107:P116" si="84">SUM(L107:O107)</f>
        <v>1.3801000000000001</v>
      </c>
      <c r="Q107" s="90">
        <f t="shared" ref="Q107:Q116" si="85">SUM(K107+P107)</f>
        <v>30.180099999999999</v>
      </c>
      <c r="R107" s="90"/>
      <c r="S107" s="90">
        <f t="shared" si="74"/>
        <v>30.180099999999999</v>
      </c>
      <c r="T107" s="92">
        <f t="shared" si="75"/>
        <v>603.60199999999998</v>
      </c>
      <c r="U107" s="40">
        <f t="shared" si="76"/>
        <v>377</v>
      </c>
      <c r="V107" s="40">
        <f t="shared" si="77"/>
        <v>89</v>
      </c>
      <c r="W107" s="40">
        <f t="shared" si="78"/>
        <v>110</v>
      </c>
      <c r="X107" s="40"/>
      <c r="Y107" s="40"/>
      <c r="Z107" s="40">
        <f t="shared" si="79"/>
        <v>24.922000000000001</v>
      </c>
      <c r="AA107" s="40">
        <f t="shared" si="39"/>
        <v>2.68</v>
      </c>
      <c r="AB107" s="93">
        <f t="shared" si="80"/>
        <v>603.60199999999998</v>
      </c>
      <c r="AC107" s="94">
        <v>0</v>
      </c>
      <c r="AD107" s="76">
        <f t="shared" si="81"/>
        <v>603.60199999999998</v>
      </c>
      <c r="AE107" s="95"/>
      <c r="AF107" s="95"/>
      <c r="AG107" s="95"/>
    </row>
    <row r="108" spans="1:33" ht="41.25" customHeight="1" x14ac:dyDescent="0.2">
      <c r="A108" s="84" t="s">
        <v>111</v>
      </c>
      <c r="B108" s="160" t="s">
        <v>47</v>
      </c>
      <c r="C108" s="85" t="s">
        <v>237</v>
      </c>
      <c r="D108" s="37">
        <v>29.330142857142857</v>
      </c>
      <c r="E108" s="86">
        <v>0</v>
      </c>
      <c r="F108" s="38">
        <f t="shared" ref="F108:F171" si="86">D108+E108</f>
        <v>29.330142857142857</v>
      </c>
      <c r="G108" s="97">
        <v>7</v>
      </c>
      <c r="H108" s="88">
        <v>18.850000000000001</v>
      </c>
      <c r="I108" s="89">
        <f t="shared" si="40"/>
        <v>4.45</v>
      </c>
      <c r="J108" s="90">
        <v>4.6500000000000004</v>
      </c>
      <c r="K108" s="90">
        <f t="shared" si="71"/>
        <v>27.950000000000003</v>
      </c>
      <c r="L108" s="90"/>
      <c r="M108" s="90"/>
      <c r="N108" s="90">
        <v>1.2461</v>
      </c>
      <c r="O108" s="90">
        <v>0.13400000000000001</v>
      </c>
      <c r="P108" s="90">
        <f t="shared" si="84"/>
        <v>1.3801000000000001</v>
      </c>
      <c r="Q108" s="90">
        <f t="shared" si="85"/>
        <v>29.330100000000002</v>
      </c>
      <c r="R108" s="90"/>
      <c r="S108" s="90">
        <f t="shared" si="74"/>
        <v>29.330100000000002</v>
      </c>
      <c r="T108" s="92">
        <f t="shared" si="75"/>
        <v>205.31070000000003</v>
      </c>
      <c r="U108" s="40">
        <f t="shared" si="76"/>
        <v>131.95000000000002</v>
      </c>
      <c r="V108" s="40">
        <f t="shared" si="77"/>
        <v>31.150000000000002</v>
      </c>
      <c r="W108" s="40">
        <f t="shared" si="78"/>
        <v>32.550000000000004</v>
      </c>
      <c r="X108" s="40"/>
      <c r="Y108" s="40"/>
      <c r="Z108" s="40">
        <f t="shared" si="79"/>
        <v>8.7226999999999997</v>
      </c>
      <c r="AA108" s="40">
        <f t="shared" si="39"/>
        <v>0.93800000000000006</v>
      </c>
      <c r="AB108" s="93">
        <f t="shared" si="80"/>
        <v>205.31070000000003</v>
      </c>
      <c r="AC108" s="94">
        <v>0</v>
      </c>
      <c r="AD108" s="76">
        <f t="shared" si="81"/>
        <v>205.31070000000003</v>
      </c>
      <c r="AE108" s="95"/>
      <c r="AF108" s="95"/>
      <c r="AG108" s="95"/>
    </row>
    <row r="109" spans="1:33" ht="51" x14ac:dyDescent="0.2">
      <c r="A109" s="84" t="s">
        <v>112</v>
      </c>
      <c r="B109" s="160" t="s">
        <v>50</v>
      </c>
      <c r="C109" s="85" t="s">
        <v>237</v>
      </c>
      <c r="D109" s="37">
        <v>42.150099999999995</v>
      </c>
      <c r="E109" s="86">
        <v>0</v>
      </c>
      <c r="F109" s="38">
        <f t="shared" si="86"/>
        <v>42.150099999999995</v>
      </c>
      <c r="G109" s="97">
        <v>20</v>
      </c>
      <c r="H109" s="88">
        <v>18.850000000000001</v>
      </c>
      <c r="I109" s="89">
        <f t="shared" si="40"/>
        <v>4.45</v>
      </c>
      <c r="J109" s="90">
        <v>17.47</v>
      </c>
      <c r="K109" s="90">
        <f t="shared" si="71"/>
        <v>40.769999999999996</v>
      </c>
      <c r="L109" s="90"/>
      <c r="M109" s="90"/>
      <c r="N109" s="90">
        <v>1.2461</v>
      </c>
      <c r="O109" s="90">
        <v>0.13400000000000001</v>
      </c>
      <c r="P109" s="90">
        <f t="shared" si="84"/>
        <v>1.3801000000000001</v>
      </c>
      <c r="Q109" s="90">
        <f t="shared" si="85"/>
        <v>42.150099999999995</v>
      </c>
      <c r="R109" s="90"/>
      <c r="S109" s="90">
        <f t="shared" si="74"/>
        <v>42.150099999999995</v>
      </c>
      <c r="T109" s="92">
        <f t="shared" si="75"/>
        <v>843.00199999999995</v>
      </c>
      <c r="U109" s="40">
        <f t="shared" si="76"/>
        <v>377</v>
      </c>
      <c r="V109" s="40">
        <f t="shared" si="77"/>
        <v>89</v>
      </c>
      <c r="W109" s="40">
        <f t="shared" si="78"/>
        <v>349.4</v>
      </c>
      <c r="X109" s="40"/>
      <c r="Y109" s="40"/>
      <c r="Z109" s="40">
        <f t="shared" si="79"/>
        <v>24.922000000000001</v>
      </c>
      <c r="AA109" s="40">
        <f t="shared" si="39"/>
        <v>2.68</v>
      </c>
      <c r="AB109" s="93">
        <f t="shared" si="80"/>
        <v>843.00199999999995</v>
      </c>
      <c r="AC109" s="94">
        <v>0</v>
      </c>
      <c r="AD109" s="76">
        <f t="shared" si="81"/>
        <v>843.00199999999995</v>
      </c>
      <c r="AE109" s="95"/>
      <c r="AF109" s="95"/>
      <c r="AG109" s="95"/>
    </row>
    <row r="110" spans="1:33" ht="40.5" customHeight="1" x14ac:dyDescent="0.2">
      <c r="A110" s="84" t="s">
        <v>113</v>
      </c>
      <c r="B110" s="160" t="s">
        <v>292</v>
      </c>
      <c r="C110" s="85" t="s">
        <v>237</v>
      </c>
      <c r="D110" s="37">
        <v>39.610100000000003</v>
      </c>
      <c r="E110" s="86">
        <v>0</v>
      </c>
      <c r="F110" s="38">
        <f t="shared" si="86"/>
        <v>39.610100000000003</v>
      </c>
      <c r="G110" s="97">
        <v>20</v>
      </c>
      <c r="H110" s="88">
        <v>18.850000000000001</v>
      </c>
      <c r="I110" s="89">
        <f t="shared" si="40"/>
        <v>4.45</v>
      </c>
      <c r="J110" s="90">
        <v>14.93</v>
      </c>
      <c r="K110" s="90">
        <f t="shared" si="71"/>
        <v>38.230000000000004</v>
      </c>
      <c r="L110" s="90"/>
      <c r="M110" s="90"/>
      <c r="N110" s="90">
        <v>1.2461</v>
      </c>
      <c r="O110" s="90">
        <v>0.13400000000000001</v>
      </c>
      <c r="P110" s="90">
        <f t="shared" si="84"/>
        <v>1.3801000000000001</v>
      </c>
      <c r="Q110" s="90">
        <f t="shared" si="85"/>
        <v>39.610100000000003</v>
      </c>
      <c r="R110" s="90"/>
      <c r="S110" s="90">
        <f t="shared" si="74"/>
        <v>39.610100000000003</v>
      </c>
      <c r="T110" s="92">
        <f t="shared" si="75"/>
        <v>792.202</v>
      </c>
      <c r="U110" s="40">
        <f t="shared" si="76"/>
        <v>377</v>
      </c>
      <c r="V110" s="40">
        <f t="shared" si="77"/>
        <v>89</v>
      </c>
      <c r="W110" s="40">
        <f t="shared" si="78"/>
        <v>298.60000000000002</v>
      </c>
      <c r="X110" s="40"/>
      <c r="Y110" s="40"/>
      <c r="Z110" s="40">
        <f t="shared" si="79"/>
        <v>24.922000000000001</v>
      </c>
      <c r="AA110" s="40">
        <f t="shared" si="39"/>
        <v>2.68</v>
      </c>
      <c r="AB110" s="93">
        <f t="shared" si="80"/>
        <v>792.202</v>
      </c>
      <c r="AC110" s="94">
        <v>0</v>
      </c>
      <c r="AD110" s="76">
        <f t="shared" si="81"/>
        <v>792.202</v>
      </c>
      <c r="AE110" s="95"/>
      <c r="AF110" s="95"/>
      <c r="AG110" s="95"/>
    </row>
    <row r="111" spans="1:33" ht="63.75" x14ac:dyDescent="0.2">
      <c r="A111" s="84" t="s">
        <v>114</v>
      </c>
      <c r="B111" s="160" t="s">
        <v>53</v>
      </c>
      <c r="C111" s="85" t="s">
        <v>237</v>
      </c>
      <c r="D111" s="37">
        <v>34.490099999999998</v>
      </c>
      <c r="E111" s="86">
        <v>0</v>
      </c>
      <c r="F111" s="38">
        <f t="shared" si="86"/>
        <v>34.490099999999998</v>
      </c>
      <c r="G111" s="97">
        <v>20</v>
      </c>
      <c r="H111" s="88">
        <v>18.850000000000001</v>
      </c>
      <c r="I111" s="89">
        <f t="shared" si="40"/>
        <v>4.45</v>
      </c>
      <c r="J111" s="90">
        <v>9.81</v>
      </c>
      <c r="K111" s="90">
        <f t="shared" si="71"/>
        <v>33.11</v>
      </c>
      <c r="L111" s="90"/>
      <c r="M111" s="90"/>
      <c r="N111" s="90">
        <v>1.2461</v>
      </c>
      <c r="O111" s="90">
        <v>0.13400000000000001</v>
      </c>
      <c r="P111" s="90">
        <f t="shared" si="84"/>
        <v>1.3801000000000001</v>
      </c>
      <c r="Q111" s="90">
        <f t="shared" si="85"/>
        <v>34.490099999999998</v>
      </c>
      <c r="R111" s="90"/>
      <c r="S111" s="90">
        <f t="shared" si="74"/>
        <v>34.490099999999998</v>
      </c>
      <c r="T111" s="92">
        <f t="shared" si="75"/>
        <v>689.80200000000002</v>
      </c>
      <c r="U111" s="40">
        <f t="shared" si="76"/>
        <v>377</v>
      </c>
      <c r="V111" s="40">
        <f t="shared" si="77"/>
        <v>89</v>
      </c>
      <c r="W111" s="40">
        <f t="shared" si="78"/>
        <v>196.20000000000002</v>
      </c>
      <c r="X111" s="40"/>
      <c r="Y111" s="40"/>
      <c r="Z111" s="40">
        <f t="shared" si="79"/>
        <v>24.922000000000001</v>
      </c>
      <c r="AA111" s="40">
        <f t="shared" ref="AA111:AA172" si="87">O111*G111</f>
        <v>2.68</v>
      </c>
      <c r="AB111" s="93">
        <f t="shared" si="80"/>
        <v>689.80200000000002</v>
      </c>
      <c r="AC111" s="94">
        <v>0</v>
      </c>
      <c r="AD111" s="76">
        <f t="shared" si="81"/>
        <v>689.80200000000002</v>
      </c>
      <c r="AE111" s="95"/>
      <c r="AF111" s="95"/>
      <c r="AG111" s="95"/>
    </row>
    <row r="112" spans="1:33" ht="63.75" x14ac:dyDescent="0.2">
      <c r="A112" s="102" t="s">
        <v>115</v>
      </c>
      <c r="B112" s="160" t="s">
        <v>55</v>
      </c>
      <c r="C112" s="85" t="s">
        <v>237</v>
      </c>
      <c r="D112" s="37">
        <v>48.4801</v>
      </c>
      <c r="E112" s="86">
        <v>0</v>
      </c>
      <c r="F112" s="38">
        <f t="shared" si="86"/>
        <v>48.4801</v>
      </c>
      <c r="G112" s="97">
        <v>20</v>
      </c>
      <c r="H112" s="88">
        <v>18.850000000000001</v>
      </c>
      <c r="I112" s="89">
        <f t="shared" si="40"/>
        <v>4.45</v>
      </c>
      <c r="J112" s="90">
        <v>23.8</v>
      </c>
      <c r="K112" s="90">
        <f t="shared" si="71"/>
        <v>47.1</v>
      </c>
      <c r="L112" s="90"/>
      <c r="M112" s="90"/>
      <c r="N112" s="90">
        <v>1.2461</v>
      </c>
      <c r="O112" s="90">
        <v>0.13400000000000001</v>
      </c>
      <c r="P112" s="90">
        <f t="shared" si="84"/>
        <v>1.3801000000000001</v>
      </c>
      <c r="Q112" s="90">
        <f t="shared" si="85"/>
        <v>48.4801</v>
      </c>
      <c r="R112" s="90"/>
      <c r="S112" s="90">
        <f t="shared" si="74"/>
        <v>48.4801</v>
      </c>
      <c r="T112" s="92">
        <f t="shared" si="75"/>
        <v>969.60199999999998</v>
      </c>
      <c r="U112" s="40">
        <f t="shared" si="76"/>
        <v>377</v>
      </c>
      <c r="V112" s="40">
        <f t="shared" si="77"/>
        <v>89</v>
      </c>
      <c r="W112" s="40">
        <f t="shared" si="78"/>
        <v>476</v>
      </c>
      <c r="X112" s="40"/>
      <c r="Y112" s="40"/>
      <c r="Z112" s="40">
        <f t="shared" si="79"/>
        <v>24.922000000000001</v>
      </c>
      <c r="AA112" s="40">
        <f t="shared" si="87"/>
        <v>2.68</v>
      </c>
      <c r="AB112" s="93">
        <f t="shared" si="80"/>
        <v>969.60199999999998</v>
      </c>
      <c r="AC112" s="94">
        <v>0</v>
      </c>
      <c r="AD112" s="76">
        <f t="shared" si="81"/>
        <v>969.60199999999998</v>
      </c>
      <c r="AE112" s="95"/>
      <c r="AF112" s="95"/>
      <c r="AG112" s="95"/>
    </row>
    <row r="113" spans="1:33" ht="51" x14ac:dyDescent="0.2">
      <c r="A113" s="84" t="s">
        <v>116</v>
      </c>
      <c r="B113" s="160" t="s">
        <v>177</v>
      </c>
      <c r="C113" s="85" t="s">
        <v>237</v>
      </c>
      <c r="D113" s="37">
        <v>26.790099999999999</v>
      </c>
      <c r="E113" s="86">
        <v>0</v>
      </c>
      <c r="F113" s="38">
        <f t="shared" si="86"/>
        <v>26.790099999999999</v>
      </c>
      <c r="G113" s="97">
        <v>60</v>
      </c>
      <c r="H113" s="88">
        <v>18.850000000000001</v>
      </c>
      <c r="I113" s="89">
        <f t="shared" si="40"/>
        <v>4.45</v>
      </c>
      <c r="J113" s="90">
        <v>2.11</v>
      </c>
      <c r="K113" s="90">
        <f t="shared" si="71"/>
        <v>25.41</v>
      </c>
      <c r="L113" s="90"/>
      <c r="M113" s="90"/>
      <c r="N113" s="90">
        <v>1.2461</v>
      </c>
      <c r="O113" s="90">
        <v>0.13400000000000001</v>
      </c>
      <c r="P113" s="90">
        <f t="shared" si="84"/>
        <v>1.3801000000000001</v>
      </c>
      <c r="Q113" s="90">
        <f t="shared" si="85"/>
        <v>26.790099999999999</v>
      </c>
      <c r="R113" s="90"/>
      <c r="S113" s="90">
        <f t="shared" si="74"/>
        <v>26.790099999999999</v>
      </c>
      <c r="T113" s="92">
        <f t="shared" si="75"/>
        <v>1607.4059999999999</v>
      </c>
      <c r="U113" s="40">
        <f t="shared" si="76"/>
        <v>1131</v>
      </c>
      <c r="V113" s="40">
        <f t="shared" si="77"/>
        <v>267</v>
      </c>
      <c r="W113" s="40">
        <f t="shared" si="78"/>
        <v>126.6</v>
      </c>
      <c r="X113" s="40"/>
      <c r="Y113" s="40"/>
      <c r="Z113" s="40">
        <f t="shared" si="79"/>
        <v>74.766000000000005</v>
      </c>
      <c r="AA113" s="40">
        <f t="shared" si="87"/>
        <v>8.0400000000000009</v>
      </c>
      <c r="AB113" s="93">
        <f t="shared" si="80"/>
        <v>1607.4059999999999</v>
      </c>
      <c r="AC113" s="94">
        <v>0</v>
      </c>
      <c r="AD113" s="76">
        <f t="shared" si="81"/>
        <v>1607.4059999999999</v>
      </c>
      <c r="AE113" s="95"/>
      <c r="AF113" s="95"/>
      <c r="AG113" s="95"/>
    </row>
    <row r="114" spans="1:33" ht="25.5" x14ac:dyDescent="0.2">
      <c r="A114" s="84" t="s">
        <v>117</v>
      </c>
      <c r="B114" s="160" t="s">
        <v>65</v>
      </c>
      <c r="C114" s="85" t="s">
        <v>237</v>
      </c>
      <c r="D114" s="37">
        <v>20.210100000000001</v>
      </c>
      <c r="E114" s="86">
        <v>0</v>
      </c>
      <c r="F114" s="38">
        <f t="shared" si="86"/>
        <v>20.210100000000001</v>
      </c>
      <c r="G114" s="97">
        <v>5</v>
      </c>
      <c r="H114" s="88">
        <v>13.85</v>
      </c>
      <c r="I114" s="89">
        <f t="shared" si="40"/>
        <v>3.27</v>
      </c>
      <c r="J114" s="90">
        <v>1.71</v>
      </c>
      <c r="K114" s="90">
        <f t="shared" si="71"/>
        <v>18.830000000000002</v>
      </c>
      <c r="L114" s="90"/>
      <c r="M114" s="90"/>
      <c r="N114" s="90">
        <v>1.2461</v>
      </c>
      <c r="O114" s="90">
        <v>0.13400000000000001</v>
      </c>
      <c r="P114" s="90">
        <f t="shared" si="84"/>
        <v>1.3801000000000001</v>
      </c>
      <c r="Q114" s="90">
        <f t="shared" si="85"/>
        <v>20.210100000000001</v>
      </c>
      <c r="R114" s="90"/>
      <c r="S114" s="90">
        <f t="shared" si="74"/>
        <v>20.210100000000001</v>
      </c>
      <c r="T114" s="92">
        <f t="shared" si="75"/>
        <v>101.0505</v>
      </c>
      <c r="U114" s="40">
        <f t="shared" si="76"/>
        <v>69.25</v>
      </c>
      <c r="V114" s="40">
        <f t="shared" si="77"/>
        <v>16.350000000000001</v>
      </c>
      <c r="W114" s="40">
        <f t="shared" si="78"/>
        <v>8.5500000000000007</v>
      </c>
      <c r="X114" s="40"/>
      <c r="Y114" s="40"/>
      <c r="Z114" s="40">
        <f t="shared" si="79"/>
        <v>6.2305000000000001</v>
      </c>
      <c r="AA114" s="40">
        <f t="shared" si="87"/>
        <v>0.67</v>
      </c>
      <c r="AB114" s="93">
        <f t="shared" si="80"/>
        <v>101.0505</v>
      </c>
      <c r="AC114" s="94">
        <v>0</v>
      </c>
      <c r="AD114" s="76">
        <f t="shared" si="81"/>
        <v>101.0505</v>
      </c>
      <c r="AE114" s="95"/>
      <c r="AF114" s="95"/>
      <c r="AG114" s="95"/>
    </row>
    <row r="115" spans="1:33" ht="28.5" customHeight="1" x14ac:dyDescent="0.2">
      <c r="A115" s="84" t="s">
        <v>118</v>
      </c>
      <c r="B115" s="160" t="s">
        <v>211</v>
      </c>
      <c r="C115" s="85" t="s">
        <v>237</v>
      </c>
      <c r="D115" s="37">
        <v>27.0901</v>
      </c>
      <c r="E115" s="86">
        <v>0</v>
      </c>
      <c r="F115" s="38">
        <f t="shared" si="86"/>
        <v>27.0901</v>
      </c>
      <c r="G115" s="97">
        <v>5</v>
      </c>
      <c r="H115" s="88">
        <v>16.350000000000001</v>
      </c>
      <c r="I115" s="89">
        <f t="shared" si="40"/>
        <v>3.86</v>
      </c>
      <c r="J115" s="90">
        <v>5.5</v>
      </c>
      <c r="K115" s="90">
        <f t="shared" si="71"/>
        <v>25.71</v>
      </c>
      <c r="L115" s="90"/>
      <c r="M115" s="90"/>
      <c r="N115" s="90">
        <v>1.2461</v>
      </c>
      <c r="O115" s="90">
        <v>0.13400000000000001</v>
      </c>
      <c r="P115" s="90">
        <f t="shared" si="84"/>
        <v>1.3801000000000001</v>
      </c>
      <c r="Q115" s="90">
        <f t="shared" si="85"/>
        <v>27.0901</v>
      </c>
      <c r="R115" s="90"/>
      <c r="S115" s="90">
        <f t="shared" si="74"/>
        <v>27.0901</v>
      </c>
      <c r="T115" s="92">
        <f t="shared" si="75"/>
        <v>135.45050000000001</v>
      </c>
      <c r="U115" s="40">
        <f t="shared" si="76"/>
        <v>81.75</v>
      </c>
      <c r="V115" s="40">
        <f t="shared" si="77"/>
        <v>19.3</v>
      </c>
      <c r="W115" s="40">
        <f t="shared" si="78"/>
        <v>27.5</v>
      </c>
      <c r="X115" s="40"/>
      <c r="Y115" s="40"/>
      <c r="Z115" s="40">
        <f t="shared" si="79"/>
        <v>6.2305000000000001</v>
      </c>
      <c r="AA115" s="40">
        <f t="shared" si="87"/>
        <v>0.67</v>
      </c>
      <c r="AB115" s="93">
        <f t="shared" si="80"/>
        <v>135.45050000000001</v>
      </c>
      <c r="AC115" s="94">
        <v>0</v>
      </c>
      <c r="AD115" s="76">
        <f t="shared" si="81"/>
        <v>135.45050000000001</v>
      </c>
      <c r="AE115" s="95"/>
      <c r="AF115" s="95"/>
      <c r="AG115" s="95"/>
    </row>
    <row r="116" spans="1:33" ht="25.5" x14ac:dyDescent="0.2">
      <c r="A116" s="84" t="s">
        <v>119</v>
      </c>
      <c r="B116" s="160" t="s">
        <v>69</v>
      </c>
      <c r="C116" s="85" t="s">
        <v>237</v>
      </c>
      <c r="D116" s="37">
        <v>24.3401</v>
      </c>
      <c r="E116" s="86">
        <v>0</v>
      </c>
      <c r="F116" s="38">
        <f t="shared" si="86"/>
        <v>24.3401</v>
      </c>
      <c r="G116" s="97">
        <v>5</v>
      </c>
      <c r="H116" s="88">
        <v>13.85</v>
      </c>
      <c r="I116" s="89">
        <f t="shared" si="40"/>
        <v>3.27</v>
      </c>
      <c r="J116" s="90">
        <v>5.84</v>
      </c>
      <c r="K116" s="90">
        <f t="shared" si="71"/>
        <v>22.96</v>
      </c>
      <c r="L116" s="90"/>
      <c r="M116" s="90"/>
      <c r="N116" s="90">
        <v>1.2461</v>
      </c>
      <c r="O116" s="90">
        <v>0.13400000000000001</v>
      </c>
      <c r="P116" s="90">
        <f t="shared" si="84"/>
        <v>1.3801000000000001</v>
      </c>
      <c r="Q116" s="90">
        <f t="shared" si="85"/>
        <v>24.3401</v>
      </c>
      <c r="R116" s="90"/>
      <c r="S116" s="90">
        <f t="shared" si="74"/>
        <v>24.3401</v>
      </c>
      <c r="T116" s="92">
        <f t="shared" si="75"/>
        <v>121.70050000000001</v>
      </c>
      <c r="U116" s="40">
        <f t="shared" si="76"/>
        <v>69.25</v>
      </c>
      <c r="V116" s="40">
        <f t="shared" si="77"/>
        <v>16.350000000000001</v>
      </c>
      <c r="W116" s="40">
        <f t="shared" si="78"/>
        <v>29.2</v>
      </c>
      <c r="X116" s="40"/>
      <c r="Y116" s="40"/>
      <c r="Z116" s="40">
        <f t="shared" si="79"/>
        <v>6.2305000000000001</v>
      </c>
      <c r="AA116" s="40">
        <f t="shared" si="87"/>
        <v>0.67</v>
      </c>
      <c r="AB116" s="93">
        <f t="shared" si="80"/>
        <v>121.70050000000001</v>
      </c>
      <c r="AC116" s="94">
        <v>0</v>
      </c>
      <c r="AD116" s="76">
        <f t="shared" si="81"/>
        <v>121.70050000000001</v>
      </c>
      <c r="AE116" s="95"/>
      <c r="AF116" s="95"/>
      <c r="AG116" s="95"/>
    </row>
    <row r="117" spans="1:33" ht="102" x14ac:dyDescent="0.2">
      <c r="A117" s="105" t="s">
        <v>120</v>
      </c>
      <c r="B117" s="162" t="s">
        <v>178</v>
      </c>
      <c r="C117" s="78"/>
      <c r="D117" s="111"/>
      <c r="E117" s="106"/>
      <c r="F117" s="112"/>
      <c r="G117" s="108"/>
      <c r="H117" s="113"/>
      <c r="I117" s="113"/>
      <c r="J117" s="113"/>
      <c r="K117" s="113"/>
      <c r="L117" s="113"/>
      <c r="M117" s="113"/>
      <c r="N117" s="113"/>
      <c r="O117" s="113"/>
      <c r="P117" s="113"/>
      <c r="Q117" s="113"/>
      <c r="R117" s="113"/>
      <c r="S117" s="113"/>
      <c r="T117" s="113"/>
      <c r="U117" s="113"/>
      <c r="V117" s="113"/>
      <c r="W117" s="113"/>
      <c r="X117" s="113"/>
      <c r="Y117" s="113"/>
      <c r="Z117" s="113"/>
      <c r="AA117" s="113"/>
      <c r="AB117" s="113"/>
      <c r="AC117" s="114"/>
      <c r="AD117" s="114"/>
      <c r="AE117" s="95"/>
      <c r="AF117" s="95"/>
      <c r="AG117" s="95"/>
    </row>
    <row r="118" spans="1:33" ht="38.25" x14ac:dyDescent="0.2">
      <c r="A118" s="33" t="s">
        <v>121</v>
      </c>
      <c r="B118" s="161" t="s">
        <v>25</v>
      </c>
      <c r="C118" s="85" t="s">
        <v>237</v>
      </c>
      <c r="D118" s="37">
        <v>23.790100000000002</v>
      </c>
      <c r="E118" s="86">
        <v>0</v>
      </c>
      <c r="F118" s="38">
        <f t="shared" si="86"/>
        <v>23.790100000000002</v>
      </c>
      <c r="G118" s="97">
        <v>5</v>
      </c>
      <c r="H118" s="88">
        <v>16.559999999999999</v>
      </c>
      <c r="I118" s="89">
        <f t="shared" si="40"/>
        <v>3.91</v>
      </c>
      <c r="J118" s="90">
        <v>1.94</v>
      </c>
      <c r="K118" s="90">
        <f t="shared" si="58"/>
        <v>22.41</v>
      </c>
      <c r="L118" s="90"/>
      <c r="M118" s="90"/>
      <c r="N118" s="90">
        <v>1.2461</v>
      </c>
      <c r="O118" s="90">
        <v>0.13400000000000001</v>
      </c>
      <c r="P118" s="90">
        <f t="shared" ref="P118" si="88">SUM(L118:O118)</f>
        <v>1.3801000000000001</v>
      </c>
      <c r="Q118" s="90">
        <f t="shared" ref="Q118" si="89">SUM(K118+P118)</f>
        <v>23.790099999999999</v>
      </c>
      <c r="R118" s="90"/>
      <c r="S118" s="90">
        <f t="shared" ref="S118:S130" si="90">SUM(K118:O118)</f>
        <v>23.790099999999999</v>
      </c>
      <c r="T118" s="92">
        <f t="shared" ref="T118:T130" si="91">SUM(U118:AA118)</f>
        <v>118.95050000000001</v>
      </c>
      <c r="U118" s="40">
        <f t="shared" ref="U118:U130" si="92">H118*G118</f>
        <v>82.8</v>
      </c>
      <c r="V118" s="40">
        <f t="shared" ref="V118:V130" si="93">I118*G118</f>
        <v>19.55</v>
      </c>
      <c r="W118" s="40">
        <f t="shared" ref="W118:W130" si="94">J118*G118</f>
        <v>9.6999999999999993</v>
      </c>
      <c r="X118" s="40"/>
      <c r="Y118" s="40"/>
      <c r="Z118" s="40">
        <f t="shared" ref="Z118:Z130" si="95">N118*G118</f>
        <v>6.2305000000000001</v>
      </c>
      <c r="AA118" s="40">
        <f t="shared" si="87"/>
        <v>0.67</v>
      </c>
      <c r="AB118" s="93">
        <f t="shared" ref="AB118:AB130" si="96">SUM(U118:AA118)</f>
        <v>118.95050000000001</v>
      </c>
      <c r="AC118" s="94">
        <v>0</v>
      </c>
      <c r="AD118" s="76">
        <f t="shared" ref="AD118:AD130" si="97">SUM(AB118:AC118)</f>
        <v>118.95050000000001</v>
      </c>
      <c r="AE118" s="95"/>
      <c r="AF118" s="95"/>
      <c r="AG118" s="95"/>
    </row>
    <row r="119" spans="1:33" ht="39.75" customHeight="1" x14ac:dyDescent="0.2">
      <c r="A119" s="100" t="s">
        <v>122</v>
      </c>
      <c r="B119" s="161" t="s">
        <v>29</v>
      </c>
      <c r="C119" s="85" t="s">
        <v>237</v>
      </c>
      <c r="D119" s="37">
        <v>33.810100000000006</v>
      </c>
      <c r="E119" s="86">
        <v>0</v>
      </c>
      <c r="F119" s="38">
        <f t="shared" si="86"/>
        <v>33.810100000000006</v>
      </c>
      <c r="G119" s="97">
        <v>50</v>
      </c>
      <c r="H119" s="88">
        <v>22.16</v>
      </c>
      <c r="I119" s="89">
        <f t="shared" si="40"/>
        <v>5.23</v>
      </c>
      <c r="J119" s="90">
        <v>5.04</v>
      </c>
      <c r="K119" s="90">
        <f t="shared" si="58"/>
        <v>32.43</v>
      </c>
      <c r="L119" s="90"/>
      <c r="M119" s="90"/>
      <c r="N119" s="90">
        <v>1.2461</v>
      </c>
      <c r="O119" s="90">
        <v>0.13400000000000001</v>
      </c>
      <c r="P119" s="90">
        <f t="shared" ref="P119:P130" si="98">SUM(L119:O119)</f>
        <v>1.3801000000000001</v>
      </c>
      <c r="Q119" s="90">
        <f t="shared" ref="Q119:Q130" si="99">SUM(K119+P119)</f>
        <v>33.810099999999998</v>
      </c>
      <c r="R119" s="90"/>
      <c r="S119" s="90">
        <f t="shared" si="90"/>
        <v>33.810099999999998</v>
      </c>
      <c r="T119" s="92">
        <f t="shared" si="91"/>
        <v>1690.5050000000001</v>
      </c>
      <c r="U119" s="40">
        <f t="shared" si="92"/>
        <v>1108</v>
      </c>
      <c r="V119" s="40">
        <f t="shared" si="93"/>
        <v>261.5</v>
      </c>
      <c r="W119" s="40">
        <f t="shared" si="94"/>
        <v>252</v>
      </c>
      <c r="X119" s="40"/>
      <c r="Y119" s="40"/>
      <c r="Z119" s="40">
        <f t="shared" si="95"/>
        <v>62.305</v>
      </c>
      <c r="AA119" s="40">
        <f t="shared" si="87"/>
        <v>6.7</v>
      </c>
      <c r="AB119" s="93">
        <f t="shared" si="96"/>
        <v>1690.5050000000001</v>
      </c>
      <c r="AC119" s="94">
        <v>0</v>
      </c>
      <c r="AD119" s="76">
        <f t="shared" si="97"/>
        <v>1690.5050000000001</v>
      </c>
      <c r="AE119" s="95"/>
      <c r="AF119" s="95"/>
      <c r="AG119" s="95"/>
    </row>
    <row r="120" spans="1:33" ht="15.75" customHeight="1" x14ac:dyDescent="0.2">
      <c r="A120" s="84" t="s">
        <v>123</v>
      </c>
      <c r="B120" s="161" t="s">
        <v>35</v>
      </c>
      <c r="C120" s="85" t="s">
        <v>237</v>
      </c>
      <c r="D120" s="37">
        <v>29.430099999999999</v>
      </c>
      <c r="E120" s="86">
        <v>0</v>
      </c>
      <c r="F120" s="38">
        <f t="shared" si="86"/>
        <v>29.430099999999999</v>
      </c>
      <c r="G120" s="97">
        <v>5</v>
      </c>
      <c r="H120" s="88">
        <v>22.16</v>
      </c>
      <c r="I120" s="89">
        <f t="shared" si="40"/>
        <v>5.23</v>
      </c>
      <c r="J120" s="90">
        <v>0.66</v>
      </c>
      <c r="K120" s="90">
        <f t="shared" si="58"/>
        <v>28.05</v>
      </c>
      <c r="L120" s="90"/>
      <c r="M120" s="90"/>
      <c r="N120" s="90">
        <v>1.2461</v>
      </c>
      <c r="O120" s="90">
        <v>0.13400000000000001</v>
      </c>
      <c r="P120" s="90">
        <f t="shared" si="98"/>
        <v>1.3801000000000001</v>
      </c>
      <c r="Q120" s="90">
        <f t="shared" si="99"/>
        <v>29.430099999999999</v>
      </c>
      <c r="R120" s="90"/>
      <c r="S120" s="90">
        <f t="shared" si="90"/>
        <v>29.430099999999999</v>
      </c>
      <c r="T120" s="92">
        <f t="shared" si="91"/>
        <v>147.15049999999999</v>
      </c>
      <c r="U120" s="40">
        <f t="shared" si="92"/>
        <v>110.8</v>
      </c>
      <c r="V120" s="40">
        <f t="shared" si="93"/>
        <v>26.150000000000002</v>
      </c>
      <c r="W120" s="40">
        <f t="shared" si="94"/>
        <v>3.3000000000000003</v>
      </c>
      <c r="X120" s="40"/>
      <c r="Y120" s="40"/>
      <c r="Z120" s="40">
        <f t="shared" si="95"/>
        <v>6.2305000000000001</v>
      </c>
      <c r="AA120" s="40">
        <f t="shared" si="87"/>
        <v>0.67</v>
      </c>
      <c r="AB120" s="93">
        <f t="shared" si="96"/>
        <v>147.15049999999999</v>
      </c>
      <c r="AC120" s="94">
        <v>0</v>
      </c>
      <c r="AD120" s="76">
        <f t="shared" si="97"/>
        <v>147.15049999999999</v>
      </c>
      <c r="AE120" s="95"/>
      <c r="AF120" s="95"/>
      <c r="AG120" s="95"/>
    </row>
    <row r="121" spans="1:33" ht="25.5" x14ac:dyDescent="0.2">
      <c r="A121" s="84" t="s">
        <v>124</v>
      </c>
      <c r="B121" s="160" t="s">
        <v>37</v>
      </c>
      <c r="C121" s="85" t="s">
        <v>237</v>
      </c>
      <c r="D121" s="37">
        <v>34.270099999999999</v>
      </c>
      <c r="E121" s="86">
        <v>0</v>
      </c>
      <c r="F121" s="38">
        <f t="shared" si="86"/>
        <v>34.270099999999999</v>
      </c>
      <c r="G121" s="97">
        <v>50</v>
      </c>
      <c r="H121" s="88">
        <v>22.16</v>
      </c>
      <c r="I121" s="89">
        <f t="shared" si="40"/>
        <v>5.23</v>
      </c>
      <c r="J121" s="90">
        <v>5.5</v>
      </c>
      <c r="K121" s="90">
        <f t="shared" si="58"/>
        <v>32.89</v>
      </c>
      <c r="L121" s="90"/>
      <c r="M121" s="90"/>
      <c r="N121" s="90">
        <v>1.2461</v>
      </c>
      <c r="O121" s="90">
        <v>0.13400000000000001</v>
      </c>
      <c r="P121" s="90">
        <f t="shared" si="98"/>
        <v>1.3801000000000001</v>
      </c>
      <c r="Q121" s="90">
        <f t="shared" si="99"/>
        <v>34.270099999999999</v>
      </c>
      <c r="R121" s="90"/>
      <c r="S121" s="90">
        <f t="shared" si="90"/>
        <v>34.270099999999999</v>
      </c>
      <c r="T121" s="92">
        <f t="shared" si="91"/>
        <v>1713.5050000000001</v>
      </c>
      <c r="U121" s="40">
        <f t="shared" si="92"/>
        <v>1108</v>
      </c>
      <c r="V121" s="40">
        <f t="shared" si="93"/>
        <v>261.5</v>
      </c>
      <c r="W121" s="40">
        <f t="shared" si="94"/>
        <v>275</v>
      </c>
      <c r="X121" s="40"/>
      <c r="Y121" s="40"/>
      <c r="Z121" s="40">
        <f t="shared" si="95"/>
        <v>62.305</v>
      </c>
      <c r="AA121" s="40">
        <f t="shared" si="87"/>
        <v>6.7</v>
      </c>
      <c r="AB121" s="93">
        <f t="shared" si="96"/>
        <v>1713.5050000000001</v>
      </c>
      <c r="AC121" s="94">
        <v>0</v>
      </c>
      <c r="AD121" s="76">
        <f t="shared" si="97"/>
        <v>1713.5050000000001</v>
      </c>
      <c r="AE121" s="95"/>
      <c r="AF121" s="95"/>
      <c r="AG121" s="95"/>
    </row>
    <row r="122" spans="1:33" ht="39.75" customHeight="1" x14ac:dyDescent="0.2">
      <c r="A122" s="84" t="s">
        <v>125</v>
      </c>
      <c r="B122" s="160" t="s">
        <v>47</v>
      </c>
      <c r="C122" s="85" t="s">
        <v>237</v>
      </c>
      <c r="D122" s="37">
        <v>33.420100000000005</v>
      </c>
      <c r="E122" s="86">
        <v>0</v>
      </c>
      <c r="F122" s="38">
        <f t="shared" si="86"/>
        <v>33.420100000000005</v>
      </c>
      <c r="G122" s="97">
        <v>5</v>
      </c>
      <c r="H122" s="88">
        <v>22.16</v>
      </c>
      <c r="I122" s="89">
        <f t="shared" si="40"/>
        <v>5.23</v>
      </c>
      <c r="J122" s="90">
        <v>4.6500000000000004</v>
      </c>
      <c r="K122" s="90">
        <f t="shared" si="58"/>
        <v>32.04</v>
      </c>
      <c r="L122" s="90"/>
      <c r="M122" s="90"/>
      <c r="N122" s="90">
        <v>1.2461</v>
      </c>
      <c r="O122" s="90">
        <v>0.13400000000000001</v>
      </c>
      <c r="P122" s="90">
        <f t="shared" si="98"/>
        <v>1.3801000000000001</v>
      </c>
      <c r="Q122" s="90">
        <f t="shared" si="99"/>
        <v>33.420099999999998</v>
      </c>
      <c r="R122" s="90"/>
      <c r="S122" s="90">
        <f t="shared" si="90"/>
        <v>33.420099999999998</v>
      </c>
      <c r="T122" s="92">
        <f t="shared" si="91"/>
        <v>167.10049999999998</v>
      </c>
      <c r="U122" s="40">
        <f t="shared" si="92"/>
        <v>110.8</v>
      </c>
      <c r="V122" s="40">
        <f t="shared" si="93"/>
        <v>26.150000000000002</v>
      </c>
      <c r="W122" s="40">
        <f t="shared" si="94"/>
        <v>23.25</v>
      </c>
      <c r="X122" s="40"/>
      <c r="Y122" s="40"/>
      <c r="Z122" s="40">
        <f t="shared" si="95"/>
        <v>6.2305000000000001</v>
      </c>
      <c r="AA122" s="40">
        <f t="shared" si="87"/>
        <v>0.67</v>
      </c>
      <c r="AB122" s="93">
        <f t="shared" si="96"/>
        <v>167.10049999999998</v>
      </c>
      <c r="AC122" s="94">
        <v>0</v>
      </c>
      <c r="AD122" s="76">
        <f t="shared" si="97"/>
        <v>167.10049999999998</v>
      </c>
      <c r="AE122" s="95"/>
      <c r="AF122" s="95"/>
      <c r="AG122" s="95"/>
    </row>
    <row r="123" spans="1:33" ht="51" x14ac:dyDescent="0.2">
      <c r="A123" s="84" t="s">
        <v>126</v>
      </c>
      <c r="B123" s="160" t="s">
        <v>50</v>
      </c>
      <c r="C123" s="85" t="s">
        <v>237</v>
      </c>
      <c r="D123" s="37">
        <v>46.240100000000005</v>
      </c>
      <c r="E123" s="86">
        <v>0</v>
      </c>
      <c r="F123" s="38">
        <f t="shared" si="86"/>
        <v>46.240100000000005</v>
      </c>
      <c r="G123" s="97">
        <v>50</v>
      </c>
      <c r="H123" s="88">
        <v>22.16</v>
      </c>
      <c r="I123" s="89">
        <f t="shared" si="40"/>
        <v>5.23</v>
      </c>
      <c r="J123" s="90">
        <v>17.47</v>
      </c>
      <c r="K123" s="90">
        <f t="shared" si="58"/>
        <v>44.86</v>
      </c>
      <c r="L123" s="90"/>
      <c r="M123" s="90"/>
      <c r="N123" s="90">
        <v>1.2461</v>
      </c>
      <c r="O123" s="90">
        <v>0.13400000000000001</v>
      </c>
      <c r="P123" s="90">
        <f t="shared" si="98"/>
        <v>1.3801000000000001</v>
      </c>
      <c r="Q123" s="90">
        <f t="shared" si="99"/>
        <v>46.240099999999998</v>
      </c>
      <c r="R123" s="90"/>
      <c r="S123" s="90">
        <f t="shared" si="90"/>
        <v>46.240099999999998</v>
      </c>
      <c r="T123" s="92">
        <f t="shared" si="91"/>
        <v>2312.0049999999997</v>
      </c>
      <c r="U123" s="40">
        <f t="shared" si="92"/>
        <v>1108</v>
      </c>
      <c r="V123" s="40">
        <f t="shared" si="93"/>
        <v>261.5</v>
      </c>
      <c r="W123" s="40">
        <f t="shared" si="94"/>
        <v>873.5</v>
      </c>
      <c r="X123" s="40"/>
      <c r="Y123" s="40"/>
      <c r="Z123" s="40">
        <f t="shared" si="95"/>
        <v>62.305</v>
      </c>
      <c r="AA123" s="40">
        <f t="shared" si="87"/>
        <v>6.7</v>
      </c>
      <c r="AB123" s="93">
        <f t="shared" si="96"/>
        <v>2312.0049999999997</v>
      </c>
      <c r="AC123" s="94">
        <v>0</v>
      </c>
      <c r="AD123" s="76">
        <f t="shared" si="97"/>
        <v>2312.0049999999997</v>
      </c>
      <c r="AE123" s="95"/>
      <c r="AF123" s="95"/>
      <c r="AG123" s="95"/>
    </row>
    <row r="124" spans="1:33" ht="42.75" customHeight="1" x14ac:dyDescent="0.2">
      <c r="A124" s="84" t="s">
        <v>127</v>
      </c>
      <c r="B124" s="160" t="s">
        <v>292</v>
      </c>
      <c r="C124" s="85" t="s">
        <v>237</v>
      </c>
      <c r="D124" s="37">
        <v>43.700099999999999</v>
      </c>
      <c r="E124" s="86">
        <v>0</v>
      </c>
      <c r="F124" s="38">
        <f t="shared" si="86"/>
        <v>43.700099999999999</v>
      </c>
      <c r="G124" s="97">
        <v>50</v>
      </c>
      <c r="H124" s="88">
        <v>22.16</v>
      </c>
      <c r="I124" s="89">
        <f t="shared" si="40"/>
        <v>5.23</v>
      </c>
      <c r="J124" s="90">
        <v>14.93</v>
      </c>
      <c r="K124" s="90">
        <f t="shared" si="58"/>
        <v>42.32</v>
      </c>
      <c r="L124" s="90"/>
      <c r="M124" s="90"/>
      <c r="N124" s="90">
        <v>1.2461</v>
      </c>
      <c r="O124" s="90">
        <v>0.13400000000000001</v>
      </c>
      <c r="P124" s="90">
        <f t="shared" si="98"/>
        <v>1.3801000000000001</v>
      </c>
      <c r="Q124" s="90">
        <f t="shared" si="99"/>
        <v>43.700099999999999</v>
      </c>
      <c r="R124" s="90"/>
      <c r="S124" s="90">
        <f t="shared" si="90"/>
        <v>43.700099999999999</v>
      </c>
      <c r="T124" s="92">
        <f t="shared" si="91"/>
        <v>2185.0049999999997</v>
      </c>
      <c r="U124" s="40">
        <f t="shared" si="92"/>
        <v>1108</v>
      </c>
      <c r="V124" s="40">
        <f t="shared" si="93"/>
        <v>261.5</v>
      </c>
      <c r="W124" s="40">
        <f t="shared" si="94"/>
        <v>746.5</v>
      </c>
      <c r="X124" s="40"/>
      <c r="Y124" s="40"/>
      <c r="Z124" s="40">
        <f t="shared" si="95"/>
        <v>62.305</v>
      </c>
      <c r="AA124" s="40">
        <f t="shared" si="87"/>
        <v>6.7</v>
      </c>
      <c r="AB124" s="93">
        <f t="shared" si="96"/>
        <v>2185.0049999999997</v>
      </c>
      <c r="AC124" s="94">
        <v>0</v>
      </c>
      <c r="AD124" s="76">
        <f t="shared" si="97"/>
        <v>2185.0049999999997</v>
      </c>
      <c r="AE124" s="95"/>
      <c r="AF124" s="95"/>
      <c r="AG124" s="95"/>
    </row>
    <row r="125" spans="1:33" ht="63.75" x14ac:dyDescent="0.2">
      <c r="A125" s="84" t="s">
        <v>128</v>
      </c>
      <c r="B125" s="160" t="s">
        <v>53</v>
      </c>
      <c r="C125" s="85" t="s">
        <v>237</v>
      </c>
      <c r="D125" s="37">
        <v>38.580100000000002</v>
      </c>
      <c r="E125" s="86">
        <v>0</v>
      </c>
      <c r="F125" s="38">
        <f t="shared" si="86"/>
        <v>38.580100000000002</v>
      </c>
      <c r="G125" s="97">
        <v>5</v>
      </c>
      <c r="H125" s="88">
        <v>22.16</v>
      </c>
      <c r="I125" s="89">
        <f t="shared" ref="I125:I130" si="100">ROUND(H125*0.2359,2)</f>
        <v>5.23</v>
      </c>
      <c r="J125" s="90">
        <v>9.81</v>
      </c>
      <c r="K125" s="90">
        <f t="shared" si="58"/>
        <v>37.200000000000003</v>
      </c>
      <c r="L125" s="90"/>
      <c r="M125" s="90"/>
      <c r="N125" s="90">
        <v>1.2461</v>
      </c>
      <c r="O125" s="90">
        <v>0.13400000000000001</v>
      </c>
      <c r="P125" s="90">
        <f t="shared" si="98"/>
        <v>1.3801000000000001</v>
      </c>
      <c r="Q125" s="90">
        <f t="shared" si="99"/>
        <v>38.580100000000002</v>
      </c>
      <c r="R125" s="90"/>
      <c r="S125" s="90">
        <f t="shared" si="90"/>
        <v>38.580100000000002</v>
      </c>
      <c r="T125" s="92">
        <f t="shared" si="91"/>
        <v>192.90049999999999</v>
      </c>
      <c r="U125" s="40">
        <f t="shared" si="92"/>
        <v>110.8</v>
      </c>
      <c r="V125" s="40">
        <f t="shared" si="93"/>
        <v>26.150000000000002</v>
      </c>
      <c r="W125" s="40">
        <f t="shared" si="94"/>
        <v>49.050000000000004</v>
      </c>
      <c r="X125" s="40"/>
      <c r="Y125" s="40"/>
      <c r="Z125" s="40">
        <f t="shared" si="95"/>
        <v>6.2305000000000001</v>
      </c>
      <c r="AA125" s="40">
        <f t="shared" si="87"/>
        <v>0.67</v>
      </c>
      <c r="AB125" s="93">
        <f t="shared" si="96"/>
        <v>192.90049999999999</v>
      </c>
      <c r="AC125" s="94">
        <v>0</v>
      </c>
      <c r="AD125" s="76">
        <f t="shared" si="97"/>
        <v>192.90049999999999</v>
      </c>
      <c r="AE125" s="95"/>
      <c r="AF125" s="95"/>
      <c r="AG125" s="95"/>
    </row>
    <row r="126" spans="1:33" ht="63.75" x14ac:dyDescent="0.2">
      <c r="A126" s="102" t="s">
        <v>129</v>
      </c>
      <c r="B126" s="160" t="s">
        <v>55</v>
      </c>
      <c r="C126" s="85" t="s">
        <v>237</v>
      </c>
      <c r="D126" s="37">
        <v>52.570100000000004</v>
      </c>
      <c r="E126" s="86">
        <v>0</v>
      </c>
      <c r="F126" s="38">
        <f t="shared" si="86"/>
        <v>52.570100000000004</v>
      </c>
      <c r="G126" s="97">
        <v>5</v>
      </c>
      <c r="H126" s="88">
        <v>22.16</v>
      </c>
      <c r="I126" s="89">
        <f t="shared" si="100"/>
        <v>5.23</v>
      </c>
      <c r="J126" s="90">
        <v>23.8</v>
      </c>
      <c r="K126" s="90">
        <f t="shared" si="58"/>
        <v>51.19</v>
      </c>
      <c r="L126" s="90"/>
      <c r="M126" s="90"/>
      <c r="N126" s="90">
        <v>1.2461</v>
      </c>
      <c r="O126" s="90">
        <v>0.13400000000000001</v>
      </c>
      <c r="P126" s="90">
        <f t="shared" si="98"/>
        <v>1.3801000000000001</v>
      </c>
      <c r="Q126" s="90">
        <f t="shared" si="99"/>
        <v>52.570099999999996</v>
      </c>
      <c r="R126" s="90"/>
      <c r="S126" s="90">
        <f t="shared" si="90"/>
        <v>52.570099999999996</v>
      </c>
      <c r="T126" s="92">
        <f t="shared" si="91"/>
        <v>262.85050000000001</v>
      </c>
      <c r="U126" s="40">
        <f t="shared" si="92"/>
        <v>110.8</v>
      </c>
      <c r="V126" s="40">
        <f t="shared" si="93"/>
        <v>26.150000000000002</v>
      </c>
      <c r="W126" s="40">
        <f t="shared" si="94"/>
        <v>119</v>
      </c>
      <c r="X126" s="40"/>
      <c r="Y126" s="40"/>
      <c r="Z126" s="40">
        <f t="shared" si="95"/>
        <v>6.2305000000000001</v>
      </c>
      <c r="AA126" s="40">
        <f t="shared" si="87"/>
        <v>0.67</v>
      </c>
      <c r="AB126" s="93">
        <f t="shared" si="96"/>
        <v>262.85050000000001</v>
      </c>
      <c r="AC126" s="94">
        <v>0</v>
      </c>
      <c r="AD126" s="76">
        <f t="shared" si="97"/>
        <v>262.85050000000001</v>
      </c>
      <c r="AE126" s="95"/>
      <c r="AF126" s="95"/>
      <c r="AG126" s="95"/>
    </row>
    <row r="127" spans="1:33" ht="51" x14ac:dyDescent="0.2">
      <c r="A127" s="84" t="s">
        <v>130</v>
      </c>
      <c r="B127" s="160" t="s">
        <v>177</v>
      </c>
      <c r="C127" s="85" t="s">
        <v>237</v>
      </c>
      <c r="D127" s="37">
        <v>30.880100000000002</v>
      </c>
      <c r="E127" s="86">
        <v>0</v>
      </c>
      <c r="F127" s="38">
        <f t="shared" si="86"/>
        <v>30.880100000000002</v>
      </c>
      <c r="G127" s="97">
        <v>200</v>
      </c>
      <c r="H127" s="88">
        <v>22.16</v>
      </c>
      <c r="I127" s="89">
        <f t="shared" si="100"/>
        <v>5.23</v>
      </c>
      <c r="J127" s="90">
        <v>2.11</v>
      </c>
      <c r="K127" s="90">
        <f t="shared" si="58"/>
        <v>29.5</v>
      </c>
      <c r="L127" s="90"/>
      <c r="M127" s="90"/>
      <c r="N127" s="90">
        <v>1.2461</v>
      </c>
      <c r="O127" s="90">
        <v>0.13400000000000001</v>
      </c>
      <c r="P127" s="90">
        <f t="shared" si="98"/>
        <v>1.3801000000000001</v>
      </c>
      <c r="Q127" s="90">
        <f t="shared" si="99"/>
        <v>30.880099999999999</v>
      </c>
      <c r="R127" s="90"/>
      <c r="S127" s="90">
        <f t="shared" si="90"/>
        <v>30.880099999999999</v>
      </c>
      <c r="T127" s="92">
        <f t="shared" si="91"/>
        <v>6176.02</v>
      </c>
      <c r="U127" s="40">
        <f t="shared" si="92"/>
        <v>4432</v>
      </c>
      <c r="V127" s="40">
        <f t="shared" si="93"/>
        <v>1046</v>
      </c>
      <c r="W127" s="40">
        <f t="shared" si="94"/>
        <v>422</v>
      </c>
      <c r="X127" s="40"/>
      <c r="Y127" s="40"/>
      <c r="Z127" s="40">
        <f t="shared" si="95"/>
        <v>249.22</v>
      </c>
      <c r="AA127" s="40">
        <f t="shared" si="87"/>
        <v>26.8</v>
      </c>
      <c r="AB127" s="93">
        <f t="shared" si="96"/>
        <v>6176.02</v>
      </c>
      <c r="AC127" s="94">
        <v>0</v>
      </c>
      <c r="AD127" s="76">
        <f t="shared" si="97"/>
        <v>6176.02</v>
      </c>
      <c r="AE127" s="95"/>
      <c r="AF127" s="95"/>
      <c r="AG127" s="95"/>
    </row>
    <row r="128" spans="1:33" ht="25.5" x14ac:dyDescent="0.2">
      <c r="A128" s="84" t="s">
        <v>131</v>
      </c>
      <c r="B128" s="160" t="s">
        <v>65</v>
      </c>
      <c r="C128" s="85" t="s">
        <v>237</v>
      </c>
      <c r="D128" s="37">
        <v>25.530099999999997</v>
      </c>
      <c r="E128" s="86">
        <v>0</v>
      </c>
      <c r="F128" s="38">
        <f t="shared" si="86"/>
        <v>25.530099999999997</v>
      </c>
      <c r="G128" s="97">
        <v>10</v>
      </c>
      <c r="H128" s="88">
        <v>18.16</v>
      </c>
      <c r="I128" s="89">
        <f t="shared" si="100"/>
        <v>4.28</v>
      </c>
      <c r="J128" s="90">
        <v>1.71</v>
      </c>
      <c r="K128" s="90">
        <f t="shared" si="58"/>
        <v>24.150000000000002</v>
      </c>
      <c r="L128" s="90"/>
      <c r="M128" s="90"/>
      <c r="N128" s="90">
        <v>1.2461</v>
      </c>
      <c r="O128" s="90">
        <v>0.13400000000000001</v>
      </c>
      <c r="P128" s="90">
        <f t="shared" si="98"/>
        <v>1.3801000000000001</v>
      </c>
      <c r="Q128" s="90">
        <f t="shared" si="99"/>
        <v>25.530100000000001</v>
      </c>
      <c r="R128" s="90"/>
      <c r="S128" s="90">
        <f t="shared" si="90"/>
        <v>25.530100000000001</v>
      </c>
      <c r="T128" s="92">
        <f t="shared" si="91"/>
        <v>255.30100000000002</v>
      </c>
      <c r="U128" s="40">
        <f t="shared" si="92"/>
        <v>181.6</v>
      </c>
      <c r="V128" s="40">
        <f t="shared" si="93"/>
        <v>42.800000000000004</v>
      </c>
      <c r="W128" s="40">
        <f t="shared" si="94"/>
        <v>17.100000000000001</v>
      </c>
      <c r="X128" s="40"/>
      <c r="Y128" s="40"/>
      <c r="Z128" s="40">
        <f t="shared" si="95"/>
        <v>12.461</v>
      </c>
      <c r="AA128" s="40">
        <f t="shared" si="87"/>
        <v>1.34</v>
      </c>
      <c r="AB128" s="93">
        <f t="shared" si="96"/>
        <v>255.30100000000002</v>
      </c>
      <c r="AC128" s="94">
        <v>0</v>
      </c>
      <c r="AD128" s="76">
        <f t="shared" si="97"/>
        <v>255.30100000000002</v>
      </c>
      <c r="AE128" s="95"/>
      <c r="AF128" s="95"/>
      <c r="AG128" s="95"/>
    </row>
    <row r="129" spans="1:33" ht="27" customHeight="1" x14ac:dyDescent="0.2">
      <c r="A129" s="84" t="s">
        <v>132</v>
      </c>
      <c r="B129" s="160" t="s">
        <v>211</v>
      </c>
      <c r="C129" s="85" t="s">
        <v>237</v>
      </c>
      <c r="D129" s="37">
        <v>31.800099999999997</v>
      </c>
      <c r="E129" s="86">
        <v>0</v>
      </c>
      <c r="F129" s="38">
        <f t="shared" si="86"/>
        <v>31.800099999999997</v>
      </c>
      <c r="G129" s="97">
        <v>5</v>
      </c>
      <c r="H129" s="88">
        <v>20.16</v>
      </c>
      <c r="I129" s="89">
        <f t="shared" si="100"/>
        <v>4.76</v>
      </c>
      <c r="J129" s="90">
        <v>5.5</v>
      </c>
      <c r="K129" s="90">
        <f t="shared" si="58"/>
        <v>30.42</v>
      </c>
      <c r="L129" s="90"/>
      <c r="M129" s="90"/>
      <c r="N129" s="90">
        <v>1.2461</v>
      </c>
      <c r="O129" s="90">
        <v>0.13400000000000001</v>
      </c>
      <c r="P129" s="90">
        <f t="shared" si="98"/>
        <v>1.3801000000000001</v>
      </c>
      <c r="Q129" s="90">
        <f t="shared" si="99"/>
        <v>31.8001</v>
      </c>
      <c r="R129" s="90"/>
      <c r="S129" s="90">
        <f t="shared" si="90"/>
        <v>31.8001</v>
      </c>
      <c r="T129" s="92">
        <f t="shared" si="91"/>
        <v>159.00049999999999</v>
      </c>
      <c r="U129" s="40">
        <f t="shared" si="92"/>
        <v>100.8</v>
      </c>
      <c r="V129" s="40">
        <f t="shared" si="93"/>
        <v>23.799999999999997</v>
      </c>
      <c r="W129" s="40">
        <f t="shared" si="94"/>
        <v>27.5</v>
      </c>
      <c r="X129" s="40"/>
      <c r="Y129" s="40"/>
      <c r="Z129" s="40">
        <f t="shared" si="95"/>
        <v>6.2305000000000001</v>
      </c>
      <c r="AA129" s="40">
        <f t="shared" si="87"/>
        <v>0.67</v>
      </c>
      <c r="AB129" s="93">
        <f t="shared" si="96"/>
        <v>159.00049999999999</v>
      </c>
      <c r="AC129" s="94">
        <v>0</v>
      </c>
      <c r="AD129" s="76">
        <f t="shared" si="97"/>
        <v>159.00049999999999</v>
      </c>
      <c r="AE129" s="95"/>
      <c r="AF129" s="95"/>
      <c r="AG129" s="95"/>
    </row>
    <row r="130" spans="1:33" ht="25.5" x14ac:dyDescent="0.2">
      <c r="A130" s="84" t="s">
        <v>133</v>
      </c>
      <c r="B130" s="160" t="s">
        <v>69</v>
      </c>
      <c r="C130" s="85" t="s">
        <v>237</v>
      </c>
      <c r="D130" s="37">
        <v>29.6601</v>
      </c>
      <c r="E130" s="86">
        <v>0</v>
      </c>
      <c r="F130" s="38">
        <f t="shared" si="86"/>
        <v>29.6601</v>
      </c>
      <c r="G130" s="97">
        <v>5</v>
      </c>
      <c r="H130" s="88">
        <v>18.16</v>
      </c>
      <c r="I130" s="89">
        <f t="shared" si="100"/>
        <v>4.28</v>
      </c>
      <c r="J130" s="90">
        <v>5.84</v>
      </c>
      <c r="K130" s="90">
        <f t="shared" si="58"/>
        <v>28.28</v>
      </c>
      <c r="L130" s="90"/>
      <c r="M130" s="90"/>
      <c r="N130" s="90">
        <v>1.2461</v>
      </c>
      <c r="O130" s="90">
        <v>0.13400000000000001</v>
      </c>
      <c r="P130" s="90">
        <f t="shared" si="98"/>
        <v>1.3801000000000001</v>
      </c>
      <c r="Q130" s="90">
        <f t="shared" si="99"/>
        <v>29.6601</v>
      </c>
      <c r="R130" s="90"/>
      <c r="S130" s="90">
        <f t="shared" si="90"/>
        <v>29.6601</v>
      </c>
      <c r="T130" s="92">
        <f t="shared" si="91"/>
        <v>148.3005</v>
      </c>
      <c r="U130" s="40">
        <f t="shared" si="92"/>
        <v>90.8</v>
      </c>
      <c r="V130" s="40">
        <f t="shared" si="93"/>
        <v>21.400000000000002</v>
      </c>
      <c r="W130" s="40">
        <f t="shared" si="94"/>
        <v>29.2</v>
      </c>
      <c r="X130" s="40"/>
      <c r="Y130" s="40"/>
      <c r="Z130" s="40">
        <f t="shared" si="95"/>
        <v>6.2305000000000001</v>
      </c>
      <c r="AA130" s="40">
        <f t="shared" si="87"/>
        <v>0.67</v>
      </c>
      <c r="AB130" s="93">
        <f t="shared" si="96"/>
        <v>148.3005</v>
      </c>
      <c r="AC130" s="94">
        <v>0</v>
      </c>
      <c r="AD130" s="76">
        <f t="shared" si="97"/>
        <v>148.3005</v>
      </c>
      <c r="AE130" s="95"/>
      <c r="AF130" s="95"/>
      <c r="AG130" s="95"/>
    </row>
    <row r="131" spans="1:33" ht="89.25" x14ac:dyDescent="0.2">
      <c r="A131" s="115" t="s">
        <v>194</v>
      </c>
      <c r="B131" s="162" t="s">
        <v>179</v>
      </c>
      <c r="C131" s="78"/>
      <c r="D131" s="111"/>
      <c r="E131" s="106"/>
      <c r="F131" s="112"/>
      <c r="G131" s="108"/>
      <c r="H131" s="113"/>
      <c r="I131" s="113"/>
      <c r="J131" s="113"/>
      <c r="K131" s="113"/>
      <c r="L131" s="113"/>
      <c r="M131" s="113"/>
      <c r="N131" s="113"/>
      <c r="O131" s="113"/>
      <c r="P131" s="113"/>
      <c r="Q131" s="113"/>
      <c r="R131" s="113"/>
      <c r="S131" s="113"/>
      <c r="T131" s="113"/>
      <c r="U131" s="113"/>
      <c r="V131" s="113"/>
      <c r="W131" s="113"/>
      <c r="X131" s="113"/>
      <c r="Y131" s="113"/>
      <c r="Z131" s="113"/>
      <c r="AA131" s="113"/>
      <c r="AB131" s="113"/>
      <c r="AC131" s="114"/>
      <c r="AD131" s="114"/>
      <c r="AE131" s="95"/>
      <c r="AF131" s="95"/>
      <c r="AG131" s="95"/>
    </row>
    <row r="132" spans="1:33" ht="38.25" x14ac:dyDescent="0.2">
      <c r="A132" s="84" t="s">
        <v>160</v>
      </c>
      <c r="B132" s="161" t="s">
        <v>25</v>
      </c>
      <c r="C132" s="85" t="s">
        <v>237</v>
      </c>
      <c r="D132" s="37">
        <v>24.520099999999999</v>
      </c>
      <c r="E132" s="86">
        <v>0</v>
      </c>
      <c r="F132" s="38">
        <f t="shared" si="86"/>
        <v>24.520099999999999</v>
      </c>
      <c r="G132" s="97">
        <v>5</v>
      </c>
      <c r="H132" s="116">
        <v>17.16</v>
      </c>
      <c r="I132" s="89">
        <f t="shared" ref="I132:I144" si="101">ROUND(H132*0.2359,2)</f>
        <v>4.05</v>
      </c>
      <c r="J132" s="117">
        <v>1.94</v>
      </c>
      <c r="K132" s="90">
        <f t="shared" ref="K132:K144" si="102">SUM(H132:J132)</f>
        <v>23.150000000000002</v>
      </c>
      <c r="L132" s="90"/>
      <c r="M132" s="90"/>
      <c r="N132" s="90">
        <v>1.2461</v>
      </c>
      <c r="O132" s="90">
        <v>0.13400000000000001</v>
      </c>
      <c r="P132" s="90">
        <f t="shared" ref="P132" si="103">SUM(L132:O132)</f>
        <v>1.3801000000000001</v>
      </c>
      <c r="Q132" s="90">
        <f t="shared" ref="Q132" si="104">SUM(K132+P132)</f>
        <v>24.530100000000001</v>
      </c>
      <c r="R132" s="90"/>
      <c r="S132" s="90">
        <f t="shared" ref="S132:S144" si="105">SUM(K132:O132)</f>
        <v>24.530100000000001</v>
      </c>
      <c r="T132" s="92">
        <f t="shared" ref="T132:T144" si="106">SUM(U132:AA132)</f>
        <v>122.65050000000001</v>
      </c>
      <c r="U132" s="40">
        <f t="shared" ref="U132:U144" si="107">H132*G132</f>
        <v>85.8</v>
      </c>
      <c r="V132" s="40">
        <f t="shared" ref="V132:V144" si="108">I132*G132</f>
        <v>20.25</v>
      </c>
      <c r="W132" s="40">
        <f t="shared" ref="W132:W144" si="109">J132*G132</f>
        <v>9.6999999999999993</v>
      </c>
      <c r="X132" s="40"/>
      <c r="Y132" s="40"/>
      <c r="Z132" s="40">
        <f t="shared" ref="Z132:Z144" si="110">N132*G132</f>
        <v>6.2305000000000001</v>
      </c>
      <c r="AA132" s="40">
        <f t="shared" si="87"/>
        <v>0.67</v>
      </c>
      <c r="AB132" s="93">
        <f t="shared" ref="AB132:AB144" si="111">SUM(U132:AA132)</f>
        <v>122.65050000000001</v>
      </c>
      <c r="AC132" s="94">
        <v>0</v>
      </c>
      <c r="AD132" s="76">
        <f t="shared" ref="AD132:AD158" si="112">SUM(AB132:AC132)</f>
        <v>122.65050000000001</v>
      </c>
      <c r="AE132" s="95"/>
      <c r="AF132" s="95"/>
      <c r="AG132" s="95"/>
    </row>
    <row r="133" spans="1:33" ht="39" customHeight="1" x14ac:dyDescent="0.2">
      <c r="A133" s="84" t="s">
        <v>161</v>
      </c>
      <c r="B133" s="161" t="s">
        <v>29</v>
      </c>
      <c r="C133" s="85" t="s">
        <v>237</v>
      </c>
      <c r="D133" s="37">
        <v>36.280099999999997</v>
      </c>
      <c r="E133" s="86">
        <v>0</v>
      </c>
      <c r="F133" s="38">
        <f t="shared" si="86"/>
        <v>36.280099999999997</v>
      </c>
      <c r="G133" s="97">
        <v>10</v>
      </c>
      <c r="H133" s="116">
        <v>24.16</v>
      </c>
      <c r="I133" s="89">
        <f t="shared" si="101"/>
        <v>5.7</v>
      </c>
      <c r="J133" s="117">
        <v>5.04</v>
      </c>
      <c r="K133" s="90">
        <f t="shared" si="102"/>
        <v>34.9</v>
      </c>
      <c r="L133" s="90"/>
      <c r="M133" s="90"/>
      <c r="N133" s="90">
        <v>1.2461</v>
      </c>
      <c r="O133" s="90">
        <v>0.13400000000000001</v>
      </c>
      <c r="P133" s="90">
        <f t="shared" ref="P133:P144" si="113">SUM(L133:O133)</f>
        <v>1.3801000000000001</v>
      </c>
      <c r="Q133" s="90">
        <f t="shared" ref="Q133:Q144" si="114">SUM(K133+P133)</f>
        <v>36.280099999999997</v>
      </c>
      <c r="R133" s="90"/>
      <c r="S133" s="90">
        <f t="shared" si="105"/>
        <v>36.280099999999997</v>
      </c>
      <c r="T133" s="92">
        <f t="shared" si="106"/>
        <v>362.80099999999999</v>
      </c>
      <c r="U133" s="40">
        <f t="shared" si="107"/>
        <v>241.6</v>
      </c>
      <c r="V133" s="40">
        <f t="shared" si="108"/>
        <v>57</v>
      </c>
      <c r="W133" s="40">
        <f t="shared" si="109"/>
        <v>50.4</v>
      </c>
      <c r="X133" s="40"/>
      <c r="Y133" s="40"/>
      <c r="Z133" s="40">
        <f t="shared" si="110"/>
        <v>12.461</v>
      </c>
      <c r="AA133" s="40">
        <f t="shared" si="87"/>
        <v>1.34</v>
      </c>
      <c r="AB133" s="93">
        <f t="shared" si="111"/>
        <v>362.80099999999999</v>
      </c>
      <c r="AC133" s="94">
        <v>0</v>
      </c>
      <c r="AD133" s="76">
        <f t="shared" si="112"/>
        <v>362.80099999999999</v>
      </c>
      <c r="AE133" s="95"/>
      <c r="AF133" s="95"/>
      <c r="AG133" s="95"/>
    </row>
    <row r="134" spans="1:33" ht="15.75" customHeight="1" x14ac:dyDescent="0.2">
      <c r="A134" s="84" t="s">
        <v>162</v>
      </c>
      <c r="B134" s="161" t="s">
        <v>35</v>
      </c>
      <c r="C134" s="85" t="s">
        <v>237</v>
      </c>
      <c r="D134" s="37">
        <v>31.900099999999998</v>
      </c>
      <c r="E134" s="86">
        <v>0</v>
      </c>
      <c r="F134" s="38">
        <f t="shared" si="86"/>
        <v>31.900099999999998</v>
      </c>
      <c r="G134" s="97">
        <v>5</v>
      </c>
      <c r="H134" s="116">
        <v>24.16</v>
      </c>
      <c r="I134" s="89">
        <f t="shared" si="101"/>
        <v>5.7</v>
      </c>
      <c r="J134" s="117">
        <v>0.66</v>
      </c>
      <c r="K134" s="90">
        <f t="shared" si="102"/>
        <v>30.52</v>
      </c>
      <c r="L134" s="90"/>
      <c r="M134" s="90"/>
      <c r="N134" s="90">
        <v>1.2461</v>
      </c>
      <c r="O134" s="90">
        <v>0.13400000000000001</v>
      </c>
      <c r="P134" s="90">
        <f t="shared" si="113"/>
        <v>1.3801000000000001</v>
      </c>
      <c r="Q134" s="90">
        <f t="shared" si="114"/>
        <v>31.900099999999998</v>
      </c>
      <c r="R134" s="90"/>
      <c r="S134" s="90">
        <f t="shared" si="105"/>
        <v>31.900099999999998</v>
      </c>
      <c r="T134" s="92">
        <f t="shared" si="106"/>
        <v>159.50050000000002</v>
      </c>
      <c r="U134" s="40">
        <f t="shared" si="107"/>
        <v>120.8</v>
      </c>
      <c r="V134" s="40">
        <f t="shared" si="108"/>
        <v>28.5</v>
      </c>
      <c r="W134" s="40">
        <f t="shared" si="109"/>
        <v>3.3000000000000003</v>
      </c>
      <c r="X134" s="40"/>
      <c r="Y134" s="40"/>
      <c r="Z134" s="40">
        <f t="shared" si="110"/>
        <v>6.2305000000000001</v>
      </c>
      <c r="AA134" s="40">
        <f t="shared" si="87"/>
        <v>0.67</v>
      </c>
      <c r="AB134" s="93">
        <f t="shared" si="111"/>
        <v>159.50050000000002</v>
      </c>
      <c r="AC134" s="94">
        <v>0</v>
      </c>
      <c r="AD134" s="76">
        <f t="shared" si="112"/>
        <v>159.50050000000002</v>
      </c>
      <c r="AE134" s="95"/>
      <c r="AF134" s="95"/>
      <c r="AG134" s="95"/>
    </row>
    <row r="135" spans="1:33" ht="25.5" x14ac:dyDescent="0.2">
      <c r="A135" s="84" t="s">
        <v>163</v>
      </c>
      <c r="B135" s="160" t="s">
        <v>37</v>
      </c>
      <c r="C135" s="85" t="s">
        <v>237</v>
      </c>
      <c r="D135" s="37">
        <v>36.740099999999998</v>
      </c>
      <c r="E135" s="86">
        <v>0</v>
      </c>
      <c r="F135" s="38">
        <f t="shared" si="86"/>
        <v>36.740099999999998</v>
      </c>
      <c r="G135" s="97">
        <v>10</v>
      </c>
      <c r="H135" s="116">
        <v>24.16</v>
      </c>
      <c r="I135" s="89">
        <f t="shared" si="101"/>
        <v>5.7</v>
      </c>
      <c r="J135" s="117">
        <v>5.5</v>
      </c>
      <c r="K135" s="90">
        <f t="shared" si="102"/>
        <v>35.36</v>
      </c>
      <c r="L135" s="90"/>
      <c r="M135" s="90"/>
      <c r="N135" s="90">
        <v>1.2461</v>
      </c>
      <c r="O135" s="90">
        <v>0.13400000000000001</v>
      </c>
      <c r="P135" s="90">
        <f t="shared" si="113"/>
        <v>1.3801000000000001</v>
      </c>
      <c r="Q135" s="90">
        <f t="shared" si="114"/>
        <v>36.740099999999998</v>
      </c>
      <c r="R135" s="90"/>
      <c r="S135" s="90">
        <f t="shared" si="105"/>
        <v>36.740099999999998</v>
      </c>
      <c r="T135" s="92">
        <f t="shared" si="106"/>
        <v>367.40100000000001</v>
      </c>
      <c r="U135" s="40">
        <f t="shared" si="107"/>
        <v>241.6</v>
      </c>
      <c r="V135" s="40">
        <f t="shared" si="108"/>
        <v>57</v>
      </c>
      <c r="W135" s="40">
        <f t="shared" si="109"/>
        <v>55</v>
      </c>
      <c r="X135" s="40"/>
      <c r="Y135" s="40"/>
      <c r="Z135" s="40">
        <f t="shared" si="110"/>
        <v>12.461</v>
      </c>
      <c r="AA135" s="40">
        <f t="shared" si="87"/>
        <v>1.34</v>
      </c>
      <c r="AB135" s="93">
        <f t="shared" si="111"/>
        <v>367.40100000000001</v>
      </c>
      <c r="AC135" s="94">
        <v>0</v>
      </c>
      <c r="AD135" s="76">
        <f t="shared" si="112"/>
        <v>367.40100000000001</v>
      </c>
      <c r="AE135" s="95"/>
      <c r="AF135" s="95"/>
      <c r="AG135" s="95"/>
    </row>
    <row r="136" spans="1:33" ht="39.75" customHeight="1" x14ac:dyDescent="0.2">
      <c r="A136" s="84" t="s">
        <v>164</v>
      </c>
      <c r="B136" s="160" t="s">
        <v>47</v>
      </c>
      <c r="C136" s="85" t="s">
        <v>237</v>
      </c>
      <c r="D136" s="37">
        <v>35.890100000000004</v>
      </c>
      <c r="E136" s="86">
        <v>0</v>
      </c>
      <c r="F136" s="38">
        <f t="shared" si="86"/>
        <v>35.890100000000004</v>
      </c>
      <c r="G136" s="97">
        <v>5</v>
      </c>
      <c r="H136" s="116">
        <v>24.16</v>
      </c>
      <c r="I136" s="89">
        <f t="shared" si="101"/>
        <v>5.7</v>
      </c>
      <c r="J136" s="117">
        <v>4.6500000000000004</v>
      </c>
      <c r="K136" s="90">
        <f t="shared" si="102"/>
        <v>34.51</v>
      </c>
      <c r="L136" s="90"/>
      <c r="M136" s="90"/>
      <c r="N136" s="90">
        <v>1.2461</v>
      </c>
      <c r="O136" s="90">
        <v>0.13400000000000001</v>
      </c>
      <c r="P136" s="90">
        <f t="shared" si="113"/>
        <v>1.3801000000000001</v>
      </c>
      <c r="Q136" s="90">
        <f t="shared" si="114"/>
        <v>35.890099999999997</v>
      </c>
      <c r="R136" s="90"/>
      <c r="S136" s="90">
        <f t="shared" si="105"/>
        <v>35.890099999999997</v>
      </c>
      <c r="T136" s="92">
        <f t="shared" si="106"/>
        <v>179.45050000000001</v>
      </c>
      <c r="U136" s="40">
        <f t="shared" si="107"/>
        <v>120.8</v>
      </c>
      <c r="V136" s="40">
        <f t="shared" si="108"/>
        <v>28.5</v>
      </c>
      <c r="W136" s="40">
        <f t="shared" si="109"/>
        <v>23.25</v>
      </c>
      <c r="X136" s="40"/>
      <c r="Y136" s="40"/>
      <c r="Z136" s="40">
        <f t="shared" si="110"/>
        <v>6.2305000000000001</v>
      </c>
      <c r="AA136" s="40">
        <f t="shared" si="87"/>
        <v>0.67</v>
      </c>
      <c r="AB136" s="93">
        <f t="shared" si="111"/>
        <v>179.45050000000001</v>
      </c>
      <c r="AC136" s="94">
        <v>0</v>
      </c>
      <c r="AD136" s="76">
        <f t="shared" si="112"/>
        <v>179.45050000000001</v>
      </c>
      <c r="AE136" s="95"/>
      <c r="AF136" s="95"/>
      <c r="AG136" s="95"/>
    </row>
    <row r="137" spans="1:33" ht="51" x14ac:dyDescent="0.2">
      <c r="A137" s="84" t="s">
        <v>165</v>
      </c>
      <c r="B137" s="160" t="s">
        <v>50</v>
      </c>
      <c r="C137" s="85" t="s">
        <v>237</v>
      </c>
      <c r="D137" s="37">
        <v>48.710099999999997</v>
      </c>
      <c r="E137" s="86">
        <v>0</v>
      </c>
      <c r="F137" s="38">
        <f t="shared" si="86"/>
        <v>48.710099999999997</v>
      </c>
      <c r="G137" s="97">
        <v>10</v>
      </c>
      <c r="H137" s="88">
        <v>24.16</v>
      </c>
      <c r="I137" s="89">
        <f t="shared" si="101"/>
        <v>5.7</v>
      </c>
      <c r="J137" s="90">
        <v>17.47</v>
      </c>
      <c r="K137" s="90">
        <f t="shared" si="102"/>
        <v>47.33</v>
      </c>
      <c r="L137" s="90"/>
      <c r="M137" s="90"/>
      <c r="N137" s="90">
        <v>1.2461</v>
      </c>
      <c r="O137" s="90">
        <v>0.13400000000000001</v>
      </c>
      <c r="P137" s="90">
        <f t="shared" si="113"/>
        <v>1.3801000000000001</v>
      </c>
      <c r="Q137" s="90">
        <f t="shared" si="114"/>
        <v>48.710099999999997</v>
      </c>
      <c r="R137" s="90"/>
      <c r="S137" s="90">
        <f t="shared" si="105"/>
        <v>48.710099999999997</v>
      </c>
      <c r="T137" s="92">
        <f t="shared" si="106"/>
        <v>487.101</v>
      </c>
      <c r="U137" s="40">
        <f t="shared" si="107"/>
        <v>241.6</v>
      </c>
      <c r="V137" s="40">
        <f t="shared" si="108"/>
        <v>57</v>
      </c>
      <c r="W137" s="40">
        <f t="shared" si="109"/>
        <v>174.7</v>
      </c>
      <c r="X137" s="40"/>
      <c r="Y137" s="40"/>
      <c r="Z137" s="40">
        <f t="shared" si="110"/>
        <v>12.461</v>
      </c>
      <c r="AA137" s="40">
        <f t="shared" si="87"/>
        <v>1.34</v>
      </c>
      <c r="AB137" s="93">
        <f t="shared" si="111"/>
        <v>487.101</v>
      </c>
      <c r="AC137" s="94">
        <v>0</v>
      </c>
      <c r="AD137" s="76">
        <f t="shared" si="112"/>
        <v>487.101</v>
      </c>
      <c r="AE137" s="95"/>
      <c r="AF137" s="95"/>
      <c r="AG137" s="95"/>
    </row>
    <row r="138" spans="1:33" ht="42" customHeight="1" x14ac:dyDescent="0.2">
      <c r="A138" s="84" t="s">
        <v>166</v>
      </c>
      <c r="B138" s="160" t="s">
        <v>292</v>
      </c>
      <c r="C138" s="85" t="s">
        <v>237</v>
      </c>
      <c r="D138" s="37">
        <v>46.170100000000005</v>
      </c>
      <c r="E138" s="86">
        <v>0</v>
      </c>
      <c r="F138" s="38">
        <f t="shared" si="86"/>
        <v>46.170100000000005</v>
      </c>
      <c r="G138" s="97">
        <v>10</v>
      </c>
      <c r="H138" s="88">
        <v>24.16</v>
      </c>
      <c r="I138" s="89">
        <f t="shared" si="101"/>
        <v>5.7</v>
      </c>
      <c r="J138" s="90">
        <v>14.93</v>
      </c>
      <c r="K138" s="90">
        <f t="shared" si="102"/>
        <v>44.79</v>
      </c>
      <c r="L138" s="90"/>
      <c r="M138" s="90"/>
      <c r="N138" s="90">
        <v>1.2461</v>
      </c>
      <c r="O138" s="90">
        <v>0.13400000000000001</v>
      </c>
      <c r="P138" s="90">
        <f t="shared" si="113"/>
        <v>1.3801000000000001</v>
      </c>
      <c r="Q138" s="90">
        <f t="shared" si="114"/>
        <v>46.170099999999998</v>
      </c>
      <c r="R138" s="90"/>
      <c r="S138" s="90">
        <f t="shared" si="105"/>
        <v>46.170099999999998</v>
      </c>
      <c r="T138" s="92">
        <f t="shared" si="106"/>
        <v>461.70100000000002</v>
      </c>
      <c r="U138" s="40">
        <f t="shared" si="107"/>
        <v>241.6</v>
      </c>
      <c r="V138" s="40">
        <f t="shared" si="108"/>
        <v>57</v>
      </c>
      <c r="W138" s="40">
        <f t="shared" si="109"/>
        <v>149.30000000000001</v>
      </c>
      <c r="X138" s="40"/>
      <c r="Y138" s="40"/>
      <c r="Z138" s="40">
        <f t="shared" si="110"/>
        <v>12.461</v>
      </c>
      <c r="AA138" s="40">
        <f t="shared" si="87"/>
        <v>1.34</v>
      </c>
      <c r="AB138" s="93">
        <f t="shared" si="111"/>
        <v>461.70100000000002</v>
      </c>
      <c r="AC138" s="94">
        <v>0</v>
      </c>
      <c r="AD138" s="76">
        <f t="shared" si="112"/>
        <v>461.70100000000002</v>
      </c>
      <c r="AE138" s="95"/>
      <c r="AF138" s="95"/>
      <c r="AG138" s="95"/>
    </row>
    <row r="139" spans="1:33" ht="63.75" x14ac:dyDescent="0.2">
      <c r="A139" s="84" t="s">
        <v>172</v>
      </c>
      <c r="B139" s="160" t="s">
        <v>53</v>
      </c>
      <c r="C139" s="85" t="s">
        <v>237</v>
      </c>
      <c r="D139" s="37">
        <v>41.05</v>
      </c>
      <c r="E139" s="86">
        <v>0</v>
      </c>
      <c r="F139" s="38">
        <f t="shared" si="86"/>
        <v>41.05</v>
      </c>
      <c r="G139" s="97">
        <v>5</v>
      </c>
      <c r="H139" s="88">
        <v>24.16</v>
      </c>
      <c r="I139" s="89">
        <f t="shared" si="101"/>
        <v>5.7</v>
      </c>
      <c r="J139" s="90">
        <v>9.81</v>
      </c>
      <c r="K139" s="90">
        <f t="shared" si="102"/>
        <v>39.67</v>
      </c>
      <c r="L139" s="90"/>
      <c r="M139" s="90"/>
      <c r="N139" s="90">
        <v>1.2461</v>
      </c>
      <c r="O139" s="90">
        <v>0.13400000000000001</v>
      </c>
      <c r="P139" s="90">
        <f t="shared" si="113"/>
        <v>1.3801000000000001</v>
      </c>
      <c r="Q139" s="90">
        <f t="shared" si="114"/>
        <v>41.0501</v>
      </c>
      <c r="R139" s="90"/>
      <c r="S139" s="90">
        <f t="shared" si="105"/>
        <v>41.0501</v>
      </c>
      <c r="T139" s="92">
        <f t="shared" si="106"/>
        <v>205.25050000000002</v>
      </c>
      <c r="U139" s="40">
        <f t="shared" si="107"/>
        <v>120.8</v>
      </c>
      <c r="V139" s="40">
        <f t="shared" si="108"/>
        <v>28.5</v>
      </c>
      <c r="W139" s="40">
        <f t="shared" si="109"/>
        <v>49.050000000000004</v>
      </c>
      <c r="X139" s="40"/>
      <c r="Y139" s="40"/>
      <c r="Z139" s="40">
        <f t="shared" si="110"/>
        <v>6.2305000000000001</v>
      </c>
      <c r="AA139" s="40">
        <f t="shared" si="87"/>
        <v>0.67</v>
      </c>
      <c r="AB139" s="93">
        <f t="shared" si="111"/>
        <v>205.25050000000002</v>
      </c>
      <c r="AC139" s="94">
        <v>0</v>
      </c>
      <c r="AD139" s="76">
        <f t="shared" si="112"/>
        <v>205.25050000000002</v>
      </c>
      <c r="AE139" s="95"/>
      <c r="AF139" s="95"/>
      <c r="AG139" s="95"/>
    </row>
    <row r="140" spans="1:33" ht="63.75" x14ac:dyDescent="0.2">
      <c r="A140" s="84" t="s">
        <v>171</v>
      </c>
      <c r="B140" s="160" t="s">
        <v>55</v>
      </c>
      <c r="C140" s="85" t="s">
        <v>237</v>
      </c>
      <c r="D140" s="37">
        <v>55.040099999999995</v>
      </c>
      <c r="E140" s="86">
        <v>0</v>
      </c>
      <c r="F140" s="38">
        <f t="shared" si="86"/>
        <v>55.040099999999995</v>
      </c>
      <c r="G140" s="97">
        <v>5</v>
      </c>
      <c r="H140" s="88">
        <v>24.16</v>
      </c>
      <c r="I140" s="89">
        <f t="shared" si="101"/>
        <v>5.7</v>
      </c>
      <c r="J140" s="90">
        <v>23.8</v>
      </c>
      <c r="K140" s="90">
        <f t="shared" si="102"/>
        <v>53.66</v>
      </c>
      <c r="L140" s="90"/>
      <c r="M140" s="90"/>
      <c r="N140" s="90">
        <v>1.2461</v>
      </c>
      <c r="O140" s="90">
        <v>0.13400000000000001</v>
      </c>
      <c r="P140" s="90">
        <f t="shared" si="113"/>
        <v>1.3801000000000001</v>
      </c>
      <c r="Q140" s="90">
        <f t="shared" si="114"/>
        <v>55.040099999999995</v>
      </c>
      <c r="R140" s="90"/>
      <c r="S140" s="90">
        <f t="shared" si="105"/>
        <v>55.040099999999995</v>
      </c>
      <c r="T140" s="92">
        <f t="shared" si="106"/>
        <v>275.20050000000003</v>
      </c>
      <c r="U140" s="40">
        <f t="shared" si="107"/>
        <v>120.8</v>
      </c>
      <c r="V140" s="40">
        <f t="shared" si="108"/>
        <v>28.5</v>
      </c>
      <c r="W140" s="40">
        <f t="shared" si="109"/>
        <v>119</v>
      </c>
      <c r="X140" s="40"/>
      <c r="Y140" s="40"/>
      <c r="Z140" s="40">
        <f t="shared" si="110"/>
        <v>6.2305000000000001</v>
      </c>
      <c r="AA140" s="40">
        <f t="shared" si="87"/>
        <v>0.67</v>
      </c>
      <c r="AB140" s="93">
        <f t="shared" si="111"/>
        <v>275.20050000000003</v>
      </c>
      <c r="AC140" s="94">
        <v>0</v>
      </c>
      <c r="AD140" s="76">
        <f t="shared" si="112"/>
        <v>275.20050000000003</v>
      </c>
      <c r="AE140" s="95"/>
      <c r="AF140" s="95"/>
      <c r="AG140" s="95"/>
    </row>
    <row r="141" spans="1:33" ht="51" x14ac:dyDescent="0.2">
      <c r="A141" s="84" t="s">
        <v>170</v>
      </c>
      <c r="B141" s="160" t="s">
        <v>177</v>
      </c>
      <c r="C141" s="85" t="s">
        <v>237</v>
      </c>
      <c r="D141" s="37">
        <v>33.350100000000005</v>
      </c>
      <c r="E141" s="86">
        <v>0</v>
      </c>
      <c r="F141" s="38">
        <f t="shared" si="86"/>
        <v>33.350100000000005</v>
      </c>
      <c r="G141" s="97">
        <v>30</v>
      </c>
      <c r="H141" s="88">
        <v>24.16</v>
      </c>
      <c r="I141" s="89">
        <f t="shared" si="101"/>
        <v>5.7</v>
      </c>
      <c r="J141" s="90">
        <v>2.11</v>
      </c>
      <c r="K141" s="90">
        <f t="shared" si="102"/>
        <v>31.97</v>
      </c>
      <c r="L141" s="90"/>
      <c r="M141" s="90"/>
      <c r="N141" s="90">
        <v>1.2461</v>
      </c>
      <c r="O141" s="90">
        <v>0.13400000000000001</v>
      </c>
      <c r="P141" s="90">
        <f t="shared" si="113"/>
        <v>1.3801000000000001</v>
      </c>
      <c r="Q141" s="90">
        <f t="shared" si="114"/>
        <v>33.350099999999998</v>
      </c>
      <c r="R141" s="90"/>
      <c r="S141" s="90">
        <f t="shared" si="105"/>
        <v>33.350099999999998</v>
      </c>
      <c r="T141" s="92">
        <f t="shared" si="106"/>
        <v>1000.5029999999999</v>
      </c>
      <c r="U141" s="40">
        <f t="shared" si="107"/>
        <v>724.8</v>
      </c>
      <c r="V141" s="40">
        <f t="shared" si="108"/>
        <v>171</v>
      </c>
      <c r="W141" s="40">
        <f t="shared" si="109"/>
        <v>63.3</v>
      </c>
      <c r="X141" s="40"/>
      <c r="Y141" s="40"/>
      <c r="Z141" s="40">
        <f t="shared" si="110"/>
        <v>37.383000000000003</v>
      </c>
      <c r="AA141" s="40">
        <f t="shared" si="87"/>
        <v>4.0200000000000005</v>
      </c>
      <c r="AB141" s="93">
        <f t="shared" si="111"/>
        <v>1000.5029999999999</v>
      </c>
      <c r="AC141" s="94">
        <v>0</v>
      </c>
      <c r="AD141" s="76">
        <f t="shared" si="112"/>
        <v>1000.5029999999999</v>
      </c>
      <c r="AE141" s="95"/>
      <c r="AF141" s="95"/>
      <c r="AG141" s="95"/>
    </row>
    <row r="142" spans="1:33" ht="25.5" x14ac:dyDescent="0.2">
      <c r="A142" s="84" t="s">
        <v>169</v>
      </c>
      <c r="B142" s="160" t="s">
        <v>65</v>
      </c>
      <c r="C142" s="85" t="s">
        <v>237</v>
      </c>
      <c r="D142" s="37">
        <v>26.770100000000003</v>
      </c>
      <c r="E142" s="86">
        <v>0</v>
      </c>
      <c r="F142" s="38">
        <f t="shared" si="86"/>
        <v>26.770100000000003</v>
      </c>
      <c r="G142" s="97">
        <v>5</v>
      </c>
      <c r="H142" s="88">
        <v>19.16</v>
      </c>
      <c r="I142" s="89">
        <f t="shared" si="101"/>
        <v>4.5199999999999996</v>
      </c>
      <c r="J142" s="90">
        <v>1.71</v>
      </c>
      <c r="K142" s="90">
        <f t="shared" si="102"/>
        <v>25.39</v>
      </c>
      <c r="L142" s="90"/>
      <c r="M142" s="90"/>
      <c r="N142" s="90">
        <v>1.2461</v>
      </c>
      <c r="O142" s="90">
        <v>0.13400000000000001</v>
      </c>
      <c r="P142" s="90">
        <f t="shared" si="113"/>
        <v>1.3801000000000001</v>
      </c>
      <c r="Q142" s="90">
        <f t="shared" si="114"/>
        <v>26.770099999999999</v>
      </c>
      <c r="R142" s="90"/>
      <c r="S142" s="90">
        <f t="shared" si="105"/>
        <v>26.770099999999999</v>
      </c>
      <c r="T142" s="92">
        <f t="shared" si="106"/>
        <v>133.85049999999998</v>
      </c>
      <c r="U142" s="40">
        <f t="shared" si="107"/>
        <v>95.8</v>
      </c>
      <c r="V142" s="40">
        <f t="shared" si="108"/>
        <v>22.599999999999998</v>
      </c>
      <c r="W142" s="40">
        <f t="shared" si="109"/>
        <v>8.5500000000000007</v>
      </c>
      <c r="X142" s="40"/>
      <c r="Y142" s="40"/>
      <c r="Z142" s="40">
        <f t="shared" si="110"/>
        <v>6.2305000000000001</v>
      </c>
      <c r="AA142" s="40">
        <f t="shared" si="87"/>
        <v>0.67</v>
      </c>
      <c r="AB142" s="93">
        <f t="shared" si="111"/>
        <v>133.85049999999998</v>
      </c>
      <c r="AC142" s="94">
        <v>0</v>
      </c>
      <c r="AD142" s="76">
        <f t="shared" si="112"/>
        <v>133.85049999999998</v>
      </c>
      <c r="AE142" s="95"/>
      <c r="AF142" s="95"/>
      <c r="AG142" s="95"/>
    </row>
    <row r="143" spans="1:33" ht="27" customHeight="1" x14ac:dyDescent="0.2">
      <c r="A143" s="84" t="s">
        <v>168</v>
      </c>
      <c r="B143" s="160" t="s">
        <v>211</v>
      </c>
      <c r="C143" s="85" t="s">
        <v>237</v>
      </c>
      <c r="D143" s="37">
        <v>33.65</v>
      </c>
      <c r="E143" s="86">
        <v>0</v>
      </c>
      <c r="F143" s="38">
        <f t="shared" si="86"/>
        <v>33.65</v>
      </c>
      <c r="G143" s="97">
        <v>5</v>
      </c>
      <c r="H143" s="88">
        <v>21.66</v>
      </c>
      <c r="I143" s="89">
        <f t="shared" si="101"/>
        <v>5.1100000000000003</v>
      </c>
      <c r="J143" s="90">
        <v>5.5</v>
      </c>
      <c r="K143" s="90">
        <f t="shared" si="102"/>
        <v>32.269999999999996</v>
      </c>
      <c r="L143" s="90"/>
      <c r="M143" s="90"/>
      <c r="N143" s="90">
        <v>1.2461</v>
      </c>
      <c r="O143" s="90">
        <v>0.13400000000000001</v>
      </c>
      <c r="P143" s="90">
        <f t="shared" si="113"/>
        <v>1.3801000000000001</v>
      </c>
      <c r="Q143" s="90">
        <f t="shared" si="114"/>
        <v>33.650099999999995</v>
      </c>
      <c r="R143" s="90"/>
      <c r="S143" s="90">
        <f t="shared" si="105"/>
        <v>33.650099999999995</v>
      </c>
      <c r="T143" s="92">
        <f t="shared" si="106"/>
        <v>168.25049999999999</v>
      </c>
      <c r="U143" s="40">
        <f t="shared" si="107"/>
        <v>108.3</v>
      </c>
      <c r="V143" s="40">
        <f t="shared" si="108"/>
        <v>25.55</v>
      </c>
      <c r="W143" s="40">
        <f t="shared" si="109"/>
        <v>27.5</v>
      </c>
      <c r="X143" s="40"/>
      <c r="Y143" s="40"/>
      <c r="Z143" s="40">
        <f t="shared" si="110"/>
        <v>6.2305000000000001</v>
      </c>
      <c r="AA143" s="40">
        <f t="shared" si="87"/>
        <v>0.67</v>
      </c>
      <c r="AB143" s="93">
        <f>SUM(U143:AA143)</f>
        <v>168.25049999999999</v>
      </c>
      <c r="AC143" s="94">
        <v>0</v>
      </c>
      <c r="AD143" s="76">
        <f>SUM(AB143:AC143)</f>
        <v>168.25049999999999</v>
      </c>
      <c r="AE143" s="95"/>
      <c r="AF143" s="95"/>
      <c r="AG143" s="95"/>
    </row>
    <row r="144" spans="1:33" ht="25.5" x14ac:dyDescent="0.2">
      <c r="A144" s="84" t="s">
        <v>167</v>
      </c>
      <c r="B144" s="160" t="s">
        <v>69</v>
      </c>
      <c r="C144" s="85" t="s">
        <v>237</v>
      </c>
      <c r="D144" s="37">
        <v>30.900099999999998</v>
      </c>
      <c r="E144" s="86">
        <v>0</v>
      </c>
      <c r="F144" s="38">
        <f t="shared" si="86"/>
        <v>30.900099999999998</v>
      </c>
      <c r="G144" s="97">
        <v>5</v>
      </c>
      <c r="H144" s="88">
        <v>19.16</v>
      </c>
      <c r="I144" s="89">
        <f t="shared" si="101"/>
        <v>4.5199999999999996</v>
      </c>
      <c r="J144" s="90">
        <v>5.84</v>
      </c>
      <c r="K144" s="90">
        <f t="shared" si="102"/>
        <v>29.52</v>
      </c>
      <c r="L144" s="90"/>
      <c r="M144" s="90"/>
      <c r="N144" s="90">
        <v>1.2461</v>
      </c>
      <c r="O144" s="90">
        <v>0.13400000000000001</v>
      </c>
      <c r="P144" s="90">
        <f t="shared" si="113"/>
        <v>1.3801000000000001</v>
      </c>
      <c r="Q144" s="90">
        <f t="shared" si="114"/>
        <v>30.900099999999998</v>
      </c>
      <c r="R144" s="90"/>
      <c r="S144" s="90">
        <f t="shared" si="105"/>
        <v>30.900099999999998</v>
      </c>
      <c r="T144" s="92">
        <f t="shared" si="106"/>
        <v>154.50049999999999</v>
      </c>
      <c r="U144" s="40">
        <f t="shared" si="107"/>
        <v>95.8</v>
      </c>
      <c r="V144" s="40">
        <f t="shared" si="108"/>
        <v>22.599999999999998</v>
      </c>
      <c r="W144" s="40">
        <f t="shared" si="109"/>
        <v>29.2</v>
      </c>
      <c r="X144" s="40"/>
      <c r="Y144" s="40"/>
      <c r="Z144" s="40">
        <f t="shared" si="110"/>
        <v>6.2305000000000001</v>
      </c>
      <c r="AA144" s="40">
        <f t="shared" si="87"/>
        <v>0.67</v>
      </c>
      <c r="AB144" s="93">
        <f t="shared" si="111"/>
        <v>154.50049999999999</v>
      </c>
      <c r="AC144" s="94">
        <v>0</v>
      </c>
      <c r="AD144" s="76">
        <f t="shared" si="112"/>
        <v>154.50049999999999</v>
      </c>
      <c r="AE144" s="95"/>
      <c r="AF144" s="95"/>
      <c r="AG144" s="95"/>
    </row>
    <row r="145" spans="1:33" ht="89.25" x14ac:dyDescent="0.2">
      <c r="A145" s="105" t="s">
        <v>195</v>
      </c>
      <c r="B145" s="162" t="s">
        <v>193</v>
      </c>
      <c r="C145" s="78"/>
      <c r="D145" s="111"/>
      <c r="E145" s="106"/>
      <c r="F145" s="112"/>
      <c r="G145" s="108"/>
      <c r="H145" s="113"/>
      <c r="I145" s="113"/>
      <c r="J145" s="113"/>
      <c r="K145" s="113"/>
      <c r="L145" s="113"/>
      <c r="M145" s="113"/>
      <c r="N145" s="113"/>
      <c r="O145" s="113"/>
      <c r="P145" s="113"/>
      <c r="Q145" s="113"/>
      <c r="R145" s="113"/>
      <c r="S145" s="113"/>
      <c r="T145" s="113"/>
      <c r="U145" s="113"/>
      <c r="V145" s="113"/>
      <c r="W145" s="113"/>
      <c r="X145" s="113"/>
      <c r="Y145" s="113"/>
      <c r="Z145" s="113"/>
      <c r="AA145" s="113"/>
      <c r="AB145" s="113"/>
      <c r="AC145" s="114"/>
      <c r="AD145" s="82"/>
      <c r="AE145" s="95"/>
      <c r="AF145" s="95"/>
      <c r="AG145" s="95"/>
    </row>
    <row r="146" spans="1:33" ht="38.25" x14ac:dyDescent="0.2">
      <c r="A146" s="84" t="s">
        <v>180</v>
      </c>
      <c r="B146" s="161" t="s">
        <v>25</v>
      </c>
      <c r="C146" s="85" t="s">
        <v>237</v>
      </c>
      <c r="D146" s="37">
        <v>42.470100000000002</v>
      </c>
      <c r="E146" s="86">
        <v>0</v>
      </c>
      <c r="F146" s="38">
        <f t="shared" si="86"/>
        <v>42.470100000000002</v>
      </c>
      <c r="G146" s="97">
        <v>5</v>
      </c>
      <c r="H146" s="88">
        <v>31.68</v>
      </c>
      <c r="I146" s="89">
        <f t="shared" ref="I146:I158" si="115">ROUND(H146*0.2359,2)</f>
        <v>7.47</v>
      </c>
      <c r="J146" s="90">
        <v>1.94</v>
      </c>
      <c r="K146" s="90">
        <f t="shared" ref="K146:K158" si="116">SUM(H146:J146)</f>
        <v>41.089999999999996</v>
      </c>
      <c r="L146" s="90"/>
      <c r="M146" s="90"/>
      <c r="N146" s="90">
        <v>1.2461</v>
      </c>
      <c r="O146" s="90">
        <v>0.13400000000000001</v>
      </c>
      <c r="P146" s="90">
        <f t="shared" ref="P146" si="117">SUM(L146:O146)</f>
        <v>1.3801000000000001</v>
      </c>
      <c r="Q146" s="90">
        <f t="shared" ref="Q146" si="118">SUM(K146+P146)</f>
        <v>42.470099999999995</v>
      </c>
      <c r="R146" s="90"/>
      <c r="S146" s="90">
        <f t="shared" ref="S146:S158" si="119">SUM(K146:O146)</f>
        <v>42.470099999999995</v>
      </c>
      <c r="T146" s="92">
        <f t="shared" ref="T146:T158" si="120">SUM(U146:AA146)</f>
        <v>212.35049999999998</v>
      </c>
      <c r="U146" s="40">
        <f t="shared" ref="U146:U158" si="121">H146*G146</f>
        <v>158.4</v>
      </c>
      <c r="V146" s="40">
        <f t="shared" ref="V146:V158" si="122">I146*G146</f>
        <v>37.35</v>
      </c>
      <c r="W146" s="40">
        <f t="shared" ref="W146:W158" si="123">J146*G146</f>
        <v>9.6999999999999993</v>
      </c>
      <c r="X146" s="40"/>
      <c r="Y146" s="40"/>
      <c r="Z146" s="40">
        <f t="shared" ref="Z146:Z158" si="124">N146*G146</f>
        <v>6.2305000000000001</v>
      </c>
      <c r="AA146" s="40">
        <f t="shared" si="87"/>
        <v>0.67</v>
      </c>
      <c r="AB146" s="93">
        <f t="shared" ref="AB146:AB158" si="125">SUM(U146:AA146)</f>
        <v>212.35049999999998</v>
      </c>
      <c r="AC146" s="94">
        <v>0</v>
      </c>
      <c r="AD146" s="76">
        <f t="shared" si="112"/>
        <v>212.35049999999998</v>
      </c>
      <c r="AE146" s="95"/>
      <c r="AF146" s="95"/>
      <c r="AG146" s="95"/>
    </row>
    <row r="147" spans="1:33" ht="39" customHeight="1" x14ac:dyDescent="0.2">
      <c r="A147" s="84" t="s">
        <v>181</v>
      </c>
      <c r="B147" s="161" t="s">
        <v>29</v>
      </c>
      <c r="C147" s="85" t="s">
        <v>237</v>
      </c>
      <c r="D147" s="37">
        <v>55.950099999999999</v>
      </c>
      <c r="E147" s="86">
        <v>0</v>
      </c>
      <c r="F147" s="38">
        <f t="shared" si="86"/>
        <v>55.950099999999999</v>
      </c>
      <c r="G147" s="97">
        <v>10</v>
      </c>
      <c r="H147" s="88">
        <v>40.08</v>
      </c>
      <c r="I147" s="89">
        <f t="shared" si="115"/>
        <v>9.4499999999999993</v>
      </c>
      <c r="J147" s="90">
        <v>5.04</v>
      </c>
      <c r="K147" s="90">
        <f t="shared" si="116"/>
        <v>54.57</v>
      </c>
      <c r="L147" s="90"/>
      <c r="M147" s="90"/>
      <c r="N147" s="90">
        <v>1.2461</v>
      </c>
      <c r="O147" s="90">
        <v>0.13400000000000001</v>
      </c>
      <c r="P147" s="90">
        <f t="shared" ref="P147:P158" si="126">SUM(L147:O147)</f>
        <v>1.3801000000000001</v>
      </c>
      <c r="Q147" s="90">
        <f t="shared" ref="Q147:Q158" si="127">SUM(K147+P147)</f>
        <v>55.950099999999999</v>
      </c>
      <c r="R147" s="90"/>
      <c r="S147" s="90">
        <f t="shared" si="119"/>
        <v>55.950099999999999</v>
      </c>
      <c r="T147" s="92">
        <f t="shared" si="120"/>
        <v>559.50099999999998</v>
      </c>
      <c r="U147" s="40">
        <f t="shared" si="121"/>
        <v>400.79999999999995</v>
      </c>
      <c r="V147" s="40">
        <f t="shared" si="122"/>
        <v>94.5</v>
      </c>
      <c r="W147" s="40">
        <f t="shared" si="123"/>
        <v>50.4</v>
      </c>
      <c r="X147" s="40"/>
      <c r="Y147" s="40"/>
      <c r="Z147" s="40">
        <f t="shared" si="124"/>
        <v>12.461</v>
      </c>
      <c r="AA147" s="40">
        <f t="shared" si="87"/>
        <v>1.34</v>
      </c>
      <c r="AB147" s="93">
        <f t="shared" si="125"/>
        <v>559.50099999999998</v>
      </c>
      <c r="AC147" s="94">
        <v>0</v>
      </c>
      <c r="AD147" s="76">
        <f t="shared" si="112"/>
        <v>559.50099999999998</v>
      </c>
      <c r="AE147" s="95"/>
      <c r="AF147" s="95"/>
      <c r="AG147" s="95"/>
    </row>
    <row r="148" spans="1:33" ht="17.25" customHeight="1" x14ac:dyDescent="0.2">
      <c r="A148" s="84" t="s">
        <v>182</v>
      </c>
      <c r="B148" s="161" t="s">
        <v>35</v>
      </c>
      <c r="C148" s="85" t="s">
        <v>237</v>
      </c>
      <c r="D148" s="37">
        <v>51.570100000000004</v>
      </c>
      <c r="E148" s="86">
        <v>0</v>
      </c>
      <c r="F148" s="38">
        <f t="shared" si="86"/>
        <v>51.570100000000004</v>
      </c>
      <c r="G148" s="97">
        <v>5</v>
      </c>
      <c r="H148" s="88">
        <v>40.08</v>
      </c>
      <c r="I148" s="89">
        <f t="shared" si="115"/>
        <v>9.4499999999999993</v>
      </c>
      <c r="J148" s="90">
        <v>0.66</v>
      </c>
      <c r="K148" s="90">
        <f t="shared" si="116"/>
        <v>50.19</v>
      </c>
      <c r="L148" s="90"/>
      <c r="M148" s="90"/>
      <c r="N148" s="90">
        <v>1.2461</v>
      </c>
      <c r="O148" s="90">
        <v>0.13400000000000001</v>
      </c>
      <c r="P148" s="90">
        <f t="shared" si="126"/>
        <v>1.3801000000000001</v>
      </c>
      <c r="Q148" s="90">
        <f t="shared" si="127"/>
        <v>51.570099999999996</v>
      </c>
      <c r="R148" s="90"/>
      <c r="S148" s="90">
        <f t="shared" si="119"/>
        <v>51.570099999999996</v>
      </c>
      <c r="T148" s="92">
        <f t="shared" si="120"/>
        <v>257.85050000000001</v>
      </c>
      <c r="U148" s="40">
        <f t="shared" si="121"/>
        <v>200.39999999999998</v>
      </c>
      <c r="V148" s="40">
        <f t="shared" si="122"/>
        <v>47.25</v>
      </c>
      <c r="W148" s="40">
        <f t="shared" si="123"/>
        <v>3.3000000000000003</v>
      </c>
      <c r="X148" s="40"/>
      <c r="Y148" s="40"/>
      <c r="Z148" s="40">
        <f t="shared" si="124"/>
        <v>6.2305000000000001</v>
      </c>
      <c r="AA148" s="40">
        <f t="shared" si="87"/>
        <v>0.67</v>
      </c>
      <c r="AB148" s="93">
        <f t="shared" si="125"/>
        <v>257.85050000000001</v>
      </c>
      <c r="AC148" s="94">
        <v>0</v>
      </c>
      <c r="AD148" s="76">
        <f t="shared" si="112"/>
        <v>257.85050000000001</v>
      </c>
      <c r="AE148" s="95"/>
      <c r="AF148" s="95"/>
      <c r="AG148" s="95"/>
    </row>
    <row r="149" spans="1:33" ht="25.5" x14ac:dyDescent="0.2">
      <c r="A149" s="84" t="s">
        <v>183</v>
      </c>
      <c r="B149" s="160" t="s">
        <v>37</v>
      </c>
      <c r="C149" s="85" t="s">
        <v>237</v>
      </c>
      <c r="D149" s="37">
        <v>56.4101</v>
      </c>
      <c r="E149" s="86">
        <v>0</v>
      </c>
      <c r="F149" s="38">
        <f t="shared" si="86"/>
        <v>56.4101</v>
      </c>
      <c r="G149" s="97">
        <v>10</v>
      </c>
      <c r="H149" s="88">
        <v>40.08</v>
      </c>
      <c r="I149" s="89">
        <f t="shared" si="115"/>
        <v>9.4499999999999993</v>
      </c>
      <c r="J149" s="90">
        <v>5.5</v>
      </c>
      <c r="K149" s="90">
        <f t="shared" si="116"/>
        <v>55.03</v>
      </c>
      <c r="L149" s="90"/>
      <c r="M149" s="90"/>
      <c r="N149" s="90">
        <v>1.2461</v>
      </c>
      <c r="O149" s="90">
        <v>0.13400000000000001</v>
      </c>
      <c r="P149" s="90">
        <f t="shared" si="126"/>
        <v>1.3801000000000001</v>
      </c>
      <c r="Q149" s="90">
        <f t="shared" si="127"/>
        <v>56.4101</v>
      </c>
      <c r="R149" s="90"/>
      <c r="S149" s="90">
        <f t="shared" si="119"/>
        <v>56.4101</v>
      </c>
      <c r="T149" s="92">
        <f t="shared" si="120"/>
        <v>564.101</v>
      </c>
      <c r="U149" s="40">
        <f t="shared" si="121"/>
        <v>400.79999999999995</v>
      </c>
      <c r="V149" s="40">
        <f t="shared" si="122"/>
        <v>94.5</v>
      </c>
      <c r="W149" s="40">
        <f t="shared" si="123"/>
        <v>55</v>
      </c>
      <c r="X149" s="40"/>
      <c r="Y149" s="40"/>
      <c r="Z149" s="40">
        <f t="shared" si="124"/>
        <v>12.461</v>
      </c>
      <c r="AA149" s="40">
        <f t="shared" si="87"/>
        <v>1.34</v>
      </c>
      <c r="AB149" s="93">
        <f t="shared" si="125"/>
        <v>564.101</v>
      </c>
      <c r="AC149" s="94">
        <v>0</v>
      </c>
      <c r="AD149" s="76">
        <f t="shared" si="112"/>
        <v>564.101</v>
      </c>
      <c r="AE149" s="95"/>
      <c r="AF149" s="95"/>
      <c r="AG149" s="95"/>
    </row>
    <row r="150" spans="1:33" ht="37.5" customHeight="1" x14ac:dyDescent="0.2">
      <c r="A150" s="84" t="s">
        <v>184</v>
      </c>
      <c r="B150" s="160" t="s">
        <v>47</v>
      </c>
      <c r="C150" s="85" t="s">
        <v>237</v>
      </c>
      <c r="D150" s="37">
        <v>55.560099999999998</v>
      </c>
      <c r="E150" s="86">
        <v>0</v>
      </c>
      <c r="F150" s="38">
        <f t="shared" si="86"/>
        <v>55.560099999999998</v>
      </c>
      <c r="G150" s="97">
        <v>5</v>
      </c>
      <c r="H150" s="88">
        <v>40.08</v>
      </c>
      <c r="I150" s="89">
        <f t="shared" si="115"/>
        <v>9.4499999999999993</v>
      </c>
      <c r="J150" s="90">
        <v>4.6500000000000004</v>
      </c>
      <c r="K150" s="90">
        <f t="shared" si="116"/>
        <v>54.18</v>
      </c>
      <c r="L150" s="90"/>
      <c r="M150" s="90"/>
      <c r="N150" s="90">
        <v>1.2461</v>
      </c>
      <c r="O150" s="90">
        <v>0.13400000000000001</v>
      </c>
      <c r="P150" s="90">
        <f t="shared" si="126"/>
        <v>1.3801000000000001</v>
      </c>
      <c r="Q150" s="90">
        <f t="shared" si="127"/>
        <v>55.560099999999998</v>
      </c>
      <c r="R150" s="90"/>
      <c r="S150" s="90">
        <f t="shared" si="119"/>
        <v>55.560099999999998</v>
      </c>
      <c r="T150" s="92">
        <f t="shared" si="120"/>
        <v>277.8005</v>
      </c>
      <c r="U150" s="40">
        <f t="shared" si="121"/>
        <v>200.39999999999998</v>
      </c>
      <c r="V150" s="40">
        <f t="shared" si="122"/>
        <v>47.25</v>
      </c>
      <c r="W150" s="40">
        <f t="shared" si="123"/>
        <v>23.25</v>
      </c>
      <c r="X150" s="40"/>
      <c r="Y150" s="40"/>
      <c r="Z150" s="40">
        <f t="shared" si="124"/>
        <v>6.2305000000000001</v>
      </c>
      <c r="AA150" s="40">
        <f t="shared" si="87"/>
        <v>0.67</v>
      </c>
      <c r="AB150" s="93">
        <f t="shared" si="125"/>
        <v>277.8005</v>
      </c>
      <c r="AC150" s="94">
        <v>0</v>
      </c>
      <c r="AD150" s="76">
        <f t="shared" si="112"/>
        <v>277.8005</v>
      </c>
      <c r="AE150" s="95"/>
      <c r="AF150" s="95"/>
      <c r="AG150" s="95"/>
    </row>
    <row r="151" spans="1:33" ht="51" x14ac:dyDescent="0.2">
      <c r="A151" s="84" t="s">
        <v>185</v>
      </c>
      <c r="B151" s="160" t="s">
        <v>50</v>
      </c>
      <c r="C151" s="85" t="s">
        <v>237</v>
      </c>
      <c r="D151" s="37">
        <v>68.380099999999999</v>
      </c>
      <c r="E151" s="86">
        <v>0</v>
      </c>
      <c r="F151" s="38">
        <f t="shared" si="86"/>
        <v>68.380099999999999</v>
      </c>
      <c r="G151" s="97">
        <v>10</v>
      </c>
      <c r="H151" s="88">
        <v>40.08</v>
      </c>
      <c r="I151" s="89">
        <f t="shared" si="115"/>
        <v>9.4499999999999993</v>
      </c>
      <c r="J151" s="90">
        <v>17.47</v>
      </c>
      <c r="K151" s="90">
        <f t="shared" si="116"/>
        <v>67</v>
      </c>
      <c r="L151" s="90"/>
      <c r="M151" s="90"/>
      <c r="N151" s="90">
        <v>1.2461</v>
      </c>
      <c r="O151" s="90">
        <v>0.13400000000000001</v>
      </c>
      <c r="P151" s="90">
        <f t="shared" si="126"/>
        <v>1.3801000000000001</v>
      </c>
      <c r="Q151" s="90">
        <f t="shared" si="127"/>
        <v>68.380099999999999</v>
      </c>
      <c r="R151" s="90"/>
      <c r="S151" s="90">
        <f t="shared" si="119"/>
        <v>68.380099999999999</v>
      </c>
      <c r="T151" s="92">
        <f t="shared" si="120"/>
        <v>683.80100000000004</v>
      </c>
      <c r="U151" s="40">
        <f t="shared" si="121"/>
        <v>400.79999999999995</v>
      </c>
      <c r="V151" s="40">
        <f t="shared" si="122"/>
        <v>94.5</v>
      </c>
      <c r="W151" s="40">
        <f t="shared" si="123"/>
        <v>174.7</v>
      </c>
      <c r="X151" s="40"/>
      <c r="Y151" s="40"/>
      <c r="Z151" s="40">
        <f t="shared" si="124"/>
        <v>12.461</v>
      </c>
      <c r="AA151" s="40">
        <f t="shared" si="87"/>
        <v>1.34</v>
      </c>
      <c r="AB151" s="93">
        <f t="shared" si="125"/>
        <v>683.80100000000004</v>
      </c>
      <c r="AC151" s="94">
        <v>0</v>
      </c>
      <c r="AD151" s="76">
        <f t="shared" si="112"/>
        <v>683.80100000000004</v>
      </c>
      <c r="AE151" s="95"/>
      <c r="AF151" s="95"/>
      <c r="AG151" s="95"/>
    </row>
    <row r="152" spans="1:33" ht="42.75" customHeight="1" x14ac:dyDescent="0.2">
      <c r="A152" s="84" t="s">
        <v>186</v>
      </c>
      <c r="B152" s="160" t="s">
        <v>292</v>
      </c>
      <c r="C152" s="85" t="s">
        <v>237</v>
      </c>
      <c r="D152" s="37">
        <v>65.840099999999993</v>
      </c>
      <c r="E152" s="86">
        <v>0</v>
      </c>
      <c r="F152" s="38">
        <f t="shared" si="86"/>
        <v>65.840099999999993</v>
      </c>
      <c r="G152" s="97">
        <v>10</v>
      </c>
      <c r="H152" s="88">
        <v>40.08</v>
      </c>
      <c r="I152" s="89">
        <f t="shared" si="115"/>
        <v>9.4499999999999993</v>
      </c>
      <c r="J152" s="90">
        <v>14.93</v>
      </c>
      <c r="K152" s="90">
        <f t="shared" si="116"/>
        <v>64.460000000000008</v>
      </c>
      <c r="L152" s="90"/>
      <c r="M152" s="90"/>
      <c r="N152" s="90">
        <v>1.2461</v>
      </c>
      <c r="O152" s="90">
        <v>0.13400000000000001</v>
      </c>
      <c r="P152" s="90">
        <f t="shared" si="126"/>
        <v>1.3801000000000001</v>
      </c>
      <c r="Q152" s="90">
        <f t="shared" si="127"/>
        <v>65.840100000000007</v>
      </c>
      <c r="R152" s="90"/>
      <c r="S152" s="90">
        <f t="shared" si="119"/>
        <v>65.840100000000007</v>
      </c>
      <c r="T152" s="92">
        <f t="shared" si="120"/>
        <v>658.40099999999995</v>
      </c>
      <c r="U152" s="40">
        <f t="shared" si="121"/>
        <v>400.79999999999995</v>
      </c>
      <c r="V152" s="40">
        <f t="shared" si="122"/>
        <v>94.5</v>
      </c>
      <c r="W152" s="40">
        <f t="shared" si="123"/>
        <v>149.30000000000001</v>
      </c>
      <c r="X152" s="40"/>
      <c r="Y152" s="40"/>
      <c r="Z152" s="40">
        <f t="shared" si="124"/>
        <v>12.461</v>
      </c>
      <c r="AA152" s="40">
        <f t="shared" si="87"/>
        <v>1.34</v>
      </c>
      <c r="AB152" s="93">
        <f t="shared" si="125"/>
        <v>658.40099999999995</v>
      </c>
      <c r="AC152" s="94">
        <v>0</v>
      </c>
      <c r="AD152" s="76">
        <f t="shared" si="112"/>
        <v>658.40099999999995</v>
      </c>
      <c r="AE152" s="95"/>
      <c r="AF152" s="95"/>
      <c r="AG152" s="95"/>
    </row>
    <row r="153" spans="1:33" ht="63.75" x14ac:dyDescent="0.2">
      <c r="A153" s="84" t="s">
        <v>187</v>
      </c>
      <c r="B153" s="160" t="s">
        <v>53</v>
      </c>
      <c r="C153" s="85" t="s">
        <v>237</v>
      </c>
      <c r="D153" s="37">
        <v>60.720100000000002</v>
      </c>
      <c r="E153" s="86">
        <v>0</v>
      </c>
      <c r="F153" s="38">
        <f t="shared" si="86"/>
        <v>60.720100000000002</v>
      </c>
      <c r="G153" s="97">
        <v>5</v>
      </c>
      <c r="H153" s="88">
        <v>40.08</v>
      </c>
      <c r="I153" s="89">
        <f t="shared" si="115"/>
        <v>9.4499999999999993</v>
      </c>
      <c r="J153" s="90">
        <v>9.81</v>
      </c>
      <c r="K153" s="90">
        <f t="shared" si="116"/>
        <v>59.34</v>
      </c>
      <c r="L153" s="90"/>
      <c r="M153" s="90"/>
      <c r="N153" s="90">
        <v>1.2461</v>
      </c>
      <c r="O153" s="90">
        <v>0.13400000000000001</v>
      </c>
      <c r="P153" s="90">
        <f t="shared" si="126"/>
        <v>1.3801000000000001</v>
      </c>
      <c r="Q153" s="90">
        <f t="shared" si="127"/>
        <v>60.720100000000002</v>
      </c>
      <c r="R153" s="90"/>
      <c r="S153" s="90">
        <f t="shared" si="119"/>
        <v>60.720100000000002</v>
      </c>
      <c r="T153" s="92">
        <f t="shared" si="120"/>
        <v>303.60050000000001</v>
      </c>
      <c r="U153" s="40">
        <f t="shared" si="121"/>
        <v>200.39999999999998</v>
      </c>
      <c r="V153" s="40">
        <f t="shared" si="122"/>
        <v>47.25</v>
      </c>
      <c r="W153" s="40">
        <f t="shared" si="123"/>
        <v>49.050000000000004</v>
      </c>
      <c r="X153" s="40"/>
      <c r="Y153" s="40"/>
      <c r="Z153" s="40">
        <f t="shared" si="124"/>
        <v>6.2305000000000001</v>
      </c>
      <c r="AA153" s="40">
        <f t="shared" si="87"/>
        <v>0.67</v>
      </c>
      <c r="AB153" s="93">
        <f t="shared" si="125"/>
        <v>303.60050000000001</v>
      </c>
      <c r="AC153" s="94">
        <v>0</v>
      </c>
      <c r="AD153" s="76">
        <f t="shared" si="112"/>
        <v>303.60050000000001</v>
      </c>
      <c r="AE153" s="95"/>
      <c r="AF153" s="95"/>
      <c r="AG153" s="95"/>
    </row>
    <row r="154" spans="1:33" ht="63.75" x14ac:dyDescent="0.2">
      <c r="A154" s="84" t="s">
        <v>188</v>
      </c>
      <c r="B154" s="160" t="s">
        <v>55</v>
      </c>
      <c r="C154" s="85" t="s">
        <v>237</v>
      </c>
      <c r="D154" s="37">
        <v>74.710099999999997</v>
      </c>
      <c r="E154" s="86">
        <v>0</v>
      </c>
      <c r="F154" s="38">
        <f t="shared" si="86"/>
        <v>74.710099999999997</v>
      </c>
      <c r="G154" s="97">
        <v>5</v>
      </c>
      <c r="H154" s="88">
        <v>40.08</v>
      </c>
      <c r="I154" s="89">
        <f t="shared" si="115"/>
        <v>9.4499999999999993</v>
      </c>
      <c r="J154" s="90">
        <v>23.8</v>
      </c>
      <c r="K154" s="90">
        <f t="shared" si="116"/>
        <v>73.33</v>
      </c>
      <c r="L154" s="90"/>
      <c r="M154" s="90"/>
      <c r="N154" s="90">
        <v>1.2461</v>
      </c>
      <c r="O154" s="90">
        <v>0.13400000000000001</v>
      </c>
      <c r="P154" s="90">
        <f t="shared" si="126"/>
        <v>1.3801000000000001</v>
      </c>
      <c r="Q154" s="90">
        <f t="shared" si="127"/>
        <v>74.710099999999997</v>
      </c>
      <c r="R154" s="90"/>
      <c r="S154" s="90">
        <f t="shared" si="119"/>
        <v>74.710099999999997</v>
      </c>
      <c r="T154" s="92">
        <f t="shared" si="120"/>
        <v>373.5505</v>
      </c>
      <c r="U154" s="40">
        <f t="shared" si="121"/>
        <v>200.39999999999998</v>
      </c>
      <c r="V154" s="40">
        <f t="shared" si="122"/>
        <v>47.25</v>
      </c>
      <c r="W154" s="40">
        <f t="shared" si="123"/>
        <v>119</v>
      </c>
      <c r="X154" s="40"/>
      <c r="Y154" s="40"/>
      <c r="Z154" s="40">
        <f t="shared" si="124"/>
        <v>6.2305000000000001</v>
      </c>
      <c r="AA154" s="40">
        <f t="shared" si="87"/>
        <v>0.67</v>
      </c>
      <c r="AB154" s="93">
        <f t="shared" si="125"/>
        <v>373.5505</v>
      </c>
      <c r="AC154" s="94">
        <v>0</v>
      </c>
      <c r="AD154" s="76">
        <f t="shared" si="112"/>
        <v>373.5505</v>
      </c>
      <c r="AE154" s="95"/>
      <c r="AF154" s="95"/>
      <c r="AG154" s="95"/>
    </row>
    <row r="155" spans="1:33" ht="51" x14ac:dyDescent="0.2">
      <c r="A155" s="84" t="s">
        <v>189</v>
      </c>
      <c r="B155" s="160" t="s">
        <v>177</v>
      </c>
      <c r="C155" s="85" t="s">
        <v>237</v>
      </c>
      <c r="D155" s="37">
        <v>53.020099999999999</v>
      </c>
      <c r="E155" s="86">
        <v>0</v>
      </c>
      <c r="F155" s="38">
        <f t="shared" si="86"/>
        <v>53.020099999999999</v>
      </c>
      <c r="G155" s="97">
        <v>30</v>
      </c>
      <c r="H155" s="88">
        <v>40.08</v>
      </c>
      <c r="I155" s="89">
        <f t="shared" si="115"/>
        <v>9.4499999999999993</v>
      </c>
      <c r="J155" s="90">
        <v>2.11</v>
      </c>
      <c r="K155" s="90">
        <f t="shared" si="116"/>
        <v>51.64</v>
      </c>
      <c r="L155" s="90"/>
      <c r="M155" s="90"/>
      <c r="N155" s="90">
        <v>1.2461</v>
      </c>
      <c r="O155" s="90">
        <v>0.13400000000000001</v>
      </c>
      <c r="P155" s="90">
        <f t="shared" si="126"/>
        <v>1.3801000000000001</v>
      </c>
      <c r="Q155" s="90">
        <f t="shared" si="127"/>
        <v>53.020099999999999</v>
      </c>
      <c r="R155" s="90"/>
      <c r="S155" s="90">
        <f t="shared" si="119"/>
        <v>53.020099999999999</v>
      </c>
      <c r="T155" s="92">
        <f t="shared" si="120"/>
        <v>1590.6029999999998</v>
      </c>
      <c r="U155" s="40">
        <f t="shared" si="121"/>
        <v>1202.3999999999999</v>
      </c>
      <c r="V155" s="40">
        <f t="shared" si="122"/>
        <v>283.5</v>
      </c>
      <c r="W155" s="40">
        <f t="shared" si="123"/>
        <v>63.3</v>
      </c>
      <c r="X155" s="40"/>
      <c r="Y155" s="40"/>
      <c r="Z155" s="40">
        <f t="shared" si="124"/>
        <v>37.383000000000003</v>
      </c>
      <c r="AA155" s="40">
        <f t="shared" si="87"/>
        <v>4.0200000000000005</v>
      </c>
      <c r="AB155" s="93">
        <f t="shared" si="125"/>
        <v>1590.6029999999998</v>
      </c>
      <c r="AC155" s="94">
        <v>0</v>
      </c>
      <c r="AD155" s="76">
        <f t="shared" si="112"/>
        <v>1590.6029999999998</v>
      </c>
      <c r="AE155" s="95"/>
      <c r="AF155" s="95"/>
      <c r="AG155" s="95"/>
    </row>
    <row r="156" spans="1:33" ht="25.5" x14ac:dyDescent="0.2">
      <c r="A156" s="84" t="s">
        <v>190</v>
      </c>
      <c r="B156" s="160" t="s">
        <v>65</v>
      </c>
      <c r="C156" s="85" t="s">
        <v>237</v>
      </c>
      <c r="D156" s="37">
        <v>45.210099999999997</v>
      </c>
      <c r="E156" s="86">
        <v>0</v>
      </c>
      <c r="F156" s="38">
        <f t="shared" si="86"/>
        <v>45.210099999999997</v>
      </c>
      <c r="G156" s="97">
        <v>5</v>
      </c>
      <c r="H156" s="88">
        <v>34.08</v>
      </c>
      <c r="I156" s="89">
        <f t="shared" si="115"/>
        <v>8.0399999999999991</v>
      </c>
      <c r="J156" s="90">
        <v>1.71</v>
      </c>
      <c r="K156" s="90">
        <f t="shared" si="116"/>
        <v>43.83</v>
      </c>
      <c r="L156" s="90"/>
      <c r="M156" s="90"/>
      <c r="N156" s="90">
        <v>1.2461</v>
      </c>
      <c r="O156" s="90">
        <v>0.13400000000000001</v>
      </c>
      <c r="P156" s="90">
        <f t="shared" si="126"/>
        <v>1.3801000000000001</v>
      </c>
      <c r="Q156" s="90">
        <f t="shared" si="127"/>
        <v>45.210099999999997</v>
      </c>
      <c r="R156" s="90"/>
      <c r="S156" s="90">
        <f t="shared" si="119"/>
        <v>45.210099999999997</v>
      </c>
      <c r="T156" s="92">
        <f t="shared" si="120"/>
        <v>226.05049999999997</v>
      </c>
      <c r="U156" s="40">
        <f t="shared" si="121"/>
        <v>170.39999999999998</v>
      </c>
      <c r="V156" s="40">
        <f t="shared" si="122"/>
        <v>40.199999999999996</v>
      </c>
      <c r="W156" s="40">
        <f t="shared" si="123"/>
        <v>8.5500000000000007</v>
      </c>
      <c r="X156" s="40"/>
      <c r="Y156" s="40"/>
      <c r="Z156" s="40">
        <f t="shared" si="124"/>
        <v>6.2305000000000001</v>
      </c>
      <c r="AA156" s="40">
        <f t="shared" si="87"/>
        <v>0.67</v>
      </c>
      <c r="AB156" s="93">
        <f t="shared" si="125"/>
        <v>226.05049999999997</v>
      </c>
      <c r="AC156" s="94">
        <v>0</v>
      </c>
      <c r="AD156" s="76">
        <f t="shared" si="112"/>
        <v>226.05049999999997</v>
      </c>
      <c r="AE156" s="95"/>
      <c r="AF156" s="95"/>
      <c r="AG156" s="95"/>
    </row>
    <row r="157" spans="1:33" ht="30.75" customHeight="1" x14ac:dyDescent="0.2">
      <c r="A157" s="84" t="s">
        <v>191</v>
      </c>
      <c r="B157" s="160" t="s">
        <v>211</v>
      </c>
      <c r="C157" s="85" t="s">
        <v>237</v>
      </c>
      <c r="D157" s="37">
        <v>52.710099999999997</v>
      </c>
      <c r="E157" s="86">
        <v>0</v>
      </c>
      <c r="F157" s="38">
        <f t="shared" si="86"/>
        <v>52.710099999999997</v>
      </c>
      <c r="G157" s="97">
        <v>5</v>
      </c>
      <c r="H157" s="88">
        <v>37.08</v>
      </c>
      <c r="I157" s="89">
        <f t="shared" si="115"/>
        <v>8.75</v>
      </c>
      <c r="J157" s="90">
        <v>5.5</v>
      </c>
      <c r="K157" s="90">
        <f t="shared" si="116"/>
        <v>51.33</v>
      </c>
      <c r="L157" s="90"/>
      <c r="M157" s="90"/>
      <c r="N157" s="90">
        <v>1.2461</v>
      </c>
      <c r="O157" s="90">
        <v>0.13400000000000001</v>
      </c>
      <c r="P157" s="90">
        <f t="shared" si="126"/>
        <v>1.3801000000000001</v>
      </c>
      <c r="Q157" s="90">
        <f t="shared" si="127"/>
        <v>52.710099999999997</v>
      </c>
      <c r="R157" s="90"/>
      <c r="S157" s="90">
        <f t="shared" si="119"/>
        <v>52.710099999999997</v>
      </c>
      <c r="T157" s="92">
        <f t="shared" si="120"/>
        <v>263.5505</v>
      </c>
      <c r="U157" s="40">
        <f t="shared" si="121"/>
        <v>185.39999999999998</v>
      </c>
      <c r="V157" s="40">
        <f t="shared" si="122"/>
        <v>43.75</v>
      </c>
      <c r="W157" s="40">
        <f t="shared" si="123"/>
        <v>27.5</v>
      </c>
      <c r="X157" s="40"/>
      <c r="Y157" s="40"/>
      <c r="Z157" s="40">
        <f t="shared" si="124"/>
        <v>6.2305000000000001</v>
      </c>
      <c r="AA157" s="40">
        <f t="shared" si="87"/>
        <v>0.67</v>
      </c>
      <c r="AB157" s="93">
        <f t="shared" si="125"/>
        <v>263.5505</v>
      </c>
      <c r="AC157" s="94">
        <v>0</v>
      </c>
      <c r="AD157" s="76">
        <f t="shared" si="112"/>
        <v>263.5505</v>
      </c>
      <c r="AE157" s="95"/>
      <c r="AF157" s="95"/>
      <c r="AG157" s="95"/>
    </row>
    <row r="158" spans="1:33" ht="25.5" x14ac:dyDescent="0.2">
      <c r="A158" s="84" t="s">
        <v>192</v>
      </c>
      <c r="B158" s="160" t="s">
        <v>69</v>
      </c>
      <c r="C158" s="85" t="s">
        <v>237</v>
      </c>
      <c r="D158" s="37">
        <v>49.3401</v>
      </c>
      <c r="E158" s="86">
        <v>0</v>
      </c>
      <c r="F158" s="38">
        <f t="shared" si="86"/>
        <v>49.3401</v>
      </c>
      <c r="G158" s="97">
        <v>5</v>
      </c>
      <c r="H158" s="88">
        <v>34.08</v>
      </c>
      <c r="I158" s="89">
        <f t="shared" si="115"/>
        <v>8.0399999999999991</v>
      </c>
      <c r="J158" s="90">
        <v>5.84</v>
      </c>
      <c r="K158" s="90">
        <f t="shared" si="116"/>
        <v>47.959999999999994</v>
      </c>
      <c r="L158" s="90"/>
      <c r="M158" s="90"/>
      <c r="N158" s="90">
        <v>1.2461</v>
      </c>
      <c r="O158" s="90">
        <v>0.13400000000000001</v>
      </c>
      <c r="P158" s="90">
        <f t="shared" si="126"/>
        <v>1.3801000000000001</v>
      </c>
      <c r="Q158" s="90">
        <f t="shared" si="127"/>
        <v>49.340099999999993</v>
      </c>
      <c r="R158" s="90"/>
      <c r="S158" s="90">
        <f t="shared" si="119"/>
        <v>49.340099999999993</v>
      </c>
      <c r="T158" s="92">
        <f t="shared" si="120"/>
        <v>246.70049999999995</v>
      </c>
      <c r="U158" s="40">
        <f t="shared" si="121"/>
        <v>170.39999999999998</v>
      </c>
      <c r="V158" s="40">
        <f t="shared" si="122"/>
        <v>40.199999999999996</v>
      </c>
      <c r="W158" s="40">
        <f t="shared" si="123"/>
        <v>29.2</v>
      </c>
      <c r="X158" s="40"/>
      <c r="Y158" s="40"/>
      <c r="Z158" s="40">
        <f t="shared" si="124"/>
        <v>6.2305000000000001</v>
      </c>
      <c r="AA158" s="40">
        <f t="shared" si="87"/>
        <v>0.67</v>
      </c>
      <c r="AB158" s="93">
        <f t="shared" si="125"/>
        <v>246.70049999999995</v>
      </c>
      <c r="AC158" s="94">
        <v>0</v>
      </c>
      <c r="AD158" s="76">
        <f t="shared" si="112"/>
        <v>246.70049999999995</v>
      </c>
      <c r="AE158" s="95"/>
      <c r="AF158" s="95"/>
      <c r="AG158" s="95"/>
    </row>
    <row r="159" spans="1:33" ht="114.75" x14ac:dyDescent="0.2">
      <c r="A159" s="105" t="s">
        <v>196</v>
      </c>
      <c r="B159" s="162" t="s">
        <v>210</v>
      </c>
      <c r="C159" s="78"/>
      <c r="D159" s="111"/>
      <c r="E159" s="106"/>
      <c r="F159" s="112"/>
      <c r="G159" s="108"/>
      <c r="H159" s="113"/>
      <c r="I159" s="113"/>
      <c r="J159" s="113"/>
      <c r="K159" s="113"/>
      <c r="L159" s="113"/>
      <c r="M159" s="113"/>
      <c r="N159" s="113"/>
      <c r="O159" s="113"/>
      <c r="P159" s="113"/>
      <c r="Q159" s="113"/>
      <c r="R159" s="113"/>
      <c r="S159" s="113"/>
      <c r="T159" s="113"/>
      <c r="U159" s="113"/>
      <c r="V159" s="113"/>
      <c r="W159" s="113"/>
      <c r="X159" s="113"/>
      <c r="Y159" s="113"/>
      <c r="Z159" s="113"/>
      <c r="AA159" s="113"/>
      <c r="AB159" s="113"/>
      <c r="AC159" s="114"/>
      <c r="AD159" s="114"/>
      <c r="AE159" s="95"/>
      <c r="AF159" s="95"/>
      <c r="AG159" s="95"/>
    </row>
    <row r="160" spans="1:33" ht="38.25" x14ac:dyDescent="0.2">
      <c r="A160" s="84" t="s">
        <v>197</v>
      </c>
      <c r="B160" s="161" t="s">
        <v>25</v>
      </c>
      <c r="C160" s="85" t="s">
        <v>237</v>
      </c>
      <c r="D160" s="37">
        <v>43.210099999999997</v>
      </c>
      <c r="E160" s="86">
        <v>0</v>
      </c>
      <c r="F160" s="38">
        <f t="shared" si="86"/>
        <v>43.210099999999997</v>
      </c>
      <c r="G160" s="97">
        <v>5</v>
      </c>
      <c r="H160" s="88">
        <v>32.28</v>
      </c>
      <c r="I160" s="89">
        <f t="shared" ref="I160:I172" si="128">ROUND(H160*0.2359,2)</f>
        <v>7.61</v>
      </c>
      <c r="J160" s="90">
        <v>1.94</v>
      </c>
      <c r="K160" s="90">
        <f t="shared" ref="K160:K172" si="129">SUM(H160:J160)</f>
        <v>41.83</v>
      </c>
      <c r="L160" s="90"/>
      <c r="M160" s="90"/>
      <c r="N160" s="90">
        <v>1.2461</v>
      </c>
      <c r="O160" s="90">
        <v>0.13400000000000001</v>
      </c>
      <c r="P160" s="90">
        <f t="shared" ref="P160" si="130">SUM(L160:O160)</f>
        <v>1.3801000000000001</v>
      </c>
      <c r="Q160" s="90">
        <f t="shared" ref="Q160" si="131">SUM(K160+P160)</f>
        <v>43.210099999999997</v>
      </c>
      <c r="R160" s="90"/>
      <c r="S160" s="90">
        <f t="shared" ref="S160:S172" si="132">SUM(K160:O160)</f>
        <v>43.210099999999997</v>
      </c>
      <c r="T160" s="92">
        <f t="shared" ref="T160:T172" si="133">SUM(U160:AA160)</f>
        <v>216.0505</v>
      </c>
      <c r="U160" s="40">
        <f t="shared" ref="U160:U172" si="134">H160*G160</f>
        <v>161.4</v>
      </c>
      <c r="V160" s="40">
        <f t="shared" ref="V160:V172" si="135">I160*G160</f>
        <v>38.050000000000004</v>
      </c>
      <c r="W160" s="40">
        <f t="shared" ref="W160:W172" si="136">J160*G160</f>
        <v>9.6999999999999993</v>
      </c>
      <c r="X160" s="40"/>
      <c r="Y160" s="40"/>
      <c r="Z160" s="40">
        <f t="shared" ref="Z160:Z172" si="137">N160*G160</f>
        <v>6.2305000000000001</v>
      </c>
      <c r="AA160" s="40">
        <f t="shared" si="87"/>
        <v>0.67</v>
      </c>
      <c r="AB160" s="93">
        <f t="shared" ref="AB160:AB172" si="138">SUM(U160:AA160)</f>
        <v>216.0505</v>
      </c>
      <c r="AC160" s="94">
        <v>0</v>
      </c>
      <c r="AD160" s="76">
        <f t="shared" ref="AD160:AD172" si="139">SUM(AB160:AC160)</f>
        <v>216.0505</v>
      </c>
      <c r="AE160" s="95"/>
      <c r="AF160" s="95"/>
      <c r="AG160" s="95"/>
    </row>
    <row r="161" spans="1:34" ht="41.25" customHeight="1" x14ac:dyDescent="0.2">
      <c r="A161" s="84" t="s">
        <v>198</v>
      </c>
      <c r="B161" s="161" t="s">
        <v>29</v>
      </c>
      <c r="C161" s="85" t="s">
        <v>237</v>
      </c>
      <c r="D161" s="37">
        <v>58.430100000000003</v>
      </c>
      <c r="E161" s="86">
        <v>0</v>
      </c>
      <c r="F161" s="38">
        <f t="shared" si="86"/>
        <v>58.430100000000003</v>
      </c>
      <c r="G161" s="97">
        <v>5</v>
      </c>
      <c r="H161" s="88">
        <v>42.08</v>
      </c>
      <c r="I161" s="89">
        <f t="shared" si="128"/>
        <v>9.93</v>
      </c>
      <c r="J161" s="90">
        <v>5.04</v>
      </c>
      <c r="K161" s="90">
        <f t="shared" si="129"/>
        <v>57.05</v>
      </c>
      <c r="L161" s="90"/>
      <c r="M161" s="90"/>
      <c r="N161" s="90">
        <v>1.2461</v>
      </c>
      <c r="O161" s="90">
        <v>0.13400000000000001</v>
      </c>
      <c r="P161" s="90">
        <f t="shared" ref="P161:P172" si="140">SUM(L161:O161)</f>
        <v>1.3801000000000001</v>
      </c>
      <c r="Q161" s="90">
        <f t="shared" ref="Q161:Q172" si="141">SUM(K161+P161)</f>
        <v>58.430099999999996</v>
      </c>
      <c r="R161" s="90"/>
      <c r="S161" s="90">
        <f t="shared" si="132"/>
        <v>58.430099999999996</v>
      </c>
      <c r="T161" s="92">
        <f t="shared" si="133"/>
        <v>292.15049999999997</v>
      </c>
      <c r="U161" s="40">
        <f t="shared" si="134"/>
        <v>210.39999999999998</v>
      </c>
      <c r="V161" s="40">
        <f t="shared" si="135"/>
        <v>49.65</v>
      </c>
      <c r="W161" s="40">
        <f t="shared" si="136"/>
        <v>25.2</v>
      </c>
      <c r="X161" s="40"/>
      <c r="Y161" s="40"/>
      <c r="Z161" s="40">
        <f t="shared" si="137"/>
        <v>6.2305000000000001</v>
      </c>
      <c r="AA161" s="40">
        <f t="shared" si="87"/>
        <v>0.67</v>
      </c>
      <c r="AB161" s="93">
        <f t="shared" si="138"/>
        <v>292.15049999999997</v>
      </c>
      <c r="AC161" s="94">
        <v>0</v>
      </c>
      <c r="AD161" s="76">
        <f t="shared" si="139"/>
        <v>292.15049999999997</v>
      </c>
      <c r="AE161" s="95"/>
      <c r="AF161" s="95"/>
      <c r="AG161" s="95"/>
    </row>
    <row r="162" spans="1:34" ht="16.5" customHeight="1" x14ac:dyDescent="0.2">
      <c r="A162" s="84" t="s">
        <v>199</v>
      </c>
      <c r="B162" s="161" t="s">
        <v>35</v>
      </c>
      <c r="C162" s="85" t="s">
        <v>237</v>
      </c>
      <c r="D162" s="37">
        <v>54.0501</v>
      </c>
      <c r="E162" s="86">
        <v>0</v>
      </c>
      <c r="F162" s="38">
        <f t="shared" si="86"/>
        <v>54.0501</v>
      </c>
      <c r="G162" s="97">
        <v>5</v>
      </c>
      <c r="H162" s="88">
        <v>42.08</v>
      </c>
      <c r="I162" s="89">
        <f t="shared" si="128"/>
        <v>9.93</v>
      </c>
      <c r="J162" s="90">
        <v>0.66</v>
      </c>
      <c r="K162" s="90">
        <f t="shared" si="129"/>
        <v>52.669999999999995</v>
      </c>
      <c r="L162" s="90"/>
      <c r="M162" s="90"/>
      <c r="N162" s="90">
        <v>1.2461</v>
      </c>
      <c r="O162" s="90">
        <v>0.13400000000000001</v>
      </c>
      <c r="P162" s="90">
        <f t="shared" si="140"/>
        <v>1.3801000000000001</v>
      </c>
      <c r="Q162" s="90">
        <f t="shared" si="141"/>
        <v>54.050099999999993</v>
      </c>
      <c r="R162" s="90"/>
      <c r="S162" s="90">
        <f t="shared" si="132"/>
        <v>54.050099999999993</v>
      </c>
      <c r="T162" s="92">
        <f t="shared" si="133"/>
        <v>270.25049999999999</v>
      </c>
      <c r="U162" s="40">
        <f t="shared" si="134"/>
        <v>210.39999999999998</v>
      </c>
      <c r="V162" s="40">
        <f t="shared" si="135"/>
        <v>49.65</v>
      </c>
      <c r="W162" s="40">
        <f t="shared" si="136"/>
        <v>3.3000000000000003</v>
      </c>
      <c r="X162" s="40"/>
      <c r="Y162" s="40"/>
      <c r="Z162" s="40">
        <f t="shared" si="137"/>
        <v>6.2305000000000001</v>
      </c>
      <c r="AA162" s="40">
        <f t="shared" si="87"/>
        <v>0.67</v>
      </c>
      <c r="AB162" s="93">
        <f t="shared" si="138"/>
        <v>270.25049999999999</v>
      </c>
      <c r="AC162" s="94">
        <v>0</v>
      </c>
      <c r="AD162" s="76">
        <f t="shared" si="139"/>
        <v>270.25049999999999</v>
      </c>
      <c r="AE162" s="95"/>
      <c r="AF162" s="95"/>
      <c r="AG162" s="95"/>
    </row>
    <row r="163" spans="1:34" ht="25.5" x14ac:dyDescent="0.2">
      <c r="A163" s="84" t="s">
        <v>200</v>
      </c>
      <c r="B163" s="160" t="s">
        <v>37</v>
      </c>
      <c r="C163" s="85" t="s">
        <v>237</v>
      </c>
      <c r="D163" s="37">
        <v>58.890099999999997</v>
      </c>
      <c r="E163" s="86">
        <v>0</v>
      </c>
      <c r="F163" s="38">
        <f t="shared" si="86"/>
        <v>58.890099999999997</v>
      </c>
      <c r="G163" s="97">
        <v>5</v>
      </c>
      <c r="H163" s="88">
        <v>42.08</v>
      </c>
      <c r="I163" s="89">
        <f t="shared" si="128"/>
        <v>9.93</v>
      </c>
      <c r="J163" s="90">
        <v>5.5</v>
      </c>
      <c r="K163" s="90">
        <f t="shared" si="129"/>
        <v>57.51</v>
      </c>
      <c r="L163" s="90"/>
      <c r="M163" s="90"/>
      <c r="N163" s="90">
        <v>1.2461</v>
      </c>
      <c r="O163" s="90">
        <v>0.13400000000000001</v>
      </c>
      <c r="P163" s="90">
        <f t="shared" si="140"/>
        <v>1.3801000000000001</v>
      </c>
      <c r="Q163" s="90">
        <f t="shared" si="141"/>
        <v>58.890099999999997</v>
      </c>
      <c r="R163" s="90"/>
      <c r="S163" s="90">
        <f t="shared" si="132"/>
        <v>58.890099999999997</v>
      </c>
      <c r="T163" s="92">
        <f t="shared" si="133"/>
        <v>294.45049999999998</v>
      </c>
      <c r="U163" s="40">
        <f t="shared" si="134"/>
        <v>210.39999999999998</v>
      </c>
      <c r="V163" s="40">
        <f t="shared" si="135"/>
        <v>49.65</v>
      </c>
      <c r="W163" s="40">
        <f t="shared" si="136"/>
        <v>27.5</v>
      </c>
      <c r="X163" s="40"/>
      <c r="Y163" s="40"/>
      <c r="Z163" s="40">
        <f t="shared" si="137"/>
        <v>6.2305000000000001</v>
      </c>
      <c r="AA163" s="40">
        <f t="shared" si="87"/>
        <v>0.67</v>
      </c>
      <c r="AB163" s="93">
        <f t="shared" si="138"/>
        <v>294.45049999999998</v>
      </c>
      <c r="AC163" s="94">
        <v>0</v>
      </c>
      <c r="AD163" s="76">
        <f t="shared" si="139"/>
        <v>294.45049999999998</v>
      </c>
      <c r="AE163" s="95"/>
      <c r="AF163" s="95"/>
      <c r="AG163" s="95"/>
    </row>
    <row r="164" spans="1:34" ht="39.75" customHeight="1" x14ac:dyDescent="0.2">
      <c r="A164" s="84" t="s">
        <v>201</v>
      </c>
      <c r="B164" s="160" t="s">
        <v>47</v>
      </c>
      <c r="C164" s="85" t="s">
        <v>237</v>
      </c>
      <c r="D164" s="37">
        <v>58.040099999999995</v>
      </c>
      <c r="E164" s="86">
        <v>0</v>
      </c>
      <c r="F164" s="38">
        <f t="shared" si="86"/>
        <v>58.040099999999995</v>
      </c>
      <c r="G164" s="97">
        <v>5</v>
      </c>
      <c r="H164" s="88">
        <v>42.08</v>
      </c>
      <c r="I164" s="89">
        <f t="shared" si="128"/>
        <v>9.93</v>
      </c>
      <c r="J164" s="90">
        <v>4.6500000000000004</v>
      </c>
      <c r="K164" s="90">
        <f t="shared" si="129"/>
        <v>56.66</v>
      </c>
      <c r="L164" s="90"/>
      <c r="M164" s="90"/>
      <c r="N164" s="90">
        <v>1.2461</v>
      </c>
      <c r="O164" s="90">
        <v>0.13400000000000001</v>
      </c>
      <c r="P164" s="90">
        <f t="shared" si="140"/>
        <v>1.3801000000000001</v>
      </c>
      <c r="Q164" s="90">
        <f t="shared" si="141"/>
        <v>58.040099999999995</v>
      </c>
      <c r="R164" s="90"/>
      <c r="S164" s="90">
        <f t="shared" si="132"/>
        <v>58.040099999999995</v>
      </c>
      <c r="T164" s="92">
        <f t="shared" si="133"/>
        <v>290.20049999999998</v>
      </c>
      <c r="U164" s="40">
        <f t="shared" si="134"/>
        <v>210.39999999999998</v>
      </c>
      <c r="V164" s="40">
        <f t="shared" si="135"/>
        <v>49.65</v>
      </c>
      <c r="W164" s="40">
        <f t="shared" si="136"/>
        <v>23.25</v>
      </c>
      <c r="X164" s="40"/>
      <c r="Y164" s="40"/>
      <c r="Z164" s="40">
        <f t="shared" si="137"/>
        <v>6.2305000000000001</v>
      </c>
      <c r="AA164" s="40">
        <f t="shared" si="87"/>
        <v>0.67</v>
      </c>
      <c r="AB164" s="93">
        <f t="shared" si="138"/>
        <v>290.20049999999998</v>
      </c>
      <c r="AC164" s="94">
        <v>0</v>
      </c>
      <c r="AD164" s="76">
        <f t="shared" si="139"/>
        <v>290.20049999999998</v>
      </c>
      <c r="AE164" s="95"/>
      <c r="AF164" s="95"/>
      <c r="AG164" s="95"/>
    </row>
    <row r="165" spans="1:34" ht="51" x14ac:dyDescent="0.2">
      <c r="A165" s="84" t="s">
        <v>202</v>
      </c>
      <c r="B165" s="160" t="s">
        <v>50</v>
      </c>
      <c r="C165" s="85" t="s">
        <v>237</v>
      </c>
      <c r="D165" s="37">
        <v>70.860100000000003</v>
      </c>
      <c r="E165" s="86">
        <v>0</v>
      </c>
      <c r="F165" s="38">
        <f t="shared" si="86"/>
        <v>70.860100000000003</v>
      </c>
      <c r="G165" s="97">
        <v>5</v>
      </c>
      <c r="H165" s="88">
        <v>42.08</v>
      </c>
      <c r="I165" s="89">
        <f t="shared" si="128"/>
        <v>9.93</v>
      </c>
      <c r="J165" s="90">
        <v>17.47</v>
      </c>
      <c r="K165" s="90">
        <f t="shared" si="129"/>
        <v>69.47999999999999</v>
      </c>
      <c r="L165" s="90"/>
      <c r="M165" s="90"/>
      <c r="N165" s="90">
        <v>1.2461</v>
      </c>
      <c r="O165" s="90">
        <v>0.13400000000000001</v>
      </c>
      <c r="P165" s="90">
        <f t="shared" si="140"/>
        <v>1.3801000000000001</v>
      </c>
      <c r="Q165" s="90">
        <f t="shared" si="141"/>
        <v>70.860099999999989</v>
      </c>
      <c r="R165" s="90"/>
      <c r="S165" s="90">
        <f t="shared" si="132"/>
        <v>70.860099999999989</v>
      </c>
      <c r="T165" s="92">
        <f t="shared" si="133"/>
        <v>354.3005</v>
      </c>
      <c r="U165" s="40">
        <f t="shared" si="134"/>
        <v>210.39999999999998</v>
      </c>
      <c r="V165" s="40">
        <f t="shared" si="135"/>
        <v>49.65</v>
      </c>
      <c r="W165" s="40">
        <f t="shared" si="136"/>
        <v>87.35</v>
      </c>
      <c r="X165" s="40"/>
      <c r="Y165" s="40"/>
      <c r="Z165" s="40">
        <f t="shared" si="137"/>
        <v>6.2305000000000001</v>
      </c>
      <c r="AA165" s="40">
        <f t="shared" si="87"/>
        <v>0.67</v>
      </c>
      <c r="AB165" s="93">
        <f t="shared" si="138"/>
        <v>354.3005</v>
      </c>
      <c r="AC165" s="94">
        <v>0</v>
      </c>
      <c r="AD165" s="76">
        <f t="shared" si="139"/>
        <v>354.3005</v>
      </c>
      <c r="AE165" s="95"/>
      <c r="AF165" s="95"/>
      <c r="AG165" s="95"/>
    </row>
    <row r="166" spans="1:34" ht="42.75" customHeight="1" x14ac:dyDescent="0.2">
      <c r="A166" s="84" t="s">
        <v>203</v>
      </c>
      <c r="B166" s="160" t="s">
        <v>292</v>
      </c>
      <c r="C166" s="85" t="s">
        <v>237</v>
      </c>
      <c r="D166" s="37">
        <v>68.320099999999996</v>
      </c>
      <c r="E166" s="86">
        <v>0</v>
      </c>
      <c r="F166" s="38">
        <f t="shared" si="86"/>
        <v>68.320099999999996</v>
      </c>
      <c r="G166" s="97">
        <v>5</v>
      </c>
      <c r="H166" s="88">
        <v>42.08</v>
      </c>
      <c r="I166" s="89">
        <f t="shared" si="128"/>
        <v>9.93</v>
      </c>
      <c r="J166" s="90">
        <v>14.93</v>
      </c>
      <c r="K166" s="90">
        <f t="shared" si="129"/>
        <v>66.94</v>
      </c>
      <c r="L166" s="90"/>
      <c r="M166" s="90"/>
      <c r="N166" s="90">
        <v>1.2461</v>
      </c>
      <c r="O166" s="90">
        <v>0.13400000000000001</v>
      </c>
      <c r="P166" s="90">
        <f t="shared" si="140"/>
        <v>1.3801000000000001</v>
      </c>
      <c r="Q166" s="90">
        <f t="shared" si="141"/>
        <v>68.320099999999996</v>
      </c>
      <c r="R166" s="90"/>
      <c r="S166" s="90">
        <f t="shared" si="132"/>
        <v>68.320099999999996</v>
      </c>
      <c r="T166" s="92">
        <f t="shared" si="133"/>
        <v>341.60049999999995</v>
      </c>
      <c r="U166" s="40">
        <f t="shared" si="134"/>
        <v>210.39999999999998</v>
      </c>
      <c r="V166" s="40">
        <f t="shared" si="135"/>
        <v>49.65</v>
      </c>
      <c r="W166" s="40">
        <f t="shared" si="136"/>
        <v>74.650000000000006</v>
      </c>
      <c r="X166" s="40"/>
      <c r="Y166" s="40"/>
      <c r="Z166" s="40">
        <f t="shared" si="137"/>
        <v>6.2305000000000001</v>
      </c>
      <c r="AA166" s="40">
        <f t="shared" si="87"/>
        <v>0.67</v>
      </c>
      <c r="AB166" s="93">
        <f t="shared" si="138"/>
        <v>341.60049999999995</v>
      </c>
      <c r="AC166" s="94">
        <v>0</v>
      </c>
      <c r="AD166" s="76">
        <f t="shared" si="139"/>
        <v>341.60049999999995</v>
      </c>
      <c r="AE166" s="95"/>
      <c r="AF166" s="95"/>
      <c r="AG166" s="95"/>
    </row>
    <row r="167" spans="1:34" ht="63.75" x14ac:dyDescent="0.2">
      <c r="A167" s="84" t="s">
        <v>204</v>
      </c>
      <c r="B167" s="160" t="s">
        <v>53</v>
      </c>
      <c r="C167" s="85" t="s">
        <v>237</v>
      </c>
      <c r="D167" s="37">
        <v>63.200099999999999</v>
      </c>
      <c r="E167" s="86">
        <v>0</v>
      </c>
      <c r="F167" s="38">
        <f t="shared" si="86"/>
        <v>63.200099999999999</v>
      </c>
      <c r="G167" s="97">
        <v>5</v>
      </c>
      <c r="H167" s="88">
        <v>42.08</v>
      </c>
      <c r="I167" s="89">
        <f t="shared" si="128"/>
        <v>9.93</v>
      </c>
      <c r="J167" s="90">
        <v>9.81</v>
      </c>
      <c r="K167" s="90">
        <f t="shared" si="129"/>
        <v>61.82</v>
      </c>
      <c r="L167" s="90"/>
      <c r="M167" s="90"/>
      <c r="N167" s="90">
        <v>1.2461</v>
      </c>
      <c r="O167" s="90">
        <v>0.13400000000000001</v>
      </c>
      <c r="P167" s="90">
        <f t="shared" si="140"/>
        <v>1.3801000000000001</v>
      </c>
      <c r="Q167" s="90">
        <f t="shared" si="141"/>
        <v>63.200099999999999</v>
      </c>
      <c r="R167" s="90"/>
      <c r="S167" s="90">
        <f t="shared" si="132"/>
        <v>63.200099999999999</v>
      </c>
      <c r="T167" s="92">
        <f t="shared" si="133"/>
        <v>316.00049999999999</v>
      </c>
      <c r="U167" s="40">
        <f t="shared" si="134"/>
        <v>210.39999999999998</v>
      </c>
      <c r="V167" s="40">
        <f t="shared" si="135"/>
        <v>49.65</v>
      </c>
      <c r="W167" s="40">
        <f t="shared" si="136"/>
        <v>49.050000000000004</v>
      </c>
      <c r="X167" s="40"/>
      <c r="Y167" s="40"/>
      <c r="Z167" s="40">
        <f t="shared" si="137"/>
        <v>6.2305000000000001</v>
      </c>
      <c r="AA167" s="40">
        <f t="shared" si="87"/>
        <v>0.67</v>
      </c>
      <c r="AB167" s="93">
        <f t="shared" si="138"/>
        <v>316.00049999999999</v>
      </c>
      <c r="AC167" s="94">
        <v>0</v>
      </c>
      <c r="AD167" s="76">
        <f t="shared" si="139"/>
        <v>316.00049999999999</v>
      </c>
      <c r="AE167" s="95"/>
      <c r="AF167" s="95"/>
      <c r="AG167" s="95"/>
    </row>
    <row r="168" spans="1:34" ht="63.75" x14ac:dyDescent="0.2">
      <c r="A168" s="84" t="s">
        <v>205</v>
      </c>
      <c r="B168" s="160" t="s">
        <v>55</v>
      </c>
      <c r="C168" s="85" t="s">
        <v>237</v>
      </c>
      <c r="D168" s="37">
        <v>77.190100000000001</v>
      </c>
      <c r="E168" s="86">
        <v>0</v>
      </c>
      <c r="F168" s="38">
        <f t="shared" si="86"/>
        <v>77.190100000000001</v>
      </c>
      <c r="G168" s="97">
        <v>5</v>
      </c>
      <c r="H168" s="88">
        <v>42.08</v>
      </c>
      <c r="I168" s="89">
        <f t="shared" si="128"/>
        <v>9.93</v>
      </c>
      <c r="J168" s="90">
        <v>23.8</v>
      </c>
      <c r="K168" s="90">
        <f t="shared" si="129"/>
        <v>75.81</v>
      </c>
      <c r="L168" s="90"/>
      <c r="M168" s="90"/>
      <c r="N168" s="90">
        <v>1.2461</v>
      </c>
      <c r="O168" s="90">
        <v>0.13400000000000001</v>
      </c>
      <c r="P168" s="90">
        <f t="shared" si="140"/>
        <v>1.3801000000000001</v>
      </c>
      <c r="Q168" s="90">
        <f t="shared" si="141"/>
        <v>77.190100000000001</v>
      </c>
      <c r="R168" s="90"/>
      <c r="S168" s="90">
        <f t="shared" si="132"/>
        <v>77.190100000000001</v>
      </c>
      <c r="T168" s="92">
        <f t="shared" si="133"/>
        <v>385.95049999999998</v>
      </c>
      <c r="U168" s="40">
        <f t="shared" si="134"/>
        <v>210.39999999999998</v>
      </c>
      <c r="V168" s="40">
        <f t="shared" si="135"/>
        <v>49.65</v>
      </c>
      <c r="W168" s="40">
        <f t="shared" si="136"/>
        <v>119</v>
      </c>
      <c r="X168" s="40"/>
      <c r="Y168" s="40"/>
      <c r="Z168" s="40">
        <f t="shared" si="137"/>
        <v>6.2305000000000001</v>
      </c>
      <c r="AA168" s="40">
        <f t="shared" si="87"/>
        <v>0.67</v>
      </c>
      <c r="AB168" s="93">
        <f t="shared" si="138"/>
        <v>385.95049999999998</v>
      </c>
      <c r="AC168" s="94">
        <v>0</v>
      </c>
      <c r="AD168" s="76">
        <f t="shared" si="139"/>
        <v>385.95049999999998</v>
      </c>
      <c r="AE168" s="95"/>
      <c r="AF168" s="95"/>
      <c r="AG168" s="95"/>
    </row>
    <row r="169" spans="1:34" ht="54" customHeight="1" x14ac:dyDescent="0.2">
      <c r="A169" s="84" t="s">
        <v>206</v>
      </c>
      <c r="B169" s="160" t="s">
        <v>177</v>
      </c>
      <c r="C169" s="85" t="s">
        <v>237</v>
      </c>
      <c r="D169" s="37">
        <v>55.500099999999996</v>
      </c>
      <c r="E169" s="86">
        <v>0</v>
      </c>
      <c r="F169" s="38">
        <f t="shared" si="86"/>
        <v>55.500099999999996</v>
      </c>
      <c r="G169" s="97">
        <v>20</v>
      </c>
      <c r="H169" s="88">
        <v>42.08</v>
      </c>
      <c r="I169" s="89">
        <f t="shared" si="128"/>
        <v>9.93</v>
      </c>
      <c r="J169" s="90">
        <v>2.11</v>
      </c>
      <c r="K169" s="90">
        <f t="shared" si="129"/>
        <v>54.12</v>
      </c>
      <c r="L169" s="90"/>
      <c r="M169" s="90"/>
      <c r="N169" s="90">
        <v>1.2461</v>
      </c>
      <c r="O169" s="90">
        <v>0.13400000000000001</v>
      </c>
      <c r="P169" s="90">
        <f t="shared" si="140"/>
        <v>1.3801000000000001</v>
      </c>
      <c r="Q169" s="90">
        <f t="shared" si="141"/>
        <v>55.500099999999996</v>
      </c>
      <c r="R169" s="90"/>
      <c r="S169" s="90">
        <f t="shared" si="132"/>
        <v>55.500099999999996</v>
      </c>
      <c r="T169" s="92">
        <f t="shared" si="133"/>
        <v>1110.002</v>
      </c>
      <c r="U169" s="40">
        <f t="shared" si="134"/>
        <v>841.59999999999991</v>
      </c>
      <c r="V169" s="40">
        <f t="shared" si="135"/>
        <v>198.6</v>
      </c>
      <c r="W169" s="40">
        <f t="shared" si="136"/>
        <v>42.199999999999996</v>
      </c>
      <c r="X169" s="40"/>
      <c r="Y169" s="40"/>
      <c r="Z169" s="40">
        <f t="shared" si="137"/>
        <v>24.922000000000001</v>
      </c>
      <c r="AA169" s="40">
        <f t="shared" si="87"/>
        <v>2.68</v>
      </c>
      <c r="AB169" s="93">
        <f t="shared" si="138"/>
        <v>1110.002</v>
      </c>
      <c r="AC169" s="94">
        <v>0</v>
      </c>
      <c r="AD169" s="76">
        <f t="shared" si="139"/>
        <v>1110.002</v>
      </c>
      <c r="AE169" s="95"/>
      <c r="AF169" s="95"/>
      <c r="AG169" s="95"/>
    </row>
    <row r="170" spans="1:34" ht="25.5" x14ac:dyDescent="0.2">
      <c r="A170" s="84" t="s">
        <v>207</v>
      </c>
      <c r="B170" s="160" t="s">
        <v>65</v>
      </c>
      <c r="C170" s="85" t="s">
        <v>237</v>
      </c>
      <c r="D170" s="37">
        <v>46.450099999999999</v>
      </c>
      <c r="E170" s="86">
        <v>0</v>
      </c>
      <c r="F170" s="38">
        <f t="shared" si="86"/>
        <v>46.450099999999999</v>
      </c>
      <c r="G170" s="97">
        <v>5</v>
      </c>
      <c r="H170" s="88">
        <v>35.08</v>
      </c>
      <c r="I170" s="89">
        <f t="shared" si="128"/>
        <v>8.2799999999999994</v>
      </c>
      <c r="J170" s="90">
        <v>1.71</v>
      </c>
      <c r="K170" s="90">
        <f t="shared" si="129"/>
        <v>45.07</v>
      </c>
      <c r="L170" s="90"/>
      <c r="M170" s="90"/>
      <c r="N170" s="90">
        <v>1.2461</v>
      </c>
      <c r="O170" s="90">
        <v>0.13400000000000001</v>
      </c>
      <c r="P170" s="90">
        <f t="shared" si="140"/>
        <v>1.3801000000000001</v>
      </c>
      <c r="Q170" s="90">
        <f t="shared" si="141"/>
        <v>46.450099999999999</v>
      </c>
      <c r="R170" s="90"/>
      <c r="S170" s="90">
        <f t="shared" si="132"/>
        <v>46.450099999999999</v>
      </c>
      <c r="T170" s="92">
        <f t="shared" si="133"/>
        <v>232.25049999999999</v>
      </c>
      <c r="U170" s="40">
        <f t="shared" si="134"/>
        <v>175.39999999999998</v>
      </c>
      <c r="V170" s="40">
        <f t="shared" si="135"/>
        <v>41.4</v>
      </c>
      <c r="W170" s="40">
        <f t="shared" si="136"/>
        <v>8.5500000000000007</v>
      </c>
      <c r="X170" s="40"/>
      <c r="Y170" s="40"/>
      <c r="Z170" s="40">
        <f t="shared" si="137"/>
        <v>6.2305000000000001</v>
      </c>
      <c r="AA170" s="40">
        <f t="shared" si="87"/>
        <v>0.67</v>
      </c>
      <c r="AB170" s="93">
        <f t="shared" si="138"/>
        <v>232.25049999999999</v>
      </c>
      <c r="AC170" s="94">
        <v>0</v>
      </c>
      <c r="AD170" s="76">
        <f t="shared" si="139"/>
        <v>232.25049999999999</v>
      </c>
      <c r="AE170" s="95"/>
      <c r="AF170" s="95"/>
      <c r="AG170" s="95"/>
    </row>
    <row r="171" spans="1:34" ht="29.25" customHeight="1" x14ac:dyDescent="0.2">
      <c r="A171" s="84" t="s">
        <v>208</v>
      </c>
      <c r="B171" s="160" t="s">
        <v>211</v>
      </c>
      <c r="C171" s="85" t="s">
        <v>237</v>
      </c>
      <c r="D171" s="37">
        <v>54.560099999999998</v>
      </c>
      <c r="E171" s="86">
        <v>0</v>
      </c>
      <c r="F171" s="38">
        <f t="shared" si="86"/>
        <v>54.560099999999998</v>
      </c>
      <c r="G171" s="97">
        <v>5</v>
      </c>
      <c r="H171" s="88">
        <v>38.58</v>
      </c>
      <c r="I171" s="89">
        <f t="shared" si="128"/>
        <v>9.1</v>
      </c>
      <c r="J171" s="90">
        <v>5.5</v>
      </c>
      <c r="K171" s="90">
        <f t="shared" si="129"/>
        <v>53.18</v>
      </c>
      <c r="L171" s="90"/>
      <c r="M171" s="90"/>
      <c r="N171" s="90">
        <v>1.2461</v>
      </c>
      <c r="O171" s="90">
        <v>0.13400000000000001</v>
      </c>
      <c r="P171" s="90">
        <f t="shared" si="140"/>
        <v>1.3801000000000001</v>
      </c>
      <c r="Q171" s="90">
        <f t="shared" si="141"/>
        <v>54.560099999999998</v>
      </c>
      <c r="R171" s="90"/>
      <c r="S171" s="90">
        <f t="shared" si="132"/>
        <v>54.560099999999998</v>
      </c>
      <c r="T171" s="92">
        <f t="shared" si="133"/>
        <v>272.8005</v>
      </c>
      <c r="U171" s="40">
        <f t="shared" si="134"/>
        <v>192.89999999999998</v>
      </c>
      <c r="V171" s="40">
        <f t="shared" si="135"/>
        <v>45.5</v>
      </c>
      <c r="W171" s="40">
        <f t="shared" si="136"/>
        <v>27.5</v>
      </c>
      <c r="X171" s="40"/>
      <c r="Y171" s="40"/>
      <c r="Z171" s="40">
        <f t="shared" si="137"/>
        <v>6.2305000000000001</v>
      </c>
      <c r="AA171" s="40">
        <f t="shared" si="87"/>
        <v>0.67</v>
      </c>
      <c r="AB171" s="93">
        <f t="shared" si="138"/>
        <v>272.8005</v>
      </c>
      <c r="AC171" s="94">
        <v>0</v>
      </c>
      <c r="AD171" s="76">
        <f t="shared" si="139"/>
        <v>272.8005</v>
      </c>
      <c r="AE171" s="95"/>
      <c r="AF171" s="95"/>
      <c r="AG171" s="95"/>
    </row>
    <row r="172" spans="1:34" ht="26.25" thickBot="1" x14ac:dyDescent="0.25">
      <c r="A172" s="118" t="s">
        <v>209</v>
      </c>
      <c r="B172" s="163" t="s">
        <v>69</v>
      </c>
      <c r="C172" s="119" t="s">
        <v>237</v>
      </c>
      <c r="D172" s="52">
        <v>50.580100000000002</v>
      </c>
      <c r="E172" s="120">
        <v>0</v>
      </c>
      <c r="F172" s="121">
        <f t="shared" ref="F172" si="142">D172+E172</f>
        <v>50.580100000000002</v>
      </c>
      <c r="G172" s="122">
        <v>5</v>
      </c>
      <c r="H172" s="123">
        <v>35.08</v>
      </c>
      <c r="I172" s="124">
        <f t="shared" si="128"/>
        <v>8.2799999999999994</v>
      </c>
      <c r="J172" s="91">
        <v>5.84</v>
      </c>
      <c r="K172" s="91">
        <f t="shared" si="129"/>
        <v>49.2</v>
      </c>
      <c r="L172" s="91"/>
      <c r="M172" s="91"/>
      <c r="N172" s="90">
        <v>1.2461</v>
      </c>
      <c r="O172" s="90">
        <v>0.13400000000000001</v>
      </c>
      <c r="P172" s="90">
        <f t="shared" si="140"/>
        <v>1.3801000000000001</v>
      </c>
      <c r="Q172" s="90">
        <f t="shared" si="141"/>
        <v>50.580100000000002</v>
      </c>
      <c r="R172" s="91"/>
      <c r="S172" s="90">
        <f t="shared" si="132"/>
        <v>50.580100000000002</v>
      </c>
      <c r="T172" s="125">
        <f t="shared" si="133"/>
        <v>252.90049999999997</v>
      </c>
      <c r="U172" s="54">
        <f t="shared" si="134"/>
        <v>175.39999999999998</v>
      </c>
      <c r="V172" s="54">
        <f t="shared" si="135"/>
        <v>41.4</v>
      </c>
      <c r="W172" s="54">
        <f t="shared" si="136"/>
        <v>29.2</v>
      </c>
      <c r="X172" s="54"/>
      <c r="Y172" s="54"/>
      <c r="Z172" s="54">
        <f t="shared" si="137"/>
        <v>6.2305000000000001</v>
      </c>
      <c r="AA172" s="40">
        <f t="shared" si="87"/>
        <v>0.67</v>
      </c>
      <c r="AB172" s="126">
        <f t="shared" si="138"/>
        <v>252.90049999999997</v>
      </c>
      <c r="AC172" s="94">
        <v>0</v>
      </c>
      <c r="AD172" s="127">
        <f t="shared" si="139"/>
        <v>252.90049999999997</v>
      </c>
      <c r="AE172" s="95"/>
      <c r="AF172" s="95"/>
      <c r="AG172" s="95"/>
    </row>
    <row r="173" spans="1:34" ht="26.25" thickBot="1" x14ac:dyDescent="0.25">
      <c r="A173" s="128"/>
      <c r="B173" s="164" t="s">
        <v>242</v>
      </c>
      <c r="C173" s="129"/>
      <c r="D173" s="130"/>
      <c r="E173" s="131"/>
      <c r="F173" s="132"/>
      <c r="G173" s="133">
        <f>SUM(G33:G172)</f>
        <v>11319</v>
      </c>
      <c r="H173" s="134"/>
      <c r="I173" s="135"/>
      <c r="J173" s="134"/>
      <c r="K173" s="134"/>
      <c r="L173" s="134"/>
      <c r="M173" s="134"/>
      <c r="N173" s="134"/>
      <c r="O173" s="134"/>
      <c r="P173" s="134"/>
      <c r="Q173" s="134"/>
      <c r="R173" s="134"/>
      <c r="S173" s="136"/>
      <c r="T173" s="137">
        <f>SUM(T33:T172)</f>
        <v>186944.90190000011</v>
      </c>
      <c r="U173" s="138">
        <f>SUM(U33:U172)</f>
        <v>73151.249999999913</v>
      </c>
      <c r="V173" s="138">
        <f>SUM(V33:V172)</f>
        <v>17235.360000000008</v>
      </c>
      <c r="W173" s="138">
        <f>SUM(W33:W172)</f>
        <v>80936.940000000031</v>
      </c>
      <c r="X173" s="138">
        <f t="shared" ref="X173:AC173" si="143">SUM(X33:X172)</f>
        <v>0</v>
      </c>
      <c r="Y173" s="138">
        <f t="shared" si="143"/>
        <v>0</v>
      </c>
      <c r="Z173" s="138">
        <f>SUM(Z33:Z172)</f>
        <v>14104.60589999999</v>
      </c>
      <c r="AA173" s="138">
        <f>SUM(AA33:AA172)</f>
        <v>1516.7460000000033</v>
      </c>
      <c r="AB173" s="138">
        <f t="shared" si="143"/>
        <v>186944.90190000011</v>
      </c>
      <c r="AC173" s="138">
        <f t="shared" si="143"/>
        <v>0</v>
      </c>
      <c r="AD173" s="139">
        <f>SUM(AD33:AD172)</f>
        <v>186944.90190000011</v>
      </c>
      <c r="AE173" s="95"/>
    </row>
    <row r="174" spans="1:34" ht="31.5" customHeight="1" thickBot="1" x14ac:dyDescent="0.25">
      <c r="A174" s="140"/>
      <c r="B174" s="141" t="s">
        <v>134</v>
      </c>
      <c r="C174" s="141"/>
      <c r="D174" s="141"/>
      <c r="E174" s="142"/>
      <c r="F174" s="143"/>
      <c r="G174" s="144">
        <f>G27+G173</f>
        <v>11509</v>
      </c>
      <c r="H174" s="145"/>
      <c r="I174" s="145"/>
      <c r="J174" s="145"/>
      <c r="K174" s="145"/>
      <c r="L174" s="145"/>
      <c r="M174" s="145"/>
      <c r="N174" s="145"/>
      <c r="O174" s="146"/>
      <c r="P174" s="146"/>
      <c r="Q174" s="146"/>
      <c r="R174" s="146"/>
      <c r="S174" s="146"/>
      <c r="T174" s="144">
        <f>T27+T173</f>
        <v>202691.58780000012</v>
      </c>
      <c r="U174" s="144">
        <f t="shared" ref="U174:AC174" si="144">U27+U173</f>
        <v>79447.029999999912</v>
      </c>
      <c r="V174" s="144">
        <f t="shared" si="144"/>
        <v>18730.040000000008</v>
      </c>
      <c r="W174" s="144">
        <f t="shared" si="144"/>
        <v>82871.140000000029</v>
      </c>
      <c r="X174" s="144">
        <f t="shared" si="144"/>
        <v>895.66</v>
      </c>
      <c r="Y174" s="144">
        <f t="shared" si="144"/>
        <v>211.32999999999998</v>
      </c>
      <c r="Z174" s="144">
        <f t="shared" si="144"/>
        <v>16179.985899999989</v>
      </c>
      <c r="AA174" s="144">
        <f t="shared" si="144"/>
        <v>1623.5060000000033</v>
      </c>
      <c r="AB174" s="144">
        <f t="shared" si="144"/>
        <v>199958.69190000012</v>
      </c>
      <c r="AC174" s="144">
        <f t="shared" si="144"/>
        <v>2732.8959</v>
      </c>
      <c r="AD174" s="147">
        <f>AD27+AD173</f>
        <v>202691.58780000012</v>
      </c>
      <c r="AE174" s="95"/>
      <c r="AF174" s="148"/>
      <c r="AG174" s="148"/>
      <c r="AH174" s="148"/>
    </row>
    <row r="175" spans="1:34" ht="14.25" customHeight="1" x14ac:dyDescent="0.2">
      <c r="A175" s="149"/>
      <c r="B175" s="150" t="s">
        <v>250</v>
      </c>
      <c r="C175" s="151"/>
      <c r="D175" s="151"/>
      <c r="E175" s="152"/>
      <c r="F175" s="152"/>
      <c r="G175" s="74"/>
      <c r="H175" s="74"/>
      <c r="I175" s="74"/>
      <c r="J175" s="74"/>
      <c r="K175" s="74"/>
      <c r="L175" s="74"/>
      <c r="M175" s="74"/>
      <c r="N175" s="74"/>
      <c r="O175" s="74"/>
      <c r="P175" s="74"/>
      <c r="Q175" s="74"/>
      <c r="R175" s="74"/>
      <c r="S175" s="74"/>
      <c r="T175" s="153"/>
      <c r="U175" s="13">
        <f>U174</f>
        <v>79447.029999999912</v>
      </c>
      <c r="V175" s="13">
        <f>V174</f>
        <v>18730.040000000008</v>
      </c>
      <c r="W175" s="13"/>
      <c r="X175" s="13">
        <f>X174</f>
        <v>895.66</v>
      </c>
      <c r="Y175" s="13">
        <f>Y174</f>
        <v>211.32999999999998</v>
      </c>
      <c r="Z175" s="13"/>
      <c r="AA175" s="13"/>
      <c r="AB175" s="13">
        <f>SUM(U175:AA175)</f>
        <v>99284.059999999925</v>
      </c>
      <c r="AC175" s="13">
        <v>1868.46</v>
      </c>
      <c r="AD175" s="13">
        <f>AB175+AC175</f>
        <v>101152.51999999993</v>
      </c>
      <c r="AE175" s="148"/>
      <c r="AF175" s="148"/>
      <c r="AG175" s="148"/>
      <c r="AH175" s="148"/>
    </row>
    <row r="176" spans="1:34" x14ac:dyDescent="0.2">
      <c r="A176" s="47"/>
      <c r="B176" s="154" t="s">
        <v>251</v>
      </c>
      <c r="C176" s="47"/>
      <c r="D176" s="47"/>
      <c r="E176" s="40"/>
      <c r="F176" s="40"/>
      <c r="G176" s="76"/>
      <c r="H176" s="40"/>
      <c r="I176" s="40"/>
      <c r="J176" s="40"/>
      <c r="K176" s="40"/>
      <c r="L176" s="40"/>
      <c r="M176" s="40"/>
      <c r="N176" s="40"/>
      <c r="O176" s="40"/>
      <c r="P176" s="40"/>
      <c r="Q176" s="40"/>
      <c r="R176" s="40"/>
      <c r="S176" s="40"/>
      <c r="T176" s="40"/>
      <c r="U176" s="155"/>
      <c r="V176" s="13"/>
      <c r="W176" s="13">
        <f>W174</f>
        <v>82871.140000000029</v>
      </c>
      <c r="X176" s="13"/>
      <c r="Y176" s="13"/>
      <c r="Z176" s="13">
        <f>Z174</f>
        <v>16179.985899999989</v>
      </c>
      <c r="AA176" s="13"/>
      <c r="AB176" s="13">
        <f t="shared" ref="AB176:AB177" si="145">SUM(U176:AA176)</f>
        <v>99051.125900000014</v>
      </c>
      <c r="AC176" s="13">
        <v>842.01</v>
      </c>
      <c r="AD176" s="13">
        <f>SUM(AB176:AC176)</f>
        <v>99893.135900000008</v>
      </c>
      <c r="AE176" s="148"/>
      <c r="AF176" s="148"/>
      <c r="AG176" s="148"/>
      <c r="AH176" s="148"/>
    </row>
    <row r="177" spans="1:34" x14ac:dyDescent="0.2">
      <c r="A177" s="47"/>
      <c r="B177" s="154" t="s">
        <v>253</v>
      </c>
      <c r="C177" s="47"/>
      <c r="D177" s="47"/>
      <c r="E177" s="40"/>
      <c r="F177" s="40"/>
      <c r="G177" s="43"/>
      <c r="H177" s="40"/>
      <c r="I177" s="40"/>
      <c r="J177" s="40"/>
      <c r="K177" s="40"/>
      <c r="L177" s="40"/>
      <c r="M177" s="40"/>
      <c r="N177" s="40"/>
      <c r="O177" s="40"/>
      <c r="P177" s="40"/>
      <c r="Q177" s="90"/>
      <c r="R177" s="40"/>
      <c r="S177" s="40"/>
      <c r="T177" s="40"/>
      <c r="U177" s="40"/>
      <c r="V177" s="13"/>
      <c r="W177" s="13"/>
      <c r="X177" s="13"/>
      <c r="Y177" s="13"/>
      <c r="Z177" s="13"/>
      <c r="AA177" s="13">
        <f>AA174</f>
        <v>1623.5060000000033</v>
      </c>
      <c r="AB177" s="13">
        <f t="shared" si="145"/>
        <v>1623.5060000000033</v>
      </c>
      <c r="AC177" s="13">
        <v>22.42</v>
      </c>
      <c r="AD177" s="13">
        <f>SUM(AB177:AC177)</f>
        <v>1645.9260000000033</v>
      </c>
      <c r="AE177" s="148"/>
      <c r="AF177" s="148"/>
      <c r="AG177" s="148"/>
      <c r="AH177" s="148"/>
    </row>
    <row r="178" spans="1:34" x14ac:dyDescent="0.2">
      <c r="A178" s="47"/>
      <c r="B178" s="156" t="s">
        <v>134</v>
      </c>
      <c r="C178" s="47"/>
      <c r="D178" s="47"/>
      <c r="E178" s="40"/>
      <c r="F178" s="40"/>
      <c r="G178" s="43"/>
      <c r="H178" s="40"/>
      <c r="I178" s="40"/>
      <c r="J178" s="40"/>
      <c r="K178" s="40"/>
      <c r="L178" s="40"/>
      <c r="M178" s="40"/>
      <c r="N178" s="40"/>
      <c r="O178" s="40"/>
      <c r="P178" s="40"/>
      <c r="Q178" s="40"/>
      <c r="R178" s="40"/>
      <c r="S178" s="40"/>
      <c r="T178" s="157"/>
      <c r="U178" s="12">
        <f>SUM(U175:U177)</f>
        <v>79447.029999999912</v>
      </c>
      <c r="V178" s="12">
        <f t="shared" ref="V178:AD178" si="146">SUM(V175:V177)</f>
        <v>18730.040000000008</v>
      </c>
      <c r="W178" s="12">
        <f t="shared" si="146"/>
        <v>82871.140000000029</v>
      </c>
      <c r="X178" s="12">
        <f t="shared" si="146"/>
        <v>895.66</v>
      </c>
      <c r="Y178" s="12">
        <f t="shared" si="146"/>
        <v>211.32999999999998</v>
      </c>
      <c r="Z178" s="12">
        <f t="shared" si="146"/>
        <v>16179.985899999989</v>
      </c>
      <c r="AA178" s="12">
        <f t="shared" si="146"/>
        <v>1623.5060000000033</v>
      </c>
      <c r="AB178" s="12">
        <f t="shared" si="146"/>
        <v>199958.69189999992</v>
      </c>
      <c r="AC178" s="12">
        <f>SUM(AC175:AC177)</f>
        <v>2732.8900000000003</v>
      </c>
      <c r="AD178" s="12">
        <f t="shared" si="146"/>
        <v>202691.58189999996</v>
      </c>
      <c r="AF178" s="148"/>
      <c r="AG178" s="148"/>
    </row>
    <row r="181" spans="1:34" x14ac:dyDescent="0.2">
      <c r="B181" s="158"/>
    </row>
    <row r="182" spans="1:34" ht="24.75" customHeight="1" x14ac:dyDescent="0.2">
      <c r="H182" s="23"/>
    </row>
    <row r="183" spans="1:34" x14ac:dyDescent="0.2">
      <c r="P183" s="159"/>
      <c r="AH183" s="95"/>
    </row>
    <row r="185" spans="1:34" x14ac:dyDescent="0.2">
      <c r="H185" s="23"/>
    </row>
    <row r="186" spans="1:34" x14ac:dyDescent="0.2">
      <c r="K186" s="159"/>
    </row>
  </sheetData>
  <autoFilter ref="A13:AD178" xr:uid="{097F74ED-68F0-4977-9EA1-0B5DA40E02E4}"/>
  <mergeCells count="22">
    <mergeCell ref="AB11:AB13"/>
    <mergeCell ref="A1:B1"/>
    <mergeCell ref="A2:B2"/>
    <mergeCell ref="A3:B3"/>
    <mergeCell ref="B11:B13"/>
    <mergeCell ref="D11:D13"/>
    <mergeCell ref="AD11:AD13"/>
    <mergeCell ref="A11:A13"/>
    <mergeCell ref="C11:C13"/>
    <mergeCell ref="E11:E13"/>
    <mergeCell ref="F11:F13"/>
    <mergeCell ref="G11:G13"/>
    <mergeCell ref="S11:S13"/>
    <mergeCell ref="T11:T13"/>
    <mergeCell ref="H11:P11"/>
    <mergeCell ref="H12:K12"/>
    <mergeCell ref="L12:P12"/>
    <mergeCell ref="U12:W12"/>
    <mergeCell ref="X12:AA12"/>
    <mergeCell ref="R11:R13"/>
    <mergeCell ref="AC11:AC13"/>
    <mergeCell ref="U11:AA11"/>
  </mergeCells>
  <pageMargins left="0.70866141732283472" right="0.70866141732283472" top="0.74803149606299213" bottom="0.74803149606299213" header="0.31496062992125984" footer="0.31496062992125984"/>
  <pageSetup paperSize="9" scale="65" orientation="landscape" r:id="rId1"/>
  <headerFooter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6A28E6-6469-406F-805F-576E7777124D}">
  <dimension ref="B2:Y7"/>
  <sheetViews>
    <sheetView workbookViewId="0">
      <selection activeCell="Z18" sqref="Z18"/>
    </sheetView>
  </sheetViews>
  <sheetFormatPr defaultRowHeight="15" x14ac:dyDescent="0.25"/>
  <cols>
    <col min="1" max="1" width="2.5703125" customWidth="1"/>
    <col min="2" max="2" width="6.5703125" customWidth="1"/>
    <col min="3" max="3" width="6.42578125" customWidth="1"/>
    <col min="4" max="4" width="6" customWidth="1"/>
    <col min="5" max="5" width="7.140625" customWidth="1"/>
    <col min="6" max="6" width="6.7109375" customWidth="1"/>
    <col min="7" max="7" width="7.5703125" customWidth="1"/>
    <col min="8" max="8" width="6.28515625" customWidth="1"/>
    <col min="9" max="9" width="8.85546875" customWidth="1"/>
    <col min="10" max="10" width="7.28515625" customWidth="1"/>
    <col min="11" max="11" width="7" customWidth="1"/>
    <col min="12" max="12" width="5.42578125" customWidth="1"/>
    <col min="13" max="13" width="8.7109375" customWidth="1"/>
    <col min="14" max="15" width="6.7109375" customWidth="1"/>
    <col min="16" max="16" width="5.7109375" customWidth="1"/>
    <col min="17" max="17" width="8.7109375" customWidth="1"/>
    <col min="18" max="19" width="6.7109375" customWidth="1"/>
    <col min="20" max="20" width="5.7109375" customWidth="1"/>
    <col min="21" max="21" width="8.7109375" customWidth="1"/>
    <col min="22" max="23" width="7.28515625" customWidth="1"/>
    <col min="24" max="24" width="7.42578125" customWidth="1"/>
    <col min="25" max="25" width="8.28515625" customWidth="1"/>
  </cols>
  <sheetData>
    <row r="2" spans="2:25" ht="15.75" thickBot="1" x14ac:dyDescent="0.3"/>
    <row r="3" spans="2:25" ht="32.25" customHeight="1" x14ac:dyDescent="0.25">
      <c r="B3" s="222" t="s">
        <v>248</v>
      </c>
      <c r="C3" s="223"/>
      <c r="D3" s="223"/>
      <c r="E3" s="224"/>
      <c r="F3" s="222" t="s">
        <v>246</v>
      </c>
      <c r="G3" s="223"/>
      <c r="H3" s="223"/>
      <c r="I3" s="224"/>
      <c r="J3" s="222" t="s">
        <v>247</v>
      </c>
      <c r="K3" s="223"/>
      <c r="L3" s="223"/>
      <c r="M3" s="224"/>
      <c r="N3" s="222" t="s">
        <v>282</v>
      </c>
      <c r="O3" s="223"/>
      <c r="P3" s="223"/>
      <c r="Q3" s="224"/>
      <c r="R3" s="222" t="s">
        <v>278</v>
      </c>
      <c r="S3" s="223"/>
      <c r="T3" s="223"/>
      <c r="U3" s="224"/>
      <c r="V3" s="222" t="s">
        <v>283</v>
      </c>
      <c r="W3" s="223"/>
      <c r="X3" s="223"/>
      <c r="Y3" s="224"/>
    </row>
    <row r="4" spans="2:25" x14ac:dyDescent="0.25">
      <c r="B4" s="2">
        <v>1000</v>
      </c>
      <c r="C4" s="1">
        <v>2000</v>
      </c>
      <c r="D4" s="1">
        <v>5000</v>
      </c>
      <c r="E4" s="3" t="s">
        <v>134</v>
      </c>
      <c r="F4" s="2">
        <v>1000</v>
      </c>
      <c r="G4" s="1">
        <v>2000</v>
      </c>
      <c r="H4" s="1">
        <v>5000</v>
      </c>
      <c r="I4" s="3" t="s">
        <v>134</v>
      </c>
      <c r="J4" s="2">
        <v>1000</v>
      </c>
      <c r="K4" s="1">
        <v>2000</v>
      </c>
      <c r="L4" s="1">
        <v>5000</v>
      </c>
      <c r="M4" s="3" t="s">
        <v>134</v>
      </c>
      <c r="N4" s="2">
        <v>1000</v>
      </c>
      <c r="O4" s="1">
        <v>2000</v>
      </c>
      <c r="P4" s="1">
        <v>5000</v>
      </c>
      <c r="Q4" s="3" t="s">
        <v>134</v>
      </c>
      <c r="R4" s="2">
        <v>1000</v>
      </c>
      <c r="S4" s="1">
        <v>2000</v>
      </c>
      <c r="T4" s="1">
        <v>5000</v>
      </c>
      <c r="U4" s="3" t="s">
        <v>134</v>
      </c>
      <c r="V4" s="2">
        <v>1000</v>
      </c>
      <c r="W4" s="1">
        <v>2000</v>
      </c>
      <c r="X4" s="1">
        <v>5000</v>
      </c>
      <c r="Y4" s="3" t="s">
        <v>134</v>
      </c>
    </row>
    <row r="5" spans="2:25" ht="15.75" thickBot="1" x14ac:dyDescent="0.3">
      <c r="B5" s="4">
        <v>24382</v>
      </c>
      <c r="C5" s="5">
        <v>75595</v>
      </c>
      <c r="D5" s="5">
        <v>0</v>
      </c>
      <c r="E5" s="6">
        <f>SUM(B5:D5)</f>
        <v>99977</v>
      </c>
      <c r="F5" s="4">
        <v>32955</v>
      </c>
      <c r="G5" s="5">
        <v>76950</v>
      </c>
      <c r="H5" s="5">
        <v>121</v>
      </c>
      <c r="I5" s="6">
        <f>SUM(F5:H5)</f>
        <v>110026</v>
      </c>
      <c r="J5" s="4">
        <v>75817</v>
      </c>
      <c r="K5" s="5">
        <v>83724</v>
      </c>
      <c r="L5" s="5">
        <v>727</v>
      </c>
      <c r="M5" s="6">
        <f>SUM(J5:L5)</f>
        <v>160268</v>
      </c>
      <c r="N5" s="4">
        <v>86719</v>
      </c>
      <c r="O5" s="5">
        <v>95863</v>
      </c>
      <c r="P5" s="5">
        <v>727</v>
      </c>
      <c r="Q5" s="6">
        <f>SUM(N5:P5)</f>
        <v>183309</v>
      </c>
      <c r="R5" s="4">
        <v>86719</v>
      </c>
      <c r="S5" s="5">
        <v>95863</v>
      </c>
      <c r="T5" s="5">
        <v>727</v>
      </c>
      <c r="U5" s="6">
        <f>SUM(R5:T5)</f>
        <v>183309</v>
      </c>
      <c r="V5" s="4">
        <f>VADC_ienem_izdev_progn_2026!AD175</f>
        <v>101152.51999999993</v>
      </c>
      <c r="W5" s="5">
        <f>VADC_ienem_izdev_progn_2026!AD176</f>
        <v>99893.135900000008</v>
      </c>
      <c r="X5" s="5">
        <f>VADC_ienem_izdev_progn_2026!AD177</f>
        <v>1645.9260000000033</v>
      </c>
      <c r="Y5" s="6">
        <f>SUM(V5:X5)</f>
        <v>202691.58189999996</v>
      </c>
    </row>
    <row r="7" spans="2:25" x14ac:dyDescent="0.25">
      <c r="Q7" s="7"/>
      <c r="U7" s="7"/>
      <c r="X7" s="8"/>
    </row>
  </sheetData>
  <mergeCells count="6">
    <mergeCell ref="B3:E3"/>
    <mergeCell ref="F3:I3"/>
    <mergeCell ref="J3:M3"/>
    <mergeCell ref="V3:Y3"/>
    <mergeCell ref="R3:U3"/>
    <mergeCell ref="N3:Q3"/>
  </mergeCells>
  <pageMargins left="0.70866141732283472" right="0.70866141732283472" top="0.74803149606299213" bottom="0.74803149606299213" header="0.31496062992125984" footer="0.31496062992125984"/>
  <pageSetup scale="75" orientation="landscape" r:id="rId1"/>
</worksheet>
</file>

<file path=docMetadata/LabelInfo.xml><?xml version="1.0" encoding="utf-8"?>
<clbl:labelList xmlns:clbl="http://schemas.microsoft.com/office/2020/mipLabelMetadata">
  <clbl:label id="{171abc8c-0b18-4336-97d7-51d65f5c7f99}" enabled="1" method="Standard" siteId="{dbc9012d-628b-43d4-b190-8a730f7e1e96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VADC_ienem_izdev_progn_2026</vt:lpstr>
      <vt:lpstr>Planoto_ien_salidz</vt:lpstr>
      <vt:lpstr>VADC_ienem_izdev_progn_2026!Print_Titles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2025-10-08T08:00:00Z</dcterms:modified>
</cp:coreProperties>
</file>