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rīkojuma_projekti\2022\Vakcinācijas pasākumiem_100122\Precizēts_080222\"/>
    </mc:Choice>
  </mc:AlternateContent>
  <xr:revisionPtr revIDLastSave="0" documentId="13_ncr:1_{3B97CE88-EE8A-4CC9-9ACA-8D768D19936B}" xr6:coauthVersionLast="47" xr6:coauthVersionMax="47" xr10:uidLastSave="{00000000-0000-0000-0000-000000000000}"/>
  <bookViews>
    <workbookView xWindow="28680" yWindow="-120" windowWidth="29040" windowHeight="15840" tabRatio="935" xr2:uid="{DE55F8B8-BFF0-46C3-8D65-9B01BE098AA4}"/>
  </bookViews>
  <sheets>
    <sheet name="Pielikums Nr_3" sheetId="1" r:id="rId1"/>
    <sheet name="Pielikums Nr_4" sheetId="16" r:id="rId2"/>
    <sheet name="Pielikums Nr_5" sheetId="11" r:id="rId3"/>
    <sheet name="Pielikums Nr_6" sheetId="3" r:id="rId4"/>
    <sheet name="Pielikums Nr_7" sheetId="18" r:id="rId5"/>
    <sheet name="Pielikums Nr_8" sheetId="17" r:id="rId6"/>
    <sheet name="Pielikums Nr_9" sheetId="4" r:id="rId7"/>
  </sheets>
  <externalReferences>
    <externalReference r:id="rId8"/>
    <externalReference r:id="rId9"/>
    <externalReference r:id="rId10"/>
    <externalReference r:id="rId11"/>
    <externalReference r:id="rId12"/>
    <externalReference r:id="rId13"/>
    <externalReference r:id="rId14"/>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mm" hidden="1">[1]ZQZBC_PLN__04_03_10!#REF!</definedName>
    <definedName name="n">#REF!</definedName>
    <definedName name="P_Dati_rikojums">#REF!</definedName>
    <definedName name="pp">#REF!</definedName>
    <definedName name="_xlnm.Print_Area" localSheetId="0">'Pielikums Nr_3'!$A$1:$E$12</definedName>
    <definedName name="_xlnm.Print_Area" localSheetId="5">'Pielikums Nr_8'!$A$1:$P$14</definedName>
    <definedName name="_xlnm.Print_Area" localSheetId="6">'Pielikums Nr_9'!$A$1:$P$19</definedName>
    <definedName name="Recover">[3]Macro1!$A$80</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6" i="3" l="1"/>
  <c r="B7" i="1"/>
  <c r="F9" i="4"/>
  <c r="E54" i="3"/>
  <c r="E53" i="3"/>
  <c r="E15" i="3"/>
  <c r="E16" i="3"/>
  <c r="E17" i="3"/>
  <c r="E18" i="3"/>
  <c r="E19" i="3"/>
  <c r="E20" i="3"/>
  <c r="E21" i="3"/>
  <c r="E22" i="3"/>
  <c r="E23" i="3"/>
  <c r="E24" i="3"/>
  <c r="E25" i="3"/>
  <c r="E26" i="3"/>
  <c r="E27" i="3"/>
  <c r="E28" i="3"/>
  <c r="E29" i="3"/>
  <c r="E30" i="3"/>
  <c r="E31" i="3"/>
  <c r="E32" i="3"/>
  <c r="E33" i="3"/>
  <c r="E34" i="3"/>
  <c r="E35" i="3"/>
  <c r="E36" i="3"/>
  <c r="E37" i="3"/>
  <c r="E38" i="3"/>
  <c r="E39" i="3"/>
  <c r="E41" i="3"/>
  <c r="E42" i="3"/>
  <c r="E43" i="3"/>
  <c r="E44" i="3"/>
  <c r="E45" i="3"/>
  <c r="E14" i="3"/>
  <c r="E6" i="3"/>
  <c r="E5" i="3"/>
  <c r="D6" i="3"/>
  <c r="Q21" i="4"/>
  <c r="D11" i="1"/>
  <c r="C11" i="1"/>
  <c r="Q19" i="4"/>
  <c r="Q18" i="4"/>
  <c r="Q17" i="4"/>
  <c r="E9" i="4"/>
  <c r="E8" i="4"/>
  <c r="E7" i="4"/>
  <c r="E5" i="4"/>
  <c r="D10" i="1"/>
  <c r="C10" i="1"/>
  <c r="Q14" i="17"/>
  <c r="Q13" i="17"/>
  <c r="E7" i="17"/>
  <c r="E6" i="17"/>
  <c r="E5" i="17"/>
  <c r="D9" i="1" l="1"/>
  <c r="C9" i="1"/>
  <c r="P44" i="18"/>
  <c r="Q44" i="18"/>
  <c r="Q41" i="18"/>
  <c r="Q42" i="18"/>
  <c r="Q43" i="18"/>
  <c r="Q40" i="18"/>
  <c r="Q70" i="3"/>
  <c r="Q66" i="3"/>
  <c r="Q67" i="3"/>
  <c r="Q68" i="3"/>
  <c r="Q69" i="3"/>
  <c r="Q65" i="3"/>
  <c r="C7" i="1"/>
  <c r="D6" i="1"/>
  <c r="C6" i="1"/>
  <c r="N10" i="16"/>
  <c r="N8" i="16"/>
  <c r="N9" i="16"/>
  <c r="N7" i="16"/>
  <c r="D7" i="1" l="1"/>
  <c r="D57" i="3"/>
  <c r="E25" i="18"/>
  <c r="E24" i="18"/>
  <c r="E23" i="18"/>
  <c r="D7" i="17"/>
  <c r="O18" i="4"/>
  <c r="O17" i="4"/>
  <c r="N18" i="4"/>
  <c r="P18" i="4" s="1"/>
  <c r="N17" i="4"/>
  <c r="M18" i="4"/>
  <c r="M17" i="4"/>
  <c r="L17" i="4"/>
  <c r="K13" i="17"/>
  <c r="K17" i="4"/>
  <c r="I17" i="4"/>
  <c r="G18" i="4"/>
  <c r="H18" i="4"/>
  <c r="I18" i="4"/>
  <c r="J18" i="4"/>
  <c r="K18" i="4"/>
  <c r="L18" i="4" s="1"/>
  <c r="J17" i="4"/>
  <c r="H17" i="4"/>
  <c r="G17" i="4"/>
  <c r="P14" i="17"/>
  <c r="P13" i="17"/>
  <c r="O13" i="17"/>
  <c r="N13" i="17"/>
  <c r="M13" i="17"/>
  <c r="J13" i="17"/>
  <c r="I13" i="17"/>
  <c r="H13" i="17"/>
  <c r="G13" i="17"/>
  <c r="G41" i="18"/>
  <c r="N41" i="18" s="1"/>
  <c r="H41" i="18"/>
  <c r="I41" i="18"/>
  <c r="J41" i="18"/>
  <c r="G42" i="18"/>
  <c r="H42" i="18"/>
  <c r="N42" i="18" s="1"/>
  <c r="I42" i="18"/>
  <c r="J42" i="18"/>
  <c r="G43" i="18"/>
  <c r="N43" i="18" s="1"/>
  <c r="H43" i="18"/>
  <c r="I43" i="18"/>
  <c r="J43" i="18"/>
  <c r="J40" i="18"/>
  <c r="I40" i="18"/>
  <c r="H40" i="18"/>
  <c r="G40" i="18"/>
  <c r="N40" i="18" s="1"/>
  <c r="P66" i="3"/>
  <c r="P67" i="3"/>
  <c r="P68" i="3"/>
  <c r="P69" i="3"/>
  <c r="P65" i="3"/>
  <c r="O66" i="3"/>
  <c r="O67" i="3"/>
  <c r="O68" i="3"/>
  <c r="O69" i="3"/>
  <c r="O65" i="3"/>
  <c r="N66" i="3"/>
  <c r="N67" i="3"/>
  <c r="N68" i="3"/>
  <c r="N69" i="3"/>
  <c r="N65" i="3"/>
  <c r="G66" i="3"/>
  <c r="H66" i="3"/>
  <c r="I66" i="3"/>
  <c r="J66" i="3"/>
  <c r="K66" i="3"/>
  <c r="L66" i="3"/>
  <c r="M66" i="3"/>
  <c r="G67" i="3"/>
  <c r="H67" i="3"/>
  <c r="I67" i="3"/>
  <c r="J67" i="3"/>
  <c r="K67" i="3"/>
  <c r="L67" i="3" s="1"/>
  <c r="M67" i="3" s="1"/>
  <c r="G68" i="3"/>
  <c r="H68" i="3"/>
  <c r="I68" i="3"/>
  <c r="J68" i="3"/>
  <c r="K68" i="3"/>
  <c r="L68" i="3"/>
  <c r="M68" i="3" s="1"/>
  <c r="G69" i="3"/>
  <c r="H69" i="3"/>
  <c r="I69" i="3"/>
  <c r="J69" i="3"/>
  <c r="K69" i="3"/>
  <c r="L69" i="3"/>
  <c r="M69" i="3"/>
  <c r="J65" i="3"/>
  <c r="I65" i="3"/>
  <c r="H65" i="3"/>
  <c r="G65" i="3"/>
  <c r="P59" i="11"/>
  <c r="P58" i="11"/>
  <c r="O59" i="11"/>
  <c r="O58" i="11"/>
  <c r="N59" i="11"/>
  <c r="N58" i="11"/>
  <c r="M59" i="11"/>
  <c r="M58" i="11"/>
  <c r="J58" i="11"/>
  <c r="I58" i="11"/>
  <c r="H58" i="11"/>
  <c r="G58" i="11"/>
  <c r="J8" i="16"/>
  <c r="J9" i="16"/>
  <c r="J7" i="16"/>
  <c r="I8" i="16"/>
  <c r="I9" i="16"/>
  <c r="L9" i="16" s="1"/>
  <c r="M9" i="16" s="1"/>
  <c r="I7" i="16"/>
  <c r="H8" i="16"/>
  <c r="H9" i="16"/>
  <c r="H7" i="16"/>
  <c r="G8" i="16"/>
  <c r="G9" i="16"/>
  <c r="K9" i="16" s="1"/>
  <c r="G7" i="16"/>
  <c r="K7" i="16" s="1"/>
  <c r="L7" i="16" s="1"/>
  <c r="M7" i="16" s="1"/>
  <c r="K8" i="16" l="1"/>
  <c r="L8" i="16" s="1"/>
  <c r="M8" i="16" s="1"/>
  <c r="M10" i="16" s="1"/>
  <c r="K40" i="18"/>
  <c r="O40" i="18" s="1"/>
  <c r="P40" i="18" s="1"/>
  <c r="K43" i="18"/>
  <c r="O43" i="18" s="1"/>
  <c r="P43" i="18" s="1"/>
  <c r="L40" i="18"/>
  <c r="M40" i="18" s="1"/>
  <c r="K41" i="18"/>
  <c r="L41" i="18" s="1"/>
  <c r="M41" i="18" s="1"/>
  <c r="K42" i="18"/>
  <c r="O42" i="18" s="1"/>
  <c r="P42" i="18" s="1"/>
  <c r="P17" i="4"/>
  <c r="L13" i="17"/>
  <c r="K65" i="3"/>
  <c r="L65" i="3" s="1"/>
  <c r="M65" i="3" s="1"/>
  <c r="K58" i="11"/>
  <c r="L58" i="11" s="1"/>
  <c r="L42" i="18" l="1"/>
  <c r="M42" i="18" s="1"/>
  <c r="O41" i="18"/>
  <c r="P41" i="18" s="1"/>
  <c r="L43" i="18"/>
  <c r="M43" i="18" s="1"/>
  <c r="E31" i="18"/>
  <c r="E11" i="11"/>
  <c r="E8" i="11"/>
  <c r="E50" i="11"/>
  <c r="E46" i="11"/>
  <c r="E47" i="11"/>
  <c r="E49" i="11"/>
  <c r="E48" i="11"/>
  <c r="P70" i="3"/>
  <c r="P19" i="4"/>
  <c r="A6" i="1"/>
  <c r="B6" i="1" l="1"/>
  <c r="D5" i="3"/>
  <c r="C59" i="3" l="1"/>
  <c r="D59" i="3" s="1"/>
  <c r="P60" i="11" l="1"/>
  <c r="E29" i="18" l="1"/>
  <c r="E26" i="18"/>
  <c r="E19" i="18"/>
  <c r="E18" i="18"/>
  <c r="E6" i="18"/>
  <c r="C43" i="3"/>
  <c r="C40" i="3" s="1"/>
  <c r="D40" i="3" s="1"/>
  <c r="E35" i="11"/>
  <c r="D39" i="11"/>
  <c r="D40" i="11"/>
  <c r="E40" i="3" l="1"/>
  <c r="E55" i="3" s="1"/>
  <c r="D55" i="3"/>
  <c r="E27" i="18"/>
  <c r="C8" i="1" l="1"/>
  <c r="C12" i="1" s="1"/>
  <c r="A8" i="1"/>
  <c r="D41" i="11"/>
  <c r="E36" i="11"/>
  <c r="E29" i="11"/>
  <c r="E28" i="11"/>
  <c r="E27" i="11"/>
  <c r="E26" i="11"/>
  <c r="E25" i="11"/>
  <c r="E30" i="11" l="1"/>
  <c r="A11" i="1" l="1"/>
  <c r="A9" i="1"/>
  <c r="A10" i="1"/>
  <c r="A7" i="1"/>
  <c r="D54" i="3"/>
  <c r="D53" i="3"/>
  <c r="C50" i="3"/>
  <c r="C49" i="3"/>
  <c r="C48" i="3"/>
  <c r="C38" i="3"/>
  <c r="D35" i="3"/>
  <c r="C33" i="3"/>
  <c r="C32" i="3"/>
  <c r="C31" i="3"/>
  <c r="C30" i="3"/>
  <c r="C29" i="3"/>
  <c r="C28" i="3"/>
  <c r="C26" i="3"/>
  <c r="C24" i="3"/>
  <c r="C23" i="3"/>
  <c r="C21" i="3"/>
  <c r="C20" i="3"/>
  <c r="C19" i="3"/>
  <c r="C18" i="3"/>
  <c r="C9" i="4"/>
  <c r="D9" i="4" s="1"/>
  <c r="B11" i="1" s="1"/>
  <c r="D8" i="4"/>
  <c r="D7" i="4"/>
  <c r="D6" i="4"/>
  <c r="D5" i="4"/>
  <c r="C14" i="3" l="1"/>
  <c r="D14" i="3" s="1"/>
  <c r="C45" i="3"/>
  <c r="D45" i="3" s="1"/>
  <c r="B8" i="1" l="1"/>
  <c r="B12" i="1" s="1"/>
  <c r="E9" i="11"/>
  <c r="E10" i="11"/>
  <c r="E14" i="18"/>
  <c r="E15" i="18"/>
  <c r="E16" i="18"/>
  <c r="E17" i="18"/>
  <c r="E11" i="18"/>
  <c r="D6" i="17"/>
  <c r="B10" i="1" s="1"/>
  <c r="B5" i="17"/>
  <c r="D8" i="1" l="1"/>
  <c r="D12" i="1" s="1"/>
  <c r="E20" i="18"/>
  <c r="E33" i="18" s="1"/>
  <c r="B9" i="1" l="1"/>
</calcChain>
</file>

<file path=xl/sharedStrings.xml><?xml version="1.0" encoding="utf-8"?>
<sst xmlns="http://schemas.openxmlformats.org/spreadsheetml/2006/main" count="429" uniqueCount="227">
  <si>
    <t>Pasākums</t>
  </si>
  <si>
    <t>Finansējuma statuss</t>
  </si>
  <si>
    <t>Nepieciešams papildus finansējums</t>
  </si>
  <si>
    <t>Papildus nepieciešamais finansējums:</t>
  </si>
  <si>
    <t>Kopā:</t>
  </si>
  <si>
    <t>Amats</t>
  </si>
  <si>
    <t>Slodžu skaits</t>
  </si>
  <si>
    <t>Saime 
(apakšsaime)</t>
  </si>
  <si>
    <t>Līmenis</t>
  </si>
  <si>
    <t>Mēnešalgu grupa</t>
  </si>
  <si>
    <t>Amata vietai plānotā  mēnešalga</t>
  </si>
  <si>
    <t>Piemaksa
10%
(EKK 1147)</t>
  </si>
  <si>
    <t>Prēmijas un naudas balvas 10%
(EKK 1148)</t>
  </si>
  <si>
    <t>Sociālā garantija 5%
(EKK 1220)</t>
  </si>
  <si>
    <t>Sociālā garantija* 8.33%
(EKK 1220)</t>
  </si>
  <si>
    <t>Valsts sociālās apdrošināšanas obligātās iemaksas, 23.59%</t>
  </si>
  <si>
    <t>Kopā mēnesī</t>
  </si>
  <si>
    <t>Kopā 12 mēnešiem (1000)**</t>
  </si>
  <si>
    <t>Kopā 12 mēnešiem (1100)**</t>
  </si>
  <si>
    <t>Kopā 12 mēnešiem (1200)**</t>
  </si>
  <si>
    <t xml:space="preserve">KOPĀ atlīdzībai </t>
  </si>
  <si>
    <t>7=6*10%</t>
  </si>
  <si>
    <t>8=6*10%</t>
  </si>
  <si>
    <t>9=6*5%</t>
  </si>
  <si>
    <t>10=6*8.33%</t>
  </si>
  <si>
    <t>11=(6+7+8+9+10)*23.59%</t>
  </si>
  <si>
    <t>12=6+7+8+9+10+11</t>
  </si>
  <si>
    <t>13=12*12 mēn.</t>
  </si>
  <si>
    <t>14=(6+7+8)*12 mēn</t>
  </si>
  <si>
    <t>15=(9+10+11)* 12 mēn</t>
  </si>
  <si>
    <t>16=14+15</t>
  </si>
  <si>
    <t>Projekta vadītājs</t>
  </si>
  <si>
    <t>IIIC</t>
  </si>
  <si>
    <t>Procesa koordinators</t>
  </si>
  <si>
    <t>IIIB</t>
  </si>
  <si>
    <t>Loģistikas koordinators</t>
  </si>
  <si>
    <t>Tehniskās izmaksas </t>
  </si>
  <si>
    <t>Vakcinācijas centru skaits </t>
  </si>
  <si>
    <t>Vienas vienības cena (ar PVN 21%), euro </t>
  </si>
  <si>
    <t>Mēnešu skaits</t>
  </si>
  <si>
    <t>Izmaksas kopā 6 mēnešiem (ar PVN 21%), euro </t>
  </si>
  <si>
    <t>Tehniskā aprīkojuma (galdi, krēsli, aizslietņi, u.c.) noma un/vai pārveide (montāža, demontāža, transports u.c.) </t>
  </si>
  <si>
    <t>Telpu īre un komunālie maksājumi, balstoties uz faktiskajiem izdevumiem (elektroenerģija, internets, apkure, ūdens, apsardze, uzkopšana u.c.) </t>
  </si>
  <si>
    <t>Neparedzēti izdevumi aptuveni 2.5% no kopējiem izdevumiem (piemēram, dzeramais ūdens, norāžu izvietošana, u.c.) </t>
  </si>
  <si>
    <t>Kopā ar PVN:</t>
  </si>
  <si>
    <t>Pozīcija</t>
  </si>
  <si>
    <t>Vienas vienības izmaksas mēnesī (t.sk. PVN), euro</t>
  </si>
  <si>
    <t>Vienību skaits</t>
  </si>
  <si>
    <t>KOPĀ mēnesī (t.sk. PVN), euro</t>
  </si>
  <si>
    <t>KOPĀ 6 mēnešos (t.sk. PVN), euro</t>
  </si>
  <si>
    <t>Tirdzniecības centrs, u.c., nodrošina tikai par telpu/vietu (iekštelpās un ārtelpās). Līdzmaksājums par telpu uzkopšanu, apsardzi, ūdens un kanalizācijas apgādi, elektroenerģiju, sadzīves atkritumu izvešanu.</t>
  </si>
  <si>
    <t>Neparedzētie izdevumi (piemēram, papildu ārstniecības brigādes nodrošināšana, papildu komunālie izdevumi, elektrības izdevumi u.c.) - 3% no kopsummas.</t>
  </si>
  <si>
    <t>Punktu skaits </t>
  </si>
  <si>
    <t>Vienas vienības cena mēnesī  (ar PVN 21%), euro </t>
  </si>
  <si>
    <t>Pārvietojamo konteineru un WC noma (30 m2)</t>
  </si>
  <si>
    <t>Uzkopšanas izmaksas </t>
  </si>
  <si>
    <t>Elektrības izmaksas (t.sk. pieslēgšana)</t>
  </si>
  <si>
    <t>Neparedzēti izdevumi aptuveni 3% no kopējiem izdevumiem (piemēram, dzeramais ūdens, norāžu izvietošana, u.c.) </t>
  </si>
  <si>
    <t>Pakalpojums</t>
  </si>
  <si>
    <t>Vienas vienības izmaksa (nedēļā)</t>
  </si>
  <si>
    <t>Pakalpojuma izmantošanas periods (nedēļās)</t>
  </si>
  <si>
    <t>Nepieciešamo transporta vienību skaits</t>
  </si>
  <si>
    <t>Summa, euro</t>
  </si>
  <si>
    <t xml:space="preserve">Transporta noma </t>
  </si>
  <si>
    <t>Tehniskais nodrošinājums vakcinācijas nodrošināšanai transportlīdzekļos (galdi, krēsli, aizslietņi, elektrības nodrošinājums, cits tehniskais un medicīniskais aprīkojums pēc nepieciešamības)</t>
  </si>
  <si>
    <t xml:space="preserve">Autobusu aplīmēšana </t>
  </si>
  <si>
    <t>13=12*6 mēn.</t>
  </si>
  <si>
    <t>14=(6+7+8)*6 mēn</t>
  </si>
  <si>
    <t>15=(9+10+11)* 6 mēn</t>
  </si>
  <si>
    <t>Koordinācijas speciālists</t>
  </si>
  <si>
    <t>IIIA</t>
  </si>
  <si>
    <t xml:space="preserve">Koordinācijas speciālists </t>
  </si>
  <si>
    <t>*- uzkrājums atvaļinājuma kompensācijai, pārtraucot darba tiesiskās attiecības</t>
  </si>
  <si>
    <t>Nosaukums</t>
  </si>
  <si>
    <t>ViVat uzturēšana</t>
  </si>
  <si>
    <t>Uzturēšanas izmaksas</t>
  </si>
  <si>
    <t>Atbilstoši VARAM metodoloģijai lielo IT sistēmu uzturēšanas izmaksas, ja sistēmai ir arī starpsistēmu integrācijas saskarnes, kuras tiek izmantotas citās sistēmās (šajā gadījumā - vairāki datu avoti, ārstniecībsa iestāžu/aptieku IS) sastāda 15-17% no kopējām izmaksām. NVD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t>
  </si>
  <si>
    <t>Valsts elektronisko sakaru pakalpojumu centra pakalpojumu finanšu piedāvājums</t>
  </si>
  <si>
    <t>Prognozētais apjoms 2022.gadā</t>
  </si>
  <si>
    <t>RAM, GB</t>
  </si>
  <si>
    <t>CPU, GB</t>
  </si>
  <si>
    <t>SSD, TB</t>
  </si>
  <si>
    <t>Papildinājumu izstrāde</t>
  </si>
  <si>
    <t>Revakcinācija 2. posms</t>
  </si>
  <si>
    <t>Revakcinācija otrais posms (PCR testu pārņemšana, Klasifikators, notifikācijas uc)</t>
  </si>
  <si>
    <t>Darbs</t>
  </si>
  <si>
    <t>c/h</t>
  </si>
  <si>
    <t>bez PVN</t>
  </si>
  <si>
    <t>POZITĪVS TESTS</t>
  </si>
  <si>
    <t> </t>
  </si>
  <si>
    <t>Pozitīva testa nodošana (DCS-&gt;VIVAT) (DB, procedūra un API DCS pusē)</t>
  </si>
  <si>
    <t>Pozitīva testa saņemšana VIVAT pusē (DB struktūras, datu apstrādes procesa izstrāde un API izveidi, integrācijas dokumentācija)</t>
  </si>
  <si>
    <t>Algoritma izstrāde - pozitīvs tests + pote</t>
  </si>
  <si>
    <t>Statusa pārrēķins pie pozitīva testa un ielikšana rindā</t>
  </si>
  <si>
    <t>BALSTVAKCINĀCIJAS KLASIFIKATORS</t>
  </si>
  <si>
    <t>Dienu skaitu norādīšana revakcinācijas saņemšanai atkarībā no potes/pārslimošanas (9 gadījumi)</t>
  </si>
  <si>
    <t>Klasifikatora UI</t>
  </si>
  <si>
    <t>Notifikācijas</t>
  </si>
  <si>
    <t>Basic - par pierakstu, atgādinājums, atcelšana. Ja 10 dienu laikā pēc pozitīva testa ir aktīvs pieraksts.</t>
  </si>
  <si>
    <t>Papildinājumi m.lv</t>
  </si>
  <si>
    <t>API un DB izmaiņas priekš portāla</t>
  </si>
  <si>
    <t>Jauno statusu apstrāde</t>
  </si>
  <si>
    <t>Analīze</t>
  </si>
  <si>
    <t>Testēšana</t>
  </si>
  <si>
    <t>Infrastruktūra</t>
  </si>
  <si>
    <t>Projektu vadība</t>
  </si>
  <si>
    <t>Aizbildņi, Bērni</t>
  </si>
  <si>
    <t>Nodrošināt iespēju manavakcina.lv pārstāvēt bērnu vai aizbilnībā esošas personas</t>
  </si>
  <si>
    <t>Indikatīvs vērtējums - Darbs</t>
  </si>
  <si>
    <t>EPIDEM</t>
  </si>
  <si>
    <t>EPIDEM informācijas sistēmas papildinājumi vakcīnu krājumu pārvaldīšanai un centralizētai pasūtīšanai;</t>
  </si>
  <si>
    <t>EPIDEM informācijas sistēmas papildinājumi vakcīnu krājumu pārvaldīšanai un centralizētai pasūtīšanai</t>
  </si>
  <si>
    <t>ViVat un Ārstniecības iestāžu integrāciju uzlabojumi</t>
  </si>
  <si>
    <t xml:space="preserve">ViVat un Ārstniecības iestāžu integrāciju uzlabojumi	</t>
  </si>
  <si>
    <t>Nodrošināt papildus statusa informāciju vakcinatoriem</t>
  </si>
  <si>
    <t>VIVAT, e-veselības un Digitālā sertifikātu datu kvalitātes uzlabošana, kontrole</t>
  </si>
  <si>
    <t>“ViVaT” sistēmas drošība</t>
  </si>
  <si>
    <t>“ViVaT” sistēmas drošības audits un konsultēšana par drošību, lietojamību un veiktspēju 2022. Gadā</t>
  </si>
  <si>
    <t>Ārpakalpojumi</t>
  </si>
  <si>
    <t>NVD Sistēmas uzturēšanas darbaspēks</t>
  </si>
  <si>
    <t>Digitālā apziņošana - SMS sūtīšana (Apstiprinājumi par pieteikšanos, atgādinajumi, ekstra uzaicinājumi uz balstvakcināciju)</t>
  </si>
  <si>
    <t>Izmaiņu/ pielāgojumu veikšanas izmaksas</t>
  </si>
  <si>
    <t>Atbalsta pakalpojumi un konsultācijas risinājumu pielāgošanā saistībā ar dažāda veida izmaiņām (normatīvie, sistēmiskie u.c.) - 1000h apjomā</t>
  </si>
  <si>
    <t>IT koordinators</t>
  </si>
  <si>
    <t>IV</t>
  </si>
  <si>
    <t>Aktivitāte</t>
  </si>
  <si>
    <t>Skaits</t>
  </si>
  <si>
    <t>Integrētas komunikācijas kampaņas</t>
  </si>
  <si>
    <t>x</t>
  </si>
  <si>
    <t>sagatavoto materiālu izvietošana plašsaziņas līdzekļos un citos kanālos </t>
  </si>
  <si>
    <t>KOPĀ:</t>
  </si>
  <si>
    <r>
      <t xml:space="preserve">Izglītojošās aktivitātes </t>
    </r>
    <r>
      <rPr>
        <sz val="12"/>
        <color rgb="FF000000"/>
        <rFont val="Times New Roman"/>
        <family val="1"/>
        <charset val="186"/>
      </rPr>
      <t>(tiešsaistes vebināri)</t>
    </r>
  </si>
  <si>
    <t>1. Plakāti </t>
  </si>
  <si>
    <t>2. Infolapas </t>
  </si>
  <si>
    <t>3. Skrejlapas</t>
  </si>
  <si>
    <t>4. Buklets </t>
  </si>
  <si>
    <t>5. Vides materiālu u.c. druka</t>
  </si>
  <si>
    <t>200 m2</t>
  </si>
  <si>
    <t>6. Dizains un maketēšana </t>
  </si>
  <si>
    <t>x </t>
  </si>
  <si>
    <t>Zinātnes komunikācija</t>
  </si>
  <si>
    <t>Komunikācijas koordinators</t>
  </si>
  <si>
    <t xml:space="preserve">Komunikācijas koordinators </t>
  </si>
  <si>
    <t>III</t>
  </si>
  <si>
    <t>Datu analītiķis</t>
  </si>
  <si>
    <t>Vecākais referents</t>
  </si>
  <si>
    <t>18.3</t>
  </si>
  <si>
    <t>Mēneši</t>
  </si>
  <si>
    <t xml:space="preserve">Vienotā tālruņa 8989 zvanu centra darbība </t>
  </si>
  <si>
    <t>Kopā bez PVN:</t>
  </si>
  <si>
    <t>Atbalsta pakalpojumi un konsultācijas risinājumu pielāgošanā saistībā ar dažāda veida izmaiņām (normatīvie, sistēmiskie u.c.); 2000h apjomā</t>
  </si>
  <si>
    <t>Infrastruktūras īres izmaksas</t>
  </si>
  <si>
    <t>ES COVID-19 sertifikāta infrastruktūras īres pakalpojuma nodrošināšana 2022 gadam</t>
  </si>
  <si>
    <t>Drošības nodrošināšanas izmaksas</t>
  </si>
  <si>
    <t>LVRTC Vairogs+ pakalpojuma, ievainojamību pārvaldības risinājuma izmaksas</t>
  </si>
  <si>
    <t>7. Atbalsts vakcinācijas procesa nodrošinājumam un uzturēšanai</t>
  </si>
  <si>
    <r>
      <t xml:space="preserve">Piemaksa
10%
</t>
    </r>
    <r>
      <rPr>
        <sz val="10"/>
        <rFont val="Times New Roman"/>
        <family val="1"/>
      </rPr>
      <t>(EKK 1147)</t>
    </r>
  </si>
  <si>
    <r>
      <t xml:space="preserve">Prēmijas un naudas balvas 10%
</t>
    </r>
    <r>
      <rPr>
        <sz val="10"/>
        <rFont val="Times New Roman"/>
        <family val="1"/>
      </rPr>
      <t>(EKK 1148)</t>
    </r>
  </si>
  <si>
    <r>
      <t xml:space="preserve">Sociālā garantija 5%
</t>
    </r>
    <r>
      <rPr>
        <sz val="10"/>
        <rFont val="Times New Roman"/>
        <family val="1"/>
      </rPr>
      <t>(EKK 1220)</t>
    </r>
  </si>
  <si>
    <t>Klientu apkalpošanas speciālists 8989</t>
  </si>
  <si>
    <t>IIB</t>
  </si>
  <si>
    <t>Informācijas sistēmu administrators</t>
  </si>
  <si>
    <t>IVB</t>
  </si>
  <si>
    <t>Projekta vadītājs (digitālais sertifikāts)</t>
  </si>
  <si>
    <t>19.4</t>
  </si>
  <si>
    <t>Jurists</t>
  </si>
  <si>
    <t xml:space="preserve">Vienreizējās izmaksas, euro </t>
  </si>
  <si>
    <t>Mēneša izmaksas, euro</t>
  </si>
  <si>
    <t xml:space="preserve">Pozīcijas izmaksas (euro, bez PVN 21%) </t>
  </si>
  <si>
    <t>Vienas vienības izmaksas (euro, t.sk.PVN)</t>
  </si>
  <si>
    <t>Vidējās izmaksas mēnesī (euro, t.sk.PVN)</t>
  </si>
  <si>
    <t>Nepieciešamais finansējums (euro, t.sk.PVN </t>
  </si>
  <si>
    <t>Informatīvie materiāli sagatavošana (druka (un piegāde), dizains un maketēšana): </t>
  </si>
  <si>
    <t>Digitālā komunikācija, sociālo mediju komunikācija: </t>
  </si>
  <si>
    <t>1. Satura izstrāde, publicēšana, reklāmas uzstādīšana, monitorings</t>
  </si>
  <si>
    <t>Radošais risinājums (koncepts, klipu (TV, audio) izstrāde, vizuālais noformējums, sauklis, drukas materiālu maketi/dizains, internetmateriālu sagatavošana u.c.</t>
  </si>
  <si>
    <t>Vivat Serveru īre 2022.gadā</t>
  </si>
  <si>
    <t>2022.gada izmaksas mēnesī, kopā, euro bez PVN</t>
  </si>
  <si>
    <t>Plānotais finansējums 2022.gadā, euro</t>
  </si>
  <si>
    <t>euro</t>
  </si>
  <si>
    <t>12 mēneši - 350 000 sms mēnesī (~10 000 eur)</t>
  </si>
  <si>
    <t xml:space="preserve">Covid-19 vakcinācijas plāna indikatīvais finansējums 2022.gadam - pasākumi turpināmi no 2022.gada 1.janvāra </t>
  </si>
  <si>
    <t>PAVISAM KOPĀ:</t>
  </si>
  <si>
    <t>Sistēmanalītiķis / vecākais eksperts</t>
  </si>
  <si>
    <t xml:space="preserve">2. Atbalsts vakcīnu iegādes, loģistikas un ievades īstenošanai </t>
  </si>
  <si>
    <t xml:space="preserve">7. Digitālais sertifikāts </t>
  </si>
  <si>
    <t>6. Zvanu un klientu apkalpošanas centrs "8989"</t>
  </si>
  <si>
    <t>4. Vakcinācijas IT sistēmas tehniskais atbalsts un uzturēšana</t>
  </si>
  <si>
    <t>3.1. Pašvaldības centri</t>
  </si>
  <si>
    <t>3.2. Vakcinācijas punkti tirdzniecības centros</t>
  </si>
  <si>
    <t>3.3. Vakcinācijas punkti pārvietojamos konteineros</t>
  </si>
  <si>
    <t>3.4. Mobilā izbraukuma vakcinācija - īpaši pielāgotā transporta līdzekļos - autobusos (vakcīnbusos)</t>
  </si>
  <si>
    <t>Kopā 6 mēnešiem (1200)**</t>
  </si>
  <si>
    <t>Kopā 6 mēnešiem (1100)**</t>
  </si>
  <si>
    <t>Kopā 6 mēnešiem (1000)**</t>
  </si>
  <si>
    <t xml:space="preserve">Atbalsts vakcinācijas IT sistēmas tehniskajam nodrošinājumam un uzturēšanai </t>
  </si>
  <si>
    <t>Atbalsts komunikācijai ar sabiedrību īstenošanai</t>
  </si>
  <si>
    <t>KOPĀ: </t>
  </si>
  <si>
    <t xml:space="preserve">Telpu īre </t>
  </si>
  <si>
    <t>Komunālie maksājumi, balstoties uz faktiskajiem izdevumiem (elektroenerģija, internets, apkure, ūdens, apsardze, uzkopšana u.c.) </t>
  </si>
  <si>
    <t xml:space="preserve">3.6. Atbalsts vakcinācijas procesa organizēšanai (6M) </t>
  </si>
  <si>
    <t>3.Pielikums 
Ministru kabineta rīkojuma “Par finanšu līdzekļu piešķiršanu no valsts budžeta programmas “Līdzekļi neparedzētiem gadījumiem”” projekta sākotnējās ietekmes novērtējuma ziņojumam (anotācijai)</t>
  </si>
  <si>
    <r>
      <t>3.5. Liela mēroga vakcinācijas centri Rīgā</t>
    </r>
    <r>
      <rPr>
        <b/>
        <u/>
        <vertAlign val="superscript"/>
        <sz val="12"/>
        <color rgb="FF2A2A2A"/>
        <rFont val="Times New Roman"/>
        <family val="1"/>
      </rPr>
      <t>1</t>
    </r>
  </si>
  <si>
    <r>
      <rPr>
        <vertAlign val="superscript"/>
        <sz val="10"/>
        <color theme="1"/>
        <rFont val="Times New Roman"/>
        <family val="1"/>
      </rPr>
      <t>1</t>
    </r>
    <r>
      <rPr>
        <sz val="10"/>
        <color theme="1"/>
        <rFont val="Times New Roman"/>
        <family val="1"/>
      </rPr>
      <t xml:space="preserve"> izmaksas ir sedzamas no vakcinācijas centra izveidošanas brīža</t>
    </r>
  </si>
  <si>
    <t>4.Pielikums 
Ministru kabineta rīkojuma “Par finanšu līdzekļu piešķiršanu no valsts budžeta programmas “Līdzekļi neparedzētiem gadījumiem”” projekta sākotnējās ietekmes novērtējuma ziņojumam (anotācijai)</t>
  </si>
  <si>
    <t>5.Pielikums 
Ministru kabineta rīkojuma “Par finanšu līdzekļu piešķiršanu no valsts budžeta programmas “Līdzekļi neparedzētiem gadījumiem”” projekta sākotnējās ietekmes novērtējuma ziņojumam (anotācijai)</t>
  </si>
  <si>
    <t>6.Pielikums 
Ministru kabineta rīkojuma “Par finanšu līdzekļu piešķiršanu no valsts budžeta programmas “Līdzekļi neparedzētiem gadījumiem”” projekta sākotnējās ietekmes novērtējuma ziņojumam (anotācijai)</t>
  </si>
  <si>
    <t>7.Pielikums 
Ministru kabineta rīkojuma “Par finanšu līdzekļu piešķiršanu no valsts budžeta programmas “Līdzekļi neparedzētiem gadījumiem”” projekta sākotnējās ietekmes novērtējuma ziņojumam (anotācijai)</t>
  </si>
  <si>
    <t>8.Pielikums 
Ministru kabineta rīkojuma “Par finanšu līdzekļu piešķiršanu no valsts budžeta programmas “Līdzekļi neparedzētiem gadījumiem”” projekta sākotnējās ietekmes novērtējuma ziņojumam (anotācijai)</t>
  </si>
  <si>
    <t>9.Pielikums 
Ministru kabineta rīkojuma “Par finanšu līdzekļu piešķiršanu no valsts budžeta programmas “Līdzekļi neparedzētiem gadījumiem”” projekta sākotnējās ietekmes novērtējuma ziņojumam (anotācijai)</t>
  </si>
  <si>
    <t>2. Eksperta piesaiste digitālā mārketinga komunikācijai</t>
  </si>
  <si>
    <t>4. Sociālo mediju reklāmas izmaksas </t>
  </si>
  <si>
    <t>3. Eksperta piesaiste sociālo mediju satura izstrādei</t>
  </si>
  <si>
    <t>Mediju sadarbības projekti (drukātie nacionālie mediji, reģionālie mediji, TV, radio, tiešsaistes mediji, mazākumtautību projekts, ekspertu piesaiste iepirkumu izvērtēšanā) </t>
  </si>
  <si>
    <t xml:space="preserve">Indikatīvais nepieciešamais finansējums 2022.gada I.pusgadam  (euro, t.sk.PVN 21%) </t>
  </si>
  <si>
    <t xml:space="preserve">Indikatīvais nepieciešamais finansējums 2022.gadam (euro, t.sk.PVN 21%) </t>
  </si>
  <si>
    <t>Summa 2022.gads, euro</t>
  </si>
  <si>
    <t>Kopā 2022.gada I.pusgads</t>
  </si>
  <si>
    <t>Summa 2022.gada II.pusgads, euro</t>
  </si>
  <si>
    <t>Summa 2022.gada I.pusgads, euro</t>
  </si>
  <si>
    <t xml:space="preserve">Kopā 12 mēnešiem </t>
  </si>
  <si>
    <t xml:space="preserve">Indikatīvais nepieciešamais finansējums 2022.gadam  (euro, t.sk.PVN 21%) </t>
  </si>
  <si>
    <t>3. Vakcinācijas procesa infrastruktūras un citu resursu nodrošinājums 2022.gada I.pusgads</t>
  </si>
  <si>
    <t>5. Plānotās komunikācijas un iedzīvotāju informēšanas aktivitātes 2022.gada I.pusgads</t>
  </si>
  <si>
    <t>ViVaT Serveru infrastruktūras īres pakalpojuma nodrošināšana 2022.gadam (līgums ir noslēgts par visu 2022.gadu, tādējādi jāmaksā arī par 2022.gada II pusgadu)</t>
  </si>
  <si>
    <t>Nepieciešamais finansējums 2022.gada , euro</t>
  </si>
  <si>
    <t>Nepieciešamais finansējums 2022.gadam I pusgadam,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</si>
</sst>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 #\,##0.00;[Red]\-[$€-2]\ #\,##0.00"/>
    <numFmt numFmtId="165" formatCode="#,##0.0"/>
  </numFmts>
  <fonts count="65" x14ac:knownFonts="1">
    <font>
      <sz val="11"/>
      <color theme="1"/>
      <name val="Calibri"/>
      <family val="2"/>
      <charset val="186"/>
      <scheme val="minor"/>
    </font>
    <font>
      <sz val="14"/>
      <color theme="1"/>
      <name val="Times New Roman"/>
      <family val="1"/>
      <charset val="186"/>
    </font>
    <font>
      <sz val="11"/>
      <color theme="1"/>
      <name val="Times New Roman"/>
      <family val="1"/>
      <charset val="186"/>
    </font>
    <font>
      <sz val="12"/>
      <name val="Times New Roman"/>
      <family val="1"/>
      <charset val="186"/>
    </font>
    <font>
      <sz val="12"/>
      <color theme="1"/>
      <name val="Times New Roman"/>
      <family val="1"/>
      <charset val="186"/>
    </font>
    <font>
      <b/>
      <sz val="12"/>
      <name val="Times New Roman"/>
      <family val="1"/>
      <charset val="186"/>
    </font>
    <font>
      <b/>
      <sz val="14"/>
      <name val="Times New Roman"/>
      <family val="1"/>
      <charset val="186"/>
    </font>
    <font>
      <b/>
      <sz val="12"/>
      <color rgb="FFFF0000"/>
      <name val="Times New Roman"/>
      <family val="1"/>
      <charset val="186"/>
    </font>
    <font>
      <sz val="12"/>
      <color rgb="FFFF0000"/>
      <name val="Times New Roman"/>
      <family val="1"/>
      <charset val="186"/>
    </font>
    <font>
      <sz val="10"/>
      <color theme="1"/>
      <name val="Times New Roman"/>
      <family val="1"/>
      <charset val="186"/>
    </font>
    <font>
      <sz val="13"/>
      <color theme="1"/>
      <name val="Times New Roman"/>
      <family val="1"/>
      <charset val="186"/>
    </font>
    <font>
      <b/>
      <sz val="13"/>
      <color theme="1"/>
      <name val="Times New Roman"/>
      <family val="1"/>
      <charset val="186"/>
    </font>
    <font>
      <b/>
      <sz val="13"/>
      <name val="Times New Roman"/>
      <family val="1"/>
      <charset val="186"/>
    </font>
    <font>
      <b/>
      <sz val="13"/>
      <color rgb="FFFF0000"/>
      <name val="Times New Roman"/>
      <family val="1"/>
      <charset val="186"/>
    </font>
    <font>
      <sz val="15"/>
      <color theme="1"/>
      <name val="Times New Roman"/>
      <family val="1"/>
      <charset val="186"/>
    </font>
    <font>
      <b/>
      <sz val="11"/>
      <color theme="1"/>
      <name val="Times New Roman"/>
      <family val="1"/>
      <charset val="186"/>
    </font>
    <font>
      <sz val="11"/>
      <color rgb="FF000000"/>
      <name val="Times New Roman"/>
      <family val="1"/>
      <charset val="186"/>
    </font>
    <font>
      <b/>
      <u/>
      <sz val="17"/>
      <name val="Times New Roman"/>
      <family val="1"/>
      <charset val="186"/>
    </font>
    <font>
      <b/>
      <sz val="17"/>
      <name val="Times New Roman"/>
      <family val="1"/>
      <charset val="186"/>
    </font>
    <font>
      <sz val="11"/>
      <color theme="1"/>
      <name val="Calibri"/>
      <family val="2"/>
      <scheme val="minor"/>
    </font>
    <font>
      <b/>
      <sz val="10"/>
      <color rgb="FF000000"/>
      <name val="Times New Roman"/>
      <family val="1"/>
      <charset val="186"/>
    </font>
    <font>
      <sz val="11"/>
      <name val="Times New Roman"/>
      <family val="1"/>
      <charset val="186"/>
    </font>
    <font>
      <sz val="10"/>
      <color theme="1"/>
      <name val="Arial"/>
      <family val="2"/>
      <charset val="186"/>
    </font>
    <font>
      <sz val="10"/>
      <name val="Arial"/>
      <family val="2"/>
      <charset val="186"/>
    </font>
    <font>
      <sz val="11"/>
      <color theme="1"/>
      <name val="Calibri"/>
      <family val="2"/>
      <charset val="186"/>
      <scheme val="minor"/>
    </font>
    <font>
      <b/>
      <sz val="12"/>
      <color rgb="FF2A2A2A"/>
      <name val="Times New Roman"/>
      <family val="1"/>
      <charset val="186"/>
    </font>
    <font>
      <b/>
      <sz val="14"/>
      <color theme="1"/>
      <name val="Times New Roman"/>
      <family val="1"/>
      <charset val="186"/>
    </font>
    <font>
      <b/>
      <sz val="11"/>
      <color rgb="FF000000"/>
      <name val="Times New Roman"/>
      <family val="1"/>
      <charset val="186"/>
    </font>
    <font>
      <b/>
      <sz val="15"/>
      <color theme="1"/>
      <name val="Times New Roman"/>
      <family val="1"/>
      <charset val="186"/>
    </font>
    <font>
      <sz val="15"/>
      <color rgb="FFFF0000"/>
      <name val="Times New Roman"/>
      <family val="1"/>
      <charset val="186"/>
    </font>
    <font>
      <b/>
      <sz val="11"/>
      <color rgb="FF444444"/>
      <name val="Times New Roman"/>
      <family val="1"/>
      <charset val="186"/>
    </font>
    <font>
      <sz val="10"/>
      <name val="Times New Roman"/>
      <family val="1"/>
      <charset val="186"/>
    </font>
    <font>
      <b/>
      <sz val="10"/>
      <name val="Times New Roman"/>
      <family val="1"/>
      <charset val="186"/>
    </font>
    <font>
      <sz val="10"/>
      <color rgb="FF000000"/>
      <name val="Times New Roman"/>
      <family val="1"/>
      <charset val="186"/>
    </font>
    <font>
      <sz val="11"/>
      <color rgb="FF70AD47"/>
      <name val="Times New Roman"/>
      <family val="1"/>
      <charset val="186"/>
    </font>
    <font>
      <sz val="12"/>
      <color rgb="FF2A2A2A"/>
      <name val="Times New Roman"/>
      <family val="1"/>
      <charset val="186"/>
    </font>
    <font>
      <b/>
      <u/>
      <sz val="12"/>
      <color rgb="FF2A2A2A"/>
      <name val="Times New Roman"/>
      <family val="1"/>
      <charset val="186"/>
    </font>
    <font>
      <b/>
      <u/>
      <sz val="12"/>
      <color theme="1"/>
      <name val="Times New Roman"/>
      <family val="1"/>
      <charset val="186"/>
    </font>
    <font>
      <b/>
      <sz val="12"/>
      <color rgb="FF000000"/>
      <name val="Times New Roman"/>
      <family val="1"/>
      <charset val="186"/>
    </font>
    <font>
      <sz val="12"/>
      <color rgb="FF000000"/>
      <name val="Times New Roman"/>
      <family val="1"/>
      <charset val="186"/>
    </font>
    <font>
      <b/>
      <sz val="12"/>
      <color theme="1"/>
      <name val="Times New Roman"/>
      <family val="1"/>
      <charset val="186"/>
    </font>
    <font>
      <b/>
      <u/>
      <sz val="13"/>
      <color rgb="FF2A2A2A"/>
      <name val="Times New Roman"/>
      <family val="1"/>
      <charset val="186"/>
    </font>
    <font>
      <b/>
      <u/>
      <sz val="13"/>
      <name val="Times New Roman"/>
      <family val="1"/>
      <charset val="186"/>
    </font>
    <font>
      <b/>
      <u/>
      <sz val="13"/>
      <color theme="1"/>
      <name val="Times New Roman"/>
      <family val="1"/>
      <charset val="186"/>
    </font>
    <font>
      <b/>
      <sz val="12"/>
      <color theme="1"/>
      <name val="Times New Roman"/>
      <family val="1"/>
    </font>
    <font>
      <b/>
      <u/>
      <sz val="14"/>
      <name val="Times New Roman"/>
      <family val="1"/>
      <charset val="186"/>
    </font>
    <font>
      <sz val="15"/>
      <name val="Times New Roman"/>
      <family val="1"/>
      <charset val="186"/>
    </font>
    <font>
      <b/>
      <u/>
      <sz val="14"/>
      <color theme="1"/>
      <name val="Times New Roman"/>
      <family val="1"/>
      <charset val="186"/>
    </font>
    <font>
      <b/>
      <sz val="20"/>
      <color theme="1"/>
      <name val="Times New Roman"/>
      <family val="1"/>
      <charset val="186"/>
    </font>
    <font>
      <sz val="11"/>
      <name val="Times New Roman"/>
      <family val="1"/>
    </font>
    <font>
      <sz val="10"/>
      <name val="Times New Roman"/>
      <family val="1"/>
    </font>
    <font>
      <b/>
      <sz val="11"/>
      <name val="Times New Roman"/>
      <family val="1"/>
    </font>
    <font>
      <sz val="11"/>
      <name val="Calibri"/>
      <family val="2"/>
      <charset val="186"/>
      <scheme val="minor"/>
    </font>
    <font>
      <b/>
      <sz val="11"/>
      <name val="Times New Roman"/>
      <family val="1"/>
      <charset val="186"/>
    </font>
    <font>
      <i/>
      <sz val="8"/>
      <name val="Times New Roman"/>
      <family val="1"/>
      <charset val="186"/>
    </font>
    <font>
      <i/>
      <sz val="8"/>
      <name val="Times New Roman"/>
      <family val="1"/>
    </font>
    <font>
      <sz val="10"/>
      <name val="Times New Roman Baltic"/>
      <charset val="186"/>
    </font>
    <font>
      <sz val="8"/>
      <color indexed="10"/>
      <name val="Tahoma"/>
      <family val="2"/>
      <charset val="186"/>
    </font>
    <font>
      <b/>
      <sz val="16"/>
      <color theme="1"/>
      <name val="Times New Roman"/>
      <family val="1"/>
      <charset val="186"/>
    </font>
    <font>
      <sz val="8"/>
      <name val="Calibri"/>
      <family val="2"/>
      <charset val="186"/>
      <scheme val="minor"/>
    </font>
    <font>
      <b/>
      <u/>
      <vertAlign val="superscript"/>
      <sz val="12"/>
      <color rgb="FF2A2A2A"/>
      <name val="Times New Roman"/>
      <family val="1"/>
    </font>
    <font>
      <sz val="10"/>
      <color theme="1"/>
      <name val="Times New Roman"/>
      <family val="1"/>
    </font>
    <font>
      <vertAlign val="superscript"/>
      <sz val="10"/>
      <color theme="1"/>
      <name val="Times New Roman"/>
      <family val="1"/>
    </font>
    <font>
      <sz val="11"/>
      <color rgb="FFFF0000"/>
      <name val="Times New Roman"/>
      <family val="1"/>
      <charset val="186"/>
    </font>
    <font>
      <b/>
      <sz val="15"/>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rgb="FFE2EFDA"/>
        <bgColor indexed="64"/>
      </patternFill>
    </fill>
    <fill>
      <patternFill patternType="solid">
        <fgColor rgb="FFF2F2F2"/>
        <bgColor indexed="64"/>
      </patternFill>
    </fill>
    <fill>
      <patternFill patternType="solid">
        <fgColor indexed="9"/>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rgb="FF000000"/>
      </left>
      <right style="medium">
        <color rgb="FF000000"/>
      </right>
      <top style="medium">
        <color rgb="FF000000"/>
      </top>
      <bottom style="medium">
        <color rgb="FF000000"/>
      </bottom>
      <diagonal/>
    </border>
    <border>
      <left style="thin">
        <color rgb="FF2A2A2A"/>
      </left>
      <right style="thin">
        <color rgb="FF2A2A2A"/>
      </right>
      <top style="thin">
        <color rgb="FF2A2A2A"/>
      </top>
      <bottom style="thin">
        <color rgb="FF2A2A2A"/>
      </bottom>
      <diagonal/>
    </border>
    <border>
      <left style="thin">
        <color rgb="FF2A2A2A"/>
      </left>
      <right style="thin">
        <color rgb="FF2A2A2A"/>
      </right>
      <top style="thin">
        <color rgb="FF2A2A2A"/>
      </top>
      <bottom/>
      <diagonal/>
    </border>
    <border>
      <left/>
      <right style="thin">
        <color rgb="FF2A2A2A"/>
      </right>
      <top style="thin">
        <color rgb="FF2A2A2A"/>
      </top>
      <bottom style="thin">
        <color rgb="FF2A2A2A"/>
      </bottom>
      <diagonal/>
    </border>
    <border>
      <left style="thin">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thin">
        <color indexed="64"/>
      </bottom>
      <diagonal/>
    </border>
    <border>
      <left style="thin">
        <color indexed="64"/>
      </left>
      <right style="medium">
        <color rgb="FF000000"/>
      </right>
      <top/>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rgb="FF000000"/>
      </left>
      <right style="thin">
        <color rgb="FF000000"/>
      </right>
      <top/>
      <bottom style="medium">
        <color rgb="FF000000"/>
      </bottom>
      <diagonal/>
    </border>
    <border>
      <left style="thin">
        <color indexed="64"/>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right style="thin">
        <color rgb="FF2A2A2A"/>
      </right>
      <top style="thin">
        <color rgb="FF2A2A2A"/>
      </top>
      <bottom/>
      <diagonal/>
    </border>
    <border>
      <left style="thin">
        <color rgb="FF2A2A2A"/>
      </left>
      <right style="thin">
        <color rgb="FF2A2A2A"/>
      </right>
      <top/>
      <bottom style="thin">
        <color rgb="FF2A2A2A"/>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2A2A2A"/>
      </right>
      <top style="medium">
        <color indexed="64"/>
      </top>
      <bottom style="thin">
        <color rgb="FF2A2A2A"/>
      </bottom>
      <diagonal/>
    </border>
    <border>
      <left style="thin">
        <color rgb="FF2A2A2A"/>
      </left>
      <right style="thin">
        <color rgb="FF2A2A2A"/>
      </right>
      <top style="medium">
        <color indexed="64"/>
      </top>
      <bottom style="thin">
        <color rgb="FF2A2A2A"/>
      </bottom>
      <diagonal/>
    </border>
    <border>
      <left style="thin">
        <color rgb="FF2A2A2A"/>
      </left>
      <right style="medium">
        <color indexed="64"/>
      </right>
      <top style="medium">
        <color indexed="64"/>
      </top>
      <bottom style="thin">
        <color rgb="FF2A2A2A"/>
      </bottom>
      <diagonal/>
    </border>
    <border>
      <left style="medium">
        <color indexed="64"/>
      </left>
      <right style="thin">
        <color rgb="FF2A2A2A"/>
      </right>
      <top style="thin">
        <color rgb="FF2A2A2A"/>
      </top>
      <bottom style="thin">
        <color rgb="FF2A2A2A"/>
      </bottom>
      <diagonal/>
    </border>
    <border>
      <left style="thin">
        <color rgb="FF2A2A2A"/>
      </left>
      <right style="medium">
        <color indexed="64"/>
      </right>
      <top style="thin">
        <color rgb="FF2A2A2A"/>
      </top>
      <bottom style="thin">
        <color rgb="FF2A2A2A"/>
      </bottom>
      <diagonal/>
    </border>
    <border>
      <left style="medium">
        <color indexed="64"/>
      </left>
      <right/>
      <top style="thin">
        <color rgb="FF2A2A2A"/>
      </top>
      <bottom style="medium">
        <color indexed="64"/>
      </bottom>
      <diagonal/>
    </border>
    <border>
      <left/>
      <right/>
      <top style="thin">
        <color rgb="FF2A2A2A"/>
      </top>
      <bottom style="medium">
        <color indexed="64"/>
      </bottom>
      <diagonal/>
    </border>
    <border>
      <left/>
      <right style="thin">
        <color rgb="FF2A2A2A"/>
      </right>
      <top style="thin">
        <color rgb="FF2A2A2A"/>
      </top>
      <bottom style="medium">
        <color indexed="64"/>
      </bottom>
      <diagonal/>
    </border>
    <border>
      <left style="thin">
        <color rgb="FF2A2A2A"/>
      </left>
      <right style="medium">
        <color indexed="64"/>
      </right>
      <top style="thin">
        <color rgb="FF2A2A2A"/>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1">
    <xf numFmtId="0" fontId="0" fillId="0" borderId="0"/>
    <xf numFmtId="0" fontId="19" fillId="0" borderId="0"/>
    <xf numFmtId="0" fontId="22" fillId="0" borderId="0"/>
    <xf numFmtId="0" fontId="23" fillId="0" borderId="0"/>
    <xf numFmtId="0" fontId="24" fillId="0" borderId="0"/>
    <xf numFmtId="0" fontId="23" fillId="0" borderId="0"/>
    <xf numFmtId="0" fontId="19" fillId="0" borderId="0"/>
    <xf numFmtId="0" fontId="24" fillId="0" borderId="0"/>
    <xf numFmtId="0" fontId="56" fillId="0" borderId="0"/>
    <xf numFmtId="0" fontId="24" fillId="0" borderId="0"/>
    <xf numFmtId="0" fontId="57" fillId="0" borderId="0" pivotButton="1"/>
  </cellStyleXfs>
  <cellXfs count="415">
    <xf numFmtId="0" fontId="0" fillId="0" borderId="0" xfId="0"/>
    <xf numFmtId="0" fontId="1" fillId="0" borderId="0" xfId="0" applyFont="1"/>
    <xf numFmtId="0" fontId="2" fillId="0" borderId="0" xfId="0" applyFont="1"/>
    <xf numFmtId="0" fontId="2" fillId="0" borderId="0" xfId="0" applyFont="1" applyAlignment="1">
      <alignment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2" fillId="2" borderId="0" xfId="0" applyFont="1" applyFill="1"/>
    <xf numFmtId="0" fontId="10" fillId="0" borderId="0" xfId="0" applyFont="1"/>
    <xf numFmtId="0" fontId="14" fillId="0" borderId="0" xfId="0" applyFont="1"/>
    <xf numFmtId="0" fontId="1" fillId="0" borderId="0" xfId="0" applyFont="1" applyAlignment="1">
      <alignment wrapText="1"/>
    </xf>
    <xf numFmtId="0" fontId="7" fillId="2" borderId="0" xfId="0" applyFont="1" applyFill="1" applyAlignment="1">
      <alignment horizontal="left" vertical="center" wrapText="1"/>
    </xf>
    <xf numFmtId="0" fontId="13" fillId="2" borderId="0" xfId="0" applyFont="1" applyFill="1" applyAlignment="1">
      <alignment horizontal="left" vertical="center" wrapText="1"/>
    </xf>
    <xf numFmtId="3" fontId="5" fillId="0" borderId="1" xfId="0" applyNumberFormat="1" applyFont="1" applyBorder="1" applyAlignment="1">
      <alignment horizontal="center" vertical="center" wrapText="1"/>
    </xf>
    <xf numFmtId="0" fontId="17" fillId="2" borderId="0" xfId="0" applyFont="1" applyFill="1" applyAlignment="1">
      <alignment horizontal="center" vertical="center" wrapText="1"/>
    </xf>
    <xf numFmtId="0" fontId="18" fillId="2" borderId="0" xfId="0" applyFont="1" applyFill="1" applyAlignment="1">
      <alignment horizontal="center" vertical="center" wrapText="1"/>
    </xf>
    <xf numFmtId="3" fontId="25"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 fillId="0" borderId="0" xfId="0" applyFont="1" applyAlignment="1">
      <alignment horizontal="left"/>
    </xf>
    <xf numFmtId="4" fontId="1" fillId="0" borderId="0" xfId="0" applyNumberFormat="1" applyFont="1"/>
    <xf numFmtId="0" fontId="14" fillId="0" borderId="0" xfId="0" applyFont="1" applyAlignment="1">
      <alignment wrapText="1"/>
    </xf>
    <xf numFmtId="0" fontId="26" fillId="0" borderId="0" xfId="0" applyFont="1" applyAlignment="1">
      <alignment horizontal="left"/>
    </xf>
    <xf numFmtId="4" fontId="26" fillId="0" borderId="0" xfId="0" applyNumberFormat="1" applyFont="1"/>
    <xf numFmtId="0" fontId="5" fillId="0" borderId="0" xfId="0" applyFont="1"/>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0" xfId="0" applyFont="1" applyAlignment="1">
      <alignment horizontal="center" vertical="center"/>
    </xf>
    <xf numFmtId="4" fontId="2" fillId="0" borderId="1" xfId="0" applyNumberFormat="1" applyFont="1" applyBorder="1" applyAlignment="1">
      <alignment horizontal="center" vertical="center"/>
    </xf>
    <xf numFmtId="4" fontId="2" fillId="0" borderId="0" xfId="0" applyNumberFormat="1" applyFont="1" applyAlignment="1">
      <alignment horizontal="center" vertical="center"/>
    </xf>
    <xf numFmtId="4" fontId="2" fillId="0" borderId="0" xfId="0" applyNumberFormat="1" applyFont="1"/>
    <xf numFmtId="0" fontId="16" fillId="0" borderId="0" xfId="0" applyFont="1"/>
    <xf numFmtId="0" fontId="27" fillId="0" borderId="19" xfId="0" applyFont="1" applyBorder="1" applyAlignment="1">
      <alignment horizontal="center" vertical="center"/>
    </xf>
    <xf numFmtId="0" fontId="27" fillId="0" borderId="20" xfId="0" applyFont="1" applyBorder="1" applyAlignment="1">
      <alignment horizontal="center" vertical="center" wrapText="1"/>
    </xf>
    <xf numFmtId="0" fontId="30" fillId="0" borderId="0" xfId="0" applyFont="1"/>
    <xf numFmtId="0" fontId="27" fillId="0" borderId="0" xfId="0" applyFont="1"/>
    <xf numFmtId="164" fontId="27" fillId="0" borderId="22" xfId="0" applyNumberFormat="1" applyFont="1" applyBorder="1"/>
    <xf numFmtId="0" fontId="31" fillId="4" borderId="21" xfId="0" applyFont="1" applyFill="1" applyBorder="1"/>
    <xf numFmtId="0" fontId="2" fillId="4" borderId="0" xfId="0" applyFont="1" applyFill="1"/>
    <xf numFmtId="4" fontId="2" fillId="4" borderId="0" xfId="0" applyNumberFormat="1" applyFont="1" applyFill="1" applyAlignment="1">
      <alignment horizontal="center" vertical="center"/>
    </xf>
    <xf numFmtId="0" fontId="32" fillId="4" borderId="29" xfId="0" applyFont="1" applyFill="1" applyBorder="1" applyAlignment="1">
      <alignment wrapText="1"/>
    </xf>
    <xf numFmtId="0" fontId="32" fillId="4" borderId="7" xfId="0" applyFont="1" applyFill="1" applyBorder="1" applyAlignment="1">
      <alignment wrapText="1"/>
    </xf>
    <xf numFmtId="4" fontId="32" fillId="4" borderId="7" xfId="0" applyNumberFormat="1" applyFont="1" applyFill="1" applyBorder="1" applyAlignment="1">
      <alignment horizontal="center" vertical="center" wrapText="1"/>
    </xf>
    <xf numFmtId="4" fontId="32" fillId="4" borderId="30" xfId="0" applyNumberFormat="1" applyFont="1" applyFill="1" applyBorder="1" applyAlignment="1">
      <alignment horizontal="center" vertical="center" wrapText="1"/>
    </xf>
    <xf numFmtId="0" fontId="31" fillId="4" borderId="31" xfId="0" applyFont="1" applyFill="1" applyBorder="1"/>
    <xf numFmtId="0" fontId="31" fillId="4" borderId="4" xfId="0" applyFont="1" applyFill="1" applyBorder="1"/>
    <xf numFmtId="0" fontId="31" fillId="4" borderId="33" xfId="0" applyFont="1" applyFill="1" applyBorder="1"/>
    <xf numFmtId="0" fontId="31" fillId="4" borderId="34" xfId="0" applyFont="1" applyFill="1" applyBorder="1"/>
    <xf numFmtId="0" fontId="15" fillId="0" borderId="0" xfId="0" applyFont="1"/>
    <xf numFmtId="0" fontId="16" fillId="0" borderId="41" xfId="0" applyFont="1" applyBorder="1" applyAlignment="1">
      <alignment vertical="center"/>
    </xf>
    <xf numFmtId="0" fontId="16" fillId="0" borderId="41" xfId="0" applyFont="1" applyBorder="1" applyAlignment="1">
      <alignment vertical="center" wrapText="1"/>
    </xf>
    <xf numFmtId="0" fontId="16" fillId="4" borderId="43" xfId="0" applyFont="1" applyFill="1" applyBorder="1"/>
    <xf numFmtId="0" fontId="27" fillId="4" borderId="43" xfId="0" applyFont="1" applyFill="1" applyBorder="1"/>
    <xf numFmtId="0" fontId="2" fillId="4" borderId="6" xfId="0" applyFont="1" applyFill="1" applyBorder="1"/>
    <xf numFmtId="0" fontId="27" fillId="4" borderId="6" xfId="0" applyFont="1" applyFill="1" applyBorder="1"/>
    <xf numFmtId="0" fontId="20" fillId="4" borderId="6" xfId="0" applyFont="1" applyFill="1" applyBorder="1"/>
    <xf numFmtId="0" fontId="16" fillId="4" borderId="6" xfId="0" applyFont="1" applyFill="1" applyBorder="1"/>
    <xf numFmtId="0" fontId="33" fillId="4" borderId="6" xfId="0" applyFont="1" applyFill="1" applyBorder="1"/>
    <xf numFmtId="3" fontId="16" fillId="4" borderId="6" xfId="0" applyNumberFormat="1" applyFont="1" applyFill="1" applyBorder="1"/>
    <xf numFmtId="0" fontId="16" fillId="0" borderId="46" xfId="0" applyFont="1" applyBorder="1" applyAlignment="1">
      <alignment vertical="center"/>
    </xf>
    <xf numFmtId="0" fontId="16" fillId="0" borderId="46" xfId="0" applyFont="1" applyBorder="1" applyAlignment="1">
      <alignment vertical="center" wrapText="1"/>
    </xf>
    <xf numFmtId="0" fontId="33" fillId="4" borderId="6" xfId="0" applyFont="1" applyFill="1" applyBorder="1" applyAlignment="1">
      <alignment wrapText="1"/>
    </xf>
    <xf numFmtId="0" fontId="33" fillId="4" borderId="46" xfId="0" applyFont="1" applyFill="1" applyBorder="1"/>
    <xf numFmtId="0" fontId="16" fillId="4" borderId="46" xfId="0" applyFont="1" applyFill="1" applyBorder="1"/>
    <xf numFmtId="0" fontId="33" fillId="4" borderId="48" xfId="0" applyFont="1" applyFill="1" applyBorder="1"/>
    <xf numFmtId="0" fontId="16" fillId="4" borderId="48" xfId="0" applyFont="1" applyFill="1" applyBorder="1"/>
    <xf numFmtId="0" fontId="27" fillId="0" borderId="41" xfId="0" applyFont="1" applyBorder="1" applyAlignment="1">
      <alignment vertical="center"/>
    </xf>
    <xf numFmtId="0" fontId="27" fillId="0" borderId="39" xfId="0" applyFont="1" applyBorder="1" applyAlignment="1">
      <alignment vertical="center"/>
    </xf>
    <xf numFmtId="0" fontId="16" fillId="0" borderId="39" xfId="0" applyFont="1" applyBorder="1" applyAlignment="1">
      <alignment vertical="center" wrapText="1"/>
    </xf>
    <xf numFmtId="0" fontId="2" fillId="0" borderId="0" xfId="0" applyFont="1" applyAlignment="1">
      <alignment vertical="center"/>
    </xf>
    <xf numFmtId="4" fontId="15" fillId="0" borderId="0" xfId="0" applyNumberFormat="1" applyFont="1" applyAlignment="1">
      <alignment horizontal="right" vertical="center"/>
    </xf>
    <xf numFmtId="49" fontId="27" fillId="0" borderId="37" xfId="0" applyNumberFormat="1" applyFont="1" applyBorder="1" applyAlignment="1">
      <alignment vertical="center" wrapText="1"/>
    </xf>
    <xf numFmtId="0" fontId="11" fillId="0" borderId="0" xfId="0" applyFont="1"/>
    <xf numFmtId="0" fontId="34" fillId="0" borderId="0" xfId="0" applyFont="1"/>
    <xf numFmtId="0" fontId="25" fillId="0" borderId="15" xfId="0" applyFont="1" applyBorder="1" applyAlignment="1">
      <alignment horizontal="center" vertical="center" wrapText="1"/>
    </xf>
    <xf numFmtId="0" fontId="4" fillId="0" borderId="0" xfId="0" applyFont="1"/>
    <xf numFmtId="0" fontId="35" fillId="0" borderId="15" xfId="0" applyFont="1" applyBorder="1" applyAlignment="1">
      <alignment horizontal="justify" vertical="center" wrapText="1"/>
    </xf>
    <xf numFmtId="0" fontId="35" fillId="0" borderId="15" xfId="0" applyFont="1" applyBorder="1" applyAlignment="1">
      <alignment horizontal="center" vertical="center" wrapText="1"/>
    </xf>
    <xf numFmtId="4" fontId="35" fillId="0" borderId="15" xfId="0" applyNumberFormat="1" applyFont="1" applyBorder="1" applyAlignment="1">
      <alignment horizontal="center" vertical="center" wrapText="1"/>
    </xf>
    <xf numFmtId="0" fontId="35" fillId="0" borderId="16" xfId="0" applyFont="1" applyBorder="1" applyAlignment="1">
      <alignment horizontal="justify" vertical="center" wrapText="1"/>
    </xf>
    <xf numFmtId="0" fontId="35" fillId="0" borderId="16" xfId="0" applyFont="1" applyBorder="1" applyAlignment="1">
      <alignment horizontal="center" vertical="center" wrapText="1"/>
    </xf>
    <xf numFmtId="0" fontId="35" fillId="0" borderId="1" xfId="0" applyFont="1" applyBorder="1" applyAlignment="1">
      <alignment horizontal="justify" vertical="center" wrapText="1"/>
    </xf>
    <xf numFmtId="0" fontId="35" fillId="0" borderId="1" xfId="0" applyFont="1" applyBorder="1" applyAlignment="1">
      <alignment horizontal="center" vertical="center" wrapText="1"/>
    </xf>
    <xf numFmtId="0" fontId="25" fillId="0" borderId="0" xfId="0" applyFont="1" applyAlignment="1">
      <alignment vertical="center" wrapText="1"/>
    </xf>
    <xf numFmtId="0" fontId="4" fillId="0" borderId="0" xfId="0" applyFont="1" applyAlignment="1">
      <alignment horizontal="left" vertical="center"/>
    </xf>
    <xf numFmtId="0" fontId="37" fillId="0" borderId="0" xfId="0" applyFont="1" applyAlignment="1">
      <alignment horizontal="left" vertical="center"/>
    </xf>
    <xf numFmtId="0" fontId="8" fillId="0" borderId="0" xfId="0" applyFont="1"/>
    <xf numFmtId="4" fontId="35" fillId="0" borderId="16" xfId="0" applyNumberFormat="1" applyFont="1" applyBorder="1" applyAlignment="1">
      <alignment horizontal="center" vertical="center" wrapText="1"/>
    </xf>
    <xf numFmtId="4" fontId="35" fillId="0" borderId="1" xfId="0" applyNumberFormat="1" applyFont="1" applyBorder="1" applyAlignment="1">
      <alignment horizontal="center" vertical="center" wrapText="1"/>
    </xf>
    <xf numFmtId="4" fontId="25" fillId="0" borderId="0" xfId="0" applyNumberFormat="1" applyFont="1" applyAlignment="1">
      <alignment horizontal="center" vertical="center" wrapText="1"/>
    </xf>
    <xf numFmtId="0" fontId="36" fillId="0" borderId="0" xfId="0" applyFont="1"/>
    <xf numFmtId="0" fontId="35" fillId="0" borderId="0" xfId="0" applyFont="1"/>
    <xf numFmtId="3" fontId="35" fillId="0" borderId="1" xfId="0" applyNumberFormat="1" applyFont="1" applyBorder="1" applyAlignment="1">
      <alignment horizontal="center" vertical="center" wrapText="1"/>
    </xf>
    <xf numFmtId="4" fontId="4" fillId="0" borderId="0" xfId="0" applyNumberFormat="1" applyFont="1"/>
    <xf numFmtId="0" fontId="25" fillId="0" borderId="1" xfId="0" applyFont="1" applyBorder="1" applyAlignment="1">
      <alignment horizontal="center" vertical="center" wrapText="1"/>
    </xf>
    <xf numFmtId="0" fontId="35" fillId="0" borderId="0" xfId="0" applyFont="1" applyAlignment="1">
      <alignment horizontal="justify" vertical="center" wrapText="1"/>
    </xf>
    <xf numFmtId="0" fontId="35" fillId="0" borderId="0" xfId="0" applyFont="1" applyAlignment="1">
      <alignment horizontal="center" vertical="center" wrapText="1"/>
    </xf>
    <xf numFmtId="0" fontId="39" fillId="0" borderId="0" xfId="0" applyFont="1" applyAlignment="1">
      <alignment horizontal="center" vertical="center"/>
    </xf>
    <xf numFmtId="0" fontId="25" fillId="0" borderId="2" xfId="0" applyFont="1" applyBorder="1" applyAlignment="1">
      <alignment horizontal="center" vertical="center" wrapText="1"/>
    </xf>
    <xf numFmtId="0" fontId="4" fillId="0" borderId="0" xfId="0" applyFont="1" applyAlignment="1">
      <alignment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4" fontId="4" fillId="0" borderId="0" xfId="0" applyNumberFormat="1" applyFont="1" applyAlignment="1">
      <alignment horizontal="center" vertical="center"/>
    </xf>
    <xf numFmtId="0" fontId="41" fillId="0" borderId="0" xfId="0" applyFont="1"/>
    <xf numFmtId="0" fontId="25" fillId="0" borderId="0" xfId="0" applyFont="1" applyAlignment="1">
      <alignment horizontal="center" vertical="center" wrapText="1"/>
    </xf>
    <xf numFmtId="0" fontId="42" fillId="0" borderId="0" xfId="0" applyFont="1"/>
    <xf numFmtId="0" fontId="9" fillId="0" borderId="0" xfId="0" applyFont="1" applyAlignment="1">
      <alignment horizontal="center" vertical="center" wrapText="1"/>
    </xf>
    <xf numFmtId="0" fontId="9" fillId="0" borderId="0" xfId="0" applyFont="1" applyAlignment="1">
      <alignment wrapText="1"/>
    </xf>
    <xf numFmtId="3" fontId="4" fillId="0" borderId="1" xfId="0" applyNumberFormat="1" applyFont="1" applyBorder="1" applyAlignment="1">
      <alignment horizontal="center" vertical="center"/>
    </xf>
    <xf numFmtId="0" fontId="4" fillId="2" borderId="0" xfId="0" applyFont="1" applyFill="1"/>
    <xf numFmtId="0" fontId="4" fillId="2" borderId="0" xfId="0" applyFont="1" applyFill="1" applyAlignment="1">
      <alignment horizontal="center" vertical="center"/>
    </xf>
    <xf numFmtId="0" fontId="4" fillId="2" borderId="1" xfId="0" applyFont="1" applyFill="1" applyBorder="1" applyAlignment="1">
      <alignment horizontal="center" vertical="center"/>
    </xf>
    <xf numFmtId="4" fontId="40" fillId="2" borderId="0" xfId="0" applyNumberFormat="1" applyFont="1" applyFill="1" applyAlignment="1">
      <alignment horizontal="center" vertical="center"/>
    </xf>
    <xf numFmtId="0" fontId="3" fillId="0" borderId="0" xfId="0" applyFont="1"/>
    <xf numFmtId="3" fontId="3" fillId="0" borderId="0" xfId="0" applyNumberFormat="1" applyFont="1"/>
    <xf numFmtId="0" fontId="4" fillId="0" borderId="1" xfId="0" applyFont="1" applyBorder="1" applyAlignment="1">
      <alignment horizontal="left" vertical="center" wrapText="1"/>
    </xf>
    <xf numFmtId="0" fontId="4" fillId="0" borderId="1" xfId="0" applyFont="1" applyBorder="1" applyAlignment="1">
      <alignment horizontal="left" vertical="center"/>
    </xf>
    <xf numFmtId="4" fontId="4" fillId="0" borderId="1" xfId="0" applyNumberFormat="1" applyFont="1" applyBorder="1" applyAlignment="1">
      <alignment horizontal="center" vertical="center"/>
    </xf>
    <xf numFmtId="4" fontId="40" fillId="0" borderId="0" xfId="0" applyNumberFormat="1" applyFont="1" applyAlignment="1">
      <alignment horizontal="right"/>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38" fillId="3" borderId="8" xfId="0" applyFont="1" applyFill="1" applyBorder="1" applyAlignment="1">
      <alignment horizontal="center" vertical="center" wrapText="1"/>
    </xf>
    <xf numFmtId="0" fontId="38" fillId="3" borderId="9" xfId="0" applyFont="1" applyFill="1" applyBorder="1" applyAlignment="1">
      <alignment horizontal="center" vertical="center" wrapText="1"/>
    </xf>
    <xf numFmtId="0" fontId="38" fillId="0" borderId="27" xfId="0" applyFont="1" applyBorder="1" applyAlignment="1">
      <alignment horizontal="left" vertical="center" wrapText="1"/>
    </xf>
    <xf numFmtId="0" fontId="39" fillId="0" borderId="27" xfId="0" applyFont="1" applyBorder="1" applyAlignment="1">
      <alignment horizontal="left" vertical="center" wrapText="1"/>
    </xf>
    <xf numFmtId="0" fontId="38" fillId="0" borderId="28" xfId="0" applyFont="1" applyBorder="1" applyAlignment="1">
      <alignment horizontal="left" vertical="center" wrapText="1"/>
    </xf>
    <xf numFmtId="0" fontId="38" fillId="0" borderId="26" xfId="0" applyFont="1" applyBorder="1" applyAlignment="1">
      <alignment horizontal="left" vertical="center" wrapText="1"/>
    </xf>
    <xf numFmtId="2" fontId="3"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38" fillId="0" borderId="23" xfId="0" applyFont="1" applyBorder="1" applyAlignment="1">
      <alignment horizontal="left" vertical="center" wrapText="1"/>
    </xf>
    <xf numFmtId="0" fontId="39" fillId="0" borderId="24" xfId="0" applyFont="1" applyBorder="1" applyAlignment="1">
      <alignment horizontal="center" vertical="center" wrapText="1"/>
    </xf>
    <xf numFmtId="4" fontId="40" fillId="0" borderId="0" xfId="0" applyNumberFormat="1" applyFont="1" applyAlignment="1">
      <alignment horizontal="center" vertical="center"/>
    </xf>
    <xf numFmtId="0" fontId="4" fillId="0" borderId="38" xfId="0" applyFont="1" applyBorder="1" applyAlignment="1">
      <alignment vertical="center"/>
    </xf>
    <xf numFmtId="0" fontId="4" fillId="0" borderId="40" xfId="0" applyFont="1" applyBorder="1" applyAlignment="1">
      <alignment vertical="center" wrapText="1"/>
    </xf>
    <xf numFmtId="0" fontId="14" fillId="0" borderId="0" xfId="0" applyFont="1" applyAlignment="1">
      <alignment horizontal="left" vertical="center" wrapText="1"/>
    </xf>
    <xf numFmtId="4" fontId="14" fillId="0" borderId="0" xfId="0" applyNumberFormat="1" applyFont="1" applyAlignment="1">
      <alignment horizontal="center" vertical="center" wrapText="1"/>
    </xf>
    <xf numFmtId="0" fontId="5" fillId="2" borderId="0" xfId="0" applyFont="1" applyFill="1"/>
    <xf numFmtId="0" fontId="3" fillId="2" borderId="0" xfId="0" applyFont="1" applyFill="1"/>
    <xf numFmtId="3" fontId="3" fillId="2" borderId="0" xfId="0" applyNumberFormat="1" applyFont="1" applyFill="1"/>
    <xf numFmtId="0" fontId="45" fillId="0" borderId="0" xfId="0" applyFont="1" applyAlignment="1">
      <alignment vertical="center"/>
    </xf>
    <xf numFmtId="4" fontId="4" fillId="2" borderId="0" xfId="0" applyNumberFormat="1" applyFont="1" applyFill="1" applyAlignment="1">
      <alignment horizontal="center" vertical="center"/>
    </xf>
    <xf numFmtId="0" fontId="4" fillId="2" borderId="1" xfId="0" applyFont="1" applyFill="1" applyBorder="1" applyAlignment="1">
      <alignment horizontal="left" vertical="center"/>
    </xf>
    <xf numFmtId="4" fontId="4" fillId="2" borderId="1" xfId="0" applyNumberFormat="1" applyFont="1" applyFill="1" applyBorder="1" applyAlignment="1">
      <alignment horizontal="center" vertical="center"/>
    </xf>
    <xf numFmtId="0" fontId="4" fillId="2" borderId="0" xfId="0" applyFont="1" applyFill="1" applyAlignment="1">
      <alignment horizontal="left" vertical="center"/>
    </xf>
    <xf numFmtId="0" fontId="45" fillId="2" borderId="0" xfId="0" applyFont="1" applyFill="1" applyAlignment="1">
      <alignment horizontal="left" vertical="center"/>
    </xf>
    <xf numFmtId="0" fontId="47" fillId="0" borderId="0" xfId="0" applyFont="1"/>
    <xf numFmtId="0" fontId="45" fillId="2" borderId="0" xfId="0" applyFont="1" applyFill="1"/>
    <xf numFmtId="0" fontId="26" fillId="2" borderId="0" xfId="0" applyFont="1" applyFill="1"/>
    <xf numFmtId="0" fontId="4" fillId="0" borderId="0" xfId="0" applyFont="1" applyAlignment="1">
      <alignment vertical="center"/>
    </xf>
    <xf numFmtId="0" fontId="4" fillId="0" borderId="0" xfId="0" applyFont="1" applyAlignment="1">
      <alignment vertical="center" wrapText="1"/>
    </xf>
    <xf numFmtId="0" fontId="52" fillId="0" borderId="0" xfId="0" applyFont="1"/>
    <xf numFmtId="49" fontId="21" fillId="0" borderId="1" xfId="2" applyNumberFormat="1" applyFont="1" applyBorder="1" applyAlignment="1">
      <alignment horizontal="center" vertical="center" wrapText="1"/>
    </xf>
    <xf numFmtId="0" fontId="21" fillId="0" borderId="1" xfId="2" applyFont="1" applyBorder="1" applyAlignment="1">
      <alignment horizontal="center" vertical="center" textRotation="90" wrapText="1"/>
    </xf>
    <xf numFmtId="0" fontId="21" fillId="0" borderId="1" xfId="2" applyFont="1" applyBorder="1" applyAlignment="1">
      <alignment horizontal="center" vertical="center" wrapText="1"/>
    </xf>
    <xf numFmtId="10" fontId="49" fillId="0" borderId="1" xfId="2" applyNumberFormat="1" applyFont="1" applyBorder="1" applyAlignment="1">
      <alignment horizontal="center" vertical="center" wrapText="1"/>
    </xf>
    <xf numFmtId="10" fontId="21" fillId="0" borderId="1" xfId="2" applyNumberFormat="1" applyFont="1" applyBorder="1" applyAlignment="1">
      <alignment horizontal="center" vertical="center" wrapText="1"/>
    </xf>
    <xf numFmtId="0" fontId="54" fillId="0" borderId="1" xfId="2" applyFont="1" applyBorder="1" applyAlignment="1">
      <alignment horizontal="center" vertical="center" wrapText="1"/>
    </xf>
    <xf numFmtId="3" fontId="54" fillId="5" borderId="1" xfId="2" applyNumberFormat="1" applyFont="1" applyFill="1" applyBorder="1" applyAlignment="1">
      <alignment horizontal="center" vertical="center" wrapText="1"/>
    </xf>
    <xf numFmtId="3" fontId="55" fillId="5" borderId="1" xfId="2" applyNumberFormat="1" applyFont="1" applyFill="1" applyBorder="1" applyAlignment="1">
      <alignment horizontal="center" vertical="center" wrapText="1"/>
    </xf>
    <xf numFmtId="3" fontId="54" fillId="5" borderId="1" xfId="2" applyNumberFormat="1" applyFont="1" applyFill="1" applyBorder="1" applyAlignment="1">
      <alignment horizontal="center" vertical="center"/>
    </xf>
    <xf numFmtId="0" fontId="21" fillId="0" borderId="1" xfId="3" applyFont="1" applyBorder="1" applyAlignment="1">
      <alignment horizontal="center" vertical="center" wrapText="1"/>
    </xf>
    <xf numFmtId="0" fontId="49" fillId="0" borderId="1" xfId="3" applyFont="1" applyBorder="1" applyAlignment="1">
      <alignment horizontal="center" vertical="center" wrapText="1"/>
    </xf>
    <xf numFmtId="0" fontId="51" fillId="0" borderId="1" xfId="2" applyFont="1" applyBorder="1" applyAlignment="1">
      <alignment horizontal="center" vertical="center" wrapText="1"/>
    </xf>
    <xf numFmtId="0" fontId="53" fillId="0" borderId="1" xfId="2" applyFont="1" applyBorder="1" applyAlignment="1">
      <alignment horizontal="center" vertical="center"/>
    </xf>
    <xf numFmtId="0" fontId="40" fillId="0" borderId="0" xfId="0" applyFont="1"/>
    <xf numFmtId="0" fontId="11" fillId="0" borderId="0" xfId="0" applyFont="1" applyAlignment="1">
      <alignment horizontal="left" wrapText="1"/>
    </xf>
    <xf numFmtId="0" fontId="43" fillId="0" borderId="0" xfId="0" applyFont="1"/>
    <xf numFmtId="0" fontId="4" fillId="2" borderId="0" xfId="0" applyFont="1" applyFill="1" applyAlignment="1">
      <alignment vertical="center"/>
    </xf>
    <xf numFmtId="0" fontId="4" fillId="0" borderId="3" xfId="0" applyFont="1" applyBorder="1" applyAlignment="1">
      <alignment horizontal="center" vertical="center"/>
    </xf>
    <xf numFmtId="0" fontId="25" fillId="0" borderId="1" xfId="0" applyFont="1" applyBorder="1" applyAlignment="1">
      <alignment horizontal="center" vertical="center" wrapText="1"/>
    </xf>
    <xf numFmtId="0" fontId="39" fillId="0" borderId="1" xfId="0" applyFont="1" applyBorder="1" applyAlignment="1">
      <alignment horizontal="center" vertical="center" wrapText="1"/>
    </xf>
    <xf numFmtId="3" fontId="39" fillId="0" borderId="1" xfId="0" applyNumberFormat="1" applyFont="1" applyBorder="1" applyAlignment="1">
      <alignment horizontal="center" vertical="center" wrapText="1"/>
    </xf>
    <xf numFmtId="0" fontId="4" fillId="0" borderId="0" xfId="0" applyFont="1" applyAlignment="1">
      <alignment horizontal="right" vertical="center" wrapText="1"/>
    </xf>
    <xf numFmtId="3" fontId="14" fillId="0" borderId="0" xfId="0" applyNumberFormat="1" applyFont="1" applyAlignment="1">
      <alignment horizontal="center" vertical="center"/>
    </xf>
    <xf numFmtId="0" fontId="48" fillId="0" borderId="0" xfId="0" applyFont="1" applyAlignment="1">
      <alignment wrapText="1"/>
    </xf>
    <xf numFmtId="0" fontId="35" fillId="0" borderId="52" xfId="0" applyFont="1" applyBorder="1" applyAlignment="1">
      <alignment horizontal="justify" vertical="center" wrapText="1"/>
    </xf>
    <xf numFmtId="0" fontId="4" fillId="0" borderId="52" xfId="0" applyFont="1" applyBorder="1" applyAlignment="1">
      <alignment horizontal="center" vertical="center" wrapText="1"/>
    </xf>
    <xf numFmtId="0" fontId="35" fillId="0" borderId="52" xfId="0" applyFont="1" applyBorder="1" applyAlignment="1">
      <alignment horizontal="center" vertical="center" wrapText="1"/>
    </xf>
    <xf numFmtId="3" fontId="16" fillId="0" borderId="38" xfId="0" applyNumberFormat="1" applyFont="1" applyBorder="1" applyAlignment="1">
      <alignment horizontal="center" vertical="center"/>
    </xf>
    <xf numFmtId="3" fontId="16" fillId="0" borderId="39" xfId="0" applyNumberFormat="1" applyFont="1" applyBorder="1" applyAlignment="1">
      <alignment horizontal="center" vertical="center"/>
    </xf>
    <xf numFmtId="3" fontId="35" fillId="0" borderId="15" xfId="0" applyNumberFormat="1" applyFont="1" applyBorder="1" applyAlignment="1">
      <alignment horizontal="center" vertical="center" wrapText="1"/>
    </xf>
    <xf numFmtId="3" fontId="16" fillId="0" borderId="42" xfId="0" applyNumberFormat="1" applyFont="1" applyBorder="1" applyAlignment="1">
      <alignment horizontal="center" vertical="center"/>
    </xf>
    <xf numFmtId="3" fontId="27" fillId="4" borderId="44" xfId="0" applyNumberFormat="1" applyFont="1" applyFill="1" applyBorder="1" applyAlignment="1">
      <alignment horizontal="center" vertical="center"/>
    </xf>
    <xf numFmtId="3" fontId="27" fillId="4" borderId="45" xfId="0" applyNumberFormat="1" applyFont="1" applyFill="1" applyBorder="1" applyAlignment="1">
      <alignment horizontal="center" vertical="center"/>
    </xf>
    <xf numFmtId="3" fontId="16" fillId="4" borderId="45" xfId="0" applyNumberFormat="1" applyFont="1" applyFill="1" applyBorder="1" applyAlignment="1">
      <alignment horizontal="center" vertical="center"/>
    </xf>
    <xf numFmtId="3" fontId="16" fillId="0" borderId="47" xfId="0" applyNumberFormat="1" applyFont="1" applyBorder="1" applyAlignment="1">
      <alignment horizontal="center" vertical="center"/>
    </xf>
    <xf numFmtId="3" fontId="16" fillId="4" borderId="47" xfId="0" applyNumberFormat="1" applyFont="1" applyFill="1" applyBorder="1" applyAlignment="1">
      <alignment horizontal="center" vertical="center"/>
    </xf>
    <xf numFmtId="3" fontId="16" fillId="4" borderId="49" xfId="0" applyNumberFormat="1" applyFont="1" applyFill="1" applyBorder="1" applyAlignment="1">
      <alignment horizontal="center" vertical="center"/>
    </xf>
    <xf numFmtId="3" fontId="2" fillId="0" borderId="0" xfId="0" applyNumberFormat="1" applyFont="1" applyAlignment="1">
      <alignment horizontal="center" vertical="center"/>
    </xf>
    <xf numFmtId="3" fontId="16" fillId="0" borderId="41" xfId="0" applyNumberFormat="1" applyFont="1" applyBorder="1" applyAlignment="1">
      <alignment horizontal="center" vertical="center"/>
    </xf>
    <xf numFmtId="3" fontId="27" fillId="0" borderId="20" xfId="0" applyNumberFormat="1" applyFont="1" applyBorder="1" applyAlignment="1">
      <alignment horizontal="center" vertical="center"/>
    </xf>
    <xf numFmtId="3" fontId="2" fillId="0" borderId="0" xfId="0" applyNumberFormat="1" applyFont="1"/>
    <xf numFmtId="3" fontId="4" fillId="0" borderId="37" xfId="0" applyNumberFormat="1" applyFont="1" applyBorder="1" applyAlignment="1">
      <alignment horizontal="center" vertical="center"/>
    </xf>
    <xf numFmtId="3" fontId="40" fillId="0" borderId="20" xfId="0" applyNumberFormat="1" applyFont="1" applyBorder="1" applyAlignment="1">
      <alignment horizontal="center" vertical="center"/>
    </xf>
    <xf numFmtId="3" fontId="39" fillId="0" borderId="10" xfId="0" applyNumberFormat="1" applyFont="1" applyBorder="1" applyAlignment="1">
      <alignment horizontal="center" vertical="center" wrapText="1"/>
    </xf>
    <xf numFmtId="3" fontId="3" fillId="0" borderId="10" xfId="0" applyNumberFormat="1" applyFont="1" applyBorder="1" applyAlignment="1">
      <alignment horizontal="center" vertical="center" wrapText="1"/>
    </xf>
    <xf numFmtId="3" fontId="4" fillId="0" borderId="10" xfId="0" applyNumberFormat="1" applyFont="1" applyBorder="1" applyAlignment="1">
      <alignment horizontal="center" vertical="center"/>
    </xf>
    <xf numFmtId="0" fontId="38" fillId="3" borderId="26" xfId="0" applyFont="1" applyFill="1" applyBorder="1" applyAlignment="1">
      <alignment horizontal="center" vertical="center" wrapText="1"/>
    </xf>
    <xf numFmtId="3" fontId="16" fillId="0" borderId="1" xfId="0" applyNumberFormat="1" applyFont="1" applyBorder="1" applyAlignment="1">
      <alignment horizontal="center" vertical="center"/>
    </xf>
    <xf numFmtId="0" fontId="16" fillId="0" borderId="26" xfId="0" applyFont="1" applyBorder="1" applyAlignment="1">
      <alignment vertical="center"/>
    </xf>
    <xf numFmtId="0" fontId="16" fillId="0" borderId="8" xfId="0" applyFont="1" applyBorder="1" applyAlignment="1">
      <alignment vertical="center" wrapText="1"/>
    </xf>
    <xf numFmtId="3" fontId="16" fillId="0" borderId="8" xfId="0" applyNumberFormat="1" applyFont="1" applyBorder="1" applyAlignment="1">
      <alignment horizontal="center" vertical="center"/>
    </xf>
    <xf numFmtId="0" fontId="16" fillId="0" borderId="28" xfId="0" applyFont="1" applyBorder="1" applyAlignment="1">
      <alignment vertical="center"/>
    </xf>
    <xf numFmtId="0" fontId="16" fillId="0" borderId="11" xfId="0" applyFont="1" applyBorder="1" applyAlignment="1">
      <alignment vertical="center" wrapText="1"/>
    </xf>
    <xf numFmtId="3" fontId="16" fillId="0" borderId="11" xfId="0" applyNumberFormat="1" applyFont="1" applyBorder="1" applyAlignment="1">
      <alignment horizontal="center" vertical="center"/>
    </xf>
    <xf numFmtId="3" fontId="11" fillId="0" borderId="0" xfId="0" applyNumberFormat="1" applyFont="1" applyAlignment="1">
      <alignment horizontal="center"/>
    </xf>
    <xf numFmtId="3" fontId="35" fillId="0" borderId="16" xfId="0" applyNumberFormat="1" applyFont="1" applyBorder="1" applyAlignment="1">
      <alignment horizontal="center" vertical="center" wrapText="1"/>
    </xf>
    <xf numFmtId="3" fontId="35" fillId="0" borderId="52" xfId="0" applyNumberFormat="1" applyFont="1" applyBorder="1" applyAlignment="1">
      <alignment horizontal="center" vertical="center" wrapText="1"/>
    </xf>
    <xf numFmtId="3" fontId="35" fillId="0" borderId="51" xfId="0" applyNumberFormat="1" applyFont="1" applyBorder="1" applyAlignment="1">
      <alignment horizontal="center" vertical="center" wrapText="1"/>
    </xf>
    <xf numFmtId="3" fontId="38" fillId="0" borderId="1" xfId="0" applyNumberFormat="1" applyFont="1" applyBorder="1" applyAlignment="1">
      <alignment horizontal="center" vertical="center"/>
    </xf>
    <xf numFmtId="3" fontId="4" fillId="0" borderId="1" xfId="0" applyNumberFormat="1" applyFont="1" applyBorder="1" applyAlignment="1">
      <alignment horizontal="center" vertical="center" wrapText="1"/>
    </xf>
    <xf numFmtId="0" fontId="16" fillId="0" borderId="1" xfId="0" applyFont="1" applyBorder="1" applyAlignment="1">
      <alignment wrapText="1"/>
    </xf>
    <xf numFmtId="0" fontId="39" fillId="0" borderId="0" xfId="0" applyFont="1" applyBorder="1" applyAlignment="1">
      <alignment horizontal="center" vertical="center" wrapText="1"/>
    </xf>
    <xf numFmtId="3" fontId="38" fillId="0" borderId="56" xfId="0" applyNumberFormat="1" applyFont="1" applyBorder="1" applyAlignment="1">
      <alignment horizontal="center" vertical="center" wrapText="1"/>
    </xf>
    <xf numFmtId="3" fontId="40" fillId="0" borderId="56" xfId="0" applyNumberFormat="1" applyFont="1" applyBorder="1" applyAlignment="1">
      <alignment horizontal="center" vertical="center" wrapText="1"/>
    </xf>
    <xf numFmtId="3" fontId="40" fillId="0" borderId="12" xfId="0" applyNumberFormat="1" applyFont="1" applyBorder="1" applyAlignment="1">
      <alignment horizontal="center" vertical="center" wrapText="1"/>
    </xf>
    <xf numFmtId="0" fontId="27" fillId="0" borderId="8" xfId="0" applyFont="1" applyBorder="1" applyAlignment="1">
      <alignment horizontal="center" vertical="center"/>
    </xf>
    <xf numFmtId="0" fontId="27" fillId="0" borderId="8" xfId="0" applyFont="1" applyBorder="1" applyAlignment="1">
      <alignment horizontal="center" vertical="center" wrapText="1"/>
    </xf>
    <xf numFmtId="0" fontId="5" fillId="2" borderId="26"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3" fillId="0" borderId="27" xfId="0" applyFont="1" applyBorder="1" applyAlignment="1">
      <alignment horizontal="center" wrapText="1"/>
    </xf>
    <xf numFmtId="0" fontId="3" fillId="0" borderId="27" xfId="0" applyFont="1" applyBorder="1" applyAlignment="1">
      <alignment wrapText="1"/>
    </xf>
    <xf numFmtId="0" fontId="3" fillId="0" borderId="28" xfId="0" applyFont="1" applyBorder="1" applyAlignment="1">
      <alignment wrapText="1"/>
    </xf>
    <xf numFmtId="3" fontId="8" fillId="0" borderId="11" xfId="0" applyNumberFormat="1" applyFont="1" applyBorder="1" applyAlignment="1">
      <alignment horizontal="center" vertical="center" wrapText="1"/>
    </xf>
    <xf numFmtId="3" fontId="5" fillId="0" borderId="11" xfId="0" applyNumberFormat="1" applyFont="1" applyBorder="1" applyAlignment="1">
      <alignment horizontal="center" vertical="center" wrapText="1"/>
    </xf>
    <xf numFmtId="0" fontId="38" fillId="0" borderId="57" xfId="0" applyFont="1" applyBorder="1" applyAlignment="1">
      <alignment horizontal="left" vertical="center" wrapText="1"/>
    </xf>
    <xf numFmtId="0" fontId="39" fillId="0" borderId="58" xfId="0" applyFont="1" applyBorder="1" applyAlignment="1">
      <alignment horizontal="center" vertical="center" wrapText="1"/>
    </xf>
    <xf numFmtId="3" fontId="39" fillId="0" borderId="58" xfId="0" applyNumberFormat="1" applyFont="1" applyBorder="1" applyAlignment="1">
      <alignment horizontal="center" vertical="center" wrapText="1"/>
    </xf>
    <xf numFmtId="3" fontId="38" fillId="0" borderId="53" xfId="0" applyNumberFormat="1" applyFont="1" applyBorder="1" applyAlignment="1">
      <alignment horizontal="center" vertical="center" wrapText="1"/>
    </xf>
    <xf numFmtId="0" fontId="38" fillId="0" borderId="59" xfId="0" applyFont="1" applyBorder="1" applyAlignment="1">
      <alignment horizontal="left" vertical="center" wrapText="1"/>
    </xf>
    <xf numFmtId="0" fontId="39" fillId="0" borderId="13" xfId="0" applyFont="1" applyBorder="1" applyAlignment="1">
      <alignment horizontal="center" vertical="center" wrapText="1"/>
    </xf>
    <xf numFmtId="3" fontId="38" fillId="0" borderId="55" xfId="0" applyNumberFormat="1" applyFont="1" applyBorder="1" applyAlignment="1">
      <alignment horizontal="center" vertical="center" wrapText="1"/>
    </xf>
    <xf numFmtId="0" fontId="40" fillId="0" borderId="54" xfId="0" applyFont="1" applyBorder="1" applyAlignment="1">
      <alignment horizontal="right" vertical="center"/>
    </xf>
    <xf numFmtId="0" fontId="40" fillId="0" borderId="0" xfId="0" applyFont="1" applyBorder="1" applyAlignment="1">
      <alignment horizontal="right" vertical="center"/>
    </xf>
    <xf numFmtId="4" fontId="39" fillId="0" borderId="0" xfId="0" applyNumberFormat="1" applyFont="1" applyBorder="1" applyAlignment="1">
      <alignment horizontal="center" vertical="center" wrapText="1"/>
    </xf>
    <xf numFmtId="0" fontId="4" fillId="0" borderId="60" xfId="0" applyFont="1" applyBorder="1" applyAlignment="1">
      <alignment horizontal="center" vertical="center"/>
    </xf>
    <xf numFmtId="0" fontId="38" fillId="0" borderId="61" xfId="0" applyFont="1" applyBorder="1" applyAlignment="1">
      <alignment horizontal="center" vertical="center" wrapText="1"/>
    </xf>
    <xf numFmtId="0" fontId="5" fillId="0" borderId="61" xfId="0" applyFont="1" applyBorder="1" applyAlignment="1">
      <alignment horizontal="center" vertical="center" wrapText="1"/>
    </xf>
    <xf numFmtId="3" fontId="40" fillId="0" borderId="62" xfId="0" applyNumberFormat="1" applyFont="1" applyBorder="1" applyAlignment="1">
      <alignment horizontal="center" vertical="center"/>
    </xf>
    <xf numFmtId="0" fontId="38" fillId="0" borderId="54" xfId="0" applyFont="1" applyBorder="1" applyAlignment="1">
      <alignment horizontal="left" vertical="center" wrapText="1"/>
    </xf>
    <xf numFmtId="0" fontId="4" fillId="0" borderId="57" xfId="0" applyFont="1" applyBorder="1" applyAlignment="1">
      <alignment horizontal="left" vertical="center"/>
    </xf>
    <xf numFmtId="0" fontId="4" fillId="0" borderId="58" xfId="0" applyFont="1" applyBorder="1" applyAlignment="1">
      <alignment horizontal="center" vertical="center"/>
    </xf>
    <xf numFmtId="0" fontId="4" fillId="0" borderId="53" xfId="0" applyFont="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3" fontId="25" fillId="0" borderId="0" xfId="0" applyNumberFormat="1" applyFont="1" applyBorder="1" applyAlignment="1">
      <alignment horizontal="center" vertical="center" wrapText="1"/>
    </xf>
    <xf numFmtId="0" fontId="28" fillId="0" borderId="26" xfId="0" applyFont="1" applyBorder="1" applyAlignment="1">
      <alignment horizontal="center" vertical="center"/>
    </xf>
    <xf numFmtId="0" fontId="28" fillId="0" borderId="9" xfId="0" applyFont="1" applyBorder="1" applyAlignment="1">
      <alignment horizontal="center" vertical="center"/>
    </xf>
    <xf numFmtId="0" fontId="14" fillId="0" borderId="27" xfId="0" applyFont="1" applyBorder="1" applyAlignment="1">
      <alignment horizontal="left" vertical="center" wrapText="1"/>
    </xf>
    <xf numFmtId="4" fontId="14" fillId="0" borderId="10" xfId="0" applyNumberFormat="1" applyFont="1" applyBorder="1" applyAlignment="1">
      <alignment horizontal="center" vertical="center" wrapText="1"/>
    </xf>
    <xf numFmtId="0" fontId="46" fillId="0" borderId="27" xfId="0" applyFont="1" applyBorder="1" applyAlignment="1">
      <alignment horizontal="left" vertical="center" wrapText="1"/>
    </xf>
    <xf numFmtId="0" fontId="6" fillId="0" borderId="28" xfId="0" applyFont="1" applyBorder="1" applyAlignment="1">
      <alignment horizontal="right"/>
    </xf>
    <xf numFmtId="3" fontId="28" fillId="0" borderId="11" xfId="0" applyNumberFormat="1" applyFont="1" applyBorder="1" applyAlignment="1">
      <alignment horizontal="center"/>
    </xf>
    <xf numFmtId="4" fontId="14" fillId="0" borderId="12" xfId="0" applyNumberFormat="1" applyFont="1" applyBorder="1"/>
    <xf numFmtId="0" fontId="48" fillId="0" borderId="0" xfId="0" applyFont="1" applyBorder="1" applyAlignment="1">
      <alignment wrapText="1"/>
    </xf>
    <xf numFmtId="0" fontId="2" fillId="0" borderId="0" xfId="0" applyFont="1" applyBorder="1"/>
    <xf numFmtId="0" fontId="2" fillId="0" borderId="0" xfId="0" applyFont="1" applyBorder="1" applyAlignment="1">
      <alignment horizontal="right" wrapText="1"/>
    </xf>
    <xf numFmtId="0" fontId="2" fillId="0" borderId="0" xfId="0" applyFont="1" applyBorder="1" applyAlignment="1">
      <alignment wrapText="1"/>
    </xf>
    <xf numFmtId="165" fontId="4" fillId="0" borderId="0" xfId="0" applyNumberFormat="1" applyFont="1"/>
    <xf numFmtId="0" fontId="4" fillId="0" borderId="1" xfId="0" applyFont="1" applyBorder="1" applyAlignment="1">
      <alignment horizontal="center" vertical="center" wrapText="1"/>
    </xf>
    <xf numFmtId="0" fontId="14" fillId="0" borderId="0" xfId="0" applyFont="1"/>
    <xf numFmtId="0" fontId="9" fillId="0" borderId="1" xfId="0" applyFont="1" applyBorder="1" applyAlignment="1">
      <alignment horizontal="center" vertical="center" wrapText="1"/>
    </xf>
    <xf numFmtId="0" fontId="14" fillId="0" borderId="0" xfId="0" applyFont="1" applyAlignment="1">
      <alignment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4" fontId="4" fillId="0" borderId="1" xfId="0" applyNumberFormat="1" applyFont="1" applyBorder="1" applyAlignment="1">
      <alignment horizontal="center" vertical="center"/>
    </xf>
    <xf numFmtId="0" fontId="5" fillId="2" borderId="0" xfId="0" applyFont="1" applyFill="1"/>
    <xf numFmtId="0" fontId="3" fillId="2" borderId="0" xfId="0" applyFont="1" applyFill="1"/>
    <xf numFmtId="3" fontId="3" fillId="2" borderId="0" xfId="0" applyNumberFormat="1" applyFont="1" applyFill="1"/>
    <xf numFmtId="0" fontId="3" fillId="0" borderId="1" xfId="0" applyFont="1" applyBorder="1" applyAlignment="1">
      <alignment horizontal="left" vertical="center" wrapText="1"/>
    </xf>
    <xf numFmtId="0" fontId="49" fillId="0" borderId="1" xfId="2" applyFont="1" applyBorder="1" applyAlignment="1">
      <alignment horizontal="center" vertical="center" wrapText="1"/>
    </xf>
    <xf numFmtId="3" fontId="14" fillId="2" borderId="1" xfId="0" applyNumberFormat="1" applyFont="1" applyFill="1" applyBorder="1" applyAlignment="1">
      <alignment horizontal="center" vertical="center"/>
    </xf>
    <xf numFmtId="0" fontId="4" fillId="0" borderId="3" xfId="0" applyFont="1" applyBorder="1" applyAlignment="1">
      <alignment horizontal="left" vertical="center" wrapText="1"/>
    </xf>
    <xf numFmtId="3" fontId="46" fillId="2" borderId="1" xfId="0" applyNumberFormat="1" applyFont="1" applyFill="1" applyBorder="1" applyAlignment="1">
      <alignment horizontal="center" vertical="center"/>
    </xf>
    <xf numFmtId="4" fontId="46" fillId="0" borderId="10"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right" vertical="center" wrapText="1"/>
    </xf>
    <xf numFmtId="3" fontId="25" fillId="0" borderId="17" xfId="0" applyNumberFormat="1" applyFont="1" applyBorder="1" applyAlignment="1">
      <alignment horizontal="center" vertical="center" wrapText="1"/>
    </xf>
    <xf numFmtId="0" fontId="25" fillId="0" borderId="0" xfId="0" applyFont="1" applyBorder="1" applyAlignment="1">
      <alignment horizontal="right" vertical="center" wrapText="1"/>
    </xf>
    <xf numFmtId="0" fontId="25" fillId="0" borderId="63" xfId="0" applyFont="1" applyBorder="1" applyAlignment="1">
      <alignment horizontal="center" vertical="center" wrapText="1"/>
    </xf>
    <xf numFmtId="0" fontId="25" fillId="0" borderId="64" xfId="0" applyFont="1" applyBorder="1" applyAlignment="1">
      <alignment horizontal="center" vertical="center" wrapText="1"/>
    </xf>
    <xf numFmtId="0" fontId="25" fillId="0" borderId="65" xfId="0" applyFont="1" applyBorder="1" applyAlignment="1">
      <alignment horizontal="center" vertical="center" wrapText="1"/>
    </xf>
    <xf numFmtId="0" fontId="35" fillId="0" borderId="66" xfId="0" applyFont="1" applyBorder="1" applyAlignment="1">
      <alignment horizontal="justify" vertical="center" wrapText="1"/>
    </xf>
    <xf numFmtId="3" fontId="35" fillId="0" borderId="67" xfId="0" applyNumberFormat="1" applyFont="1" applyBorder="1" applyAlignment="1">
      <alignment horizontal="center" vertical="center" wrapText="1"/>
    </xf>
    <xf numFmtId="3" fontId="25" fillId="0" borderId="71" xfId="0" applyNumberFormat="1" applyFont="1" applyBorder="1" applyAlignment="1">
      <alignment horizontal="center" vertical="center" wrapText="1"/>
    </xf>
    <xf numFmtId="0" fontId="36" fillId="0" borderId="0" xfId="0" applyFont="1" applyAlignment="1">
      <alignment horizontal="justify" vertical="center" wrapText="1"/>
    </xf>
    <xf numFmtId="3" fontId="4" fillId="0" borderId="0" xfId="0" applyNumberFormat="1" applyFont="1" applyAlignment="1">
      <alignment horizontal="center" vertical="center"/>
    </xf>
    <xf numFmtId="3" fontId="3" fillId="0" borderId="10" xfId="0" applyNumberFormat="1" applyFont="1" applyFill="1" applyBorder="1" applyAlignment="1">
      <alignment horizontal="center" vertical="center" wrapText="1"/>
    </xf>
    <xf numFmtId="3" fontId="39" fillId="0" borderId="10" xfId="0" applyNumberFormat="1" applyFont="1" applyFill="1" applyBorder="1" applyAlignment="1">
      <alignment horizontal="center" vertical="center" wrapText="1"/>
    </xf>
    <xf numFmtId="3" fontId="38" fillId="0" borderId="25" xfId="0" applyNumberFormat="1" applyFont="1" applyFill="1" applyBorder="1" applyAlignment="1">
      <alignment horizontal="center" vertical="center" wrapText="1"/>
    </xf>
    <xf numFmtId="0" fontId="61" fillId="0" borderId="0" xfId="0" applyFont="1"/>
    <xf numFmtId="3" fontId="40" fillId="0" borderId="0" xfId="0" applyNumberFormat="1" applyFont="1" applyAlignment="1">
      <alignment horizontal="center" vertical="center"/>
    </xf>
    <xf numFmtId="3" fontId="2" fillId="0" borderId="1" xfId="0" applyNumberFormat="1" applyFont="1" applyBorder="1" applyAlignment="1">
      <alignment horizontal="center" vertical="center"/>
    </xf>
    <xf numFmtId="3" fontId="40" fillId="2" borderId="0" xfId="0" applyNumberFormat="1" applyFont="1" applyFill="1" applyAlignment="1">
      <alignment horizontal="center" vertical="center"/>
    </xf>
    <xf numFmtId="3" fontId="40" fillId="0" borderId="0" xfId="0" applyNumberFormat="1" applyFont="1" applyAlignment="1">
      <alignment horizontal="center"/>
    </xf>
    <xf numFmtId="0" fontId="3" fillId="0" borderId="27"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3" fontId="3" fillId="0" borderId="10" xfId="0" applyNumberFormat="1" applyFont="1" applyFill="1" applyBorder="1" applyAlignment="1">
      <alignment horizontal="center"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3" fontId="5" fillId="0" borderId="12" xfId="0" applyNumberFormat="1" applyFont="1" applyFill="1" applyBorder="1" applyAlignment="1">
      <alignment horizontal="center" vertical="center"/>
    </xf>
    <xf numFmtId="0" fontId="5" fillId="0" borderId="54" xfId="0" applyFont="1" applyFill="1" applyBorder="1" applyAlignment="1">
      <alignment horizontal="right" vertical="center"/>
    </xf>
    <xf numFmtId="0" fontId="5" fillId="0" borderId="0" xfId="0" applyFont="1" applyFill="1" applyBorder="1" applyAlignment="1">
      <alignment horizontal="right" vertical="center"/>
    </xf>
    <xf numFmtId="3" fontId="5" fillId="0" borderId="56" xfId="0" applyNumberFormat="1" applyFont="1" applyFill="1" applyBorder="1" applyAlignment="1">
      <alignment horizontal="center" vertical="center"/>
    </xf>
    <xf numFmtId="0" fontId="5" fillId="0" borderId="60" xfId="0" applyFont="1" applyFill="1" applyBorder="1" applyAlignment="1">
      <alignment horizontal="left" vertical="center" wrapText="1"/>
    </xf>
    <xf numFmtId="0" fontId="3" fillId="0" borderId="61" xfId="0" applyFont="1" applyFill="1" applyBorder="1" applyAlignment="1">
      <alignment horizontal="center" vertical="center" wrapText="1"/>
    </xf>
    <xf numFmtId="3" fontId="5" fillId="0" borderId="62" xfId="0" applyNumberFormat="1" applyFont="1" applyFill="1" applyBorder="1" applyAlignment="1">
      <alignment horizontal="center" vertical="center" wrapText="1"/>
    </xf>
    <xf numFmtId="0" fontId="5" fillId="0" borderId="54" xfId="0" applyFont="1" applyFill="1" applyBorder="1" applyAlignment="1">
      <alignment horizontal="left" vertical="center" wrapText="1"/>
    </xf>
    <xf numFmtId="0" fontId="3" fillId="0" borderId="0" xfId="0" applyFont="1" applyFill="1" applyBorder="1" applyAlignment="1">
      <alignment horizontal="center" vertical="center" wrapText="1"/>
    </xf>
    <xf numFmtId="3" fontId="5" fillId="0" borderId="56" xfId="0" applyNumberFormat="1" applyFont="1" applyFill="1" applyBorder="1" applyAlignment="1">
      <alignment horizontal="center" vertical="center" wrapText="1"/>
    </xf>
    <xf numFmtId="4" fontId="3" fillId="0" borderId="61" xfId="0" applyNumberFormat="1" applyFont="1" applyFill="1" applyBorder="1" applyAlignment="1">
      <alignment horizontal="center" vertical="center" wrapText="1"/>
    </xf>
    <xf numFmtId="3" fontId="3" fillId="0" borderId="0" xfId="0" applyNumberFormat="1" applyFont="1" applyFill="1" applyAlignment="1">
      <alignment horizontal="left" vertical="center"/>
    </xf>
    <xf numFmtId="0" fontId="63" fillId="0" borderId="0" xfId="0" applyFont="1"/>
    <xf numFmtId="3" fontId="28" fillId="0" borderId="8" xfId="0" applyNumberFormat="1" applyFont="1" applyBorder="1" applyAlignment="1">
      <alignment horizontal="center" vertical="center" wrapText="1"/>
    </xf>
    <xf numFmtId="3" fontId="44" fillId="0" borderId="0" xfId="0" applyNumberFormat="1" applyFont="1" applyAlignment="1">
      <alignment horizontal="center"/>
    </xf>
    <xf numFmtId="0" fontId="4" fillId="0" borderId="0" xfId="0" applyFont="1" applyAlignment="1">
      <alignment horizontal="center"/>
    </xf>
    <xf numFmtId="3" fontId="3" fillId="0" borderId="2" xfId="0" applyNumberFormat="1" applyFont="1" applyBorder="1" applyAlignment="1">
      <alignment horizontal="center" vertical="center" wrapText="1"/>
    </xf>
    <xf numFmtId="3" fontId="5" fillId="0" borderId="2" xfId="0" applyNumberFormat="1" applyFont="1" applyBorder="1" applyAlignment="1">
      <alignment horizontal="center" vertical="center" wrapText="1"/>
    </xf>
    <xf numFmtId="3" fontId="5" fillId="0" borderId="72" xfId="0" applyNumberFormat="1" applyFont="1" applyBorder="1" applyAlignment="1">
      <alignment horizontal="center" vertical="center" wrapText="1"/>
    </xf>
    <xf numFmtId="0" fontId="52" fillId="0" borderId="1" xfId="0" applyFont="1" applyBorder="1" applyAlignment="1">
      <alignment horizontal="center"/>
    </xf>
    <xf numFmtId="0" fontId="27" fillId="0" borderId="26" xfId="0" applyFont="1" applyBorder="1" applyAlignment="1">
      <alignment horizontal="center" vertical="center"/>
    </xf>
    <xf numFmtId="0" fontId="16" fillId="0" borderId="27" xfId="0" applyFont="1" applyBorder="1" applyAlignment="1">
      <alignment horizontal="left" vertical="center"/>
    </xf>
    <xf numFmtId="0" fontId="16" fillId="0" borderId="27" xfId="0" applyFont="1" applyBorder="1" applyAlignment="1">
      <alignment wrapText="1"/>
    </xf>
    <xf numFmtId="3" fontId="16" fillId="0" borderId="3" xfId="0" applyNumberFormat="1" applyFont="1" applyBorder="1" applyAlignment="1">
      <alignment horizontal="center" vertical="center"/>
    </xf>
    <xf numFmtId="3" fontId="16" fillId="0" borderId="74" xfId="0" applyNumberFormat="1" applyFont="1" applyBorder="1" applyAlignment="1">
      <alignment horizontal="center" vertical="center"/>
    </xf>
    <xf numFmtId="0" fontId="16" fillId="0" borderId="3" xfId="0" applyFont="1" applyBorder="1" applyAlignment="1">
      <alignment wrapText="1"/>
    </xf>
    <xf numFmtId="0" fontId="16" fillId="0" borderId="76" xfId="0" applyFont="1" applyBorder="1" applyAlignment="1">
      <alignment wrapText="1"/>
    </xf>
    <xf numFmtId="49" fontId="21" fillId="0" borderId="3" xfId="2" applyNumberFormat="1" applyFont="1" applyBorder="1" applyAlignment="1">
      <alignment horizontal="center" vertical="center" wrapText="1"/>
    </xf>
    <xf numFmtId="0" fontId="21" fillId="0" borderId="3" xfId="2" applyFont="1" applyBorder="1" applyAlignment="1">
      <alignment horizontal="center" vertical="center" textRotation="90" wrapText="1"/>
    </xf>
    <xf numFmtId="0" fontId="21" fillId="0" borderId="3" xfId="2" applyFont="1" applyBorder="1" applyAlignment="1">
      <alignment horizontal="center" vertical="center" wrapText="1"/>
    </xf>
    <xf numFmtId="10" fontId="49" fillId="0" borderId="3" xfId="2" applyNumberFormat="1" applyFont="1" applyBorder="1" applyAlignment="1">
      <alignment horizontal="center" vertical="center" wrapText="1"/>
    </xf>
    <xf numFmtId="10" fontId="21" fillId="0" borderId="3" xfId="2" applyNumberFormat="1" applyFont="1" applyBorder="1" applyAlignment="1">
      <alignment horizontal="center" vertical="center" wrapText="1"/>
    </xf>
    <xf numFmtId="0" fontId="53" fillId="0" borderId="3" xfId="2" applyFont="1" applyBorder="1" applyAlignment="1">
      <alignment horizontal="center" vertical="center"/>
    </xf>
    <xf numFmtId="3" fontId="1" fillId="0" borderId="0" xfId="0" applyNumberFormat="1" applyFont="1"/>
    <xf numFmtId="3" fontId="4" fillId="0" borderId="0" xfId="0" applyNumberFormat="1" applyFont="1"/>
    <xf numFmtId="3" fontId="29" fillId="0" borderId="0" xfId="0" applyNumberFormat="1" applyFont="1" applyAlignment="1">
      <alignment horizontal="center" vertical="center"/>
    </xf>
    <xf numFmtId="4" fontId="29" fillId="0" borderId="0" xfId="0" applyNumberFormat="1" applyFont="1" applyAlignment="1">
      <alignment horizontal="center" vertical="center"/>
    </xf>
    <xf numFmtId="3" fontId="64" fillId="0" borderId="8" xfId="0" applyNumberFormat="1" applyFont="1" applyBorder="1" applyAlignment="1">
      <alignment horizontal="center" vertical="center" wrapText="1"/>
    </xf>
    <xf numFmtId="3" fontId="46" fillId="2" borderId="2" xfId="0" applyNumberFormat="1" applyFont="1" applyFill="1" applyBorder="1" applyAlignment="1">
      <alignment horizontal="center" vertical="center"/>
    </xf>
    <xf numFmtId="3" fontId="64" fillId="0" borderId="72" xfId="0" applyNumberFormat="1" applyFont="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32" fillId="0" borderId="1" xfId="0" applyFont="1" applyBorder="1" applyAlignment="1">
      <alignment horizontal="center" vertical="center" wrapText="1"/>
    </xf>
    <xf numFmtId="0" fontId="5" fillId="0" borderId="0" xfId="0" applyFont="1" applyAlignment="1">
      <alignment horizontal="center"/>
    </xf>
    <xf numFmtId="0" fontId="53" fillId="0" borderId="20" xfId="0" applyFont="1" applyBorder="1" applyAlignment="1">
      <alignment horizontal="center" vertical="center" wrapText="1"/>
    </xf>
    <xf numFmtId="164" fontId="53" fillId="0" borderId="0" xfId="0" applyNumberFormat="1" applyFont="1"/>
    <xf numFmtId="0" fontId="21" fillId="0" borderId="0" xfId="0" applyFont="1"/>
    <xf numFmtId="3" fontId="21" fillId="0" borderId="9" xfId="0" applyNumberFormat="1" applyFont="1" applyBorder="1" applyAlignment="1">
      <alignment horizontal="center" vertical="center"/>
    </xf>
    <xf numFmtId="3" fontId="53" fillId="0" borderId="9" xfId="0" applyNumberFormat="1" applyFont="1" applyBorder="1" applyAlignment="1">
      <alignment horizontal="center" vertical="center"/>
    </xf>
    <xf numFmtId="3" fontId="21" fillId="0" borderId="12" xfId="0" applyNumberFormat="1" applyFont="1" applyBorder="1" applyAlignment="1">
      <alignment horizontal="center" vertical="center"/>
    </xf>
    <xf numFmtId="4" fontId="21" fillId="4" borderId="22" xfId="0" applyNumberFormat="1" applyFont="1" applyFill="1" applyBorder="1" applyAlignment="1">
      <alignment horizontal="center" vertical="center"/>
    </xf>
    <xf numFmtId="0" fontId="53" fillId="0" borderId="0" xfId="0" applyFont="1"/>
    <xf numFmtId="4" fontId="21" fillId="0" borderId="0" xfId="0" applyNumberFormat="1" applyFont="1" applyAlignment="1">
      <alignment horizontal="center" vertical="center"/>
    </xf>
    <xf numFmtId="3" fontId="21" fillId="0" borderId="14" xfId="0" applyNumberFormat="1" applyFont="1" applyBorder="1" applyAlignment="1">
      <alignment horizontal="center" vertical="center"/>
    </xf>
    <xf numFmtId="3" fontId="21" fillId="0" borderId="0" xfId="0" applyNumberFormat="1" applyFont="1" applyAlignment="1">
      <alignment horizontal="center" vertical="center"/>
    </xf>
    <xf numFmtId="0" fontId="53" fillId="0" borderId="0" xfId="0" applyFont="1" applyAlignment="1">
      <alignment horizontal="center"/>
    </xf>
    <xf numFmtId="3" fontId="21" fillId="0" borderId="18" xfId="0" applyNumberFormat="1" applyFont="1" applyBorder="1" applyAlignment="1">
      <alignment horizontal="center" vertical="center"/>
    </xf>
    <xf numFmtId="3" fontId="21" fillId="0" borderId="50" xfId="0" applyNumberFormat="1" applyFont="1" applyBorder="1" applyAlignment="1">
      <alignment horizontal="center" vertical="center"/>
    </xf>
    <xf numFmtId="3" fontId="53" fillId="0" borderId="0" xfId="0" applyNumberFormat="1" applyFont="1" applyAlignment="1">
      <alignment horizontal="center" vertical="center"/>
    </xf>
    <xf numFmtId="0" fontId="21" fillId="0" borderId="1" xfId="0" applyFont="1" applyBorder="1"/>
    <xf numFmtId="0" fontId="45" fillId="0" borderId="0" xfId="0" applyFont="1" applyAlignment="1">
      <alignment horizontal="left" vertical="center"/>
    </xf>
    <xf numFmtId="0" fontId="3" fillId="0" borderId="0" xfId="0" applyFont="1" applyAlignment="1">
      <alignment horizontal="center" vertical="center"/>
    </xf>
    <xf numFmtId="4" fontId="3" fillId="0" borderId="1" xfId="0" applyNumberFormat="1" applyFont="1" applyBorder="1" applyAlignment="1">
      <alignment horizontal="center" vertical="center"/>
    </xf>
    <xf numFmtId="4" fontId="5" fillId="2" borderId="0" xfId="0" applyNumberFormat="1" applyFont="1" applyFill="1" applyAlignment="1">
      <alignment horizontal="center" vertical="center"/>
    </xf>
    <xf numFmtId="4" fontId="3" fillId="0" borderId="0" xfId="0" applyNumberFormat="1" applyFont="1" applyAlignment="1">
      <alignment horizontal="center" vertical="center"/>
    </xf>
    <xf numFmtId="0" fontId="3" fillId="0" borderId="1" xfId="0" applyFont="1" applyBorder="1" applyAlignment="1">
      <alignment horizontal="center" wrapText="1"/>
    </xf>
    <xf numFmtId="0" fontId="5" fillId="0" borderId="0" xfId="0" applyFont="1" applyAlignment="1">
      <alignment horizontal="center" wrapText="1"/>
    </xf>
    <xf numFmtId="0" fontId="53" fillId="0" borderId="9" xfId="0" applyFont="1" applyBorder="1" applyAlignment="1">
      <alignment horizontal="center" vertical="center" wrapText="1"/>
    </xf>
    <xf numFmtId="3" fontId="21" fillId="0" borderId="10" xfId="0" applyNumberFormat="1" applyFont="1" applyBorder="1" applyAlignment="1">
      <alignment horizontal="center" vertical="center"/>
    </xf>
    <xf numFmtId="3" fontId="21" fillId="0" borderId="73" xfId="0" applyNumberFormat="1" applyFont="1" applyBorder="1" applyAlignment="1">
      <alignment horizontal="center" vertical="center"/>
    </xf>
    <xf numFmtId="3" fontId="21" fillId="0" borderId="75" xfId="0" applyNumberFormat="1" applyFont="1" applyBorder="1" applyAlignment="1">
      <alignment horizontal="center" vertical="center"/>
    </xf>
    <xf numFmtId="3" fontId="53" fillId="0" borderId="74" xfId="0" applyNumberFormat="1" applyFont="1" applyBorder="1" applyAlignment="1">
      <alignment horizontal="center" vertical="center"/>
    </xf>
    <xf numFmtId="3" fontId="53" fillId="0" borderId="74" xfId="0" applyNumberFormat="1" applyFont="1" applyBorder="1" applyAlignment="1">
      <alignment horizontal="center"/>
    </xf>
    <xf numFmtId="0" fontId="52" fillId="0" borderId="1" xfId="0" applyFont="1" applyBorder="1"/>
    <xf numFmtId="0" fontId="3" fillId="0" borderId="1" xfId="0" applyFont="1" applyBorder="1" applyAlignment="1">
      <alignment horizontal="center" vertical="center"/>
    </xf>
    <xf numFmtId="0" fontId="58" fillId="0" borderId="0" xfId="0" applyFont="1" applyBorder="1" applyAlignment="1">
      <alignment horizontal="center" wrapText="1"/>
    </xf>
    <xf numFmtId="0" fontId="2" fillId="0" borderId="0" xfId="0" applyFont="1" applyAlignment="1">
      <alignment horizontal="right" wrapText="1"/>
    </xf>
    <xf numFmtId="0" fontId="25" fillId="0" borderId="68" xfId="0" applyFont="1" applyBorder="1" applyAlignment="1">
      <alignment horizontal="right" vertical="center" wrapText="1"/>
    </xf>
    <xf numFmtId="0" fontId="25" fillId="0" borderId="69" xfId="0" applyFont="1" applyBorder="1" applyAlignment="1">
      <alignment horizontal="right" vertical="center" wrapText="1"/>
    </xf>
    <xf numFmtId="0" fontId="25" fillId="0" borderId="70" xfId="0" applyFont="1" applyBorder="1" applyAlignment="1">
      <alignment horizontal="right" vertical="center" wrapText="1"/>
    </xf>
    <xf numFmtId="0" fontId="4" fillId="0" borderId="0" xfId="0" applyFont="1" applyAlignment="1">
      <alignment horizontal="right" wrapText="1"/>
    </xf>
    <xf numFmtId="0" fontId="25" fillId="0" borderId="1" xfId="0" applyFont="1" applyBorder="1" applyAlignment="1">
      <alignment horizontal="center" vertical="center" wrapText="1"/>
    </xf>
    <xf numFmtId="4" fontId="31" fillId="4" borderId="5" xfId="0" applyNumberFormat="1" applyFont="1" applyFill="1" applyBorder="1" applyAlignment="1">
      <alignment horizontal="center" vertical="center"/>
    </xf>
    <xf numFmtId="4" fontId="31" fillId="4" borderId="35" xfId="0" applyNumberFormat="1" applyFont="1" applyFill="1" applyBorder="1" applyAlignment="1">
      <alignment horizontal="center" vertical="center"/>
    </xf>
    <xf numFmtId="4" fontId="31" fillId="4" borderId="32" xfId="0" applyNumberFormat="1" applyFont="1" applyFill="1" applyBorder="1" applyAlignment="1">
      <alignment horizontal="center" vertical="center"/>
    </xf>
    <xf numFmtId="4" fontId="31" fillId="4" borderId="36" xfId="0" applyNumberFormat="1" applyFont="1" applyFill="1" applyBorder="1" applyAlignment="1">
      <alignment horizontal="center" vertical="center"/>
    </xf>
    <xf numFmtId="0" fontId="4" fillId="0" borderId="0" xfId="0" applyFont="1" applyAlignment="1">
      <alignment horizontal="right" vertical="center" wrapText="1"/>
    </xf>
    <xf numFmtId="0" fontId="5" fillId="0" borderId="28" xfId="0" applyFont="1" applyFill="1" applyBorder="1" applyAlignment="1">
      <alignment horizontal="right" vertical="center"/>
    </xf>
    <xf numFmtId="0" fontId="5" fillId="0" borderId="11" xfId="0" applyFont="1" applyFill="1" applyBorder="1" applyAlignment="1">
      <alignment horizontal="right" vertical="center"/>
    </xf>
    <xf numFmtId="0" fontId="40" fillId="0" borderId="28" xfId="0" applyFont="1" applyBorder="1" applyAlignment="1">
      <alignment horizontal="right" vertical="center"/>
    </xf>
    <xf numFmtId="0" fontId="40" fillId="0" borderId="11" xfId="0" applyFont="1" applyBorder="1" applyAlignment="1">
      <alignment horizontal="right" vertical="center"/>
    </xf>
    <xf numFmtId="0" fontId="38" fillId="0" borderId="26" xfId="0" applyFont="1" applyBorder="1" applyAlignment="1">
      <alignment horizontal="left" vertical="center" wrapText="1"/>
    </xf>
    <xf numFmtId="0" fontId="38" fillId="0" borderId="8" xfId="0" applyFont="1" applyBorder="1" applyAlignment="1">
      <alignment horizontal="left" vertical="center" wrapText="1"/>
    </xf>
    <xf numFmtId="0" fontId="38" fillId="0" borderId="9" xfId="0" applyFont="1" applyBorder="1" applyAlignment="1">
      <alignment horizontal="left" vertical="center" wrapText="1"/>
    </xf>
    <xf numFmtId="0" fontId="39" fillId="0" borderId="1" xfId="0" applyFont="1" applyBorder="1" applyAlignment="1">
      <alignment horizontal="center" vertical="center" wrapText="1"/>
    </xf>
    <xf numFmtId="0" fontId="39" fillId="0" borderId="11" xfId="0" applyFont="1" applyBorder="1" applyAlignment="1">
      <alignment horizontal="center" vertical="center" wrapText="1"/>
    </xf>
    <xf numFmtId="3" fontId="39" fillId="0" borderId="1" xfId="0" applyNumberFormat="1" applyFont="1" applyBorder="1" applyAlignment="1">
      <alignment horizontal="center" vertical="center" wrapText="1"/>
    </xf>
    <xf numFmtId="3" fontId="39" fillId="0" borderId="11" xfId="0" applyNumberFormat="1" applyFont="1" applyBorder="1" applyAlignment="1">
      <alignment horizontal="center" vertical="center" wrapText="1"/>
    </xf>
    <xf numFmtId="3" fontId="38" fillId="0" borderId="10" xfId="0" applyNumberFormat="1" applyFont="1" applyBorder="1" applyAlignment="1">
      <alignment horizontal="center" vertical="center" wrapText="1"/>
    </xf>
    <xf numFmtId="3" fontId="38" fillId="0" borderId="12" xfId="0" applyNumberFormat="1" applyFont="1" applyBorder="1" applyAlignment="1">
      <alignment horizontal="center" vertical="center" wrapText="1"/>
    </xf>
    <xf numFmtId="0" fontId="39" fillId="0" borderId="8" xfId="0" applyFont="1" applyBorder="1" applyAlignment="1">
      <alignment horizontal="center" vertical="center" wrapText="1"/>
    </xf>
    <xf numFmtId="0" fontId="39" fillId="0" borderId="9" xfId="0" applyFont="1" applyBorder="1" applyAlignment="1">
      <alignment horizontal="center" vertical="center" wrapText="1"/>
    </xf>
    <xf numFmtId="0" fontId="16" fillId="0" borderId="77" xfId="0" applyFont="1" applyBorder="1" applyAlignment="1">
      <alignment horizontal="right"/>
    </xf>
    <xf numFmtId="0" fontId="16" fillId="0" borderId="78" xfId="0" applyFont="1" applyBorder="1" applyAlignment="1">
      <alignment horizontal="right"/>
    </xf>
    <xf numFmtId="0" fontId="16" fillId="0" borderId="38" xfId="0" applyFont="1" applyFill="1" applyBorder="1" applyAlignment="1">
      <alignment vertical="center"/>
    </xf>
    <xf numFmtId="3" fontId="21" fillId="0" borderId="1" xfId="0" applyNumberFormat="1" applyFont="1" applyBorder="1" applyAlignment="1">
      <alignment horizontal="center" vertical="center"/>
    </xf>
    <xf numFmtId="3" fontId="53" fillId="0" borderId="1" xfId="0" applyNumberFormat="1" applyFont="1" applyBorder="1" applyAlignment="1">
      <alignment horizontal="center" vertical="center"/>
    </xf>
    <xf numFmtId="3" fontId="5" fillId="0" borderId="1" xfId="0" applyNumberFormat="1" applyFont="1" applyBorder="1" applyAlignment="1">
      <alignment horizontal="center" vertical="center"/>
    </xf>
    <xf numFmtId="3" fontId="5" fillId="0" borderId="0" xfId="0" applyNumberFormat="1" applyFont="1" applyAlignment="1">
      <alignment horizontal="center"/>
    </xf>
  </cellXfs>
  <cellStyles count="11">
    <cellStyle name="Normal" xfId="0" builtinId="0"/>
    <cellStyle name="Normal 10 2 2" xfId="5" xr:uid="{F266E1C6-D941-46B8-8E94-846F2ECE3283}"/>
    <cellStyle name="Normal 10 7" xfId="6" xr:uid="{D66EEBCF-2981-4154-9BEB-59642B293202}"/>
    <cellStyle name="Normal 2" xfId="1" xr:uid="{8160B362-F5DF-44ED-B542-841C6623C033}"/>
    <cellStyle name="Normal 2 2" xfId="2" xr:uid="{1C6AAF00-A31D-4E34-9821-E8AB8FAB4097}"/>
    <cellStyle name="Normal 2 3" xfId="3" xr:uid="{131B2C9E-426A-44FF-8840-D2DBEA51878C}"/>
    <cellStyle name="Normal 2 3 3" xfId="9" xr:uid="{1653A010-7729-48ED-AE84-F69A58240606}"/>
    <cellStyle name="Normal 2 4" xfId="10" xr:uid="{3F8F8CB3-FC6B-4C81-874E-023942C56CE4}"/>
    <cellStyle name="Normal 3" xfId="4" xr:uid="{B1E763E2-51C9-4B28-BFDE-8B42BA61D015}"/>
    <cellStyle name="Normal 3 3" xfId="7" xr:uid="{A587BACB-A46F-4614-B05C-35F1CEFA939E}"/>
    <cellStyle name="Normal 4" xfId="8" xr:uid="{4771BC39-9801-4EAA-860C-9789FE221E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veselibasministrija-my.sharepoint.com/Documents%20and%20Settings/Svetlana.Supulniece/Local%20Settings/Temporary%20Internet%20Files/Content.Outlook/J21U5MYL/LIC%20PP%20parrekins%20pec%202012%209m%20DB/LIC%20laboratorija/R0032%20-LIC%20darbs%20laboratorija%20citam%20ar%20palidz%20veidu%20AI%2031102012.xls?504E799B" TargetMode="External"/><Relationship Id="rId1" Type="http://schemas.openxmlformats.org/officeDocument/2006/relationships/externalLinkPath" Target="file:///\\504E799B\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veselibasministrija-my.sharepoint.com/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24D4E-AD82-496F-B6CF-1439E4ACAF9C}">
  <sheetPr>
    <pageSetUpPr fitToPage="1"/>
  </sheetPr>
  <dimension ref="A1:Z16"/>
  <sheetViews>
    <sheetView tabSelected="1" zoomScale="85" zoomScaleNormal="85" zoomScaleSheetLayoutView="85" workbookViewId="0">
      <selection activeCell="C8" sqref="C8"/>
    </sheetView>
  </sheetViews>
  <sheetFormatPr defaultColWidth="8.7109375" defaultRowHeight="16.5" x14ac:dyDescent="0.25"/>
  <cols>
    <col min="1" max="1" width="91" style="2" customWidth="1"/>
    <col min="2" max="4" width="17" style="2" customWidth="1"/>
    <col min="5" max="5" width="56.85546875" style="2" customWidth="1"/>
    <col min="6" max="6" width="20.85546875" style="2" customWidth="1"/>
    <col min="7" max="7" width="18.28515625" style="2" customWidth="1"/>
    <col min="8" max="8" width="18.7109375" style="2" customWidth="1"/>
    <col min="9" max="10" width="25.140625" style="2" customWidth="1"/>
    <col min="11" max="11" width="27.42578125" style="2" customWidth="1"/>
    <col min="12" max="13" width="36" style="2" customWidth="1"/>
    <col min="14" max="14" width="25.85546875" style="8" customWidth="1"/>
    <col min="15" max="15" width="31.28515625" style="2" customWidth="1"/>
    <col min="16" max="16" width="24.7109375" style="3" customWidth="1"/>
    <col min="17" max="17" width="15" style="2" hidden="1" customWidth="1"/>
    <col min="18" max="18" width="16.42578125" style="2" hidden="1" customWidth="1"/>
    <col min="19" max="16384" width="8.7109375" style="2"/>
  </cols>
  <sheetData>
    <row r="1" spans="1:26" ht="83.25" customHeight="1" x14ac:dyDescent="0.25">
      <c r="A1" s="259"/>
      <c r="B1" s="259"/>
      <c r="C1" s="259"/>
      <c r="D1" s="259"/>
      <c r="E1" s="260" t="s">
        <v>201</v>
      </c>
      <c r="F1" s="261"/>
    </row>
    <row r="2" spans="1:26" ht="25.5" x14ac:dyDescent="0.35">
      <c r="A2" s="381" t="s">
        <v>181</v>
      </c>
      <c r="B2" s="381"/>
      <c r="C2" s="381"/>
      <c r="D2" s="381"/>
      <c r="E2" s="381"/>
      <c r="F2" s="258"/>
      <c r="G2" s="177"/>
      <c r="H2" s="177"/>
      <c r="I2" s="177"/>
      <c r="J2" s="177"/>
      <c r="K2" s="177"/>
      <c r="L2" s="177"/>
      <c r="M2" s="177"/>
      <c r="N2" s="177"/>
      <c r="O2" s="177"/>
      <c r="P2" s="10"/>
      <c r="Q2" s="1"/>
      <c r="R2" s="1"/>
      <c r="S2" s="1"/>
      <c r="T2" s="1"/>
      <c r="U2" s="1"/>
      <c r="V2" s="1"/>
      <c r="W2" s="1"/>
      <c r="X2" s="1"/>
      <c r="Y2" s="1"/>
      <c r="Z2" s="1"/>
    </row>
    <row r="4" spans="1:26" s="9" customFormat="1" ht="20.25" thickBot="1" x14ac:dyDescent="0.35">
      <c r="A4" s="137"/>
      <c r="B4" s="176"/>
      <c r="C4" s="176"/>
      <c r="D4" s="176"/>
      <c r="E4" s="138"/>
      <c r="P4" s="22"/>
    </row>
    <row r="5" spans="1:26" s="9" customFormat="1" ht="78" x14ac:dyDescent="0.3">
      <c r="A5" s="250" t="s">
        <v>0</v>
      </c>
      <c r="B5" s="319" t="s">
        <v>216</v>
      </c>
      <c r="C5" s="343" t="s">
        <v>219</v>
      </c>
      <c r="D5" s="343" t="s">
        <v>218</v>
      </c>
      <c r="E5" s="251" t="s">
        <v>1</v>
      </c>
      <c r="P5" s="22"/>
    </row>
    <row r="6" spans="1:26" s="264" customFormat="1" ht="19.5" x14ac:dyDescent="0.3">
      <c r="A6" s="254" t="str">
        <f>'Pielikums Nr_4'!A2</f>
        <v xml:space="preserve">2. Atbalsts vakcīnu iegādes, loģistikas un ievades īstenošanai </v>
      </c>
      <c r="B6" s="278">
        <f>'Pielikums Nr_4'!M10</f>
        <v>103041.82229003999</v>
      </c>
      <c r="C6" s="344">
        <f>'Pielikums Nr_4'!N10</f>
        <v>51520.909999999996</v>
      </c>
      <c r="D6" s="344">
        <f t="shared" ref="D6:D11" si="0">B6-C6</f>
        <v>51520.912290039989</v>
      </c>
      <c r="E6" s="279" t="s">
        <v>2</v>
      </c>
      <c r="F6" s="341"/>
      <c r="G6" s="271"/>
      <c r="H6" s="271"/>
      <c r="I6" s="273"/>
      <c r="J6" s="272"/>
      <c r="K6" s="272"/>
      <c r="P6" s="266"/>
    </row>
    <row r="7" spans="1:26" s="9" customFormat="1" ht="39" x14ac:dyDescent="0.3">
      <c r="A7" s="254" t="str">
        <f>'Pielikums Nr_5'!A3</f>
        <v>3. Vakcinācijas procesa infrastruktūras un citu resursu nodrošinājums 2022.gada I.pusgads</v>
      </c>
      <c r="B7" s="278">
        <f>ROUNDUP('Pielikums Nr_5'!E11+'Pielikums Nr_5'!E20+'Pielikums Nr_5'!E30+'Pielikums Nr_5'!E36+'Pielikums Nr_5'!D41+'Pielikums Nr_5'!E50+'Pielikums Nr_5'!P60,0)</f>
        <v>3309568</v>
      </c>
      <c r="C7" s="344">
        <f>B7</f>
        <v>3309568</v>
      </c>
      <c r="D7" s="344">
        <f t="shared" si="0"/>
        <v>0</v>
      </c>
      <c r="E7" s="253" t="s">
        <v>2</v>
      </c>
      <c r="F7" s="341"/>
      <c r="P7" s="22"/>
    </row>
    <row r="8" spans="1:26" s="9" customFormat="1" ht="19.5" x14ac:dyDescent="0.3">
      <c r="A8" s="252" t="str">
        <f>'Pielikums Nr_6'!A1</f>
        <v>4. Vakcinācijas IT sistēmas tehniskais atbalsts un uzturēšana</v>
      </c>
      <c r="B8" s="276">
        <f>'Pielikums Nr_6'!D55+'Pielikums Nr_6'!D57+'Pielikums Nr_6'!D59+'Pielikums Nr_6'!P70</f>
        <v>1303051.21919592</v>
      </c>
      <c r="C8" s="344">
        <f>'Pielikums Nr_6'!E55+'Pielikums Nr_6'!E57+'Pielikums Nr_6'!E59+'Pielikums Nr_6'!Q70</f>
        <v>1103172.1200000001</v>
      </c>
      <c r="D8" s="344">
        <f t="shared" si="0"/>
        <v>199879.09919591993</v>
      </c>
      <c r="E8" s="253" t="s">
        <v>2</v>
      </c>
      <c r="F8" s="341"/>
      <c r="P8" s="22"/>
    </row>
    <row r="9" spans="1:26" s="9" customFormat="1" ht="39" x14ac:dyDescent="0.3">
      <c r="A9" s="252" t="str">
        <f>'Pielikums Nr_7'!A3</f>
        <v>5. Plānotās komunikācijas un iedzīvotāju informēšanas aktivitātes 2022.gada I.pusgads</v>
      </c>
      <c r="B9" s="276">
        <f>'Pielikums Nr_7'!E33+'Pielikums Nr_7'!P44</f>
        <v>465984.58</v>
      </c>
      <c r="C9" s="344">
        <f>'Pielikums Nr_7'!E33+'Pielikums Nr_7'!Q44</f>
        <v>411566.79000000004</v>
      </c>
      <c r="D9" s="344">
        <f t="shared" si="0"/>
        <v>54417.789999999979</v>
      </c>
      <c r="E9" s="253" t="s">
        <v>2</v>
      </c>
      <c r="F9" s="342"/>
      <c r="P9" s="22"/>
    </row>
    <row r="10" spans="1:26" s="9" customFormat="1" ht="19.5" x14ac:dyDescent="0.3">
      <c r="A10" s="252" t="str">
        <f>'Pielikums Nr_8'!A2</f>
        <v>6. Zvanu un klientu apkalpošanas centrs "8989"</v>
      </c>
      <c r="B10" s="276">
        <f>'Pielikums Nr_8'!D7+'Pielikums Nr_8'!P14</f>
        <v>1966214.74</v>
      </c>
      <c r="C10" s="344">
        <f>'Pielikums Nr_8'!E7+'Pielikums Nr_8'!Q14</f>
        <v>983108</v>
      </c>
      <c r="D10" s="344">
        <f t="shared" si="0"/>
        <v>983106.74</v>
      </c>
      <c r="E10" s="253" t="s">
        <v>2</v>
      </c>
      <c r="F10" s="341"/>
      <c r="P10" s="22"/>
    </row>
    <row r="11" spans="1:26" s="9" customFormat="1" ht="19.5" x14ac:dyDescent="0.3">
      <c r="A11" s="254" t="str">
        <f>'Pielikums Nr_9'!A2</f>
        <v xml:space="preserve">7. Digitālais sertifikāts </v>
      </c>
      <c r="B11" s="276">
        <f>'Pielikums Nr_9'!D9+'Pielikums Nr_9'!P19</f>
        <v>612468.02961955999</v>
      </c>
      <c r="C11" s="344">
        <f>'Pielikums Nr_9'!Q19+'Pielikums Nr_9'!E9</f>
        <v>378834.00999999995</v>
      </c>
      <c r="D11" s="344">
        <f t="shared" si="0"/>
        <v>233634.01961956004</v>
      </c>
      <c r="E11" s="253" t="s">
        <v>2</v>
      </c>
      <c r="F11" s="341"/>
      <c r="P11" s="22"/>
    </row>
    <row r="12" spans="1:26" s="9" customFormat="1" ht="20.25" thickBot="1" x14ac:dyDescent="0.35">
      <c r="A12" s="255" t="s">
        <v>3</v>
      </c>
      <c r="B12" s="256">
        <f>ROUNDUP(SUM(B6:B11),0)</f>
        <v>7760329</v>
      </c>
      <c r="C12" s="345">
        <f>ROUNDUP(SUM(C6:C11),0)</f>
        <v>6237770</v>
      </c>
      <c r="D12" s="345">
        <f>SUM(D6:D11)</f>
        <v>1522558.56110552</v>
      </c>
      <c r="E12" s="257"/>
      <c r="P12" s="22"/>
    </row>
    <row r="13" spans="1:26" s="1" customFormat="1" ht="18.75" x14ac:dyDescent="0.3">
      <c r="B13" s="24"/>
      <c r="C13" s="24"/>
      <c r="D13" s="24"/>
      <c r="E13" s="21"/>
      <c r="P13" s="10"/>
    </row>
    <row r="14" spans="1:26" s="1" customFormat="1" ht="18.75" x14ac:dyDescent="0.3">
      <c r="A14" s="20"/>
      <c r="D14" s="339"/>
      <c r="P14" s="10"/>
    </row>
    <row r="15" spans="1:26" s="1" customFormat="1" ht="18.75" x14ac:dyDescent="0.3">
      <c r="A15" s="23"/>
      <c r="B15" s="24"/>
      <c r="C15" s="24"/>
      <c r="D15" s="24"/>
      <c r="P15" s="10"/>
    </row>
    <row r="16" spans="1:26" s="1" customFormat="1" ht="18.75" x14ac:dyDescent="0.3">
      <c r="A16" s="20"/>
      <c r="P16" s="10"/>
    </row>
  </sheetData>
  <mergeCells count="1">
    <mergeCell ref="A2:E2"/>
  </mergeCells>
  <pageMargins left="0.11811023622047245" right="0.31496062992125984" top="0.15748031496062992" bottom="0.15748031496062992" header="0.31496062992125984" footer="0.31496062992125984"/>
  <pageSetup paperSize="8"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7A85C-2E77-4A29-A1DA-BC0FB51E56B5}">
  <dimension ref="A1:O27"/>
  <sheetViews>
    <sheetView zoomScale="90" zoomScaleNormal="90" zoomScaleSheetLayoutView="100" workbookViewId="0">
      <selection activeCell="N7" sqref="N7:N10"/>
    </sheetView>
  </sheetViews>
  <sheetFormatPr defaultColWidth="9.140625" defaultRowHeight="15" x14ac:dyDescent="0.25"/>
  <cols>
    <col min="1" max="1" width="21.42578125" style="2" customWidth="1"/>
    <col min="2" max="3" width="12.28515625" style="2" bestFit="1" customWidth="1"/>
    <col min="4" max="4" width="7.85546875" style="2" bestFit="1" customWidth="1"/>
    <col min="5" max="5" width="10.28515625" style="2" bestFit="1" customWidth="1"/>
    <col min="6" max="6" width="11.85546875" style="2" customWidth="1"/>
    <col min="7" max="7" width="11.42578125" style="2" bestFit="1" customWidth="1"/>
    <col min="8" max="8" width="13.140625" style="2" bestFit="1" customWidth="1"/>
    <col min="9" max="9" width="12.42578125" style="2" customWidth="1"/>
    <col min="10" max="10" width="13.7109375" style="2" customWidth="1"/>
    <col min="11" max="11" width="18.42578125" style="2" customWidth="1"/>
    <col min="12" max="12" width="11.28515625" style="2" customWidth="1"/>
    <col min="13" max="13" width="15.85546875" style="2" customWidth="1"/>
    <col min="14" max="14" width="13.85546875" style="2" customWidth="1"/>
    <col min="15" max="16384" width="9.140625" style="2"/>
  </cols>
  <sheetData>
    <row r="1" spans="1:15" ht="61.5" customHeight="1" x14ac:dyDescent="0.25">
      <c r="I1" s="382" t="s">
        <v>204</v>
      </c>
      <c r="J1" s="382"/>
      <c r="K1" s="382"/>
      <c r="L1" s="382"/>
      <c r="M1" s="382"/>
    </row>
    <row r="2" spans="1:15" s="140" customFormat="1" ht="18.75" x14ac:dyDescent="0.3">
      <c r="A2" s="149" t="s">
        <v>184</v>
      </c>
      <c r="B2" s="139"/>
      <c r="D2" s="139"/>
      <c r="E2" s="139"/>
      <c r="F2" s="139"/>
      <c r="G2" s="139"/>
      <c r="H2" s="139"/>
      <c r="I2" s="141"/>
    </row>
    <row r="3" spans="1:15" s="116" customFormat="1" ht="15.75" x14ac:dyDescent="0.25">
      <c r="A3" s="25"/>
      <c r="B3" s="25"/>
      <c r="D3" s="25"/>
      <c r="E3" s="25"/>
      <c r="F3" s="25"/>
      <c r="G3" s="25"/>
      <c r="H3" s="25"/>
      <c r="I3" s="117"/>
    </row>
    <row r="4" spans="1:15" s="102" customFormat="1" ht="63" x14ac:dyDescent="0.25">
      <c r="A4" s="263" t="s">
        <v>5</v>
      </c>
      <c r="B4" s="263" t="s">
        <v>6</v>
      </c>
      <c r="C4" s="263" t="s">
        <v>7</v>
      </c>
      <c r="D4" s="263" t="s">
        <v>8</v>
      </c>
      <c r="E4" s="263" t="s">
        <v>9</v>
      </c>
      <c r="F4" s="263" t="s">
        <v>10</v>
      </c>
      <c r="G4" s="263" t="s">
        <v>11</v>
      </c>
      <c r="H4" s="263" t="s">
        <v>12</v>
      </c>
      <c r="I4" s="263" t="s">
        <v>13</v>
      </c>
      <c r="J4" s="263" t="s">
        <v>14</v>
      </c>
      <c r="K4" s="263" t="s">
        <v>15</v>
      </c>
      <c r="L4" s="263" t="s">
        <v>16</v>
      </c>
      <c r="M4" s="263" t="s">
        <v>17</v>
      </c>
      <c r="N4" s="346" t="s">
        <v>217</v>
      </c>
    </row>
    <row r="5" spans="1:15" s="104" customFormat="1" ht="15.75" hidden="1" x14ac:dyDescent="0.25">
      <c r="A5" s="269"/>
      <c r="B5" s="267"/>
      <c r="C5" s="267"/>
      <c r="D5" s="267"/>
      <c r="E5" s="267"/>
      <c r="F5" s="267"/>
      <c r="G5" s="267">
        <v>0.1</v>
      </c>
      <c r="H5" s="267">
        <v>0.1</v>
      </c>
      <c r="I5" s="267">
        <v>0.05</v>
      </c>
      <c r="J5" s="267">
        <v>8.3299999999999999E-2</v>
      </c>
      <c r="K5" s="267"/>
      <c r="L5" s="267"/>
      <c r="M5" s="267">
        <v>12</v>
      </c>
      <c r="N5" s="347"/>
    </row>
    <row r="6" spans="1:15" s="109" customFormat="1" ht="25.5" x14ac:dyDescent="0.25">
      <c r="A6" s="265">
        <v>1</v>
      </c>
      <c r="B6" s="265">
        <v>2</v>
      </c>
      <c r="C6" s="265">
        <v>3</v>
      </c>
      <c r="D6" s="265">
        <v>4</v>
      </c>
      <c r="E6" s="265">
        <v>5</v>
      </c>
      <c r="F6" s="265">
        <v>6</v>
      </c>
      <c r="G6" s="265" t="s">
        <v>21</v>
      </c>
      <c r="H6" s="265" t="s">
        <v>22</v>
      </c>
      <c r="I6" s="265" t="s">
        <v>23</v>
      </c>
      <c r="J6" s="265" t="s">
        <v>24</v>
      </c>
      <c r="K6" s="265" t="s">
        <v>25</v>
      </c>
      <c r="L6" s="265" t="s">
        <v>26</v>
      </c>
      <c r="M6" s="265" t="s">
        <v>27</v>
      </c>
      <c r="N6" s="348"/>
    </row>
    <row r="7" spans="1:15" s="104" customFormat="1" ht="15.75" x14ac:dyDescent="0.25">
      <c r="A7" s="268" t="s">
        <v>31</v>
      </c>
      <c r="B7" s="267">
        <v>1</v>
      </c>
      <c r="C7" s="267">
        <v>32</v>
      </c>
      <c r="D7" s="267" t="s">
        <v>32</v>
      </c>
      <c r="E7" s="267">
        <v>13</v>
      </c>
      <c r="F7" s="270">
        <v>1917</v>
      </c>
      <c r="G7" s="270">
        <f>F7*0.1</f>
        <v>191.70000000000002</v>
      </c>
      <c r="H7" s="270">
        <f>F7*0.1</f>
        <v>191.70000000000002</v>
      </c>
      <c r="I7" s="270">
        <f>F7*0.05</f>
        <v>95.850000000000009</v>
      </c>
      <c r="J7" s="270">
        <f>F7*0.0833</f>
        <v>159.68610000000001</v>
      </c>
      <c r="K7" s="270">
        <f>(F7+G7+H7+I7+J7)*0.2359</f>
        <v>602.9453259899999</v>
      </c>
      <c r="L7" s="270">
        <f>F7+G7+H7+I7+J7+K7</f>
        <v>3158.8814259899991</v>
      </c>
      <c r="M7" s="270">
        <f>L7*12</f>
        <v>37906.577111879989</v>
      </c>
      <c r="N7" s="413">
        <f>ROUND(M7/2,2)</f>
        <v>18953.29</v>
      </c>
    </row>
    <row r="8" spans="1:15" s="104" customFormat="1" ht="15.75" x14ac:dyDescent="0.25">
      <c r="A8" s="274" t="s">
        <v>33</v>
      </c>
      <c r="B8" s="267">
        <v>1</v>
      </c>
      <c r="C8" s="267">
        <v>32</v>
      </c>
      <c r="D8" s="267" t="s">
        <v>34</v>
      </c>
      <c r="E8" s="267">
        <v>12</v>
      </c>
      <c r="F8" s="270">
        <v>1647</v>
      </c>
      <c r="G8" s="270">
        <f t="shared" ref="G8:G9" si="0">F8*0.1</f>
        <v>164.70000000000002</v>
      </c>
      <c r="H8" s="270">
        <f t="shared" ref="H8:H9" si="1">F8*0.1</f>
        <v>164.70000000000002</v>
      </c>
      <c r="I8" s="270">
        <f t="shared" ref="I8:I9" si="2">F8*0.05</f>
        <v>82.350000000000009</v>
      </c>
      <c r="J8" s="270">
        <f t="shared" ref="J8:J9" si="3">F8*0.0833</f>
        <v>137.1951</v>
      </c>
      <c r="K8" s="270">
        <f t="shared" ref="K8:K9" si="4">(F8+G8+H8+I8+J8)*0.2359</f>
        <v>518.02344908999999</v>
      </c>
      <c r="L8" s="270">
        <f t="shared" ref="L8:L9" si="5">F8+G8+H8+I8+J8+K8</f>
        <v>2713.9685490900001</v>
      </c>
      <c r="M8" s="270">
        <f t="shared" ref="M8:M9" si="6">L8*12</f>
        <v>32567.622589080001</v>
      </c>
      <c r="N8" s="413">
        <f t="shared" ref="N8:N9" si="7">ROUND(M8/2,2)</f>
        <v>16283.81</v>
      </c>
    </row>
    <row r="9" spans="1:15" s="104" customFormat="1" ht="31.5" x14ac:dyDescent="0.25">
      <c r="A9" s="268" t="s">
        <v>35</v>
      </c>
      <c r="B9" s="267">
        <v>1</v>
      </c>
      <c r="C9" s="267">
        <v>32</v>
      </c>
      <c r="D9" s="267" t="s">
        <v>34</v>
      </c>
      <c r="E9" s="267">
        <v>12</v>
      </c>
      <c r="F9" s="270">
        <v>1647</v>
      </c>
      <c r="G9" s="270">
        <f t="shared" si="0"/>
        <v>164.70000000000002</v>
      </c>
      <c r="H9" s="270">
        <f t="shared" si="1"/>
        <v>164.70000000000002</v>
      </c>
      <c r="I9" s="270">
        <f t="shared" si="2"/>
        <v>82.350000000000009</v>
      </c>
      <c r="J9" s="270">
        <f t="shared" si="3"/>
        <v>137.1951</v>
      </c>
      <c r="K9" s="270">
        <f t="shared" si="4"/>
        <v>518.02344908999999</v>
      </c>
      <c r="L9" s="270">
        <f t="shared" si="5"/>
        <v>2713.9685490900001</v>
      </c>
      <c r="M9" s="270">
        <f t="shared" si="6"/>
        <v>32567.622589080001</v>
      </c>
      <c r="N9" s="413">
        <f t="shared" si="7"/>
        <v>16283.81</v>
      </c>
    </row>
    <row r="10" spans="1:15" s="76" customFormat="1" ht="15.75" x14ac:dyDescent="0.25">
      <c r="M10" s="320">
        <f>M7+M8+M9</f>
        <v>103041.82229003999</v>
      </c>
      <c r="N10" s="414">
        <f>SUM(N7:N9)</f>
        <v>51520.909999999996</v>
      </c>
      <c r="O10" s="321"/>
    </row>
    <row r="11" spans="1:15" s="76" customFormat="1" ht="15.75" x14ac:dyDescent="0.25">
      <c r="M11" s="321"/>
      <c r="N11" s="321"/>
      <c r="O11" s="321"/>
    </row>
    <row r="12" spans="1:15" s="76" customFormat="1" ht="15.75" x14ac:dyDescent="0.25">
      <c r="M12" s="321"/>
      <c r="N12" s="321"/>
      <c r="O12" s="321"/>
    </row>
    <row r="13" spans="1:15" s="76" customFormat="1" ht="15.75" x14ac:dyDescent="0.25">
      <c r="A13" s="94"/>
    </row>
    <row r="14" spans="1:15" s="76" customFormat="1" ht="15.75" x14ac:dyDescent="0.25"/>
    <row r="15" spans="1:15" s="76" customFormat="1" ht="15.75" x14ac:dyDescent="0.25"/>
    <row r="16" spans="1:15" s="76" customFormat="1" ht="15.75" x14ac:dyDescent="0.25"/>
    <row r="17" spans="10:10" s="76" customFormat="1" ht="15.75" x14ac:dyDescent="0.25"/>
    <row r="27" spans="10:10" x14ac:dyDescent="0.25">
      <c r="J27" s="31"/>
    </row>
  </sheetData>
  <mergeCells count="1">
    <mergeCell ref="I1:M1"/>
  </mergeCells>
  <phoneticPr fontId="59"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C5DCB-64B0-45CD-AF90-506BFD4A68E3}">
  <dimension ref="A1:P65"/>
  <sheetViews>
    <sheetView topLeftCell="A4" zoomScale="80" zoomScaleNormal="80" zoomScaleSheetLayoutView="100" workbookViewId="0">
      <selection activeCell="A3" sqref="A3"/>
    </sheetView>
  </sheetViews>
  <sheetFormatPr defaultColWidth="9.140625" defaultRowHeight="15.75" x14ac:dyDescent="0.25"/>
  <cols>
    <col min="1" max="1" width="48.85546875" style="76" customWidth="1"/>
    <col min="2" max="2" width="21.140625" style="76" customWidth="1"/>
    <col min="3" max="3" width="17.28515625" style="76" customWidth="1"/>
    <col min="4" max="4" width="19.140625" style="76" customWidth="1"/>
    <col min="5" max="5" width="26.140625" style="76" customWidth="1"/>
    <col min="6" max="6" width="10.28515625" style="76" customWidth="1"/>
    <col min="7" max="7" width="16.28515625" style="76" customWidth="1"/>
    <col min="8" max="10" width="11.140625" style="76" customWidth="1"/>
    <col min="11" max="11" width="15" style="76" customWidth="1"/>
    <col min="12" max="16" width="11.140625" style="76" customWidth="1"/>
    <col min="17" max="16384" width="9.140625" style="76"/>
  </cols>
  <sheetData>
    <row r="1" spans="1:7" ht="80.25" customHeight="1" x14ac:dyDescent="0.25">
      <c r="D1" s="386" t="s">
        <v>205</v>
      </c>
      <c r="E1" s="386"/>
    </row>
    <row r="2" spans="1:7" ht="8.25" customHeight="1" x14ac:dyDescent="0.25">
      <c r="D2" s="386"/>
      <c r="E2" s="386"/>
    </row>
    <row r="3" spans="1:7" ht="18.75" x14ac:dyDescent="0.25">
      <c r="A3" s="142" t="s">
        <v>222</v>
      </c>
    </row>
    <row r="4" spans="1:7" x14ac:dyDescent="0.25">
      <c r="A4" s="85"/>
    </row>
    <row r="5" spans="1:7" x14ac:dyDescent="0.25">
      <c r="A5" s="86" t="s">
        <v>188</v>
      </c>
    </row>
    <row r="6" spans="1:7" x14ac:dyDescent="0.25">
      <c r="A6" s="85"/>
    </row>
    <row r="7" spans="1:7" ht="47.25" x14ac:dyDescent="0.25">
      <c r="A7" s="75" t="s">
        <v>36</v>
      </c>
      <c r="B7" s="75" t="s">
        <v>37</v>
      </c>
      <c r="C7" s="75" t="s">
        <v>38</v>
      </c>
      <c r="D7" s="75" t="s">
        <v>39</v>
      </c>
      <c r="E7" s="75" t="s">
        <v>40</v>
      </c>
      <c r="G7" s="262"/>
    </row>
    <row r="8" spans="1:7" ht="47.25" x14ac:dyDescent="0.25">
      <c r="A8" s="78" t="s">
        <v>41</v>
      </c>
      <c r="B8" s="183">
        <v>25</v>
      </c>
      <c r="C8" s="79">
        <v>1000</v>
      </c>
      <c r="D8" s="183">
        <v>6</v>
      </c>
      <c r="E8" s="183">
        <f>(B8*C8)*D8</f>
        <v>150000</v>
      </c>
      <c r="F8" s="87"/>
    </row>
    <row r="9" spans="1:7" ht="47.25" x14ac:dyDescent="0.25">
      <c r="A9" s="81" t="s">
        <v>42</v>
      </c>
      <c r="B9" s="209">
        <v>25</v>
      </c>
      <c r="C9" s="88">
        <v>7000</v>
      </c>
      <c r="D9" s="183">
        <v>6</v>
      </c>
      <c r="E9" s="183">
        <f>(B9*C9)*D9</f>
        <v>1050000</v>
      </c>
    </row>
    <row r="10" spans="1:7" ht="47.25" x14ac:dyDescent="0.25">
      <c r="A10" s="83" t="s">
        <v>43</v>
      </c>
      <c r="B10" s="93">
        <v>25</v>
      </c>
      <c r="C10" s="89">
        <v>229.6</v>
      </c>
      <c r="D10" s="211">
        <v>6</v>
      </c>
      <c r="E10" s="183">
        <f>(B10*C10)*D10</f>
        <v>34440</v>
      </c>
    </row>
    <row r="11" spans="1:7" x14ac:dyDescent="0.25">
      <c r="A11" s="107"/>
      <c r="B11" s="90"/>
      <c r="C11" s="90"/>
      <c r="D11" s="280" t="s">
        <v>44</v>
      </c>
      <c r="E11" s="282">
        <f>SUM(E8:E10)</f>
        <v>1234440</v>
      </c>
    </row>
    <row r="12" spans="1:7" x14ac:dyDescent="0.25">
      <c r="A12" s="104"/>
      <c r="B12" s="104"/>
      <c r="C12" s="104"/>
      <c r="D12" s="104"/>
      <c r="E12" s="104"/>
    </row>
    <row r="13" spans="1:7" x14ac:dyDescent="0.25">
      <c r="A13" s="91" t="s">
        <v>189</v>
      </c>
    </row>
    <row r="14" spans="1:7" x14ac:dyDescent="0.25">
      <c r="A14" s="92"/>
    </row>
    <row r="15" spans="1:7" x14ac:dyDescent="0.25">
      <c r="A15" s="387" t="s">
        <v>45</v>
      </c>
      <c r="B15" s="387" t="s">
        <v>46</v>
      </c>
      <c r="C15" s="387" t="s">
        <v>47</v>
      </c>
      <c r="D15" s="387" t="s">
        <v>48</v>
      </c>
      <c r="E15" s="387" t="s">
        <v>49</v>
      </c>
    </row>
    <row r="16" spans="1:7" ht="28.5" customHeight="1" x14ac:dyDescent="0.25">
      <c r="A16" s="387"/>
      <c r="B16" s="387"/>
      <c r="C16" s="387"/>
      <c r="D16" s="387"/>
      <c r="E16" s="387"/>
    </row>
    <row r="17" spans="1:5" ht="63" x14ac:dyDescent="0.25">
      <c r="A17" s="83" t="s">
        <v>50</v>
      </c>
      <c r="B17" s="93">
        <v>2000</v>
      </c>
      <c r="C17" s="6">
        <v>25</v>
      </c>
      <c r="D17" s="93">
        <v>50000</v>
      </c>
      <c r="E17" s="93">
        <v>300000</v>
      </c>
    </row>
    <row r="18" spans="1:5" ht="47.25" customHeight="1" x14ac:dyDescent="0.25">
      <c r="A18" s="83" t="s">
        <v>41</v>
      </c>
      <c r="B18" s="93">
        <v>1500</v>
      </c>
      <c r="C18" s="6">
        <v>10</v>
      </c>
      <c r="D18" s="93">
        <v>15000</v>
      </c>
      <c r="E18" s="93">
        <v>90000</v>
      </c>
    </row>
    <row r="19" spans="1:5" ht="45.75" customHeight="1" x14ac:dyDescent="0.25">
      <c r="A19" s="83" t="s">
        <v>51</v>
      </c>
      <c r="B19" s="83">
        <v>105</v>
      </c>
      <c r="C19" s="6">
        <v>25</v>
      </c>
      <c r="D19" s="93">
        <v>2625</v>
      </c>
      <c r="E19" s="93">
        <v>15750</v>
      </c>
    </row>
    <row r="20" spans="1:5" x14ac:dyDescent="0.25">
      <c r="A20" s="104"/>
      <c r="B20" s="97"/>
      <c r="C20" s="97"/>
      <c r="D20" s="280" t="s">
        <v>44</v>
      </c>
      <c r="E20" s="16">
        <v>405750</v>
      </c>
    </row>
    <row r="21" spans="1:5" x14ac:dyDescent="0.25">
      <c r="A21" s="104"/>
      <c r="B21" s="97"/>
      <c r="C21" s="97"/>
      <c r="D21" s="107"/>
      <c r="E21" s="249"/>
    </row>
    <row r="22" spans="1:5" ht="16.5" x14ac:dyDescent="0.25">
      <c r="A22" s="106" t="s">
        <v>190</v>
      </c>
    </row>
    <row r="24" spans="1:5" ht="63" x14ac:dyDescent="0.25">
      <c r="A24" s="172" t="s">
        <v>36</v>
      </c>
      <c r="B24" s="172" t="s">
        <v>52</v>
      </c>
      <c r="C24" s="172" t="s">
        <v>53</v>
      </c>
      <c r="D24" s="172" t="s">
        <v>39</v>
      </c>
      <c r="E24" s="172" t="s">
        <v>40</v>
      </c>
    </row>
    <row r="25" spans="1:5" x14ac:dyDescent="0.25">
      <c r="A25" s="178" t="s">
        <v>54</v>
      </c>
      <c r="B25" s="179">
        <v>10</v>
      </c>
      <c r="C25" s="210">
        <v>4500</v>
      </c>
      <c r="D25" s="180">
        <v>6</v>
      </c>
      <c r="E25" s="210">
        <f>(B25*C25)*D25</f>
        <v>270000</v>
      </c>
    </row>
    <row r="26" spans="1:5" ht="47.25" x14ac:dyDescent="0.25">
      <c r="A26" s="77" t="s">
        <v>41</v>
      </c>
      <c r="B26" s="122">
        <v>10</v>
      </c>
      <c r="C26" s="183">
        <v>1500</v>
      </c>
      <c r="D26" s="78">
        <v>6</v>
      </c>
      <c r="E26" s="183">
        <f>(B26*C26)*D26</f>
        <v>90000</v>
      </c>
    </row>
    <row r="27" spans="1:5" x14ac:dyDescent="0.25">
      <c r="A27" s="77" t="s">
        <v>55</v>
      </c>
      <c r="B27" s="122">
        <v>10</v>
      </c>
      <c r="C27" s="183">
        <v>4000</v>
      </c>
      <c r="D27" s="78">
        <v>6</v>
      </c>
      <c r="E27" s="183">
        <f>(B27*C27)*D27</f>
        <v>240000</v>
      </c>
    </row>
    <row r="28" spans="1:5" x14ac:dyDescent="0.25">
      <c r="A28" s="80" t="s">
        <v>56</v>
      </c>
      <c r="B28" s="123">
        <v>10</v>
      </c>
      <c r="C28" s="209">
        <v>2000</v>
      </c>
      <c r="D28" s="81">
        <v>6</v>
      </c>
      <c r="E28" s="183">
        <f>(B28*C28)*D28</f>
        <v>120000</v>
      </c>
    </row>
    <row r="29" spans="1:5" ht="47.25" x14ac:dyDescent="0.25">
      <c r="A29" s="82" t="s">
        <v>57</v>
      </c>
      <c r="B29" s="6">
        <v>10</v>
      </c>
      <c r="C29" s="93">
        <v>337.5</v>
      </c>
      <c r="D29" s="83">
        <v>6</v>
      </c>
      <c r="E29" s="211">
        <f>(B29*C29)*D29</f>
        <v>20250</v>
      </c>
    </row>
    <row r="30" spans="1:5" x14ac:dyDescent="0.25">
      <c r="A30" s="84"/>
      <c r="B30" s="84"/>
      <c r="C30" s="84"/>
      <c r="D30" s="281" t="s">
        <v>44</v>
      </c>
      <c r="E30" s="16">
        <f>SUM(E25:E29)</f>
        <v>740250</v>
      </c>
    </row>
    <row r="31" spans="1:5" x14ac:dyDescent="0.25">
      <c r="E31" s="94"/>
    </row>
    <row r="32" spans="1:5" ht="16.5" x14ac:dyDescent="0.25">
      <c r="A32" s="106" t="s">
        <v>191</v>
      </c>
      <c r="B32" s="91"/>
      <c r="C32" s="91"/>
      <c r="D32" s="91"/>
    </row>
    <row r="34" spans="1:5" ht="63" x14ac:dyDescent="0.25">
      <c r="A34" s="95" t="s">
        <v>58</v>
      </c>
      <c r="B34" s="95" t="s">
        <v>59</v>
      </c>
      <c r="C34" s="95" t="s">
        <v>60</v>
      </c>
      <c r="D34" s="95" t="s">
        <v>61</v>
      </c>
      <c r="E34" s="95" t="s">
        <v>62</v>
      </c>
    </row>
    <row r="35" spans="1:5" x14ac:dyDescent="0.25">
      <c r="A35" s="82" t="s">
        <v>63</v>
      </c>
      <c r="B35" s="83">
        <v>11760</v>
      </c>
      <c r="C35" s="83">
        <v>16</v>
      </c>
      <c r="D35" s="83">
        <v>3</v>
      </c>
      <c r="E35" s="212">
        <f>11760*16*3</f>
        <v>564480</v>
      </c>
    </row>
    <row r="36" spans="1:5" x14ac:dyDescent="0.25">
      <c r="A36" s="96"/>
      <c r="B36" s="97"/>
      <c r="C36" s="97"/>
      <c r="D36" s="281" t="s">
        <v>44</v>
      </c>
      <c r="E36" s="212">
        <f>SUM(E35)</f>
        <v>564480</v>
      </c>
    </row>
    <row r="37" spans="1:5" x14ac:dyDescent="0.25">
      <c r="A37" s="96"/>
      <c r="B37" s="97"/>
      <c r="C37" s="97"/>
      <c r="D37" s="97"/>
      <c r="E37" s="98"/>
    </row>
    <row r="38" spans="1:5" s="100" customFormat="1" ht="47.25" x14ac:dyDescent="0.25">
      <c r="A38" s="99" t="s">
        <v>58</v>
      </c>
      <c r="B38" s="95" t="s">
        <v>166</v>
      </c>
      <c r="C38" s="172" t="s">
        <v>61</v>
      </c>
      <c r="D38" s="95" t="s">
        <v>62</v>
      </c>
    </row>
    <row r="39" spans="1:5" ht="63" x14ac:dyDescent="0.25">
      <c r="A39" s="82" t="s">
        <v>64</v>
      </c>
      <c r="B39" s="93">
        <v>4000</v>
      </c>
      <c r="C39" s="83">
        <v>3</v>
      </c>
      <c r="D39" s="16">
        <f>B39*C39</f>
        <v>12000</v>
      </c>
    </row>
    <row r="40" spans="1:5" x14ac:dyDescent="0.25">
      <c r="A40" s="82" t="s">
        <v>65</v>
      </c>
      <c r="B40" s="213">
        <v>4000</v>
      </c>
      <c r="C40" s="6">
        <v>3</v>
      </c>
      <c r="D40" s="16">
        <f>B40*C40</f>
        <v>12000</v>
      </c>
    </row>
    <row r="41" spans="1:5" x14ac:dyDescent="0.25">
      <c r="A41" s="96"/>
      <c r="B41" s="101"/>
      <c r="C41" s="281" t="s">
        <v>44</v>
      </c>
      <c r="D41" s="16">
        <f>SUM(D39:D40)</f>
        <v>24000</v>
      </c>
    </row>
    <row r="42" spans="1:5" x14ac:dyDescent="0.25">
      <c r="A42" s="96"/>
      <c r="B42" s="101"/>
      <c r="C42" s="283"/>
      <c r="D42" s="249"/>
    </row>
    <row r="43" spans="1:5" ht="18.75" x14ac:dyDescent="0.25">
      <c r="A43" s="290" t="s">
        <v>202</v>
      </c>
      <c r="B43" s="101"/>
      <c r="C43" s="283"/>
      <c r="D43" s="249"/>
    </row>
    <row r="44" spans="1:5" ht="16.5" thickBot="1" x14ac:dyDescent="0.3">
      <c r="A44" s="290"/>
      <c r="B44" s="101"/>
      <c r="C44" s="283"/>
      <c r="D44" s="249"/>
    </row>
    <row r="45" spans="1:5" ht="47.25" x14ac:dyDescent="0.25">
      <c r="A45" s="284" t="s">
        <v>36</v>
      </c>
      <c r="B45" s="285" t="s">
        <v>37</v>
      </c>
      <c r="C45" s="285" t="s">
        <v>38</v>
      </c>
      <c r="D45" s="285" t="s">
        <v>39</v>
      </c>
      <c r="E45" s="286" t="s">
        <v>40</v>
      </c>
    </row>
    <row r="46" spans="1:5" ht="47.25" x14ac:dyDescent="0.25">
      <c r="A46" s="287" t="s">
        <v>41</v>
      </c>
      <c r="B46" s="79">
        <v>2</v>
      </c>
      <c r="C46" s="79">
        <v>12000</v>
      </c>
      <c r="D46" s="79">
        <v>3</v>
      </c>
      <c r="E46" s="288">
        <f>(B46*C46)*D46</f>
        <v>72000</v>
      </c>
    </row>
    <row r="47" spans="1:5" x14ac:dyDescent="0.25">
      <c r="A47" s="287" t="s">
        <v>198</v>
      </c>
      <c r="B47" s="79">
        <v>2</v>
      </c>
      <c r="C47" s="79">
        <v>28000</v>
      </c>
      <c r="D47" s="79">
        <v>3</v>
      </c>
      <c r="E47" s="288">
        <f>(B47*C47)*D47</f>
        <v>168000</v>
      </c>
    </row>
    <row r="48" spans="1:5" ht="47.25" x14ac:dyDescent="0.25">
      <c r="A48" s="287" t="s">
        <v>199</v>
      </c>
      <c r="B48" s="79">
        <v>2</v>
      </c>
      <c r="C48" s="79">
        <v>10000</v>
      </c>
      <c r="D48" s="79">
        <v>3</v>
      </c>
      <c r="E48" s="288">
        <f>(B48*C48)*D48</f>
        <v>60000</v>
      </c>
    </row>
    <row r="49" spans="1:16" ht="47.25" x14ac:dyDescent="0.25">
      <c r="A49" s="287" t="s">
        <v>43</v>
      </c>
      <c r="B49" s="79">
        <v>2</v>
      </c>
      <c r="C49" s="79">
        <v>2220</v>
      </c>
      <c r="D49" s="79">
        <v>3</v>
      </c>
      <c r="E49" s="288">
        <f>(B49*C49)*D49</f>
        <v>13320</v>
      </c>
    </row>
    <row r="50" spans="1:16" ht="16.5" thickBot="1" x14ac:dyDescent="0.3">
      <c r="A50" s="383" t="s">
        <v>197</v>
      </c>
      <c r="B50" s="384"/>
      <c r="C50" s="384"/>
      <c r="D50" s="385"/>
      <c r="E50" s="289">
        <f>SUM(E46:E49)</f>
        <v>313320</v>
      </c>
    </row>
    <row r="51" spans="1:16" ht="16.5" x14ac:dyDescent="0.25">
      <c r="A51" s="295" t="s">
        <v>203</v>
      </c>
    </row>
    <row r="53" spans="1:16" ht="16.5" x14ac:dyDescent="0.25">
      <c r="A53" s="108" t="s">
        <v>200</v>
      </c>
    </row>
    <row r="55" spans="1:16" s="100" customFormat="1" ht="78.75" x14ac:dyDescent="0.25">
      <c r="A55" s="6" t="s">
        <v>5</v>
      </c>
      <c r="B55" s="6" t="s">
        <v>6</v>
      </c>
      <c r="C55" s="6" t="s">
        <v>7</v>
      </c>
      <c r="D55" s="6" t="s">
        <v>8</v>
      </c>
      <c r="E55" s="6" t="s">
        <v>9</v>
      </c>
      <c r="F55" s="6" t="s">
        <v>10</v>
      </c>
      <c r="G55" s="6" t="s">
        <v>11</v>
      </c>
      <c r="H55" s="6" t="s">
        <v>12</v>
      </c>
      <c r="I55" s="6" t="s">
        <v>13</v>
      </c>
      <c r="J55" s="6" t="s">
        <v>14</v>
      </c>
      <c r="K55" s="6" t="s">
        <v>15</v>
      </c>
      <c r="L55" s="6" t="s">
        <v>16</v>
      </c>
      <c r="M55" s="6" t="s">
        <v>194</v>
      </c>
      <c r="N55" s="6" t="s">
        <v>193</v>
      </c>
      <c r="O55" s="6" t="s">
        <v>192</v>
      </c>
      <c r="P55" s="6" t="s">
        <v>20</v>
      </c>
    </row>
    <row r="56" spans="1:16" hidden="1" x14ac:dyDescent="0.25">
      <c r="A56" s="103"/>
      <c r="B56" s="103"/>
      <c r="C56" s="103"/>
      <c r="D56" s="103"/>
      <c r="E56" s="103"/>
      <c r="F56" s="103"/>
      <c r="G56" s="103">
        <v>0.1</v>
      </c>
      <c r="H56" s="103">
        <v>0.1</v>
      </c>
      <c r="I56" s="103">
        <v>0.05</v>
      </c>
      <c r="J56" s="103">
        <v>8.3299999999999999E-2</v>
      </c>
      <c r="K56" s="103"/>
      <c r="L56" s="103"/>
      <c r="M56" s="103">
        <v>6</v>
      </c>
      <c r="N56" s="103">
        <v>6</v>
      </c>
      <c r="O56" s="103">
        <v>6</v>
      </c>
      <c r="P56" s="103"/>
    </row>
    <row r="57" spans="1:16" s="110" customFormat="1" ht="25.5" x14ac:dyDescent="0.2">
      <c r="A57" s="19">
        <v>1</v>
      </c>
      <c r="B57" s="19">
        <v>2</v>
      </c>
      <c r="C57" s="19">
        <v>3</v>
      </c>
      <c r="D57" s="19">
        <v>4</v>
      </c>
      <c r="E57" s="19">
        <v>5</v>
      </c>
      <c r="F57" s="19">
        <v>6</v>
      </c>
      <c r="G57" s="19" t="s">
        <v>21</v>
      </c>
      <c r="H57" s="19" t="s">
        <v>22</v>
      </c>
      <c r="I57" s="19" t="s">
        <v>23</v>
      </c>
      <c r="J57" s="19" t="s">
        <v>24</v>
      </c>
      <c r="K57" s="19" t="s">
        <v>25</v>
      </c>
      <c r="L57" s="19" t="s">
        <v>26</v>
      </c>
      <c r="M57" s="19" t="s">
        <v>66</v>
      </c>
      <c r="N57" s="19" t="s">
        <v>67</v>
      </c>
      <c r="O57" s="19" t="s">
        <v>68</v>
      </c>
      <c r="P57" s="19" t="s">
        <v>30</v>
      </c>
    </row>
    <row r="58" spans="1:16" x14ac:dyDescent="0.25">
      <c r="A58" s="6" t="s">
        <v>69</v>
      </c>
      <c r="B58" s="103">
        <v>1</v>
      </c>
      <c r="C58" s="103">
        <v>32</v>
      </c>
      <c r="D58" s="103" t="s">
        <v>70</v>
      </c>
      <c r="E58" s="103">
        <v>11</v>
      </c>
      <c r="F58" s="103">
        <v>1382</v>
      </c>
      <c r="G58" s="270">
        <f>F58*0.1</f>
        <v>138.20000000000002</v>
      </c>
      <c r="H58" s="270">
        <f>F58*0.1</f>
        <v>138.20000000000002</v>
      </c>
      <c r="I58" s="270">
        <f>F58*0.05</f>
        <v>69.100000000000009</v>
      </c>
      <c r="J58" s="270">
        <f>F58*0.0833</f>
        <v>115.1206</v>
      </c>
      <c r="K58" s="270">
        <f>(F58+G58+H58+I58+J58)*0.2359</f>
        <v>434.67419954000002</v>
      </c>
      <c r="L58" s="270">
        <f>F58+G58+H58+I58+J58+K58</f>
        <v>2277.29479954</v>
      </c>
      <c r="M58" s="270">
        <f>L58*6</f>
        <v>13663.76879724</v>
      </c>
      <c r="N58" s="120">
        <f>(F58+G58+H58)*6</f>
        <v>9950.4000000000015</v>
      </c>
      <c r="O58" s="120">
        <f>(I58+J58+K58)*6</f>
        <v>3713.3687972400003</v>
      </c>
      <c r="P58" s="111">
        <f>N58+O58</f>
        <v>13663.768797240002</v>
      </c>
    </row>
    <row r="59" spans="1:16" x14ac:dyDescent="0.25">
      <c r="A59" s="6" t="s">
        <v>71</v>
      </c>
      <c r="B59" s="103">
        <v>1</v>
      </c>
      <c r="C59" s="103">
        <v>32</v>
      </c>
      <c r="D59" s="103" t="s">
        <v>70</v>
      </c>
      <c r="E59" s="103">
        <v>11</v>
      </c>
      <c r="F59" s="103">
        <v>1382</v>
      </c>
      <c r="G59" s="120">
        <v>138.20000000000002</v>
      </c>
      <c r="H59" s="120">
        <v>138.20000000000002</v>
      </c>
      <c r="I59" s="120">
        <v>69.100000000000009</v>
      </c>
      <c r="J59" s="120">
        <v>115.1206</v>
      </c>
      <c r="K59" s="120">
        <v>434.67419954000002</v>
      </c>
      <c r="L59" s="120">
        <v>2277.29479954</v>
      </c>
      <c r="M59" s="270">
        <f>L59*6</f>
        <v>13663.76879724</v>
      </c>
      <c r="N59" s="270">
        <f>(F59+G59+H59)*6</f>
        <v>9950.4000000000015</v>
      </c>
      <c r="O59" s="270">
        <f>(I59+J59+K59)*6</f>
        <v>3713.3687972400003</v>
      </c>
      <c r="P59" s="111">
        <f>N59+O59</f>
        <v>13663.768797240002</v>
      </c>
    </row>
    <row r="60" spans="1:16" x14ac:dyDescent="0.25">
      <c r="A60" s="104"/>
      <c r="B60" s="104">
        <v>2</v>
      </c>
      <c r="C60" s="104"/>
      <c r="D60" s="104"/>
      <c r="E60" s="104"/>
      <c r="F60" s="104"/>
      <c r="G60" s="105"/>
      <c r="H60" s="105"/>
      <c r="I60" s="105"/>
      <c r="J60" s="105"/>
      <c r="K60" s="105"/>
      <c r="L60" s="134"/>
      <c r="M60" s="134"/>
      <c r="N60" s="134"/>
      <c r="O60" s="134" t="s">
        <v>4</v>
      </c>
      <c r="P60" s="296">
        <f>SUM(P58:P59)</f>
        <v>27327.537594480003</v>
      </c>
    </row>
    <row r="61" spans="1:16" x14ac:dyDescent="0.25">
      <c r="A61" s="85" t="s">
        <v>72</v>
      </c>
      <c r="B61" s="104"/>
      <c r="C61" s="104"/>
      <c r="D61" s="104"/>
      <c r="E61" s="104"/>
      <c r="F61" s="104"/>
      <c r="G61" s="105"/>
      <c r="H61" s="105"/>
      <c r="I61" s="105"/>
      <c r="J61" s="105"/>
      <c r="K61" s="105"/>
      <c r="L61" s="105"/>
      <c r="M61" s="105"/>
      <c r="N61" s="105"/>
      <c r="O61" s="105"/>
      <c r="P61" s="105"/>
    </row>
    <row r="62" spans="1:16" x14ac:dyDescent="0.25">
      <c r="A62" s="104"/>
      <c r="B62" s="104"/>
      <c r="C62" s="104"/>
      <c r="D62" s="104"/>
      <c r="E62" s="104"/>
      <c r="F62" s="104"/>
      <c r="G62" s="104"/>
      <c r="H62" s="104"/>
      <c r="I62" s="104"/>
      <c r="J62" s="104"/>
      <c r="K62" s="104"/>
      <c r="L62" s="104"/>
      <c r="M62" s="105"/>
      <c r="N62" s="104"/>
      <c r="O62" s="104"/>
      <c r="P62" s="104"/>
    </row>
    <row r="65" spans="16:16" x14ac:dyDescent="0.25">
      <c r="P65" s="94"/>
    </row>
  </sheetData>
  <mergeCells count="7">
    <mergeCell ref="A50:D50"/>
    <mergeCell ref="D1:E2"/>
    <mergeCell ref="E15:E16"/>
    <mergeCell ref="A15:A16"/>
    <mergeCell ref="B15:B16"/>
    <mergeCell ref="C15:C16"/>
    <mergeCell ref="D15:D1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0419F-B9FB-467B-9EC5-229ADCD1340B}">
  <dimension ref="A1:Q70"/>
  <sheetViews>
    <sheetView topLeftCell="B35" zoomScale="80" zoomScaleNormal="80" workbookViewId="0">
      <selection activeCell="B61" sqref="B61"/>
    </sheetView>
  </sheetViews>
  <sheetFormatPr defaultColWidth="9.140625" defaultRowHeight="15" outlineLevelRow="1" x14ac:dyDescent="0.25"/>
  <cols>
    <col min="1" max="1" width="36.85546875" style="2" customWidth="1"/>
    <col min="2" max="2" width="55.42578125" style="2" customWidth="1"/>
    <col min="3" max="4" width="36.85546875" style="2" customWidth="1"/>
    <col min="5" max="5" width="24" style="2" customWidth="1"/>
    <col min="6" max="6" width="11.7109375" style="2" customWidth="1"/>
    <col min="7" max="7" width="14.42578125" style="2" bestFit="1" customWidth="1"/>
    <col min="8" max="10" width="9.140625" style="2"/>
    <col min="11" max="11" width="15.42578125" style="2" customWidth="1"/>
    <col min="12" max="12" width="13.140625" style="2" customWidth="1"/>
    <col min="13" max="13" width="13.28515625" style="2" customWidth="1"/>
    <col min="14" max="14" width="12.42578125" style="2" customWidth="1"/>
    <col min="15" max="15" width="12.140625" style="2" customWidth="1"/>
    <col min="16" max="16" width="13.42578125" style="2" customWidth="1"/>
    <col min="17" max="17" width="12" style="2" customWidth="1"/>
    <col min="18" max="16384" width="9.140625" style="2"/>
  </cols>
  <sheetData>
    <row r="1" spans="1:5" ht="84.75" customHeight="1" x14ac:dyDescent="0.3">
      <c r="A1" s="148" t="s">
        <v>187</v>
      </c>
      <c r="D1" s="382" t="s">
        <v>206</v>
      </c>
      <c r="E1" s="382"/>
    </row>
    <row r="2" spans="1:5" ht="15.75" thickBot="1" x14ac:dyDescent="0.3">
      <c r="A2" s="32"/>
      <c r="B2" s="32"/>
      <c r="C2" s="32"/>
      <c r="D2" s="32"/>
    </row>
    <row r="3" spans="1:5" ht="72" thickBot="1" x14ac:dyDescent="0.3">
      <c r="A3" s="33" t="s">
        <v>73</v>
      </c>
      <c r="B3" s="33" t="s">
        <v>45</v>
      </c>
      <c r="C3" s="34" t="s">
        <v>168</v>
      </c>
      <c r="D3" s="350" t="s">
        <v>215</v>
      </c>
      <c r="E3" s="350" t="s">
        <v>214</v>
      </c>
    </row>
    <row r="4" spans="1:5" ht="15.75" thickBot="1" x14ac:dyDescent="0.3">
      <c r="A4" s="35" t="s">
        <v>74</v>
      </c>
      <c r="B4" s="36"/>
      <c r="C4" s="37"/>
      <c r="D4" s="351"/>
      <c r="E4" s="352"/>
    </row>
    <row r="5" spans="1:5" ht="195.75" thickBot="1" x14ac:dyDescent="0.3">
      <c r="A5" s="202" t="s">
        <v>75</v>
      </c>
      <c r="B5" s="203" t="s">
        <v>76</v>
      </c>
      <c r="C5" s="204">
        <v>245000</v>
      </c>
      <c r="D5" s="353">
        <f>C5+C5*0.21</f>
        <v>296450</v>
      </c>
      <c r="E5" s="354">
        <f>D5</f>
        <v>296450</v>
      </c>
    </row>
    <row r="6" spans="1:5" ht="45.75" thickBot="1" x14ac:dyDescent="0.3">
      <c r="A6" s="205" t="s">
        <v>176</v>
      </c>
      <c r="B6" s="206" t="s">
        <v>224</v>
      </c>
      <c r="C6" s="207">
        <v>33000</v>
      </c>
      <c r="D6" s="355">
        <f>C6+C6*0.21</f>
        <v>39930</v>
      </c>
      <c r="E6" s="354">
        <f>D6</f>
        <v>39930</v>
      </c>
    </row>
    <row r="7" spans="1:5" hidden="1" outlineLevel="1" x14ac:dyDescent="0.25">
      <c r="A7" s="38" t="s">
        <v>77</v>
      </c>
      <c r="B7" s="39"/>
      <c r="C7" s="40"/>
      <c r="D7" s="356"/>
      <c r="E7" s="357"/>
    </row>
    <row r="8" spans="1:5" ht="25.5" hidden="1" outlineLevel="1" x14ac:dyDescent="0.25">
      <c r="A8" s="41" t="s">
        <v>58</v>
      </c>
      <c r="B8" s="42" t="s">
        <v>78</v>
      </c>
      <c r="C8" s="43" t="s">
        <v>177</v>
      </c>
      <c r="D8" s="44" t="s">
        <v>178</v>
      </c>
      <c r="E8" s="357"/>
    </row>
    <row r="9" spans="1:5" hidden="1" outlineLevel="1" x14ac:dyDescent="0.25">
      <c r="A9" s="45" t="s">
        <v>79</v>
      </c>
      <c r="B9" s="46">
        <v>1536</v>
      </c>
      <c r="C9" s="388">
        <v>2750</v>
      </c>
      <c r="D9" s="390">
        <v>39930</v>
      </c>
      <c r="E9" s="357"/>
    </row>
    <row r="10" spans="1:5" hidden="1" outlineLevel="1" x14ac:dyDescent="0.25">
      <c r="A10" s="45" t="s">
        <v>80</v>
      </c>
      <c r="B10" s="46">
        <v>24</v>
      </c>
      <c r="C10" s="388"/>
      <c r="D10" s="390"/>
      <c r="E10" s="357"/>
    </row>
    <row r="11" spans="1:5" ht="15.75" hidden="1" outlineLevel="1" thickBot="1" x14ac:dyDescent="0.3">
      <c r="A11" s="47" t="s">
        <v>81</v>
      </c>
      <c r="B11" s="48">
        <v>17.28</v>
      </c>
      <c r="C11" s="389"/>
      <c r="D11" s="391"/>
      <c r="E11" s="357"/>
    </row>
    <row r="12" spans="1:5" collapsed="1" x14ac:dyDescent="0.25">
      <c r="B12" s="3"/>
      <c r="C12" s="30"/>
      <c r="D12" s="358"/>
      <c r="E12" s="357"/>
    </row>
    <row r="13" spans="1:5" ht="15.75" thickBot="1" x14ac:dyDescent="0.3">
      <c r="A13" s="49" t="s">
        <v>82</v>
      </c>
      <c r="B13" s="3"/>
      <c r="C13" s="30"/>
      <c r="D13" s="358"/>
      <c r="E13" s="357"/>
    </row>
    <row r="14" spans="1:5" ht="30" customHeight="1" thickBot="1" x14ac:dyDescent="0.3">
      <c r="A14" s="50" t="s">
        <v>83</v>
      </c>
      <c r="B14" s="51" t="s">
        <v>84</v>
      </c>
      <c r="C14" s="184">
        <f>SUM(C18:C33)</f>
        <v>174324.36</v>
      </c>
      <c r="D14" s="359">
        <f>C14+C14*0.21</f>
        <v>210932.47559999998</v>
      </c>
      <c r="E14" s="354">
        <f>D14</f>
        <v>210932.47559999998</v>
      </c>
    </row>
    <row r="15" spans="1:5" ht="18" hidden="1" customHeight="1" outlineLevel="1" x14ac:dyDescent="0.25">
      <c r="A15" s="52" t="s">
        <v>73</v>
      </c>
      <c r="B15" s="53" t="s">
        <v>85</v>
      </c>
      <c r="C15" s="185" t="s">
        <v>179</v>
      </c>
      <c r="D15" s="360"/>
      <c r="E15" s="354">
        <f t="shared" ref="E15:E45" si="0">D15</f>
        <v>0</v>
      </c>
    </row>
    <row r="16" spans="1:5" ht="18" hidden="1" customHeight="1" outlineLevel="1" x14ac:dyDescent="0.25">
      <c r="A16" s="54"/>
      <c r="B16" s="55" t="s">
        <v>86</v>
      </c>
      <c r="C16" s="186" t="s">
        <v>87</v>
      </c>
      <c r="D16" s="360"/>
      <c r="E16" s="354">
        <f t="shared" si="0"/>
        <v>0</v>
      </c>
    </row>
    <row r="17" spans="1:5" ht="17.25" hidden="1" customHeight="1" outlineLevel="1" x14ac:dyDescent="0.25">
      <c r="A17" s="56" t="s">
        <v>88</v>
      </c>
      <c r="B17" s="57" t="s">
        <v>89</v>
      </c>
      <c r="C17" s="187" t="s">
        <v>89</v>
      </c>
      <c r="D17" s="360"/>
      <c r="E17" s="354">
        <f t="shared" si="0"/>
        <v>0</v>
      </c>
    </row>
    <row r="18" spans="1:5" ht="18" hidden="1" customHeight="1" outlineLevel="1" x14ac:dyDescent="0.25">
      <c r="A18" s="58" t="s">
        <v>90</v>
      </c>
      <c r="B18" s="57">
        <v>104</v>
      </c>
      <c r="C18" s="187">
        <f>B18*70</f>
        <v>7280</v>
      </c>
      <c r="D18" s="360"/>
      <c r="E18" s="354">
        <f t="shared" si="0"/>
        <v>0</v>
      </c>
    </row>
    <row r="19" spans="1:5" ht="18" hidden="1" customHeight="1" outlineLevel="1" x14ac:dyDescent="0.25">
      <c r="A19" s="58" t="s">
        <v>91</v>
      </c>
      <c r="B19" s="57">
        <v>104</v>
      </c>
      <c r="C19" s="187">
        <f>B19*70</f>
        <v>7280</v>
      </c>
      <c r="D19" s="360"/>
      <c r="E19" s="354">
        <f t="shared" si="0"/>
        <v>0</v>
      </c>
    </row>
    <row r="20" spans="1:5" ht="17.25" hidden="1" customHeight="1" outlineLevel="1" x14ac:dyDescent="0.25">
      <c r="A20" s="58" t="s">
        <v>92</v>
      </c>
      <c r="B20" s="57">
        <v>416</v>
      </c>
      <c r="C20" s="187">
        <f>B20*70</f>
        <v>29120</v>
      </c>
      <c r="D20" s="360"/>
      <c r="E20" s="354">
        <f t="shared" si="0"/>
        <v>0</v>
      </c>
    </row>
    <row r="21" spans="1:5" ht="18" hidden="1" customHeight="1" outlineLevel="1" x14ac:dyDescent="0.25">
      <c r="A21" s="58" t="s">
        <v>93</v>
      </c>
      <c r="B21" s="57">
        <v>72</v>
      </c>
      <c r="C21" s="187">
        <f>B21*70</f>
        <v>5040</v>
      </c>
      <c r="D21" s="360"/>
      <c r="E21" s="354">
        <f t="shared" si="0"/>
        <v>0</v>
      </c>
    </row>
    <row r="22" spans="1:5" ht="18" hidden="1" customHeight="1" outlineLevel="1" x14ac:dyDescent="0.25">
      <c r="A22" s="56" t="s">
        <v>94</v>
      </c>
      <c r="B22" s="57" t="s">
        <v>89</v>
      </c>
      <c r="C22" s="187" t="s">
        <v>89</v>
      </c>
      <c r="D22" s="360"/>
      <c r="E22" s="354">
        <f t="shared" si="0"/>
        <v>0</v>
      </c>
    </row>
    <row r="23" spans="1:5" ht="17.25" hidden="1" customHeight="1" outlineLevel="1" x14ac:dyDescent="0.25">
      <c r="A23" s="58" t="s">
        <v>95</v>
      </c>
      <c r="B23" s="57">
        <v>208</v>
      </c>
      <c r="C23" s="187">
        <f>B23*70</f>
        <v>14560</v>
      </c>
      <c r="D23" s="360"/>
      <c r="E23" s="354">
        <f t="shared" si="0"/>
        <v>0</v>
      </c>
    </row>
    <row r="24" spans="1:5" ht="18" hidden="1" customHeight="1" outlineLevel="1" x14ac:dyDescent="0.25">
      <c r="A24" s="58" t="s">
        <v>96</v>
      </c>
      <c r="B24" s="57">
        <v>31</v>
      </c>
      <c r="C24" s="187">
        <f>B24*70</f>
        <v>2170</v>
      </c>
      <c r="D24" s="360"/>
      <c r="E24" s="354">
        <f t="shared" si="0"/>
        <v>0</v>
      </c>
    </row>
    <row r="25" spans="1:5" ht="18" hidden="1" customHeight="1" outlineLevel="1" x14ac:dyDescent="0.25">
      <c r="A25" s="56" t="s">
        <v>97</v>
      </c>
      <c r="B25" s="57" t="s">
        <v>89</v>
      </c>
      <c r="C25" s="187" t="s">
        <v>89</v>
      </c>
      <c r="D25" s="360"/>
      <c r="E25" s="354">
        <f t="shared" si="0"/>
        <v>0</v>
      </c>
    </row>
    <row r="26" spans="1:5" ht="17.25" hidden="1" customHeight="1" outlineLevel="1" x14ac:dyDescent="0.25">
      <c r="A26" s="58" t="s">
        <v>98</v>
      </c>
      <c r="B26" s="57">
        <v>208</v>
      </c>
      <c r="C26" s="187">
        <f>B26*70</f>
        <v>14560</v>
      </c>
      <c r="D26" s="360"/>
      <c r="E26" s="354">
        <f t="shared" si="0"/>
        <v>0</v>
      </c>
    </row>
    <row r="27" spans="1:5" ht="18" hidden="1" customHeight="1" outlineLevel="1" x14ac:dyDescent="0.25">
      <c r="A27" s="56" t="s">
        <v>99</v>
      </c>
      <c r="B27" s="57" t="s">
        <v>89</v>
      </c>
      <c r="C27" s="187" t="s">
        <v>89</v>
      </c>
      <c r="D27" s="360"/>
      <c r="E27" s="354">
        <f t="shared" si="0"/>
        <v>0</v>
      </c>
    </row>
    <row r="28" spans="1:5" ht="18" hidden="1" customHeight="1" outlineLevel="1" x14ac:dyDescent="0.25">
      <c r="A28" s="58" t="s">
        <v>100</v>
      </c>
      <c r="B28" s="57">
        <v>40</v>
      </c>
      <c r="C28" s="187">
        <f t="shared" ref="C28:C33" si="1">B28*70</f>
        <v>2800</v>
      </c>
      <c r="D28" s="360"/>
      <c r="E28" s="354">
        <f t="shared" si="0"/>
        <v>0</v>
      </c>
    </row>
    <row r="29" spans="1:5" ht="17.25" hidden="1" customHeight="1" outlineLevel="1" x14ac:dyDescent="0.25">
      <c r="A29" s="58" t="s">
        <v>101</v>
      </c>
      <c r="B29" s="57">
        <v>276</v>
      </c>
      <c r="C29" s="187">
        <f t="shared" si="1"/>
        <v>19320</v>
      </c>
      <c r="D29" s="360"/>
      <c r="E29" s="354">
        <f t="shared" si="0"/>
        <v>0</v>
      </c>
    </row>
    <row r="30" spans="1:5" ht="18" hidden="1" customHeight="1" outlineLevel="1" x14ac:dyDescent="0.25">
      <c r="A30" s="55" t="s">
        <v>102</v>
      </c>
      <c r="B30" s="57">
        <v>80</v>
      </c>
      <c r="C30" s="187">
        <f t="shared" si="1"/>
        <v>5600</v>
      </c>
      <c r="D30" s="360"/>
      <c r="E30" s="354">
        <f t="shared" si="0"/>
        <v>0</v>
      </c>
    </row>
    <row r="31" spans="1:5" ht="17.25" hidden="1" customHeight="1" outlineLevel="1" x14ac:dyDescent="0.25">
      <c r="A31" s="55" t="s">
        <v>103</v>
      </c>
      <c r="B31" s="57">
        <v>354.9</v>
      </c>
      <c r="C31" s="187">
        <f t="shared" si="1"/>
        <v>24843</v>
      </c>
      <c r="D31" s="360"/>
      <c r="E31" s="354">
        <f t="shared" si="0"/>
        <v>0</v>
      </c>
    </row>
    <row r="32" spans="1:5" ht="18" hidden="1" customHeight="1" outlineLevel="1" x14ac:dyDescent="0.25">
      <c r="A32" s="55" t="s">
        <v>104</v>
      </c>
      <c r="B32" s="57">
        <v>181.39</v>
      </c>
      <c r="C32" s="187">
        <f t="shared" si="1"/>
        <v>12697.3</v>
      </c>
      <c r="D32" s="360"/>
      <c r="E32" s="354">
        <f t="shared" si="0"/>
        <v>0</v>
      </c>
    </row>
    <row r="33" spans="1:5" ht="18" hidden="1" customHeight="1" outlineLevel="1" x14ac:dyDescent="0.25">
      <c r="A33" s="55" t="s">
        <v>105</v>
      </c>
      <c r="B33" s="59">
        <v>415.05799999999999</v>
      </c>
      <c r="C33" s="187">
        <f t="shared" si="1"/>
        <v>29054.059999999998</v>
      </c>
      <c r="D33" s="360"/>
      <c r="E33" s="354">
        <f t="shared" si="0"/>
        <v>0</v>
      </c>
    </row>
    <row r="34" spans="1:5" ht="17.25" hidden="1" customHeight="1" outlineLevel="1" thickBot="1" x14ac:dyDescent="0.3">
      <c r="A34" s="60"/>
      <c r="B34" s="61"/>
      <c r="C34" s="188"/>
      <c r="D34" s="360"/>
      <c r="E34" s="354">
        <f t="shared" si="0"/>
        <v>0</v>
      </c>
    </row>
    <row r="35" spans="1:5" ht="30.75" collapsed="1" thickBot="1" x14ac:dyDescent="0.3">
      <c r="A35" s="50" t="s">
        <v>106</v>
      </c>
      <c r="B35" s="51" t="s">
        <v>107</v>
      </c>
      <c r="C35" s="184">
        <v>25200</v>
      </c>
      <c r="D35" s="359">
        <f>C35+C35*0.21</f>
        <v>30492</v>
      </c>
      <c r="E35" s="354">
        <f t="shared" si="0"/>
        <v>30492</v>
      </c>
    </row>
    <row r="36" spans="1:5" ht="15.75" hidden="1" outlineLevel="1" thickBot="1" x14ac:dyDescent="0.3">
      <c r="A36" s="52" t="s">
        <v>73</v>
      </c>
      <c r="B36" s="53" t="s">
        <v>108</v>
      </c>
      <c r="C36" s="185" t="s">
        <v>179</v>
      </c>
      <c r="D36" s="360"/>
      <c r="E36" s="354">
        <f t="shared" si="0"/>
        <v>0</v>
      </c>
    </row>
    <row r="37" spans="1:5" ht="15.75" hidden="1" outlineLevel="1" thickBot="1" x14ac:dyDescent="0.3">
      <c r="A37" s="54"/>
      <c r="B37" s="55" t="s">
        <v>86</v>
      </c>
      <c r="C37" s="186" t="s">
        <v>87</v>
      </c>
      <c r="D37" s="360"/>
      <c r="E37" s="354">
        <f t="shared" si="0"/>
        <v>0</v>
      </c>
    </row>
    <row r="38" spans="1:5" ht="34.5" hidden="1" customHeight="1" outlineLevel="1" x14ac:dyDescent="0.25">
      <c r="A38" s="62" t="s">
        <v>107</v>
      </c>
      <c r="B38" s="57">
        <v>360</v>
      </c>
      <c r="C38" s="187">
        <f>B38*70</f>
        <v>25200</v>
      </c>
      <c r="D38" s="360"/>
      <c r="E38" s="354">
        <f t="shared" si="0"/>
        <v>0</v>
      </c>
    </row>
    <row r="39" spans="1:5" ht="15.75" hidden="1" outlineLevel="1" thickBot="1" x14ac:dyDescent="0.3">
      <c r="A39" s="63"/>
      <c r="B39" s="64"/>
      <c r="C39" s="189"/>
      <c r="D39" s="360"/>
      <c r="E39" s="354">
        <f t="shared" si="0"/>
        <v>0</v>
      </c>
    </row>
    <row r="40" spans="1:5" ht="30.75" collapsed="1" thickBot="1" x14ac:dyDescent="0.3">
      <c r="A40" s="50" t="s">
        <v>109</v>
      </c>
      <c r="B40" s="51" t="s">
        <v>110</v>
      </c>
      <c r="C40" s="184">
        <f>C43</f>
        <v>56000</v>
      </c>
      <c r="D40" s="359">
        <f>C40+C40*0.21</f>
        <v>67760</v>
      </c>
      <c r="E40" s="354">
        <f t="shared" si="0"/>
        <v>67760</v>
      </c>
    </row>
    <row r="41" spans="1:5" ht="15.75" hidden="1" outlineLevel="1" thickBot="1" x14ac:dyDescent="0.3">
      <c r="A41" s="52" t="s">
        <v>73</v>
      </c>
      <c r="B41" s="53" t="s">
        <v>108</v>
      </c>
      <c r="C41" s="185" t="s">
        <v>179</v>
      </c>
      <c r="D41" s="360"/>
      <c r="E41" s="354">
        <f t="shared" si="0"/>
        <v>0</v>
      </c>
    </row>
    <row r="42" spans="1:5" ht="15.75" hidden="1" outlineLevel="1" thickBot="1" x14ac:dyDescent="0.3">
      <c r="A42" s="54"/>
      <c r="B42" s="55" t="s">
        <v>86</v>
      </c>
      <c r="C42" s="186" t="s">
        <v>87</v>
      </c>
      <c r="D42" s="360"/>
      <c r="E42" s="354">
        <f t="shared" si="0"/>
        <v>0</v>
      </c>
    </row>
    <row r="43" spans="1:5" ht="44.25" hidden="1" customHeight="1" outlineLevel="1" thickBot="1" x14ac:dyDescent="0.3">
      <c r="A43" s="62" t="s">
        <v>111</v>
      </c>
      <c r="B43" s="57">
        <v>800</v>
      </c>
      <c r="C43" s="187">
        <f>B43*70</f>
        <v>56000</v>
      </c>
      <c r="D43" s="360"/>
      <c r="E43" s="354">
        <f t="shared" si="0"/>
        <v>0</v>
      </c>
    </row>
    <row r="44" spans="1:5" ht="15.75" hidden="1" outlineLevel="1" thickBot="1" x14ac:dyDescent="0.3">
      <c r="A44" s="63"/>
      <c r="B44" s="64"/>
      <c r="C44" s="189"/>
      <c r="D44" s="360"/>
      <c r="E44" s="354">
        <f t="shared" si="0"/>
        <v>0</v>
      </c>
    </row>
    <row r="45" spans="1:5" ht="15.75" collapsed="1" thickBot="1" x14ac:dyDescent="0.3">
      <c r="A45" s="50" t="s">
        <v>112</v>
      </c>
      <c r="B45" s="51"/>
      <c r="C45" s="184">
        <f>SUM(C48:C50)</f>
        <v>63000</v>
      </c>
      <c r="D45" s="359">
        <f>C45+C45*0.21</f>
        <v>76230</v>
      </c>
      <c r="E45" s="354">
        <f t="shared" si="0"/>
        <v>76230</v>
      </c>
    </row>
    <row r="46" spans="1:5" hidden="1" outlineLevel="1" x14ac:dyDescent="0.25">
      <c r="A46" s="52" t="s">
        <v>73</v>
      </c>
      <c r="B46" s="53" t="s">
        <v>108</v>
      </c>
      <c r="C46" s="185" t="s">
        <v>179</v>
      </c>
      <c r="D46" s="360"/>
      <c r="E46" s="361"/>
    </row>
    <row r="47" spans="1:5" hidden="1" outlineLevel="1" x14ac:dyDescent="0.25">
      <c r="A47" s="54"/>
      <c r="B47" s="55" t="s">
        <v>86</v>
      </c>
      <c r="C47" s="186" t="s">
        <v>87</v>
      </c>
      <c r="D47" s="360"/>
      <c r="E47" s="361"/>
    </row>
    <row r="48" spans="1:5" ht="26.25" hidden="1" outlineLevel="1" x14ac:dyDescent="0.25">
      <c r="A48" s="62" t="s">
        <v>113</v>
      </c>
      <c r="B48" s="57">
        <v>350</v>
      </c>
      <c r="C48" s="187">
        <f t="shared" ref="C48:C50" si="2">B48*70</f>
        <v>24500</v>
      </c>
      <c r="D48" s="360"/>
      <c r="E48" s="361"/>
    </row>
    <row r="49" spans="1:17" ht="26.25" hidden="1" outlineLevel="1" x14ac:dyDescent="0.25">
      <c r="A49" s="62" t="s">
        <v>114</v>
      </c>
      <c r="B49" s="57">
        <v>250</v>
      </c>
      <c r="C49" s="187">
        <f t="shared" si="2"/>
        <v>17500</v>
      </c>
      <c r="D49" s="360"/>
      <c r="E49" s="361"/>
    </row>
    <row r="50" spans="1:17" ht="26.25" hidden="1" outlineLevel="1" x14ac:dyDescent="0.25">
      <c r="A50" s="62" t="s">
        <v>115</v>
      </c>
      <c r="B50" s="57">
        <v>300</v>
      </c>
      <c r="C50" s="187">
        <f t="shared" si="2"/>
        <v>21000</v>
      </c>
      <c r="D50" s="360"/>
      <c r="E50" s="361"/>
    </row>
    <row r="51" spans="1:17" ht="15.75" hidden="1" outlineLevel="1" thickBot="1" x14ac:dyDescent="0.3">
      <c r="A51" s="65"/>
      <c r="B51" s="66"/>
      <c r="C51" s="190"/>
      <c r="D51" s="360"/>
      <c r="E51" s="361"/>
    </row>
    <row r="52" spans="1:17" ht="15.75" collapsed="1" thickBot="1" x14ac:dyDescent="0.3">
      <c r="A52" s="49"/>
      <c r="B52" s="3"/>
      <c r="C52" s="191"/>
      <c r="D52" s="360"/>
      <c r="E52" s="361"/>
    </row>
    <row r="53" spans="1:17" ht="30.75" thickBot="1" x14ac:dyDescent="0.3">
      <c r="A53" s="67" t="s">
        <v>116</v>
      </c>
      <c r="B53" s="51" t="s">
        <v>117</v>
      </c>
      <c r="C53" s="192">
        <v>50000</v>
      </c>
      <c r="D53" s="362">
        <f>C53+C53*0.21</f>
        <v>60500</v>
      </c>
      <c r="E53" s="354">
        <f>D53</f>
        <v>60500</v>
      </c>
    </row>
    <row r="54" spans="1:17" ht="15.75" thickBot="1" x14ac:dyDescent="0.3">
      <c r="A54" s="68" t="s">
        <v>118</v>
      </c>
      <c r="B54" s="69" t="s">
        <v>119</v>
      </c>
      <c r="C54" s="182">
        <v>100000</v>
      </c>
      <c r="D54" s="363">
        <f>C54+C54*0.21</f>
        <v>121000</v>
      </c>
      <c r="E54" s="354">
        <f>D54</f>
        <v>121000</v>
      </c>
      <c r="G54" s="194"/>
      <c r="H54" s="194"/>
      <c r="I54" s="194"/>
    </row>
    <row r="55" spans="1:17" x14ac:dyDescent="0.25">
      <c r="A55" s="70"/>
      <c r="B55" s="70"/>
      <c r="C55" s="71" t="s">
        <v>4</v>
      </c>
      <c r="D55" s="364">
        <f>ROUNDUP(D5+D6+D14+D35+D40+D45+D53+D54,0)</f>
        <v>903295</v>
      </c>
      <c r="E55" s="364">
        <f>ROUND(E5+E6+E14+E35+E45+E53+E54+E40,0)</f>
        <v>903294</v>
      </c>
    </row>
    <row r="56" spans="1:17" ht="15.75" thickBot="1" x14ac:dyDescent="0.3">
      <c r="C56" s="30"/>
      <c r="D56" s="30"/>
      <c r="K56" s="194">
        <f>E55+Q70+E57+E59</f>
        <v>1103172.1200000001</v>
      </c>
      <c r="L56" s="194"/>
    </row>
    <row r="57" spans="1:17" ht="57.75" thickBot="1" x14ac:dyDescent="0.3">
      <c r="A57" s="72" t="s">
        <v>120</v>
      </c>
      <c r="B57" s="410" t="s">
        <v>180</v>
      </c>
      <c r="C57" s="181">
        <v>120000</v>
      </c>
      <c r="D57" s="193">
        <f>C57+C57*0.21</f>
        <v>145200</v>
      </c>
      <c r="E57" s="354">
        <v>72600</v>
      </c>
      <c r="G57" s="31"/>
    </row>
    <row r="58" spans="1:17" ht="15.75" thickBot="1" x14ac:dyDescent="0.3">
      <c r="C58" s="194"/>
      <c r="D58" s="194"/>
      <c r="E58" s="318"/>
    </row>
    <row r="59" spans="1:17" s="76" customFormat="1" ht="48" thickBot="1" x14ac:dyDescent="0.3">
      <c r="A59" s="135" t="s">
        <v>121</v>
      </c>
      <c r="B59" s="136" t="s">
        <v>122</v>
      </c>
      <c r="C59" s="195">
        <f>80*1000</f>
        <v>80000</v>
      </c>
      <c r="D59" s="196">
        <f>C59+(C59*0.21)</f>
        <v>96800</v>
      </c>
      <c r="E59" s="354">
        <v>48400</v>
      </c>
      <c r="F59" s="112"/>
      <c r="G59" s="112"/>
    </row>
    <row r="60" spans="1:17" s="76" customFormat="1" ht="15.75" x14ac:dyDescent="0.25">
      <c r="A60" s="151"/>
      <c r="B60" s="152"/>
      <c r="C60" s="105"/>
      <c r="D60" s="105"/>
      <c r="E60" s="170"/>
      <c r="F60" s="112"/>
      <c r="G60" s="112"/>
    </row>
    <row r="61" spans="1:17" ht="16.5" x14ac:dyDescent="0.25">
      <c r="A61" s="73" t="s">
        <v>195</v>
      </c>
    </row>
    <row r="62" spans="1:17" ht="105" x14ac:dyDescent="0.25">
      <c r="A62" s="26" t="s">
        <v>5</v>
      </c>
      <c r="B62" s="18" t="s">
        <v>6</v>
      </c>
      <c r="C62" s="18" t="s">
        <v>7</v>
      </c>
      <c r="D62" s="18" t="s">
        <v>8</v>
      </c>
      <c r="E62" s="18" t="s">
        <v>9</v>
      </c>
      <c r="F62" s="18" t="s">
        <v>10</v>
      </c>
      <c r="G62" s="18" t="s">
        <v>11</v>
      </c>
      <c r="H62" s="18" t="s">
        <v>12</v>
      </c>
      <c r="I62" s="18" t="s">
        <v>13</v>
      </c>
      <c r="J62" s="18" t="s">
        <v>14</v>
      </c>
      <c r="K62" s="18" t="s">
        <v>15</v>
      </c>
      <c r="L62" s="18" t="s">
        <v>16</v>
      </c>
      <c r="M62" s="18" t="s">
        <v>17</v>
      </c>
      <c r="N62" s="18" t="s">
        <v>18</v>
      </c>
      <c r="O62" s="18" t="s">
        <v>19</v>
      </c>
      <c r="P62" s="263" t="s">
        <v>17</v>
      </c>
      <c r="Q62" s="346" t="s">
        <v>217</v>
      </c>
    </row>
    <row r="63" spans="1:17" hidden="1" x14ac:dyDescent="0.25">
      <c r="A63" s="27"/>
      <c r="B63" s="17"/>
      <c r="C63" s="17"/>
      <c r="D63" s="17"/>
      <c r="E63" s="17"/>
      <c r="F63" s="17"/>
      <c r="G63" s="17">
        <v>0.1</v>
      </c>
      <c r="H63" s="17">
        <v>0.1</v>
      </c>
      <c r="I63" s="17">
        <v>0.05</v>
      </c>
      <c r="J63" s="17">
        <v>8.3299999999999999E-2</v>
      </c>
      <c r="K63" s="17"/>
      <c r="L63" s="17"/>
      <c r="M63" s="17">
        <v>12</v>
      </c>
      <c r="N63" s="17">
        <v>12</v>
      </c>
      <c r="O63" s="17">
        <v>12</v>
      </c>
      <c r="P63" s="17"/>
      <c r="Q63" s="365"/>
    </row>
    <row r="64" spans="1:17" ht="30" x14ac:dyDescent="0.25">
      <c r="A64" s="26">
        <v>1</v>
      </c>
      <c r="B64" s="18">
        <v>2</v>
      </c>
      <c r="C64" s="18">
        <v>3</v>
      </c>
      <c r="D64" s="18">
        <v>4</v>
      </c>
      <c r="E64" s="18">
        <v>5</v>
      </c>
      <c r="F64" s="18">
        <v>6</v>
      </c>
      <c r="G64" s="18" t="s">
        <v>21</v>
      </c>
      <c r="H64" s="18" t="s">
        <v>22</v>
      </c>
      <c r="I64" s="18" t="s">
        <v>23</v>
      </c>
      <c r="J64" s="18" t="s">
        <v>24</v>
      </c>
      <c r="K64" s="18" t="s">
        <v>25</v>
      </c>
      <c r="L64" s="18" t="s">
        <v>26</v>
      </c>
      <c r="M64" s="18" t="s">
        <v>27</v>
      </c>
      <c r="N64" s="18" t="s">
        <v>28</v>
      </c>
      <c r="O64" s="18" t="s">
        <v>29</v>
      </c>
      <c r="P64" s="18" t="s">
        <v>30</v>
      </c>
      <c r="Q64" s="365"/>
    </row>
    <row r="65" spans="1:17" ht="15.75" x14ac:dyDescent="0.25">
      <c r="A65" s="27" t="s">
        <v>123</v>
      </c>
      <c r="B65" s="17">
        <v>1</v>
      </c>
      <c r="C65" s="17">
        <v>19.3</v>
      </c>
      <c r="D65" s="17" t="s">
        <v>124</v>
      </c>
      <c r="E65" s="17">
        <v>14</v>
      </c>
      <c r="F65" s="29">
        <v>2264</v>
      </c>
      <c r="G65" s="270">
        <f>F65*0.1</f>
        <v>226.4</v>
      </c>
      <c r="H65" s="270">
        <f>F65*0.1</f>
        <v>226.4</v>
      </c>
      <c r="I65" s="270">
        <f>F65*0.05</f>
        <v>113.2</v>
      </c>
      <c r="J65" s="270">
        <f>F65*0.0833</f>
        <v>188.59119999999999</v>
      </c>
      <c r="K65" s="270">
        <f>(F65+G65+H65+I65+J65)*0.2359</f>
        <v>712.08566408000002</v>
      </c>
      <c r="L65" s="270">
        <f>F65+G65+H65+I65+J65+K65</f>
        <v>3730.6768640800001</v>
      </c>
      <c r="M65" s="270">
        <f>L65*12</f>
        <v>44768.122368960001</v>
      </c>
      <c r="N65" s="29">
        <f>(F65+G65+H65)*12</f>
        <v>32601.600000000002</v>
      </c>
      <c r="O65" s="29">
        <f>(I65+J65+K65)*12</f>
        <v>12166.522368960001</v>
      </c>
      <c r="P65" s="297">
        <f>N65+O65</f>
        <v>44768.122368960001</v>
      </c>
      <c r="Q65" s="365">
        <f>ROUND(P65/2,2)</f>
        <v>22384.06</v>
      </c>
    </row>
    <row r="66" spans="1:17" s="76" customFormat="1" ht="15.75" x14ac:dyDescent="0.25">
      <c r="A66" s="119" t="s">
        <v>161</v>
      </c>
      <c r="B66" s="103">
        <v>1</v>
      </c>
      <c r="C66" s="103">
        <v>19.5</v>
      </c>
      <c r="D66" s="103" t="s">
        <v>162</v>
      </c>
      <c r="E66" s="103">
        <v>13</v>
      </c>
      <c r="F66" s="120">
        <v>1917</v>
      </c>
      <c r="G66" s="270">
        <f t="shared" ref="G66:G69" si="3">F66*0.1</f>
        <v>191.70000000000002</v>
      </c>
      <c r="H66" s="270">
        <f t="shared" ref="H66:H69" si="4">F66*0.1</f>
        <v>191.70000000000002</v>
      </c>
      <c r="I66" s="270">
        <f t="shared" ref="I66:I69" si="5">F66*0.05</f>
        <v>95.850000000000009</v>
      </c>
      <c r="J66" s="270">
        <f t="shared" ref="J66:J69" si="6">F66*0.0833</f>
        <v>159.68610000000001</v>
      </c>
      <c r="K66" s="270">
        <f t="shared" ref="K66:K69" si="7">(F66+G66+H66+I66+J66)*0.2359</f>
        <v>602.9453259899999</v>
      </c>
      <c r="L66" s="270">
        <f t="shared" ref="L66:L69" si="8">F66+G66+H66+I66+J66+K66</f>
        <v>3158.8814259899991</v>
      </c>
      <c r="M66" s="270">
        <f t="shared" ref="M66:M69" si="9">L66*12</f>
        <v>37906.577111879989</v>
      </c>
      <c r="N66" s="29">
        <f t="shared" ref="N66:N69" si="10">(F66+G66+H66)*12</f>
        <v>27604.799999999996</v>
      </c>
      <c r="O66" s="29">
        <f t="shared" ref="O66:O69" si="11">(I66+J66+K66)*12</f>
        <v>10301.777111879999</v>
      </c>
      <c r="P66" s="297">
        <f t="shared" ref="P66:P69" si="12">N66+O66</f>
        <v>37906.577111879997</v>
      </c>
      <c r="Q66" s="365">
        <f t="shared" ref="Q66:Q69" si="13">ROUND(P66/2,2)</f>
        <v>18953.29</v>
      </c>
    </row>
    <row r="67" spans="1:17" s="76" customFormat="1" ht="15.75" x14ac:dyDescent="0.25">
      <c r="A67" s="119" t="s">
        <v>161</v>
      </c>
      <c r="B67" s="103">
        <v>1</v>
      </c>
      <c r="C67" s="103">
        <v>19.5</v>
      </c>
      <c r="D67" s="103" t="s">
        <v>162</v>
      </c>
      <c r="E67" s="103">
        <v>13</v>
      </c>
      <c r="F67" s="120">
        <v>1917</v>
      </c>
      <c r="G67" s="270">
        <f t="shared" si="3"/>
        <v>191.70000000000002</v>
      </c>
      <c r="H67" s="270">
        <f t="shared" si="4"/>
        <v>191.70000000000002</v>
      </c>
      <c r="I67" s="270">
        <f t="shared" si="5"/>
        <v>95.850000000000009</v>
      </c>
      <c r="J67" s="270">
        <f t="shared" si="6"/>
        <v>159.68610000000001</v>
      </c>
      <c r="K67" s="270">
        <f t="shared" si="7"/>
        <v>602.9453259899999</v>
      </c>
      <c r="L67" s="270">
        <f t="shared" si="8"/>
        <v>3158.8814259899991</v>
      </c>
      <c r="M67" s="270">
        <f t="shared" si="9"/>
        <v>37906.577111879989</v>
      </c>
      <c r="N67" s="29">
        <f t="shared" si="10"/>
        <v>27604.799999999996</v>
      </c>
      <c r="O67" s="29">
        <f t="shared" si="11"/>
        <v>10301.777111879999</v>
      </c>
      <c r="P67" s="297">
        <f t="shared" si="12"/>
        <v>37906.577111879997</v>
      </c>
      <c r="Q67" s="365">
        <f t="shared" si="13"/>
        <v>18953.29</v>
      </c>
    </row>
    <row r="68" spans="1:17" s="76" customFormat="1" ht="15.75" x14ac:dyDescent="0.25">
      <c r="A68" s="119" t="s">
        <v>183</v>
      </c>
      <c r="B68" s="103">
        <v>1</v>
      </c>
      <c r="C68" s="103">
        <v>19.399999999999999</v>
      </c>
      <c r="D68" s="103" t="s">
        <v>143</v>
      </c>
      <c r="E68" s="111">
        <v>10</v>
      </c>
      <c r="F68" s="120">
        <v>940</v>
      </c>
      <c r="G68" s="270">
        <f t="shared" si="3"/>
        <v>94</v>
      </c>
      <c r="H68" s="270">
        <f t="shared" si="4"/>
        <v>94</v>
      </c>
      <c r="I68" s="270">
        <f t="shared" si="5"/>
        <v>47</v>
      </c>
      <c r="J68" s="270">
        <f t="shared" si="6"/>
        <v>78.301999999999992</v>
      </c>
      <c r="K68" s="270">
        <f t="shared" si="7"/>
        <v>295.65394179999998</v>
      </c>
      <c r="L68" s="270">
        <f t="shared" si="8"/>
        <v>1548.9559417999999</v>
      </c>
      <c r="M68" s="270">
        <f t="shared" si="9"/>
        <v>18587.471301599999</v>
      </c>
      <c r="N68" s="29">
        <f t="shared" si="10"/>
        <v>13536</v>
      </c>
      <c r="O68" s="29">
        <f t="shared" si="11"/>
        <v>5051.4713016000005</v>
      </c>
      <c r="P68" s="297">
        <f t="shared" si="12"/>
        <v>18587.471301600002</v>
      </c>
      <c r="Q68" s="365">
        <f t="shared" si="13"/>
        <v>9293.74</v>
      </c>
    </row>
    <row r="69" spans="1:17" s="76" customFormat="1" ht="15.75" x14ac:dyDescent="0.25">
      <c r="A69" s="119" t="s">
        <v>183</v>
      </c>
      <c r="B69" s="103">
        <v>1</v>
      </c>
      <c r="C69" s="103">
        <v>19.399999999999999</v>
      </c>
      <c r="D69" s="103" t="s">
        <v>143</v>
      </c>
      <c r="E69" s="103">
        <v>10</v>
      </c>
      <c r="F69" s="120">
        <v>940</v>
      </c>
      <c r="G69" s="270">
        <f t="shared" si="3"/>
        <v>94</v>
      </c>
      <c r="H69" s="270">
        <f t="shared" si="4"/>
        <v>94</v>
      </c>
      <c r="I69" s="270">
        <f t="shared" si="5"/>
        <v>47</v>
      </c>
      <c r="J69" s="270">
        <f t="shared" si="6"/>
        <v>78.301999999999992</v>
      </c>
      <c r="K69" s="270">
        <f t="shared" si="7"/>
        <v>295.65394179999998</v>
      </c>
      <c r="L69" s="270">
        <f t="shared" si="8"/>
        <v>1548.9559417999999</v>
      </c>
      <c r="M69" s="270">
        <f t="shared" si="9"/>
        <v>18587.471301599999</v>
      </c>
      <c r="N69" s="29">
        <f t="shared" si="10"/>
        <v>13536</v>
      </c>
      <c r="O69" s="29">
        <f t="shared" si="11"/>
        <v>5051.4713016000005</v>
      </c>
      <c r="P69" s="297">
        <f t="shared" si="12"/>
        <v>18587.471301600002</v>
      </c>
      <c r="Q69" s="365">
        <f t="shared" si="13"/>
        <v>9293.74</v>
      </c>
    </row>
    <row r="70" spans="1:17" ht="16.5" x14ac:dyDescent="0.25">
      <c r="A70" s="74"/>
      <c r="G70" s="270"/>
      <c r="H70" s="270"/>
      <c r="I70" s="270"/>
      <c r="J70" s="270"/>
      <c r="K70" s="270"/>
      <c r="L70" s="270"/>
      <c r="M70" s="270"/>
      <c r="O70" s="73" t="s">
        <v>4</v>
      </c>
      <c r="P70" s="208">
        <f>SUM(P65:P69)</f>
        <v>157756.21919591998</v>
      </c>
      <c r="Q70" s="357">
        <f>SUM(Q65:Q69)</f>
        <v>78878.12000000001</v>
      </c>
    </row>
  </sheetData>
  <mergeCells count="3">
    <mergeCell ref="C9:C11"/>
    <mergeCell ref="D9:D11"/>
    <mergeCell ref="D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003CA-C8A4-4E43-827B-B3EE6FBE64D0}">
  <dimension ref="A1:Q47"/>
  <sheetViews>
    <sheetView zoomScale="80" zoomScaleNormal="80" zoomScaleSheetLayoutView="80" workbookViewId="0">
      <selection activeCell="Q37" sqref="Q37:Q45"/>
    </sheetView>
  </sheetViews>
  <sheetFormatPr defaultColWidth="9.140625" defaultRowHeight="15.75" x14ac:dyDescent="0.25"/>
  <cols>
    <col min="1" max="1" width="66" style="85" customWidth="1"/>
    <col min="2" max="5" width="19.28515625" style="104" customWidth="1"/>
    <col min="6" max="10" width="12" style="104" customWidth="1"/>
    <col min="11" max="11" width="14.7109375" style="104" customWidth="1"/>
    <col min="12" max="15" width="12" style="104" customWidth="1"/>
    <col min="16" max="16" width="15" style="104" customWidth="1"/>
    <col min="17" max="17" width="12" style="104" customWidth="1"/>
    <col min="18" max="16384" width="9.140625" style="104"/>
  </cols>
  <sheetData>
    <row r="1" spans="1:7" ht="117" customHeight="1" x14ac:dyDescent="0.25">
      <c r="D1" s="392" t="s">
        <v>207</v>
      </c>
      <c r="E1" s="392"/>
    </row>
    <row r="2" spans="1:7" x14ac:dyDescent="0.25">
      <c r="D2" s="175"/>
      <c r="E2" s="175"/>
    </row>
    <row r="3" spans="1:7" ht="18.75" x14ac:dyDescent="0.25">
      <c r="A3" s="366" t="s">
        <v>223</v>
      </c>
    </row>
    <row r="4" spans="1:7" ht="16.5" thickBot="1" x14ac:dyDescent="0.3"/>
    <row r="5" spans="1:7" ht="47.25" x14ac:dyDescent="0.25">
      <c r="A5" s="200" t="s">
        <v>125</v>
      </c>
      <c r="B5" s="124" t="s">
        <v>170</v>
      </c>
      <c r="C5" s="124" t="s">
        <v>169</v>
      </c>
      <c r="D5" s="124" t="s">
        <v>126</v>
      </c>
      <c r="E5" s="125" t="s">
        <v>171</v>
      </c>
      <c r="G5" s="291"/>
    </row>
    <row r="6" spans="1:7" x14ac:dyDescent="0.25">
      <c r="A6" s="126" t="s">
        <v>127</v>
      </c>
      <c r="B6" s="400" t="s">
        <v>128</v>
      </c>
      <c r="C6" s="402">
        <v>70000</v>
      </c>
      <c r="D6" s="400">
        <v>1</v>
      </c>
      <c r="E6" s="404">
        <f>C6*D6</f>
        <v>70000</v>
      </c>
    </row>
    <row r="7" spans="1:7" ht="47.25" x14ac:dyDescent="0.25">
      <c r="A7" s="127" t="s">
        <v>175</v>
      </c>
      <c r="B7" s="400"/>
      <c r="C7" s="402"/>
      <c r="D7" s="400"/>
      <c r="E7" s="404"/>
    </row>
    <row r="8" spans="1:7" x14ac:dyDescent="0.25">
      <c r="A8" s="127" t="s">
        <v>129</v>
      </c>
      <c r="B8" s="400"/>
      <c r="C8" s="402"/>
      <c r="D8" s="400"/>
      <c r="E8" s="404"/>
    </row>
    <row r="9" spans="1:7" ht="16.5" thickBot="1" x14ac:dyDescent="0.3">
      <c r="A9" s="128" t="s">
        <v>130</v>
      </c>
      <c r="B9" s="401"/>
      <c r="C9" s="403"/>
      <c r="D9" s="401"/>
      <c r="E9" s="405"/>
    </row>
    <row r="10" spans="1:7" ht="16.5" thickBot="1" x14ac:dyDescent="0.3">
      <c r="A10" s="229"/>
      <c r="B10" s="230"/>
      <c r="C10" s="231"/>
      <c r="D10" s="230"/>
      <c r="E10" s="232"/>
    </row>
    <row r="11" spans="1:7" ht="16.5" thickBot="1" x14ac:dyDescent="0.3">
      <c r="A11" s="132" t="s">
        <v>131</v>
      </c>
      <c r="B11" s="133" t="s">
        <v>128</v>
      </c>
      <c r="C11" s="133">
        <v>302.5</v>
      </c>
      <c r="D11" s="133">
        <v>48</v>
      </c>
      <c r="E11" s="294">
        <f>C11*D11</f>
        <v>14520</v>
      </c>
      <c r="G11" s="291"/>
    </row>
    <row r="12" spans="1:7" ht="16.5" thickBot="1" x14ac:dyDescent="0.3">
      <c r="A12" s="233"/>
      <c r="B12" s="234"/>
      <c r="C12" s="234"/>
      <c r="D12" s="234"/>
      <c r="E12" s="235"/>
    </row>
    <row r="13" spans="1:7" ht="31.5" x14ac:dyDescent="0.25">
      <c r="A13" s="129" t="s">
        <v>172</v>
      </c>
      <c r="B13" s="406"/>
      <c r="C13" s="406"/>
      <c r="D13" s="406"/>
      <c r="E13" s="407"/>
    </row>
    <row r="14" spans="1:7" x14ac:dyDescent="0.25">
      <c r="A14" s="127" t="s">
        <v>132</v>
      </c>
      <c r="B14" s="173" t="s">
        <v>128</v>
      </c>
      <c r="C14" s="173">
        <v>1.75</v>
      </c>
      <c r="D14" s="174">
        <v>5000</v>
      </c>
      <c r="E14" s="197">
        <f>C14*D14</f>
        <v>8750</v>
      </c>
    </row>
    <row r="15" spans="1:7" x14ac:dyDescent="0.25">
      <c r="A15" s="127" t="s">
        <v>133</v>
      </c>
      <c r="B15" s="173" t="s">
        <v>128</v>
      </c>
      <c r="C15" s="173">
        <v>0.05</v>
      </c>
      <c r="D15" s="174">
        <v>250000</v>
      </c>
      <c r="E15" s="293">
        <f>C15*D15</f>
        <v>12500</v>
      </c>
    </row>
    <row r="16" spans="1:7" x14ac:dyDescent="0.25">
      <c r="A16" s="127" t="s">
        <v>134</v>
      </c>
      <c r="B16" s="173" t="s">
        <v>128</v>
      </c>
      <c r="C16" s="173">
        <v>0.17</v>
      </c>
      <c r="D16" s="174">
        <v>12500</v>
      </c>
      <c r="E16" s="197">
        <f>C16*D16</f>
        <v>2125</v>
      </c>
    </row>
    <row r="17" spans="1:12" x14ac:dyDescent="0.25">
      <c r="A17" s="127" t="s">
        <v>135</v>
      </c>
      <c r="B17" s="173" t="s">
        <v>128</v>
      </c>
      <c r="C17" s="4">
        <v>1.4</v>
      </c>
      <c r="D17" s="5">
        <v>15000</v>
      </c>
      <c r="E17" s="292">
        <f>C17*D17</f>
        <v>21000</v>
      </c>
    </row>
    <row r="18" spans="1:12" x14ac:dyDescent="0.25">
      <c r="A18" s="127" t="s">
        <v>136</v>
      </c>
      <c r="B18" s="173" t="s">
        <v>128</v>
      </c>
      <c r="C18" s="130">
        <v>40</v>
      </c>
      <c r="D18" s="4" t="s">
        <v>137</v>
      </c>
      <c r="E18" s="198">
        <f>40*200</f>
        <v>8000</v>
      </c>
    </row>
    <row r="19" spans="1:12" x14ac:dyDescent="0.25">
      <c r="A19" s="127" t="s">
        <v>138</v>
      </c>
      <c r="B19" s="173">
        <v>3000</v>
      </c>
      <c r="C19" s="173" t="s">
        <v>139</v>
      </c>
      <c r="D19" s="173">
        <v>6</v>
      </c>
      <c r="E19" s="197">
        <f>B19*D19</f>
        <v>18000</v>
      </c>
      <c r="F19" s="291"/>
    </row>
    <row r="20" spans="1:12" ht="16.5" thickBot="1" x14ac:dyDescent="0.3">
      <c r="A20" s="395" t="s">
        <v>4</v>
      </c>
      <c r="B20" s="396"/>
      <c r="C20" s="396"/>
      <c r="D20" s="396"/>
      <c r="E20" s="218">
        <f>SUM(E14:E19)</f>
        <v>70375</v>
      </c>
      <c r="F20" s="291"/>
    </row>
    <row r="21" spans="1:12" ht="16.5" thickBot="1" x14ac:dyDescent="0.3">
      <c r="A21" s="236"/>
      <c r="B21" s="237"/>
      <c r="C21" s="237"/>
      <c r="D21" s="237"/>
      <c r="E21" s="217"/>
    </row>
    <row r="22" spans="1:12" x14ac:dyDescent="0.25">
      <c r="A22" s="397" t="s">
        <v>173</v>
      </c>
      <c r="B22" s="398"/>
      <c r="C22" s="398"/>
      <c r="D22" s="398"/>
      <c r="E22" s="399"/>
    </row>
    <row r="23" spans="1:12" x14ac:dyDescent="0.25">
      <c r="A23" s="127" t="s">
        <v>174</v>
      </c>
      <c r="B23" s="173">
        <v>1200</v>
      </c>
      <c r="C23" s="131"/>
      <c r="D23" s="173">
        <v>6</v>
      </c>
      <c r="E23" s="199">
        <f>B23*D23</f>
        <v>7200</v>
      </c>
      <c r="I23" s="291"/>
    </row>
    <row r="24" spans="1:12" x14ac:dyDescent="0.25">
      <c r="A24" s="300" t="s">
        <v>210</v>
      </c>
      <c r="B24" s="301">
        <v>2000</v>
      </c>
      <c r="C24" s="302"/>
      <c r="D24" s="301">
        <v>5</v>
      </c>
      <c r="E24" s="303">
        <f>B24*D24</f>
        <v>10000</v>
      </c>
      <c r="F24" s="304"/>
      <c r="G24" s="305"/>
      <c r="H24" s="305"/>
    </row>
    <row r="25" spans="1:12" x14ac:dyDescent="0.25">
      <c r="A25" s="300" t="s">
        <v>212</v>
      </c>
      <c r="B25" s="301">
        <v>800</v>
      </c>
      <c r="C25" s="302"/>
      <c r="D25" s="301">
        <v>1</v>
      </c>
      <c r="E25" s="303">
        <f>B25*D25</f>
        <v>800</v>
      </c>
      <c r="F25" s="304"/>
      <c r="G25" s="305"/>
      <c r="H25" s="305"/>
    </row>
    <row r="26" spans="1:12" x14ac:dyDescent="0.25">
      <c r="A26" s="300" t="s">
        <v>211</v>
      </c>
      <c r="B26" s="301">
        <v>2000</v>
      </c>
      <c r="C26" s="302"/>
      <c r="D26" s="301">
        <v>6</v>
      </c>
      <c r="E26" s="303">
        <f>B26*D26</f>
        <v>12000</v>
      </c>
      <c r="F26" s="305"/>
      <c r="G26" s="305"/>
      <c r="H26" s="305"/>
    </row>
    <row r="27" spans="1:12" ht="16.5" thickBot="1" x14ac:dyDescent="0.3">
      <c r="A27" s="393" t="s">
        <v>4</v>
      </c>
      <c r="B27" s="394"/>
      <c r="C27" s="394"/>
      <c r="D27" s="394"/>
      <c r="E27" s="306">
        <f>SUM(E23:E26)</f>
        <v>30000</v>
      </c>
      <c r="F27" s="305"/>
      <c r="G27" s="305"/>
      <c r="H27" s="305"/>
    </row>
    <row r="28" spans="1:12" ht="16.5" thickBot="1" x14ac:dyDescent="0.3">
      <c r="A28" s="307"/>
      <c r="B28" s="308"/>
      <c r="C28" s="308"/>
      <c r="D28" s="308"/>
      <c r="E28" s="309"/>
      <c r="F28" s="305"/>
      <c r="G28" s="305"/>
      <c r="H28" s="305"/>
    </row>
    <row r="29" spans="1:12" ht="16.5" thickBot="1" x14ac:dyDescent="0.3">
      <c r="A29" s="310" t="s">
        <v>140</v>
      </c>
      <c r="B29" s="311" t="s">
        <v>128</v>
      </c>
      <c r="C29" s="311">
        <v>1100</v>
      </c>
      <c r="D29" s="311">
        <v>18</v>
      </c>
      <c r="E29" s="312">
        <f>C29*D29</f>
        <v>19800</v>
      </c>
      <c r="F29" s="305"/>
      <c r="G29" s="305"/>
      <c r="H29" s="305"/>
    </row>
    <row r="30" spans="1:12" ht="16.5" thickBot="1" x14ac:dyDescent="0.3">
      <c r="A30" s="313"/>
      <c r="B30" s="314"/>
      <c r="C30" s="314"/>
      <c r="D30" s="314"/>
      <c r="E30" s="315"/>
      <c r="F30" s="305"/>
      <c r="G30" s="305"/>
      <c r="H30" s="305"/>
    </row>
    <row r="31" spans="1:12" ht="48" thickBot="1" x14ac:dyDescent="0.3">
      <c r="A31" s="310" t="s">
        <v>213</v>
      </c>
      <c r="B31" s="311" t="s">
        <v>128</v>
      </c>
      <c r="C31" s="316">
        <v>50818</v>
      </c>
      <c r="D31" s="311">
        <v>3</v>
      </c>
      <c r="E31" s="312">
        <f>C31*D31</f>
        <v>152454</v>
      </c>
      <c r="F31" s="317"/>
      <c r="G31" s="305"/>
      <c r="H31" s="305"/>
    </row>
    <row r="32" spans="1:12" ht="16.5" thickBot="1" x14ac:dyDescent="0.3">
      <c r="A32" s="243"/>
      <c r="B32" s="215"/>
      <c r="C32" s="238"/>
      <c r="D32" s="215"/>
      <c r="E32" s="216"/>
      <c r="L32" s="291"/>
    </row>
    <row r="33" spans="1:17" ht="16.5" thickBot="1" x14ac:dyDescent="0.3">
      <c r="A33" s="239"/>
      <c r="B33" s="240"/>
      <c r="C33" s="240"/>
      <c r="D33" s="241" t="s">
        <v>182</v>
      </c>
      <c r="E33" s="242">
        <f>E6+E11+E20+E27+E29+E31</f>
        <v>357149</v>
      </c>
      <c r="G33" s="291"/>
    </row>
    <row r="34" spans="1:17" ht="16.5" thickBot="1" x14ac:dyDescent="0.3">
      <c r="A34" s="244"/>
      <c r="B34" s="245"/>
      <c r="C34" s="245"/>
      <c r="D34" s="245"/>
      <c r="E34" s="246"/>
    </row>
    <row r="35" spans="1:17" x14ac:dyDescent="0.25">
      <c r="A35" s="247"/>
      <c r="B35" s="248"/>
      <c r="C35" s="248"/>
      <c r="D35" s="248"/>
      <c r="E35" s="248"/>
    </row>
    <row r="36" spans="1:17" s="113" customFormat="1" ht="18.75" x14ac:dyDescent="0.3">
      <c r="A36" s="150" t="s">
        <v>196</v>
      </c>
      <c r="D36" s="143"/>
    </row>
    <row r="37" spans="1:17" s="102" customFormat="1" ht="78.75" x14ac:dyDescent="0.25">
      <c r="A37" s="118" t="s">
        <v>5</v>
      </c>
      <c r="B37" s="6" t="s">
        <v>6</v>
      </c>
      <c r="C37" s="6" t="s">
        <v>7</v>
      </c>
      <c r="D37" s="6" t="s">
        <v>8</v>
      </c>
      <c r="E37" s="6" t="s">
        <v>9</v>
      </c>
      <c r="F37" s="6" t="s">
        <v>10</v>
      </c>
      <c r="G37" s="6" t="s">
        <v>11</v>
      </c>
      <c r="H37" s="6" t="s">
        <v>12</v>
      </c>
      <c r="I37" s="6" t="s">
        <v>13</v>
      </c>
      <c r="J37" s="6" t="s">
        <v>14</v>
      </c>
      <c r="K37" s="6" t="s">
        <v>15</v>
      </c>
      <c r="L37" s="6" t="s">
        <v>16</v>
      </c>
      <c r="M37" s="6" t="s">
        <v>17</v>
      </c>
      <c r="N37" s="6" t="s">
        <v>18</v>
      </c>
      <c r="O37" s="6" t="s">
        <v>19</v>
      </c>
      <c r="P37" s="263" t="s">
        <v>220</v>
      </c>
      <c r="Q37" s="346" t="s">
        <v>217</v>
      </c>
    </row>
    <row r="38" spans="1:17" hidden="1" x14ac:dyDescent="0.25">
      <c r="A38" s="119"/>
      <c r="B38" s="103"/>
      <c r="C38" s="103"/>
      <c r="D38" s="103"/>
      <c r="E38" s="103"/>
      <c r="F38" s="103"/>
      <c r="G38" s="103">
        <v>0.1</v>
      </c>
      <c r="H38" s="103">
        <v>0.1</v>
      </c>
      <c r="I38" s="103">
        <v>0.05</v>
      </c>
      <c r="J38" s="103">
        <v>8.3299999999999999E-2</v>
      </c>
      <c r="K38" s="103"/>
      <c r="L38" s="103"/>
      <c r="M38" s="103">
        <v>12</v>
      </c>
      <c r="N38" s="103">
        <v>12</v>
      </c>
      <c r="O38" s="103">
        <v>12</v>
      </c>
      <c r="P38" s="171"/>
      <c r="Q38" s="367"/>
    </row>
    <row r="39" spans="1:17" s="102" customFormat="1" ht="47.25" x14ac:dyDescent="0.25">
      <c r="A39" s="118">
        <v>1</v>
      </c>
      <c r="B39" s="6">
        <v>2</v>
      </c>
      <c r="C39" s="6">
        <v>3</v>
      </c>
      <c r="D39" s="6">
        <v>4</v>
      </c>
      <c r="E39" s="6">
        <v>5</v>
      </c>
      <c r="F39" s="6">
        <v>6</v>
      </c>
      <c r="G39" s="6" t="s">
        <v>21</v>
      </c>
      <c r="H39" s="6" t="s">
        <v>22</v>
      </c>
      <c r="I39" s="6" t="s">
        <v>23</v>
      </c>
      <c r="J39" s="6" t="s">
        <v>24</v>
      </c>
      <c r="K39" s="6" t="s">
        <v>25</v>
      </c>
      <c r="L39" s="6" t="s">
        <v>26</v>
      </c>
      <c r="M39" s="6" t="s">
        <v>27</v>
      </c>
      <c r="N39" s="6" t="s">
        <v>28</v>
      </c>
      <c r="O39" s="6" t="s">
        <v>29</v>
      </c>
      <c r="P39" s="263" t="s">
        <v>30</v>
      </c>
      <c r="Q39" s="4"/>
    </row>
    <row r="40" spans="1:17" x14ac:dyDescent="0.25">
      <c r="A40" s="119" t="s">
        <v>141</v>
      </c>
      <c r="B40" s="103">
        <v>1</v>
      </c>
      <c r="C40" s="103">
        <v>24</v>
      </c>
      <c r="D40" s="103" t="s">
        <v>124</v>
      </c>
      <c r="E40" s="103">
        <v>12</v>
      </c>
      <c r="F40" s="120">
        <v>1647</v>
      </c>
      <c r="G40" s="270">
        <f>F40*0.1</f>
        <v>164.70000000000002</v>
      </c>
      <c r="H40" s="270">
        <f>F40*0.1</f>
        <v>164.70000000000002</v>
      </c>
      <c r="I40" s="270">
        <f>F40*0.05</f>
        <v>82.350000000000009</v>
      </c>
      <c r="J40" s="270">
        <f>F40*0.0833</f>
        <v>137.1951</v>
      </c>
      <c r="K40" s="270">
        <f>(F40+G40+H40+I40+J40)*0.2359</f>
        <v>518.02344908999999</v>
      </c>
      <c r="L40" s="270">
        <f>F40+G40+H40+I40+J40+K40</f>
        <v>2713.9685490900001</v>
      </c>
      <c r="M40" s="120">
        <f>L40*12</f>
        <v>32567.622589080001</v>
      </c>
      <c r="N40" s="120">
        <f>(F40+G40+H40)*12</f>
        <v>23716.800000000003</v>
      </c>
      <c r="O40" s="120">
        <f>(I40+J40+K40)*12</f>
        <v>8850.8225890800004</v>
      </c>
      <c r="P40" s="111">
        <f>N40+O40</f>
        <v>32567.622589080005</v>
      </c>
      <c r="Q40" s="368">
        <f>ROUND(P40/2,2)</f>
        <v>16283.81</v>
      </c>
    </row>
    <row r="41" spans="1:17" x14ac:dyDescent="0.25">
      <c r="A41" s="119" t="s">
        <v>142</v>
      </c>
      <c r="B41" s="103">
        <v>1</v>
      </c>
      <c r="C41" s="103">
        <v>24</v>
      </c>
      <c r="D41" s="103" t="s">
        <v>143</v>
      </c>
      <c r="E41" s="103">
        <v>11</v>
      </c>
      <c r="F41" s="120">
        <v>1382</v>
      </c>
      <c r="G41" s="270">
        <f t="shared" ref="G41:G43" si="0">F41*0.1</f>
        <v>138.20000000000002</v>
      </c>
      <c r="H41" s="270">
        <f t="shared" ref="H41:H43" si="1">F41*0.1</f>
        <v>138.20000000000002</v>
      </c>
      <c r="I41" s="270">
        <f t="shared" ref="I41:I43" si="2">F41*0.05</f>
        <v>69.100000000000009</v>
      </c>
      <c r="J41" s="270">
        <f t="shared" ref="J41:J43" si="3">F41*0.0833</f>
        <v>115.1206</v>
      </c>
      <c r="K41" s="270">
        <f t="shared" ref="K41:K43" si="4">(F41+G41+H41+I41+J41)*0.2359</f>
        <v>434.67419954000002</v>
      </c>
      <c r="L41" s="270">
        <f t="shared" ref="L41:L43" si="5">F41+G41+H41+I41+J41+K41</f>
        <v>2277.29479954</v>
      </c>
      <c r="M41" s="270">
        <f t="shared" ref="M41:M43" si="6">L41*12</f>
        <v>27327.53759448</v>
      </c>
      <c r="N41" s="270">
        <f t="shared" ref="N41:N43" si="7">(F41+G41+H41)*12</f>
        <v>19900.800000000003</v>
      </c>
      <c r="O41" s="270">
        <f t="shared" ref="O41:O43" si="8">(I41+J41+K41)*12</f>
        <v>7426.7375944800006</v>
      </c>
      <c r="P41" s="111">
        <f t="shared" ref="P41:P43" si="9">N41+O41</f>
        <v>27327.537594480003</v>
      </c>
      <c r="Q41" s="368">
        <f t="shared" ref="Q41:Q43" si="10">ROUND(P41/2,2)</f>
        <v>13663.77</v>
      </c>
    </row>
    <row r="42" spans="1:17" x14ac:dyDescent="0.25">
      <c r="A42" s="119" t="s">
        <v>144</v>
      </c>
      <c r="B42" s="103">
        <v>1</v>
      </c>
      <c r="C42" s="103">
        <v>32</v>
      </c>
      <c r="D42" s="103" t="s">
        <v>70</v>
      </c>
      <c r="E42" s="103">
        <v>11</v>
      </c>
      <c r="F42" s="120">
        <v>1382</v>
      </c>
      <c r="G42" s="270">
        <f t="shared" si="0"/>
        <v>138.20000000000002</v>
      </c>
      <c r="H42" s="270">
        <f t="shared" si="1"/>
        <v>138.20000000000002</v>
      </c>
      <c r="I42" s="270">
        <f t="shared" si="2"/>
        <v>69.100000000000009</v>
      </c>
      <c r="J42" s="270">
        <f t="shared" si="3"/>
        <v>115.1206</v>
      </c>
      <c r="K42" s="270">
        <f t="shared" si="4"/>
        <v>434.67419954000002</v>
      </c>
      <c r="L42" s="270">
        <f t="shared" si="5"/>
        <v>2277.29479954</v>
      </c>
      <c r="M42" s="270">
        <f t="shared" si="6"/>
        <v>27327.53759448</v>
      </c>
      <c r="N42" s="270">
        <f t="shared" si="7"/>
        <v>19900.800000000003</v>
      </c>
      <c r="O42" s="270">
        <f t="shared" si="8"/>
        <v>7426.7375944800006</v>
      </c>
      <c r="P42" s="111">
        <f t="shared" si="9"/>
        <v>27327.537594480003</v>
      </c>
      <c r="Q42" s="368">
        <f t="shared" si="10"/>
        <v>13663.77</v>
      </c>
    </row>
    <row r="43" spans="1:17" s="113" customFormat="1" x14ac:dyDescent="0.25">
      <c r="A43" s="144" t="s">
        <v>145</v>
      </c>
      <c r="B43" s="114">
        <v>1</v>
      </c>
      <c r="C43" s="114" t="s">
        <v>146</v>
      </c>
      <c r="D43" s="114" t="s">
        <v>143</v>
      </c>
      <c r="E43" s="114">
        <v>8</v>
      </c>
      <c r="F43" s="145">
        <v>1093</v>
      </c>
      <c r="G43" s="270">
        <f t="shared" si="0"/>
        <v>109.30000000000001</v>
      </c>
      <c r="H43" s="270">
        <f t="shared" si="1"/>
        <v>109.30000000000001</v>
      </c>
      <c r="I43" s="270">
        <f t="shared" si="2"/>
        <v>54.650000000000006</v>
      </c>
      <c r="J43" s="270">
        <f t="shared" si="3"/>
        <v>91.046899999999994</v>
      </c>
      <c r="K43" s="270">
        <f t="shared" si="4"/>
        <v>343.77633871</v>
      </c>
      <c r="L43" s="270">
        <f t="shared" si="5"/>
        <v>1801.0732387100002</v>
      </c>
      <c r="M43" s="270">
        <f t="shared" si="6"/>
        <v>21612.878864520004</v>
      </c>
      <c r="N43" s="270">
        <f t="shared" si="7"/>
        <v>15739.199999999999</v>
      </c>
      <c r="O43" s="270">
        <f t="shared" si="8"/>
        <v>5873.6788645200004</v>
      </c>
      <c r="P43" s="111">
        <f t="shared" si="9"/>
        <v>21612.87886452</v>
      </c>
      <c r="Q43" s="368">
        <f t="shared" si="10"/>
        <v>10806.44</v>
      </c>
    </row>
    <row r="44" spans="1:17" s="113" customFormat="1" x14ac:dyDescent="0.25">
      <c r="A44" s="146"/>
      <c r="F44" s="143"/>
      <c r="G44" s="143"/>
      <c r="H44" s="143"/>
      <c r="I44" s="143"/>
      <c r="J44" s="143"/>
      <c r="K44" s="143"/>
      <c r="L44" s="143"/>
      <c r="M44" s="143"/>
      <c r="N44" s="143"/>
      <c r="O44" s="115"/>
      <c r="P44" s="298">
        <f>ROUNDUP(SUM(P40:P43),2)</f>
        <v>108835.58</v>
      </c>
      <c r="Q44" s="369">
        <f>SUM(Q40:Q43)</f>
        <v>54417.790000000008</v>
      </c>
    </row>
    <row r="45" spans="1:17" x14ac:dyDescent="0.25">
      <c r="F45" s="105"/>
      <c r="G45" s="105"/>
      <c r="H45" s="105"/>
      <c r="I45" s="105"/>
      <c r="J45" s="105"/>
      <c r="K45" s="105"/>
      <c r="L45" s="105"/>
      <c r="M45" s="105"/>
      <c r="N45" s="105"/>
      <c r="O45" s="105"/>
      <c r="P45" s="105"/>
      <c r="Q45" s="370"/>
    </row>
    <row r="46" spans="1:17" x14ac:dyDescent="0.25">
      <c r="F46" s="105"/>
      <c r="G46" s="105"/>
      <c r="H46" s="105"/>
      <c r="I46" s="105"/>
      <c r="J46" s="105"/>
      <c r="K46" s="105"/>
      <c r="L46" s="105"/>
      <c r="M46" s="105"/>
      <c r="N46" s="105"/>
      <c r="O46" s="105"/>
      <c r="P46" s="105"/>
      <c r="Q46" s="105"/>
    </row>
    <row r="47" spans="1:17" x14ac:dyDescent="0.25">
      <c r="F47" s="105"/>
      <c r="G47" s="105"/>
      <c r="H47" s="105"/>
      <c r="I47" s="105"/>
      <c r="J47" s="105"/>
      <c r="K47" s="105"/>
      <c r="L47" s="105"/>
      <c r="M47" s="105"/>
      <c r="N47" s="105"/>
      <c r="O47" s="105"/>
      <c r="P47" s="105"/>
      <c r="Q47" s="105"/>
    </row>
  </sheetData>
  <mergeCells count="9">
    <mergeCell ref="D1:E1"/>
    <mergeCell ref="A27:D27"/>
    <mergeCell ref="A20:D20"/>
    <mergeCell ref="A22:E22"/>
    <mergeCell ref="B6:B9"/>
    <mergeCell ref="C6:C9"/>
    <mergeCell ref="E6:E9"/>
    <mergeCell ref="D6:D9"/>
    <mergeCell ref="B13:E1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1ED00-9A86-468E-81E5-D67E8E103C64}">
  <dimension ref="A1:Q14"/>
  <sheetViews>
    <sheetView zoomScale="90" zoomScaleNormal="90" zoomScaleSheetLayoutView="90" workbookViewId="0">
      <selection activeCell="E5" sqref="E5:E7"/>
    </sheetView>
  </sheetViews>
  <sheetFormatPr defaultColWidth="9.140625" defaultRowHeight="15" x14ac:dyDescent="0.25"/>
  <cols>
    <col min="1" max="1" width="42.42578125" style="2" customWidth="1"/>
    <col min="2" max="2" width="19.140625" style="2" customWidth="1"/>
    <col min="3" max="3" width="20.28515625" style="2" customWidth="1"/>
    <col min="4" max="4" width="19.85546875" style="2" customWidth="1"/>
    <col min="5" max="5" width="18.42578125" style="2" customWidth="1"/>
    <col min="6" max="10" width="9.140625" style="2"/>
    <col min="11" max="11" width="12.140625" style="2" customWidth="1"/>
    <col min="12" max="12" width="9.140625" style="2"/>
    <col min="13" max="13" width="12.28515625" style="2" bestFit="1" customWidth="1"/>
    <col min="14" max="14" width="10.140625" style="2" bestFit="1" customWidth="1"/>
    <col min="15" max="16" width="11.42578125" style="2" bestFit="1" customWidth="1"/>
    <col min="17" max="17" width="10.7109375" style="2" bestFit="1" customWidth="1"/>
    <col min="18" max="16384" width="9.140625" style="2"/>
  </cols>
  <sheetData>
    <row r="1" spans="1:17" ht="93" customHeight="1" x14ac:dyDescent="0.25">
      <c r="C1" s="382" t="s">
        <v>208</v>
      </c>
      <c r="D1" s="382"/>
    </row>
    <row r="2" spans="1:17" s="7" customFormat="1" ht="21.75" x14ac:dyDescent="0.25">
      <c r="A2" s="147" t="s">
        <v>186</v>
      </c>
      <c r="B2" s="14"/>
      <c r="C2" s="11"/>
      <c r="D2" s="11"/>
      <c r="E2" s="11"/>
      <c r="F2" s="11"/>
      <c r="G2" s="11"/>
      <c r="H2" s="11"/>
      <c r="I2" s="11"/>
      <c r="J2" s="12"/>
      <c r="K2" s="12"/>
      <c r="L2" s="11"/>
      <c r="M2" s="11"/>
    </row>
    <row r="3" spans="1:17" s="7" customFormat="1" ht="12.95" customHeight="1" thickBot="1" x14ac:dyDescent="0.3">
      <c r="A3" s="15"/>
      <c r="B3" s="15"/>
      <c r="C3" s="11"/>
      <c r="D3" s="11"/>
      <c r="E3" s="11"/>
      <c r="F3" s="11"/>
      <c r="G3" s="11"/>
      <c r="H3" s="11"/>
      <c r="I3" s="11"/>
      <c r="J3" s="12"/>
      <c r="K3" s="12"/>
      <c r="L3" s="11"/>
      <c r="M3" s="11"/>
    </row>
    <row r="4" spans="1:17" ht="66" x14ac:dyDescent="0.25">
      <c r="A4" s="221"/>
      <c r="B4" s="222" t="s">
        <v>167</v>
      </c>
      <c r="C4" s="222" t="s">
        <v>147</v>
      </c>
      <c r="D4" s="223" t="s">
        <v>225</v>
      </c>
      <c r="E4" s="223" t="s">
        <v>226</v>
      </c>
    </row>
    <row r="5" spans="1:17" ht="15.75" x14ac:dyDescent="0.25">
      <c r="A5" s="224" t="s">
        <v>148</v>
      </c>
      <c r="B5" s="5">
        <f>D5/C5</f>
        <v>134057.83333333334</v>
      </c>
      <c r="C5" s="5">
        <v>12</v>
      </c>
      <c r="D5" s="322">
        <v>1608694</v>
      </c>
      <c r="E5" s="411">
        <f>D5/2</f>
        <v>804347</v>
      </c>
    </row>
    <row r="6" spans="1:17" ht="15.75" x14ac:dyDescent="0.25">
      <c r="A6" s="225"/>
      <c r="B6" s="5"/>
      <c r="C6" s="13" t="s">
        <v>149</v>
      </c>
      <c r="D6" s="323">
        <f>D5</f>
        <v>1608694</v>
      </c>
      <c r="E6" s="411">
        <f t="shared" ref="E6" si="0">D6/2</f>
        <v>804347</v>
      </c>
    </row>
    <row r="7" spans="1:17" ht="16.5" thickBot="1" x14ac:dyDescent="0.3">
      <c r="A7" s="226"/>
      <c r="B7" s="227"/>
      <c r="C7" s="228" t="s">
        <v>44</v>
      </c>
      <c r="D7" s="324">
        <f>(D6*0.21)+D6</f>
        <v>1946519.74</v>
      </c>
      <c r="E7" s="412">
        <f>ROUND(D7/2,0)</f>
        <v>973260</v>
      </c>
    </row>
    <row r="8" spans="1:17" x14ac:dyDescent="0.25">
      <c r="E8" s="318"/>
    </row>
    <row r="9" spans="1:17" x14ac:dyDescent="0.25">
      <c r="E9" s="318"/>
    </row>
    <row r="10" spans="1:17" s="153" customFormat="1" ht="100.5" x14ac:dyDescent="0.25">
      <c r="A10" s="156" t="s">
        <v>5</v>
      </c>
      <c r="B10" s="156" t="s">
        <v>6</v>
      </c>
      <c r="C10" s="154" t="s">
        <v>7</v>
      </c>
      <c r="D10" s="156" t="s">
        <v>8</v>
      </c>
      <c r="E10" s="156" t="s">
        <v>9</v>
      </c>
      <c r="F10" s="163" t="s">
        <v>10</v>
      </c>
      <c r="G10" s="164" t="s">
        <v>156</v>
      </c>
      <c r="H10" s="164" t="s">
        <v>157</v>
      </c>
      <c r="I10" s="164" t="s">
        <v>158</v>
      </c>
      <c r="J10" s="156" t="s">
        <v>14</v>
      </c>
      <c r="K10" s="163" t="s">
        <v>15</v>
      </c>
      <c r="L10" s="156" t="s">
        <v>16</v>
      </c>
      <c r="M10" s="165" t="s">
        <v>17</v>
      </c>
      <c r="N10" s="156" t="s">
        <v>18</v>
      </c>
      <c r="O10" s="156" t="s">
        <v>19</v>
      </c>
      <c r="P10" s="263" t="s">
        <v>220</v>
      </c>
      <c r="Q10" s="346" t="s">
        <v>217</v>
      </c>
    </row>
    <row r="11" spans="1:17" s="153" customFormat="1" ht="15" hidden="1" customHeight="1" x14ac:dyDescent="0.25">
      <c r="A11" s="156"/>
      <c r="B11" s="156"/>
      <c r="C11" s="154"/>
      <c r="D11" s="155"/>
      <c r="E11" s="156"/>
      <c r="F11" s="156"/>
      <c r="G11" s="157">
        <v>0.1</v>
      </c>
      <c r="H11" s="157">
        <v>0.1</v>
      </c>
      <c r="I11" s="157">
        <v>0.05</v>
      </c>
      <c r="J11" s="158">
        <v>8.3299999999999999E-2</v>
      </c>
      <c r="K11" s="156"/>
      <c r="L11" s="156"/>
      <c r="M11" s="156">
        <v>12</v>
      </c>
      <c r="N11" s="156">
        <v>12</v>
      </c>
      <c r="O11" s="156">
        <v>12</v>
      </c>
      <c r="P11" s="166"/>
    </row>
    <row r="12" spans="1:17" s="153" customFormat="1" ht="22.5" x14ac:dyDescent="0.25">
      <c r="A12" s="159">
        <v>1</v>
      </c>
      <c r="B12" s="159">
        <v>2</v>
      </c>
      <c r="C12" s="159">
        <v>3</v>
      </c>
      <c r="D12" s="159">
        <v>4</v>
      </c>
      <c r="E12" s="159">
        <v>5</v>
      </c>
      <c r="F12" s="160">
        <v>6</v>
      </c>
      <c r="G12" s="161" t="s">
        <v>21</v>
      </c>
      <c r="H12" s="161" t="s">
        <v>22</v>
      </c>
      <c r="I12" s="161" t="s">
        <v>23</v>
      </c>
      <c r="J12" s="160" t="s">
        <v>24</v>
      </c>
      <c r="K12" s="160" t="s">
        <v>25</v>
      </c>
      <c r="L12" s="160" t="s">
        <v>26</v>
      </c>
      <c r="M12" s="162" t="s">
        <v>27</v>
      </c>
      <c r="N12" s="160" t="s">
        <v>28</v>
      </c>
      <c r="O12" s="160" t="s">
        <v>29</v>
      </c>
      <c r="P12" s="162" t="s">
        <v>30</v>
      </c>
      <c r="Q12" s="325"/>
    </row>
    <row r="13" spans="1:17" s="76" customFormat="1" ht="15.75" x14ac:dyDescent="0.25">
      <c r="A13" s="269" t="s">
        <v>159</v>
      </c>
      <c r="B13" s="267">
        <v>1</v>
      </c>
      <c r="C13" s="267">
        <v>23</v>
      </c>
      <c r="D13" s="267" t="s">
        <v>160</v>
      </c>
      <c r="E13" s="267">
        <v>7</v>
      </c>
      <c r="F13" s="270">
        <v>996</v>
      </c>
      <c r="G13" s="270">
        <f>F13*0.1</f>
        <v>99.600000000000009</v>
      </c>
      <c r="H13" s="270">
        <f>F13*0.1</f>
        <v>99.600000000000009</v>
      </c>
      <c r="I13" s="270">
        <f>F13*0.05</f>
        <v>49.800000000000004</v>
      </c>
      <c r="J13" s="270">
        <f>F13*0.0833</f>
        <v>82.966799999999992</v>
      </c>
      <c r="K13" s="270">
        <f>(F13+G13+H13+I13+J13)*0.2359</f>
        <v>313.2673681199999</v>
      </c>
      <c r="L13" s="270">
        <f>F13+G13+H13+I13+J13+K13</f>
        <v>1641.2341681199996</v>
      </c>
      <c r="M13" s="270">
        <f>L13*12</f>
        <v>19694.810017439995</v>
      </c>
      <c r="N13" s="270">
        <f>(G13+F13+H13)*12</f>
        <v>14342.399999999998</v>
      </c>
      <c r="O13" s="270">
        <f>(I13+J13+K13)*12</f>
        <v>5352.4100174399991</v>
      </c>
      <c r="P13" s="111">
        <f>N13+O13</f>
        <v>19694.810017439995</v>
      </c>
      <c r="Q13" s="371">
        <f>ROUND(P13/2,0)</f>
        <v>9847</v>
      </c>
    </row>
    <row r="14" spans="1:17" ht="15.75" x14ac:dyDescent="0.25">
      <c r="O14" s="167" t="s">
        <v>4</v>
      </c>
      <c r="P14" s="299">
        <f>ROUNDUP(SUM(P13),0)</f>
        <v>19695</v>
      </c>
      <c r="Q14" s="372">
        <f>ROUND(P14/2,0)</f>
        <v>9848</v>
      </c>
    </row>
  </sheetData>
  <mergeCells count="1">
    <mergeCell ref="C1:D1"/>
  </mergeCells>
  <pageMargins left="0.7" right="0.7" top="0.75" bottom="0.75" header="0.3" footer="0.3"/>
  <pageSetup scale="8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F7557-F9E5-478B-9C4C-0B6206F22434}">
  <sheetPr>
    <pageSetUpPr fitToPage="1"/>
  </sheetPr>
  <dimension ref="A1:Q25"/>
  <sheetViews>
    <sheetView topLeftCell="B1" zoomScale="90" zoomScaleNormal="90" zoomScaleSheetLayoutView="85" workbookViewId="0">
      <selection activeCell="F26" sqref="F26"/>
    </sheetView>
  </sheetViews>
  <sheetFormatPr defaultColWidth="9.140625" defaultRowHeight="15" x14ac:dyDescent="0.25"/>
  <cols>
    <col min="1" max="1" width="28.7109375" style="2" customWidth="1"/>
    <col min="2" max="2" width="65.42578125" style="2" customWidth="1"/>
    <col min="3" max="3" width="18.28515625" style="2" customWidth="1"/>
    <col min="4" max="4" width="19.42578125" style="2" customWidth="1"/>
    <col min="5" max="5" width="32.7109375" style="2" customWidth="1"/>
    <col min="6" max="6" width="15.42578125" style="2" customWidth="1"/>
    <col min="7" max="7" width="9.140625" style="2"/>
    <col min="8" max="8" width="11.42578125" style="2" bestFit="1" customWidth="1"/>
    <col min="9" max="9" width="11.140625" style="2" customWidth="1"/>
    <col min="10" max="10" width="9.140625" style="2"/>
    <col min="11" max="11" width="10.7109375" style="2" customWidth="1"/>
    <col min="12" max="12" width="11.140625" style="2" customWidth="1"/>
    <col min="13" max="13" width="12.5703125" style="2" customWidth="1"/>
    <col min="14" max="14" width="11.140625" style="2" customWidth="1"/>
    <col min="15" max="15" width="11.85546875" style="2" customWidth="1"/>
    <col min="16" max="16" width="14.42578125" style="2" customWidth="1"/>
    <col min="17" max="17" width="12" style="2" customWidth="1"/>
    <col min="18" max="16384" width="9.140625" style="2"/>
  </cols>
  <sheetData>
    <row r="1" spans="1:17" ht="76.5" customHeight="1" x14ac:dyDescent="0.25">
      <c r="D1" s="382" t="s">
        <v>209</v>
      </c>
      <c r="E1" s="382"/>
    </row>
    <row r="2" spans="1:17" ht="18.75" x14ac:dyDescent="0.3">
      <c r="A2" s="148" t="s">
        <v>185</v>
      </c>
    </row>
    <row r="3" spans="1:17" ht="15.75" thickBot="1" x14ac:dyDescent="0.3"/>
    <row r="4" spans="1:17" s="28" customFormat="1" ht="71.25" x14ac:dyDescent="0.25">
      <c r="A4" s="326" t="s">
        <v>73</v>
      </c>
      <c r="B4" s="219" t="s">
        <v>45</v>
      </c>
      <c r="C4" s="220" t="s">
        <v>168</v>
      </c>
      <c r="D4" s="373" t="s">
        <v>221</v>
      </c>
      <c r="E4" s="373" t="s">
        <v>214</v>
      </c>
    </row>
    <row r="5" spans="1:17" ht="165" x14ac:dyDescent="0.25">
      <c r="A5" s="327" t="s">
        <v>75</v>
      </c>
      <c r="B5" s="214" t="s">
        <v>76</v>
      </c>
      <c r="C5" s="201">
        <v>148944</v>
      </c>
      <c r="D5" s="374">
        <f>C5+C5*0.21</f>
        <v>180222.24</v>
      </c>
      <c r="E5" s="375">
        <f>D5/2</f>
        <v>90111.12</v>
      </c>
    </row>
    <row r="6" spans="1:17" ht="30" x14ac:dyDescent="0.25">
      <c r="A6" s="328" t="s">
        <v>121</v>
      </c>
      <c r="B6" s="214" t="s">
        <v>150</v>
      </c>
      <c r="C6" s="201">
        <v>120000</v>
      </c>
      <c r="D6" s="374">
        <f t="shared" ref="D6:D8" si="0">C6+C6*0.21</f>
        <v>145200</v>
      </c>
      <c r="E6" s="374">
        <v>145200</v>
      </c>
      <c r="F6" s="194"/>
    </row>
    <row r="7" spans="1:17" ht="30" x14ac:dyDescent="0.25">
      <c r="A7" s="328" t="s">
        <v>151</v>
      </c>
      <c r="B7" s="214" t="s">
        <v>152</v>
      </c>
      <c r="C7" s="201">
        <v>119039</v>
      </c>
      <c r="D7" s="374">
        <f t="shared" si="0"/>
        <v>144037.19</v>
      </c>
      <c r="E7" s="374">
        <f>D7/2</f>
        <v>72018.595000000001</v>
      </c>
    </row>
    <row r="8" spans="1:17" ht="30.75" thickBot="1" x14ac:dyDescent="0.3">
      <c r="A8" s="332" t="s">
        <v>153</v>
      </c>
      <c r="B8" s="331" t="s">
        <v>154</v>
      </c>
      <c r="C8" s="329">
        <v>70323</v>
      </c>
      <c r="D8" s="376">
        <f t="shared" si="0"/>
        <v>85090.83</v>
      </c>
      <c r="E8" s="376">
        <f>D8/2</f>
        <v>42545.415000000001</v>
      </c>
    </row>
    <row r="9" spans="1:17" ht="15.75" thickBot="1" x14ac:dyDescent="0.3">
      <c r="A9" s="408" t="s">
        <v>4</v>
      </c>
      <c r="B9" s="409"/>
      <c r="C9" s="330">
        <f>SUM(C5:C8)</f>
        <v>458306</v>
      </c>
      <c r="D9" s="377">
        <f>C9+C9*0.21</f>
        <v>554550.26</v>
      </c>
      <c r="E9" s="378">
        <f>SUM(E5:E8)</f>
        <v>349875.12999999995</v>
      </c>
      <c r="F9" s="194">
        <f>D9-E9</f>
        <v>204675.13000000006</v>
      </c>
    </row>
    <row r="11" spans="1:17" x14ac:dyDescent="0.25">
      <c r="F11" s="31"/>
    </row>
    <row r="12" spans="1:17" s="76" customFormat="1" ht="16.5" x14ac:dyDescent="0.25">
      <c r="A12" s="169" t="s">
        <v>155</v>
      </c>
      <c r="B12" s="73"/>
      <c r="C12" s="73"/>
      <c r="D12" s="73"/>
    </row>
    <row r="13" spans="1:17" s="76" customFormat="1" ht="16.5" x14ac:dyDescent="0.25">
      <c r="A13" s="168"/>
      <c r="B13" s="168"/>
      <c r="C13" s="168"/>
      <c r="D13" s="168"/>
    </row>
    <row r="14" spans="1:17" s="153" customFormat="1" ht="105" x14ac:dyDescent="0.25">
      <c r="A14" s="156" t="s">
        <v>5</v>
      </c>
      <c r="B14" s="156" t="s">
        <v>6</v>
      </c>
      <c r="C14" s="154" t="s">
        <v>7</v>
      </c>
      <c r="D14" s="156" t="s">
        <v>8</v>
      </c>
      <c r="E14" s="156" t="s">
        <v>9</v>
      </c>
      <c r="F14" s="163" t="s">
        <v>10</v>
      </c>
      <c r="G14" s="164" t="s">
        <v>156</v>
      </c>
      <c r="H14" s="164" t="s">
        <v>157</v>
      </c>
      <c r="I14" s="164" t="s">
        <v>158</v>
      </c>
      <c r="J14" s="156" t="s">
        <v>14</v>
      </c>
      <c r="K14" s="163" t="s">
        <v>15</v>
      </c>
      <c r="L14" s="156" t="s">
        <v>16</v>
      </c>
      <c r="M14" s="165" t="s">
        <v>17</v>
      </c>
      <c r="N14" s="156" t="s">
        <v>18</v>
      </c>
      <c r="O14" s="156" t="s">
        <v>19</v>
      </c>
      <c r="P14" s="263" t="s">
        <v>220</v>
      </c>
      <c r="Q14" s="346" t="s">
        <v>217</v>
      </c>
    </row>
    <row r="15" spans="1:17" s="153" customFormat="1" hidden="1" x14ac:dyDescent="0.25">
      <c r="A15" s="156"/>
      <c r="B15" s="156"/>
      <c r="C15" s="333"/>
      <c r="D15" s="334"/>
      <c r="E15" s="335"/>
      <c r="F15" s="335"/>
      <c r="G15" s="336">
        <v>0.1</v>
      </c>
      <c r="H15" s="336">
        <v>0.1</v>
      </c>
      <c r="I15" s="336">
        <v>0.05</v>
      </c>
      <c r="J15" s="337">
        <v>8.3299999999999999E-2</v>
      </c>
      <c r="K15" s="335"/>
      <c r="L15" s="335"/>
      <c r="M15" s="335">
        <v>12</v>
      </c>
      <c r="N15" s="335">
        <v>12</v>
      </c>
      <c r="O15" s="335">
        <v>12</v>
      </c>
      <c r="P15" s="338"/>
    </row>
    <row r="16" spans="1:17" s="153" customFormat="1" ht="33.75" x14ac:dyDescent="0.25">
      <c r="A16" s="159">
        <v>1</v>
      </c>
      <c r="B16" s="159">
        <v>2</v>
      </c>
      <c r="C16" s="159">
        <v>3</v>
      </c>
      <c r="D16" s="159">
        <v>4</v>
      </c>
      <c r="E16" s="159">
        <v>5</v>
      </c>
      <c r="F16" s="160">
        <v>6</v>
      </c>
      <c r="G16" s="161" t="s">
        <v>21</v>
      </c>
      <c r="H16" s="161" t="s">
        <v>22</v>
      </c>
      <c r="I16" s="161" t="s">
        <v>23</v>
      </c>
      <c r="J16" s="160" t="s">
        <v>24</v>
      </c>
      <c r="K16" s="160" t="s">
        <v>25</v>
      </c>
      <c r="L16" s="160" t="s">
        <v>26</v>
      </c>
      <c r="M16" s="162" t="s">
        <v>27</v>
      </c>
      <c r="N16" s="160" t="s">
        <v>28</v>
      </c>
      <c r="O16" s="160" t="s">
        <v>29</v>
      </c>
      <c r="P16" s="162" t="s">
        <v>30</v>
      </c>
      <c r="Q16" s="379"/>
    </row>
    <row r="17" spans="1:17" s="76" customFormat="1" ht="31.5" x14ac:dyDescent="0.25">
      <c r="A17" s="277" t="s">
        <v>163</v>
      </c>
      <c r="B17" s="171">
        <v>1</v>
      </c>
      <c r="C17" s="267" t="s">
        <v>164</v>
      </c>
      <c r="D17" s="267" t="s">
        <v>124</v>
      </c>
      <c r="E17" s="267">
        <v>12</v>
      </c>
      <c r="F17" s="270">
        <v>1647</v>
      </c>
      <c r="G17" s="270">
        <f>F17*0.1</f>
        <v>164.70000000000002</v>
      </c>
      <c r="H17" s="270">
        <f>F17*0.1</f>
        <v>164.70000000000002</v>
      </c>
      <c r="I17" s="270">
        <f>F17*0.05</f>
        <v>82.350000000000009</v>
      </c>
      <c r="J17" s="270">
        <f>F17*0.0833</f>
        <v>137.1951</v>
      </c>
      <c r="K17" s="270">
        <f>(F17+G17+H17+I17+J17)*0.2359</f>
        <v>518.02344908999999</v>
      </c>
      <c r="L17" s="270">
        <f>F17+G17+H17+I17+J17+K17</f>
        <v>2713.9685490900001</v>
      </c>
      <c r="M17" s="270">
        <f>L17*12</f>
        <v>32567.622589080001</v>
      </c>
      <c r="N17" s="270">
        <f>(G17+F17+H17)*12</f>
        <v>23716.800000000003</v>
      </c>
      <c r="O17" s="111">
        <f>(I17+J17+K17)*12</f>
        <v>8850.8225890800004</v>
      </c>
      <c r="P17" s="111">
        <f>O17+N17</f>
        <v>32567.622589080005</v>
      </c>
      <c r="Q17" s="380">
        <f>ROUND(P17/2,2)</f>
        <v>16283.81</v>
      </c>
    </row>
    <row r="18" spans="1:17" s="76" customFormat="1" ht="15.75" x14ac:dyDescent="0.25">
      <c r="A18" s="268" t="s">
        <v>165</v>
      </c>
      <c r="B18" s="267">
        <v>1</v>
      </c>
      <c r="C18" s="275">
        <v>21</v>
      </c>
      <c r="D18" s="275" t="s">
        <v>34</v>
      </c>
      <c r="E18" s="275">
        <v>10</v>
      </c>
      <c r="F18" s="270">
        <v>1282</v>
      </c>
      <c r="G18" s="270">
        <f>F18*0.1</f>
        <v>128.20000000000002</v>
      </c>
      <c r="H18" s="270">
        <f>F18*0.1</f>
        <v>128.20000000000002</v>
      </c>
      <c r="I18" s="270">
        <f>F18*0.05</f>
        <v>64.100000000000009</v>
      </c>
      <c r="J18" s="270">
        <f>F18*0.0833</f>
        <v>106.7906</v>
      </c>
      <c r="K18" s="270">
        <f>(F18+G18+H18+I18+J18)*0.2359</f>
        <v>403.22165253999998</v>
      </c>
      <c r="L18" s="270">
        <f>F18+G18+H18+I18+J18+K18</f>
        <v>2112.5122525400002</v>
      </c>
      <c r="M18" s="270">
        <f>L18*12</f>
        <v>25350.147030480002</v>
      </c>
      <c r="N18" s="270">
        <f>(G18+F18+H18)*12</f>
        <v>18460.800000000003</v>
      </c>
      <c r="O18" s="111">
        <f>(I18+J18+K18)*12</f>
        <v>6889.3470304799994</v>
      </c>
      <c r="P18" s="111">
        <f>O18+N18</f>
        <v>25350.147030480002</v>
      </c>
      <c r="Q18" s="380">
        <f>ROUND(P18/2,2)</f>
        <v>12675.07</v>
      </c>
    </row>
    <row r="19" spans="1:17" s="76" customFormat="1" ht="15.75" x14ac:dyDescent="0.25">
      <c r="A19" s="100"/>
      <c r="F19" s="94"/>
      <c r="G19" s="94"/>
      <c r="H19" s="94"/>
      <c r="I19" s="94"/>
      <c r="J19" s="94"/>
      <c r="K19" s="94"/>
      <c r="L19" s="94"/>
      <c r="M19" s="94"/>
      <c r="N19" s="94"/>
      <c r="O19" s="121" t="s">
        <v>4</v>
      </c>
      <c r="P19" s="299">
        <f>SUM(P17:P18)</f>
        <v>57917.769619560007</v>
      </c>
      <c r="Q19" s="349">
        <f>SUM(Q17:Q18)</f>
        <v>28958.879999999997</v>
      </c>
    </row>
    <row r="20" spans="1:17" s="76" customFormat="1" ht="15.75" x14ac:dyDescent="0.25">
      <c r="A20" s="100"/>
    </row>
    <row r="21" spans="1:17" s="76" customFormat="1" ht="15.75" x14ac:dyDescent="0.25">
      <c r="A21" s="100"/>
      <c r="Q21" s="340">
        <f>Q19+E9</f>
        <v>378834.00999999995</v>
      </c>
    </row>
    <row r="22" spans="1:17" s="76" customFormat="1" ht="15.75" x14ac:dyDescent="0.25">
      <c r="A22" s="100"/>
    </row>
    <row r="23" spans="1:17" s="76" customFormat="1" ht="15.75" x14ac:dyDescent="0.25">
      <c r="A23" s="100"/>
      <c r="P23" s="94"/>
    </row>
    <row r="24" spans="1:17" x14ac:dyDescent="0.25">
      <c r="A24" s="3"/>
    </row>
    <row r="25" spans="1:17" x14ac:dyDescent="0.25">
      <c r="A25" s="3"/>
    </row>
  </sheetData>
  <mergeCells count="2">
    <mergeCell ref="D1:E1"/>
    <mergeCell ref="A9:B9"/>
  </mergeCells>
  <pageMargins left="0.70866141732283472" right="0.70866141732283472" top="0.74803149606299213" bottom="0.74803149606299213" header="0.31496062992125984" footer="0.31496062992125984"/>
  <pageSetup paperSize="9" scale="2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Pielikums Nr_3</vt:lpstr>
      <vt:lpstr>Pielikums Nr_4</vt:lpstr>
      <vt:lpstr>Pielikums Nr_5</vt:lpstr>
      <vt:lpstr>Pielikums Nr_6</vt:lpstr>
      <vt:lpstr>Pielikums Nr_7</vt:lpstr>
      <vt:lpstr>Pielikums Nr_8</vt:lpstr>
      <vt:lpstr>Pielikums Nr_9</vt:lpstr>
      <vt:lpstr>'Pielikums Nr_3'!Print_Area</vt:lpstr>
      <vt:lpstr>'Pielikums Nr_8'!Print_Area</vt:lpstr>
      <vt:lpstr>'Pielikums Nr_9'!Print_Area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Aris Kasparans</dc:creator>
  <cp:keywords/>
  <dc:description/>
  <cp:lastModifiedBy>Igors Belovs</cp:lastModifiedBy>
  <cp:revision/>
  <cp:lastPrinted>2021-12-11T17:26:04Z</cp:lastPrinted>
  <dcterms:created xsi:type="dcterms:W3CDTF">2021-08-26T07:46:27Z</dcterms:created>
  <dcterms:modified xsi:type="dcterms:W3CDTF">2022-02-11T11:33:21Z</dcterms:modified>
  <cp:category/>
  <cp:contentStatus/>
</cp:coreProperties>
</file>