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defaultThemeVersion="124226"/>
  <mc:AlternateContent xmlns:mc="http://schemas.openxmlformats.org/markup-compatibility/2006">
    <mc:Choice Requires="x15">
      <x15ac:absPath xmlns:x15ac="http://schemas.microsoft.com/office/spreadsheetml/2010/11/ac" url="S:\BGPN\05 PAKALPOJUMI\Vardarbiba pilngadigie\MK 790. grozījumi\MKN 790. grozijumi II dala\"/>
    </mc:Choice>
  </mc:AlternateContent>
  <xr:revisionPtr revIDLastSave="0" documentId="8_{83728F5F-7D60-4419-8054-197458BE1492}" xr6:coauthVersionLast="36" xr6:coauthVersionMax="36" xr10:uidLastSave="{00000000-0000-0000-0000-000000000000}"/>
  <bookViews>
    <workbookView xWindow="-110" yWindow="-110" windowWidth="23260" windowHeight="12460" tabRatio="934" activeTab="3" xr2:uid="{00000000-000D-0000-FFFF-FFFF00000000}"/>
  </bookViews>
  <sheets>
    <sheet name="Pielikums" sheetId="22" r:id="rId1"/>
    <sheet name="1.tab_spēkā_esošie_MKnot" sheetId="7" r:id="rId2"/>
    <sheet name="1.1.cietušās_p_līdz_30.06.2023" sheetId="4" r:id="rId3"/>
    <sheet name="1.1.1.cietušie_pak_KC" sheetId="1" r:id="rId4"/>
    <sheet name="1.1.2.terorisms" sheetId="30" r:id="rId5"/>
    <sheet name="1.2.varmākas" sheetId="27" r:id="rId6"/>
    <sheet name="2.tab_izmaiņas" sheetId="32" r:id="rId7"/>
    <sheet name="1.3.speciālistu_apmāc." sheetId="28" r:id="rId8"/>
    <sheet name="2.1.Kdz" sheetId="25" r:id="rId9"/>
    <sheet name="2.2.augsts_vardarb_risks" sheetId="26" r:id="rId10"/>
    <sheet name="3.tab_ārzemnieki" sheetId="24" r:id="rId11"/>
    <sheet name="3.1.ārzemnieks_KC_cena" sheetId="23" r:id="rId12"/>
  </sheets>
  <definedNames>
    <definedName name="_xlnm.Print_Titles" localSheetId="3">'1.1.1.cietušie_pak_KC'!$4:$5</definedName>
    <definedName name="_xlnm.Print_Titles" localSheetId="2">'1.1.cietušās_p_līdz_30.06.2023'!$3:$6</definedName>
    <definedName name="_xlnm.Print_Titles" localSheetId="11">'3.1.ārzemnieks_KC_cena'!$5:$6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8" i="22" l="1"/>
  <c r="I21" i="24"/>
  <c r="I16" i="24"/>
  <c r="Q31" i="24" l="1"/>
  <c r="C24" i="24"/>
  <c r="A24" i="24"/>
  <c r="I24" i="24"/>
  <c r="G30" i="24"/>
  <c r="G28" i="24"/>
  <c r="E25" i="24"/>
  <c r="B24" i="24"/>
  <c r="E23" i="24"/>
  <c r="E24" i="24" s="1"/>
  <c r="B23" i="24"/>
  <c r="B29" i="24" s="1"/>
  <c r="G29" i="24" s="1"/>
  <c r="G19" i="24"/>
  <c r="E18" i="24"/>
  <c r="E19" i="24" s="1"/>
  <c r="F19" i="24" s="1"/>
  <c r="C20" i="24"/>
  <c r="E16" i="24"/>
  <c r="E15" i="24" s="1"/>
  <c r="E11" i="24"/>
  <c r="E10" i="24" l="1"/>
  <c r="E27" i="24" s="1"/>
  <c r="E28" i="24" s="1"/>
  <c r="E30" i="24" s="1"/>
  <c r="F30" i="24" s="1"/>
  <c r="G27" i="24"/>
  <c r="F24" i="24"/>
  <c r="G24" i="24"/>
  <c r="C22" i="24"/>
  <c r="G22" i="24" s="1"/>
  <c r="G20" i="24"/>
  <c r="F20" i="24"/>
  <c r="F17" i="24"/>
  <c r="G17" i="24"/>
  <c r="C18" i="24"/>
  <c r="E29" i="24" l="1"/>
  <c r="F29" i="24" s="1"/>
  <c r="F28" i="24"/>
  <c r="F27" i="24" s="1"/>
  <c r="C23" i="24"/>
  <c r="G23" i="24" s="1"/>
  <c r="C25" i="24"/>
  <c r="F22" i="24"/>
  <c r="G18" i="24"/>
  <c r="G16" i="24" s="1"/>
  <c r="F18" i="24"/>
  <c r="F16" i="24" s="1"/>
  <c r="F23" i="24" l="1"/>
  <c r="G25" i="24"/>
  <c r="G21" i="24" s="1"/>
  <c r="G15" i="24" s="1"/>
  <c r="F25" i="24"/>
  <c r="F21" i="24" l="1"/>
  <c r="F15" i="24" s="1"/>
  <c r="A36" i="22"/>
  <c r="L20" i="22"/>
  <c r="B16" i="32"/>
  <c r="B15" i="32"/>
  <c r="A16" i="32"/>
  <c r="A15" i="32"/>
  <c r="A2" i="26"/>
  <c r="A2" i="24" s="1"/>
  <c r="A35" i="22"/>
  <c r="C35" i="22"/>
  <c r="G10" i="32"/>
  <c r="G11" i="32" s="1"/>
  <c r="C10" i="32"/>
  <c r="C11" i="32" s="1"/>
  <c r="I9" i="32"/>
  <c r="E9" i="32"/>
  <c r="I8" i="32"/>
  <c r="E8" i="32"/>
  <c r="C23" i="25"/>
  <c r="C7" i="25" l="1"/>
  <c r="C34" i="22" l="1"/>
  <c r="A34" i="22"/>
  <c r="I4" i="22"/>
  <c r="I23" i="22" s="1"/>
  <c r="D4" i="22"/>
  <c r="D23" i="22" s="1"/>
  <c r="C17" i="7"/>
  <c r="B17" i="7"/>
  <c r="G10" i="7"/>
  <c r="G11" i="7" s="1"/>
  <c r="I9" i="7"/>
  <c r="I8" i="7"/>
  <c r="C10" i="7"/>
  <c r="B2" i="30"/>
  <c r="D7" i="30"/>
  <c r="F7" i="30" s="1"/>
  <c r="L11" i="22"/>
  <c r="A2" i="27"/>
  <c r="B19" i="7"/>
  <c r="A19" i="7"/>
  <c r="B18" i="7"/>
  <c r="A18" i="7"/>
  <c r="C16" i="7"/>
  <c r="B16" i="7"/>
  <c r="A15" i="7"/>
  <c r="J9" i="7"/>
  <c r="J8" i="7"/>
  <c r="J7" i="7"/>
  <c r="D6" i="30" l="1"/>
  <c r="F6" i="30" s="1"/>
  <c r="A2" i="1"/>
  <c r="A2" i="4" s="1"/>
  <c r="G25" i="27" l="1"/>
  <c r="G24" i="27"/>
  <c r="I23" i="27"/>
  <c r="H23" i="27"/>
  <c r="I22" i="27"/>
  <c r="D22" i="27"/>
  <c r="B22" i="27"/>
  <c r="H22" i="27" s="1"/>
  <c r="H21" i="27"/>
  <c r="H18" i="27"/>
  <c r="I17" i="27"/>
  <c r="H17" i="27"/>
  <c r="H16" i="27"/>
  <c r="B14" i="27"/>
  <c r="H14" i="27" s="1"/>
  <c r="H12" i="27"/>
  <c r="H11" i="27"/>
  <c r="D11" i="27"/>
  <c r="D12" i="27" s="1"/>
  <c r="H10" i="27"/>
  <c r="F8" i="27"/>
  <c r="F13" i="27" s="1"/>
  <c r="G21" i="28"/>
  <c r="G17" i="28"/>
  <c r="G16" i="28"/>
  <c r="F14" i="28"/>
  <c r="G13" i="28"/>
  <c r="G12" i="28"/>
  <c r="G11" i="28"/>
  <c r="B9" i="28"/>
  <c r="B10" i="28" s="1"/>
  <c r="G10" i="28" s="1"/>
  <c r="H9" i="27" l="1"/>
  <c r="B15" i="27"/>
  <c r="H15" i="27" s="1"/>
  <c r="F20" i="27"/>
  <c r="F23" i="27" s="1"/>
  <c r="G23" i="27" s="1"/>
  <c r="H20" i="27"/>
  <c r="B19" i="28"/>
  <c r="G19" i="28" s="1"/>
  <c r="F17" i="27"/>
  <c r="G17" i="27" s="1"/>
  <c r="F14" i="27"/>
  <c r="G14" i="27" s="1"/>
  <c r="F9" i="27"/>
  <c r="F10" i="27" s="1"/>
  <c r="G10" i="27" s="1"/>
  <c r="H24" i="27"/>
  <c r="H13" i="27"/>
  <c r="H8" i="27" s="1"/>
  <c r="F11" i="27"/>
  <c r="G11" i="27" s="1"/>
  <c r="G32" i="27"/>
  <c r="G37" i="27" s="1"/>
  <c r="F12" i="27"/>
  <c r="G12" i="27" s="1"/>
  <c r="G9" i="27" s="1"/>
  <c r="B15" i="28"/>
  <c r="G15" i="28" s="1"/>
  <c r="G14" i="28" s="1"/>
  <c r="G9" i="28"/>
  <c r="G8" i="28" s="1"/>
  <c r="B20" i="28"/>
  <c r="G20" i="28" s="1"/>
  <c r="G18" i="28" s="1"/>
  <c r="G7" i="28" l="1"/>
  <c r="F18" i="27"/>
  <c r="G18" i="27" s="1"/>
  <c r="F21" i="27"/>
  <c r="F15" i="27"/>
  <c r="F22" i="27"/>
  <c r="G22" i="27" s="1"/>
  <c r="G21" i="27"/>
  <c r="G22" i="28"/>
  <c r="G20" i="27" l="1"/>
  <c r="F16" i="27"/>
  <c r="G16" i="27" s="1"/>
  <c r="G33" i="27" s="1"/>
  <c r="G38" i="27" s="1"/>
  <c r="G15" i="27"/>
  <c r="G23" i="28"/>
  <c r="G24" i="28" s="1"/>
  <c r="G30" i="27" l="1"/>
  <c r="G35" i="27" s="1"/>
  <c r="G13" i="27"/>
  <c r="G8" i="27" s="1"/>
  <c r="G26" i="27" s="1"/>
  <c r="G27" i="27" s="1"/>
  <c r="G28" i="27" s="1"/>
  <c r="G31" i="27"/>
  <c r="G36" i="27" l="1"/>
  <c r="G34" i="27"/>
  <c r="G39" i="27" s="1"/>
  <c r="E8" i="7"/>
  <c r="E15" i="22"/>
  <c r="D8" i="23"/>
  <c r="D13" i="1"/>
  <c r="E13" i="1" s="1"/>
  <c r="G13" i="1" s="1"/>
  <c r="E12" i="1"/>
  <c r="G12" i="1" s="1"/>
  <c r="G11" i="1" s="1"/>
  <c r="E15" i="26" s="1"/>
  <c r="E10" i="1"/>
  <c r="G10" i="1" s="1"/>
  <c r="E9" i="1"/>
  <c r="G9" i="1" s="1"/>
  <c r="D7" i="1"/>
  <c r="E7" i="1" s="1"/>
  <c r="G7" i="1" s="1"/>
  <c r="G41" i="27" l="1"/>
  <c r="G40" i="27"/>
  <c r="D15" i="23"/>
  <c r="E15" i="23" s="1"/>
  <c r="G15" i="23" s="1"/>
  <c r="D8" i="1"/>
  <c r="E8" i="1" s="1"/>
  <c r="G8" i="1" s="1"/>
  <c r="G28" i="22"/>
  <c r="D29" i="22"/>
  <c r="D30" i="22" s="1"/>
  <c r="D19" i="22"/>
  <c r="D20" i="22" s="1"/>
  <c r="G18" i="22"/>
  <c r="G9" i="22"/>
  <c r="D10" i="22"/>
  <c r="D11" i="22" s="1"/>
  <c r="I40" i="22"/>
  <c r="J40" i="22" s="1"/>
  <c r="J41" i="22"/>
  <c r="J7" i="26"/>
  <c r="E7" i="26"/>
  <c r="D14" i="26"/>
  <c r="D15" i="26" s="1"/>
  <c r="D7" i="26"/>
  <c r="E16" i="22"/>
  <c r="F16" i="22"/>
  <c r="E17" i="22"/>
  <c r="F17" i="22"/>
  <c r="A3" i="24"/>
  <c r="C36" i="22" s="1"/>
  <c r="A2" i="23"/>
  <c r="E14" i="25"/>
  <c r="C17" i="25" s="1"/>
  <c r="C8" i="25"/>
  <c r="E6" i="25"/>
  <c r="E5" i="25"/>
  <c r="E9" i="25" s="1"/>
  <c r="O30" i="24"/>
  <c r="O28" i="24"/>
  <c r="M25" i="24"/>
  <c r="J24" i="24"/>
  <c r="O24" i="24" s="1"/>
  <c r="M23" i="24"/>
  <c r="M24" i="24" s="1"/>
  <c r="J23" i="24"/>
  <c r="J29" i="24" s="1"/>
  <c r="O29" i="24" s="1"/>
  <c r="O19" i="24"/>
  <c r="M18" i="24"/>
  <c r="M19" i="24" s="1"/>
  <c r="N19" i="24" s="1"/>
  <c r="Q19" i="24" s="1"/>
  <c r="K17" i="24"/>
  <c r="K18" i="24" s="1"/>
  <c r="M16" i="24"/>
  <c r="M15" i="24" s="1"/>
  <c r="M11" i="24"/>
  <c r="E14" i="23"/>
  <c r="G14" i="23" s="1"/>
  <c r="C12" i="23"/>
  <c r="E12" i="23" s="1"/>
  <c r="G12" i="23" s="1"/>
  <c r="E11" i="23"/>
  <c r="G11" i="23" s="1"/>
  <c r="D9" i="23"/>
  <c r="E8" i="23"/>
  <c r="G8" i="23" s="1"/>
  <c r="F7" i="22"/>
  <c r="F8" i="22"/>
  <c r="J8" i="22" s="1"/>
  <c r="J27" i="22" s="1"/>
  <c r="E6" i="22"/>
  <c r="I6" i="22" s="1"/>
  <c r="K17" i="22"/>
  <c r="K16" i="22"/>
  <c r="B15" i="7"/>
  <c r="E17" i="4"/>
  <c r="H21" i="4"/>
  <c r="E9" i="4"/>
  <c r="E14" i="4"/>
  <c r="E13" i="4" s="1"/>
  <c r="E19" i="4"/>
  <c r="B20" i="4"/>
  <c r="B25" i="4" s="1"/>
  <c r="G25" i="4" s="1"/>
  <c r="H19" i="4"/>
  <c r="H20" i="4"/>
  <c r="G19" i="4"/>
  <c r="G21" i="4"/>
  <c r="G15" i="4"/>
  <c r="G17" i="4"/>
  <c r="G16" i="4"/>
  <c r="G24" i="4"/>
  <c r="G23" i="4" s="1"/>
  <c r="G26" i="4"/>
  <c r="E16" i="4"/>
  <c r="F15" i="4"/>
  <c r="C16" i="4"/>
  <c r="C17" i="4" s="1"/>
  <c r="F27" i="4"/>
  <c r="G14" i="4" l="1"/>
  <c r="F19" i="4"/>
  <c r="E21" i="4"/>
  <c r="F21" i="4" s="1"/>
  <c r="M10" i="24"/>
  <c r="M27" i="24" s="1"/>
  <c r="M28" i="24" s="1"/>
  <c r="M30" i="24" s="1"/>
  <c r="N30" i="24" s="1"/>
  <c r="Q30" i="24" s="1"/>
  <c r="K22" i="24"/>
  <c r="K23" i="24" s="1"/>
  <c r="N23" i="24" s="1"/>
  <c r="Q23" i="24" s="1"/>
  <c r="G16" i="22"/>
  <c r="F17" i="4"/>
  <c r="F26" i="22"/>
  <c r="E9" i="23"/>
  <c r="G9" i="23" s="1"/>
  <c r="E10" i="23"/>
  <c r="G10" i="23" s="1"/>
  <c r="G7" i="23" s="1"/>
  <c r="O17" i="24"/>
  <c r="O27" i="24"/>
  <c r="G7" i="26"/>
  <c r="H7" i="26" s="1"/>
  <c r="I7" i="26" s="1"/>
  <c r="N17" i="24"/>
  <c r="Q17" i="24" s="1"/>
  <c r="K25" i="24"/>
  <c r="O25" i="24" s="1"/>
  <c r="G13" i="23"/>
  <c r="C11" i="25"/>
  <c r="E11" i="25" s="1"/>
  <c r="K20" i="24"/>
  <c r="G17" i="22"/>
  <c r="J7" i="22"/>
  <c r="J26" i="22" s="1"/>
  <c r="F27" i="22"/>
  <c r="F16" i="4"/>
  <c r="F14" i="4" s="1"/>
  <c r="G20" i="4"/>
  <c r="G18" i="4" s="1"/>
  <c r="E11" i="1"/>
  <c r="N24" i="24"/>
  <c r="Q24" i="24" s="1"/>
  <c r="E6" i="1"/>
  <c r="E8" i="4"/>
  <c r="E23" i="4" s="1"/>
  <c r="E24" i="4" s="1"/>
  <c r="E26" i="4" s="1"/>
  <c r="F26" i="4" s="1"/>
  <c r="E18" i="4"/>
  <c r="C9" i="25"/>
  <c r="C22" i="25" s="1"/>
  <c r="B12" i="4"/>
  <c r="B14" i="24" s="1"/>
  <c r="O23" i="24"/>
  <c r="N18" i="24"/>
  <c r="Q18" i="24" s="1"/>
  <c r="O18" i="24"/>
  <c r="G6" i="1"/>
  <c r="E20" i="4"/>
  <c r="F20" i="4" s="1"/>
  <c r="E13" i="23"/>
  <c r="G14" i="24" l="1"/>
  <c r="F14" i="24"/>
  <c r="N22" i="24"/>
  <c r="Q22" i="24" s="1"/>
  <c r="O22" i="24"/>
  <c r="O21" i="24" s="1"/>
  <c r="M29" i="24"/>
  <c r="N29" i="24" s="1"/>
  <c r="Q29" i="24" s="1"/>
  <c r="N28" i="24"/>
  <c r="Q28" i="24" s="1"/>
  <c r="C16" i="25"/>
  <c r="C18" i="25" s="1"/>
  <c r="N25" i="24"/>
  <c r="Q25" i="24" s="1"/>
  <c r="E7" i="23"/>
  <c r="E16" i="23" s="1"/>
  <c r="F13" i="23" s="1"/>
  <c r="E25" i="4"/>
  <c r="F25" i="4" s="1"/>
  <c r="F23" i="4" s="1"/>
  <c r="F24" i="4"/>
  <c r="C24" i="25"/>
  <c r="O20" i="24"/>
  <c r="O16" i="24" s="1"/>
  <c r="N20" i="24"/>
  <c r="G13" i="4"/>
  <c r="G16" i="23"/>
  <c r="G20" i="23" s="1"/>
  <c r="E14" i="1"/>
  <c r="F11" i="1" s="1"/>
  <c r="F18" i="4"/>
  <c r="F13" i="4" s="1"/>
  <c r="I25" i="22"/>
  <c r="I19" i="22"/>
  <c r="I20" i="22" s="1"/>
  <c r="G14" i="1"/>
  <c r="E14" i="26" s="1"/>
  <c r="G15" i="26"/>
  <c r="J14" i="24"/>
  <c r="G12" i="4"/>
  <c r="F12" i="4"/>
  <c r="Q27" i="24" l="1"/>
  <c r="N16" i="24"/>
  <c r="N15" i="24" s="1"/>
  <c r="Q20" i="24"/>
  <c r="Q16" i="24" s="1"/>
  <c r="Q21" i="24"/>
  <c r="N21" i="24"/>
  <c r="O15" i="24"/>
  <c r="N27" i="24"/>
  <c r="C27" i="25"/>
  <c r="G19" i="23"/>
  <c r="G18" i="23"/>
  <c r="G21" i="23"/>
  <c r="G22" i="23"/>
  <c r="J12" i="24"/>
  <c r="N12" i="24" s="1"/>
  <c r="G23" i="23"/>
  <c r="F6" i="1"/>
  <c r="F14" i="1" s="1"/>
  <c r="E9" i="7"/>
  <c r="E8" i="22"/>
  <c r="E19" i="22"/>
  <c r="E20" i="22" s="1"/>
  <c r="E25" i="22"/>
  <c r="G14" i="26"/>
  <c r="B11" i="4"/>
  <c r="F11" i="4" s="1"/>
  <c r="M14" i="1"/>
  <c r="G20" i="1"/>
  <c r="B10" i="4"/>
  <c r="B12" i="24" s="1"/>
  <c r="G19" i="1"/>
  <c r="G18" i="1"/>
  <c r="G17" i="1"/>
  <c r="G16" i="1"/>
  <c r="G21" i="1"/>
  <c r="H11" i="1"/>
  <c r="F7" i="23"/>
  <c r="F16" i="23" s="1"/>
  <c r="H6" i="1"/>
  <c r="O14" i="24"/>
  <c r="N14" i="24"/>
  <c r="Q14" i="24" s="1"/>
  <c r="H15" i="26"/>
  <c r="I15" i="26" s="1"/>
  <c r="B13" i="24" l="1"/>
  <c r="F12" i="24"/>
  <c r="G12" i="24"/>
  <c r="Q15" i="24"/>
  <c r="O12" i="24"/>
  <c r="J13" i="24"/>
  <c r="O13" i="24" s="1"/>
  <c r="O11" i="24" s="1"/>
  <c r="G10" i="4"/>
  <c r="F10" i="4"/>
  <c r="F9" i="4" s="1"/>
  <c r="H14" i="1"/>
  <c r="M12" i="1"/>
  <c r="M13" i="1" s="1"/>
  <c r="P13" i="1" s="1"/>
  <c r="G11" i="4"/>
  <c r="I8" i="22"/>
  <c r="G8" i="22"/>
  <c r="E27" i="22"/>
  <c r="G27" i="22" s="1"/>
  <c r="H14" i="26"/>
  <c r="I14" i="26" s="1"/>
  <c r="I17" i="26" s="1"/>
  <c r="G13" i="24" l="1"/>
  <c r="G11" i="24" s="1"/>
  <c r="G10" i="24" s="1"/>
  <c r="F13" i="24"/>
  <c r="G9" i="4"/>
  <c r="G8" i="4" s="1"/>
  <c r="H7" i="32"/>
  <c r="F11" i="24"/>
  <c r="F10" i="24" s="1"/>
  <c r="F32" i="24" s="1"/>
  <c r="F33" i="24" s="1"/>
  <c r="F34" i="24" s="1"/>
  <c r="Q12" i="24"/>
  <c r="O10" i="24"/>
  <c r="N13" i="24"/>
  <c r="K8" i="22"/>
  <c r="I27" i="22"/>
  <c r="K27" i="22" s="1"/>
  <c r="M15" i="1"/>
  <c r="F8" i="4"/>
  <c r="F28" i="4" s="1"/>
  <c r="H10" i="32" l="1"/>
  <c r="H11" i="32" s="1"/>
  <c r="J15" i="22"/>
  <c r="F15" i="22" s="1"/>
  <c r="D7" i="32"/>
  <c r="I7" i="32"/>
  <c r="I10" i="32" s="1"/>
  <c r="I11" i="32" s="1"/>
  <c r="N11" i="24"/>
  <c r="N10" i="24" s="1"/>
  <c r="N32" i="24" s="1"/>
  <c r="N33" i="24" s="1"/>
  <c r="N34" i="24" s="1"/>
  <c r="Q13" i="24"/>
  <c r="Q11" i="24" s="1"/>
  <c r="Q10" i="24" s="1"/>
  <c r="Q32" i="24" s="1"/>
  <c r="Q33" i="24" s="1"/>
  <c r="Q34" i="24" s="1"/>
  <c r="J19" i="22"/>
  <c r="J20" i="22" s="1"/>
  <c r="K15" i="22"/>
  <c r="K19" i="22" s="1"/>
  <c r="K20" i="22" s="1"/>
  <c r="F29" i="4"/>
  <c r="F30" i="4" s="1"/>
  <c r="H7" i="7" l="1"/>
  <c r="D7" i="7"/>
  <c r="F6" i="22" s="1"/>
  <c r="D10" i="32"/>
  <c r="D11" i="32" s="1"/>
  <c r="E7" i="32"/>
  <c r="E10" i="32" s="1"/>
  <c r="E11" i="32" s="1"/>
  <c r="C11" i="7"/>
  <c r="E7" i="22"/>
  <c r="E7" i="7"/>
  <c r="F19" i="22"/>
  <c r="F20" i="22" s="1"/>
  <c r="G15" i="22"/>
  <c r="G19" i="22" s="1"/>
  <c r="G20" i="22" s="1"/>
  <c r="D10" i="7" l="1"/>
  <c r="D11" i="7" s="1"/>
  <c r="I7" i="7"/>
  <c r="I10" i="7" s="1"/>
  <c r="I11" i="7" s="1"/>
  <c r="J6" i="22"/>
  <c r="H10" i="7"/>
  <c r="H11" i="7" s="1"/>
  <c r="E10" i="7"/>
  <c r="E11" i="7" s="1"/>
  <c r="E26" i="22"/>
  <c r="E10" i="22"/>
  <c r="E11" i="22" s="1"/>
  <c r="I7" i="22"/>
  <c r="G7" i="22"/>
  <c r="F25" i="22"/>
  <c r="F10" i="22"/>
  <c r="F11" i="22" s="1"/>
  <c r="G6" i="22"/>
  <c r="G10" i="22" l="1"/>
  <c r="G11" i="22" s="1"/>
  <c r="I26" i="22"/>
  <c r="K7" i="22"/>
  <c r="I10" i="22"/>
  <c r="I11" i="22" s="1"/>
  <c r="G26" i="22"/>
  <c r="E29" i="22"/>
  <c r="E30" i="22" s="1"/>
  <c r="J10" i="22"/>
  <c r="J11" i="22" s="1"/>
  <c r="J25" i="22"/>
  <c r="K6" i="22"/>
  <c r="K10" i="22" s="1"/>
  <c r="K11" i="22" s="1"/>
  <c r="F29" i="22"/>
  <c r="F30" i="22" s="1"/>
  <c r="G25" i="22"/>
  <c r="G29" i="22" s="1"/>
  <c r="G30" i="22" s="1"/>
  <c r="K26" i="22" l="1"/>
  <c r="I29" i="22"/>
  <c r="I30" i="22" s="1"/>
  <c r="J29" i="22"/>
  <c r="J30" i="22" s="1"/>
  <c r="K25" i="22"/>
  <c r="K29" i="22" l="1"/>
  <c r="K30" i="2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Sandra Strēle</author>
  </authors>
  <commentList>
    <comment ref="M6" authorId="0" shapeId="0" xr:uid="{5C45419C-D819-4C79-9453-97254620C61D}">
      <text>
        <r>
          <rPr>
            <b/>
            <sz val="9"/>
            <color indexed="81"/>
            <rFont val="Tahoma"/>
            <family val="2"/>
            <charset val="186"/>
          </rPr>
          <t>Sandra Strēle:</t>
        </r>
        <r>
          <rPr>
            <sz val="9"/>
            <color indexed="81"/>
            <rFont val="Tahoma"/>
            <family val="2"/>
            <charset val="186"/>
          </rPr>
          <t xml:space="preserve">
Ministru kabineta noteikumi Nr. 165
Rīgā 2023. gada 4. aprīlī (prot. Nr. 17 31. §)
Grozījumi Ministru kabineta 2014. gada 23. decembra noteikumos Nr. 790 "Sociālās rehabilitācijas pakalpojumu sniegšanas kārtība no vardarbības cietušām un vardarbību veikušām pilngadīgām personām"</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Sandra Strele</author>
  </authors>
  <commentList>
    <comment ref="P13" authorId="0" shapeId="0" xr:uid="{00000000-0006-0000-0700-000001000000}">
      <text>
        <r>
          <rPr>
            <b/>
            <sz val="9"/>
            <color indexed="81"/>
            <rFont val="Tahoma"/>
            <family val="2"/>
            <charset val="186"/>
          </rPr>
          <t>Sandra Strele:</t>
        </r>
        <r>
          <rPr>
            <sz val="9"/>
            <color indexed="81"/>
            <rFont val="Tahoma"/>
            <family val="2"/>
            <charset val="186"/>
          </rPr>
          <t xml:space="preserve">
bez administrēšanas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Sandra Strele</author>
  </authors>
  <commentList>
    <comment ref="C19" authorId="0" shapeId="0" xr:uid="{DF541D3E-E593-40B8-80EF-4283A9D852B6}">
      <text>
        <r>
          <rPr>
            <b/>
            <sz val="9"/>
            <color indexed="81"/>
            <rFont val="Tahoma"/>
            <family val="2"/>
            <charset val="186"/>
          </rPr>
          <t>Sandra Strele:</t>
        </r>
        <r>
          <rPr>
            <sz val="9"/>
            <color indexed="81"/>
            <rFont val="Tahoma"/>
            <family val="2"/>
            <charset val="186"/>
          </rPr>
          <t xml:space="preserve">
vidējais vienas supervīzijas ilgums 7h x 3 nodarbības = 21h</t>
        </r>
      </text>
    </comment>
    <comment ref="C20" authorId="0" shapeId="0" xr:uid="{E0C576A4-31B3-4A2A-8176-3A835B1D6629}">
      <text>
        <r>
          <rPr>
            <b/>
            <sz val="9"/>
            <color indexed="81"/>
            <rFont val="Tahoma"/>
            <family val="2"/>
            <charset val="186"/>
          </rPr>
          <t>Sandra Strele:</t>
        </r>
        <r>
          <rPr>
            <sz val="9"/>
            <color indexed="81"/>
            <rFont val="Tahoma"/>
            <family val="2"/>
            <charset val="186"/>
          </rPr>
          <t xml:space="preserve">
katrs speciālists gatavojas 2 h</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Sandra Strēle</author>
  </authors>
  <commentList>
    <comment ref="B11" authorId="0" shapeId="0" xr:uid="{ABA33324-1BBD-4222-A4FE-EBA708150D89}">
      <text>
        <r>
          <rPr>
            <b/>
            <sz val="9"/>
            <color indexed="81"/>
            <rFont val="Tahoma"/>
            <family val="2"/>
            <charset val="186"/>
          </rPr>
          <t>Sandra Strēle:</t>
        </r>
        <r>
          <rPr>
            <sz val="9"/>
            <color indexed="81"/>
            <rFont val="Tahoma"/>
            <family val="2"/>
            <charset val="186"/>
          </rPr>
          <t xml:space="preserve">
un citām personām, ar kurām tā pirms pakalpojuma saņemšanas ir dzīvojusi nedalītā mājsaimniecībā. </t>
        </r>
      </text>
    </comment>
    <comment ref="F11" authorId="0" shapeId="0" xr:uid="{1D508067-392A-4F60-9429-2CBDABA26DAE}">
      <text>
        <r>
          <rPr>
            <b/>
            <sz val="9"/>
            <color indexed="81"/>
            <rFont val="Tahoma"/>
            <family val="2"/>
            <charset val="186"/>
          </rPr>
          <t>Sandra Strēle:</t>
        </r>
        <r>
          <rPr>
            <sz val="9"/>
            <color indexed="81"/>
            <rFont val="Tahoma"/>
            <family val="2"/>
            <charset val="186"/>
          </rPr>
          <t xml:space="preserve">
un citām personām, ar kurām tā pirms pakalpojuma saņemšanas ir dzīvojusi nedalītā mājsaimniecībā. </t>
        </r>
      </text>
    </comment>
    <comment ref="D14" authorId="0" shapeId="0" xr:uid="{72722086-5E1D-4885-97C0-8835DC7BCEA4}">
      <text>
        <r>
          <rPr>
            <b/>
            <sz val="9"/>
            <color indexed="81"/>
            <rFont val="Tahoma"/>
            <family val="2"/>
            <charset val="186"/>
          </rPr>
          <t>Sandra Strēle:</t>
        </r>
        <r>
          <rPr>
            <sz val="9"/>
            <color indexed="81"/>
            <rFont val="Tahoma"/>
            <family val="2"/>
            <charset val="186"/>
          </rPr>
          <t xml:space="preserve">
apjoms visa pakalpojuma sniegšanas laikā</t>
        </r>
      </text>
    </comment>
    <comment ref="C22" authorId="0" shapeId="0" xr:uid="{C331C30B-FF3A-4104-B8EC-955BA35E690B}">
      <text>
        <r>
          <rPr>
            <b/>
            <sz val="9"/>
            <color indexed="81"/>
            <rFont val="Tahoma"/>
            <family val="2"/>
            <charset val="186"/>
          </rPr>
          <t>Sandra Strēle:</t>
        </r>
        <r>
          <rPr>
            <sz val="9"/>
            <color indexed="81"/>
            <rFont val="Tahoma"/>
            <family val="2"/>
            <charset val="186"/>
          </rPr>
          <t xml:space="preserve">
10 personas, t.sk. 5 ar 2 bērniem = 10 personas + 10 bērni</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Sandra Strele</author>
    <author>Sandra Strēle</author>
  </authors>
  <commentList>
    <comment ref="D7" authorId="0" shapeId="0" xr:uid="{00000000-0006-0000-0400-000001000000}">
      <text>
        <r>
          <rPr>
            <b/>
            <sz val="9"/>
            <color indexed="81"/>
            <rFont val="Tahoma"/>
            <family val="2"/>
            <charset val="186"/>
          </rPr>
          <t>Sandra Strele:</t>
        </r>
        <r>
          <rPr>
            <sz val="9"/>
            <color indexed="81"/>
            <rFont val="Tahoma"/>
            <family val="2"/>
            <charset val="186"/>
          </rPr>
          <t xml:space="preserve">
20konsultācijas "pamatā" jau var saņemt, tāpēc 100
</t>
        </r>
      </text>
    </comment>
    <comment ref="E13" authorId="1" shapeId="0" xr:uid="{276256E2-FC6A-41E8-80B5-80AEDF6E9851}">
      <text>
        <r>
          <rPr>
            <b/>
            <sz val="9"/>
            <color indexed="81"/>
            <rFont val="Tahoma"/>
            <family val="2"/>
            <charset val="186"/>
          </rPr>
          <t>Sandra Strēle:</t>
        </r>
        <r>
          <rPr>
            <sz val="9"/>
            <color indexed="81"/>
            <rFont val="Tahoma"/>
            <family val="2"/>
            <charset val="186"/>
          </rPr>
          <t xml:space="preserve">
Atbilstoši pakalpojuma vardarbībā c. personas izmaksām institūcijā</t>
        </r>
      </text>
    </comment>
    <comment ref="D14" authorId="0" shapeId="0" xr:uid="{00000000-0006-0000-0400-000002000000}">
      <text>
        <r>
          <rPr>
            <b/>
            <sz val="9"/>
            <color indexed="81"/>
            <rFont val="Tahoma"/>
            <family val="2"/>
            <charset val="186"/>
          </rPr>
          <t>Sandra Strele:</t>
        </r>
        <r>
          <rPr>
            <sz val="9"/>
            <color indexed="81"/>
            <rFont val="Tahoma"/>
            <family val="2"/>
            <charset val="186"/>
          </rPr>
          <t xml:space="preserve">
60 dienas pamatā jau var saņemt… tāpēc 120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Sandra Strele</author>
    <author>Sandra Strēle</author>
  </authors>
  <commentList>
    <comment ref="K17" authorId="0" shapeId="0" xr:uid="{00000000-0006-0000-0200-000001000000}">
      <text>
        <r>
          <rPr>
            <b/>
            <sz val="9"/>
            <color indexed="81"/>
            <rFont val="Tahoma"/>
            <family val="2"/>
            <charset val="186"/>
          </rPr>
          <t>Sandra Strele:</t>
        </r>
        <r>
          <rPr>
            <sz val="9"/>
            <color indexed="81"/>
            <rFont val="Tahoma"/>
            <family val="2"/>
            <charset val="186"/>
          </rPr>
          <t xml:space="preserve">
10+5 ārsta konsultācijas
</t>
        </r>
      </text>
    </comment>
    <comment ref="C18" authorId="0" shapeId="0" xr:uid="{A244B5C9-E1D8-431D-91E7-3A9E311D0A37}">
      <text>
        <r>
          <rPr>
            <b/>
            <sz val="9"/>
            <color indexed="81"/>
            <rFont val="Tahoma"/>
            <family val="2"/>
            <charset val="186"/>
          </rPr>
          <t>Sandra Strele:</t>
        </r>
        <r>
          <rPr>
            <sz val="9"/>
            <color indexed="81"/>
            <rFont val="Tahoma"/>
            <family val="2"/>
            <charset val="186"/>
          </rPr>
          <t xml:space="preserve">
-10 mentora konsultācijas</t>
        </r>
      </text>
    </comment>
    <comment ref="K18" authorId="0" shapeId="0" xr:uid="{00000000-0006-0000-0200-000002000000}">
      <text>
        <r>
          <rPr>
            <b/>
            <sz val="9"/>
            <color indexed="81"/>
            <rFont val="Tahoma"/>
            <family val="2"/>
            <charset val="186"/>
          </rPr>
          <t>Sandra Strele:</t>
        </r>
        <r>
          <rPr>
            <sz val="9"/>
            <color indexed="81"/>
            <rFont val="Tahoma"/>
            <family val="2"/>
            <charset val="186"/>
          </rPr>
          <t xml:space="preserve">
-10 mentora konsultācijas</t>
        </r>
      </text>
    </comment>
    <comment ref="C20" authorId="0" shapeId="0" xr:uid="{1605BC02-6EC3-438E-8BB0-49A3CBBACA47}">
      <text>
        <r>
          <rPr>
            <b/>
            <sz val="9"/>
            <color indexed="81"/>
            <rFont val="Tahoma"/>
            <family val="2"/>
            <charset val="186"/>
          </rPr>
          <t>Sandra Strele:</t>
        </r>
        <r>
          <rPr>
            <sz val="9"/>
            <color indexed="81"/>
            <rFont val="Tahoma"/>
            <family val="2"/>
            <charset val="186"/>
          </rPr>
          <t xml:space="preserve">
pieņem, ka pie mentora nebrauc, bet mentors brauc pie klienta</t>
        </r>
      </text>
    </comment>
    <comment ref="K20" authorId="0" shapeId="0" xr:uid="{00000000-0006-0000-0200-000003000000}">
      <text>
        <r>
          <rPr>
            <b/>
            <sz val="9"/>
            <color indexed="81"/>
            <rFont val="Tahoma"/>
            <family val="2"/>
            <charset val="186"/>
          </rPr>
          <t>Sandra Strele:</t>
        </r>
        <r>
          <rPr>
            <sz val="9"/>
            <color indexed="81"/>
            <rFont val="Tahoma"/>
            <family val="2"/>
            <charset val="186"/>
          </rPr>
          <t xml:space="preserve">
pieņem, ka pie mentora nebrauc, bet mentors brauc pie klienta</t>
        </r>
      </text>
    </comment>
    <comment ref="Q34" authorId="1" shapeId="0" xr:uid="{D6380A3A-26BB-4903-9387-0DB3ED9AF0AF}">
      <text>
        <r>
          <rPr>
            <b/>
            <sz val="9"/>
            <color indexed="81"/>
            <rFont val="Tahoma"/>
            <family val="2"/>
            <charset val="186"/>
          </rPr>
          <t>Sandra Strēle:</t>
        </r>
        <r>
          <rPr>
            <sz val="9"/>
            <color indexed="81"/>
            <rFont val="Tahoma"/>
            <family val="2"/>
            <charset val="186"/>
          </rPr>
          <t xml:space="preserve">
ietekme uz budžetu</t>
        </r>
      </text>
    </comment>
  </commentList>
</comments>
</file>

<file path=xl/sharedStrings.xml><?xml version="1.0" encoding="utf-8"?>
<sst xmlns="http://schemas.openxmlformats.org/spreadsheetml/2006/main" count="551" uniqueCount="287">
  <si>
    <t>Sociālā darbinieka konsultācijas</t>
  </si>
  <si>
    <t xml:space="preserve">Sociālā darbinieka sociālā gadījuma vadīšanas darbs (sadarbības organizēšana ar citiem pakalpojumu sniedzējiem, SD, tiesībaizsardzības institūcijām u.c.)  </t>
  </si>
  <si>
    <t xml:space="preserve"> vienas vienības izmaksas</t>
  </si>
  <si>
    <t>konsultācijas</t>
  </si>
  <si>
    <t>stundas</t>
  </si>
  <si>
    <t xml:space="preserve"> vienību skaits kursā</t>
  </si>
  <si>
    <t>%</t>
  </si>
  <si>
    <t>Izmaksu pozīcija</t>
  </si>
  <si>
    <t>EURO</t>
  </si>
  <si>
    <t>rezultatīvais rādītājs</t>
  </si>
  <si>
    <t>Kopā</t>
  </si>
  <si>
    <t>Cena euro</t>
  </si>
  <si>
    <t>Pakalpojuma izmaksas kopā</t>
  </si>
  <si>
    <t>Nepieciešamais finansējums</t>
  </si>
  <si>
    <t>nosaukums</t>
  </si>
  <si>
    <t>skaits</t>
  </si>
  <si>
    <t>x</t>
  </si>
  <si>
    <t>Paskaidrojums/Izmaksu aprēķins</t>
  </si>
  <si>
    <t>Aprēķini</t>
  </si>
  <si>
    <t>1.1. Pakalpojums institūcijā</t>
  </si>
  <si>
    <t>dienu/      konsultāciju,  skaits</t>
  </si>
  <si>
    <t>Sociālā rehabilitācijas pakalpojuma kursa izmaksas kopā</t>
  </si>
  <si>
    <t>Transporta izdevumi klientiem</t>
  </si>
  <si>
    <t>30 dienu pamatkurss</t>
  </si>
  <si>
    <t>2.posms - konsultāciju nodrošinājums pēc sociālās rehabilitācijas pakalpojuma kursa pabeigšanas</t>
  </si>
  <si>
    <t>Psihologa konsultācijas (konsultācija 45 minūtes un 15 minūtes dokumentu kārtošana)</t>
  </si>
  <si>
    <t>Speciālistu (ārsts, psihiatrs, jurists u.c.)  konsultācija (konsultācija 45 minūtes un 15 minūtes dokumentu kārtošana)</t>
  </si>
  <si>
    <t>stundas/ konsultācijas</t>
  </si>
  <si>
    <t>Pakalpojuma nosaukums</t>
  </si>
  <si>
    <t>EKK 3000</t>
  </si>
  <si>
    <t>KOPĀ</t>
  </si>
  <si>
    <t xml:space="preserve">Pakalpojuma cenas un finansējums </t>
  </si>
  <si>
    <t>1.Sociālās rehabilitācijas pakalpojuma kursa izmaksas kopā</t>
  </si>
  <si>
    <t>1.2. Pakalpojums dzīvesvietā  - psihosociālais atbalsts (speciālistu individuālās konsultācijas)</t>
  </si>
  <si>
    <t>30 dienu papildus kurss                                                                                                                                                                                                                                  (kopā līdz 60 dienām)</t>
  </si>
  <si>
    <t>Pakalpojuma veids/ finansējuma aprēķins</t>
  </si>
  <si>
    <t xml:space="preserve">1.2.2. papildu konsultācijas </t>
  </si>
  <si>
    <t>persona</t>
  </si>
  <si>
    <t>S.Strēle</t>
  </si>
  <si>
    <t>izmaksas                                                                                        1 klientam                                                     30 dienās</t>
  </si>
  <si>
    <t>1. Tiešās sociālā rehabilitācijas pakalpojuma izmaksas kopā</t>
  </si>
  <si>
    <t>1.2.1. konsultācijas</t>
  </si>
  <si>
    <t>2.1. Individuālo konsultāciju izmaksas pēc sociālās rehabilitācijas pakalpojuma kursa pabeigšanas kopā</t>
  </si>
  <si>
    <t>1.posms - Sociālās rehabilitācijas pakalpojuma sniegšana</t>
  </si>
  <si>
    <t>MAX izmaksas                         1 klientam                dienā</t>
  </si>
  <si>
    <t>3. Tulka pakalpojumu izdevumi</t>
  </si>
  <si>
    <t xml:space="preserve">Vienas stundas izmaksā 35.00 euro ir iekļauti visi nodokļi, kas saistīti ar attiecīgā pakalpojuma sniegšanu, gan darba ņēmēja, gan darba devēja valsts sociālās apdrošināšanas obligātās iemaksas, kā arī iedzīvotāju ienākuma nodoklis.   </t>
  </si>
  <si>
    <t xml:space="preserve">Pakalpojuma administrēšanai novirza ne vairāk kā 20% no kopējās pakalpojuma viena klienta vienas dienas cenas. </t>
  </si>
  <si>
    <t>Darbinieku kvalifikācijas celšanas, supervīziju un veselības apdrošināšanas izmaksas</t>
  </si>
  <si>
    <t xml:space="preserve">izmaksas uz 1 personu </t>
  </si>
  <si>
    <t>Izmaksas uz 1 personu dienā pielīdzinātas valsts apmaksātā pakalpojuma "No prettiesiskām darbībām cietušu bērnu sociālās rehabilitācijas pakalpojuma institūcijā - 30 dienu kurss bērnam" cenu grozā iekļautajām izmaksām.</t>
  </si>
  <si>
    <t>Izmaksas, kas saistītas ar pakalpojuma administrēšanu un klientu uzturēšanu (izmitināšanu), t.sk., ēdināšana, komunālie, telpu īre, transporta pakalpojumi, kancelejas preces.</t>
  </si>
  <si>
    <t>diena</t>
  </si>
  <si>
    <t>Pakalpojuma izmaksas 1 personai (bez bērna)/dienā</t>
  </si>
  <si>
    <t>Pakalpojuma izmaksas 1 personai (ar 1 bērnu)/dienā</t>
  </si>
  <si>
    <t>Pakalpojuma izmaksas 1 personai (ar 2 bērniem)/dienā</t>
  </si>
  <si>
    <t>Pakalpojuma izmaksas 1 personai (ar 3 bērniem)//dienā</t>
  </si>
  <si>
    <t>Pakalpojuma izmaksas 1 personai (ar 4 bērniem)//dienā</t>
  </si>
  <si>
    <t>Pakalpojuma izmaksas 1 personai (ar 5 bērniem)//dienā</t>
  </si>
  <si>
    <t>u.t.t</t>
  </si>
  <si>
    <t>klienta bērna izmaksas</t>
  </si>
  <si>
    <r>
      <rPr>
        <sz val="14"/>
        <rFont val="Times New Roman"/>
        <family val="1"/>
        <charset val="186"/>
      </rPr>
      <t xml:space="preserve">max </t>
    </r>
    <r>
      <rPr>
        <b/>
        <sz val="14"/>
        <rFont val="Times New Roman"/>
        <family val="1"/>
        <charset val="186"/>
      </rPr>
      <t>30 (60) dienas</t>
    </r>
    <r>
      <rPr>
        <sz val="14"/>
        <rFont val="Times New Roman"/>
        <family val="1"/>
        <charset val="186"/>
      </rPr>
      <t>/ persona</t>
    </r>
  </si>
  <si>
    <r>
      <t xml:space="preserve">2. Ar pakalpojuma prasību nodrošināšanu un klienta uzturēšanu saistītās izmaksas </t>
    </r>
    <r>
      <rPr>
        <b/>
        <i/>
        <sz val="14"/>
        <rFont val="Times New Roman"/>
        <family val="1"/>
        <charset val="186"/>
      </rPr>
      <t>(arī bērna izmaksas)</t>
    </r>
    <r>
      <rPr>
        <b/>
        <sz val="14"/>
        <rFont val="Times New Roman"/>
        <family val="1"/>
        <charset val="186"/>
      </rPr>
      <t xml:space="preserve">  kopā</t>
    </r>
  </si>
  <si>
    <r>
      <t xml:space="preserve">Speciālistu konsultācijas                                     </t>
    </r>
    <r>
      <rPr>
        <sz val="10"/>
        <rFont val="Times New Roman"/>
        <family val="1"/>
        <charset val="186"/>
      </rPr>
      <t xml:space="preserve">     (konsultācija 45 minūtes un 15 minūtes dokumentu kārtošana)</t>
    </r>
  </si>
  <si>
    <t>pakalpojums</t>
  </si>
  <si>
    <t>administrēšana</t>
  </si>
  <si>
    <r>
      <t xml:space="preserve">max persona </t>
    </r>
    <r>
      <rPr>
        <b/>
        <sz val="14"/>
        <rFont val="Times New Roman"/>
        <family val="1"/>
        <charset val="186"/>
      </rPr>
      <t>10 konsultācijas</t>
    </r>
    <r>
      <rPr>
        <sz val="14"/>
        <rFont val="Times New Roman"/>
        <family val="1"/>
        <charset val="186"/>
      </rPr>
      <t>, vidēji faktiski saņem 8</t>
    </r>
  </si>
  <si>
    <r>
      <t xml:space="preserve"> Sociālās rehabilitācijas pakalpojuma organizēšanas izmaksas </t>
    </r>
    <r>
      <rPr>
        <sz val="10"/>
        <rFont val="Times New Roman"/>
        <family val="1"/>
        <charset val="186"/>
      </rPr>
      <t>(telpu noma, materiālu kopēšana, kancelejas preces, sakaru pakalpojumi u.c.)</t>
    </r>
  </si>
  <si>
    <t xml:space="preserve">Pakalpojumu grozā ar izmitināšanu šīs izmaksas 1 klientam dienā vidēji ir 26.16 euro, tiek pieņemts, ka pakalpojumam bez izmitināšanas, kas tiek sniegts klientam tikai darba dienās darba laikā, t.i., 8 stundas dienā, šīs izmaksas sastāda 70% no 26.16 euro = 18.31 euro dienā/ 2.29 euro stundā. </t>
  </si>
  <si>
    <t>MAX izmaksas uz                                                                            1 klientu kursā (bez tulka pakalpojuma)</t>
  </si>
  <si>
    <r>
      <t xml:space="preserve">Speciālistu konsultācijas (10 papildus konsultācijas kopā līdz 20 konsultācijām)                                 </t>
    </r>
    <r>
      <rPr>
        <sz val="10"/>
        <rFont val="Times New Roman"/>
        <family val="1"/>
        <charset val="186"/>
      </rPr>
      <t>(konsultācija 45 minūtes un 15 minūtes dokumentu kārtošana)</t>
    </r>
  </si>
  <si>
    <r>
      <t xml:space="preserve">max persona </t>
    </r>
    <r>
      <rPr>
        <b/>
        <sz val="14"/>
        <rFont val="Times New Roman"/>
        <family val="1"/>
        <charset val="186"/>
      </rPr>
      <t>10 konsultācijas</t>
    </r>
  </si>
  <si>
    <t xml:space="preserve">Aprēķinos pieņem, ka individuālās konsultācijas pēc SR pakalpojuma kursa saņems 10% no pakalpojuma saņēmējiem. </t>
  </si>
  <si>
    <t xml:space="preserve">Vienas stundas izmaksā 35.00 euro ir iekļauti visi nodokļi, kas saistīti ar attiecīgā pakalpojuma sniegšanu, gan darba ņēmēja, gan darba devēja valsts sociālās apdrošināšanas obligātās iemaksas, kā arī iedzīvotāju ienākuma nodoklis.    </t>
  </si>
  <si>
    <t xml:space="preserve">Plānotais apjoms 20 konsultāciju tulka pakalpojumiem, 1h izmaksas tulkam nepārsniedz 40 euro.  Vienas stundas izmaksā ir iekļauti visi nodokļi, kas saistīti ar attiecīgā pakalpojuma sniegšanu, gan darba ņēmēja, gan darba devēja valsts sociālās apdrošināšanas obligātās iemaksas, kā arī iedzīvotāju ienākuma nodoklis.  </t>
  </si>
  <si>
    <t>4. Pakalpojuma sniedzēja administrēšanas izdevumi 20%</t>
  </si>
  <si>
    <t>Vienas stundas izmaksā 35.00 euro ir iekļauti visi nodokļi, kas saistīti ar attiecīgā pakalpojuma sniegšanu, gan darba ņēmēja, gan darba devēja valsts sociālās apdrošināšanas obligātās iemaksas, kā arī iedzīvotāju ienākuma nodoklis.    Aprēķinos par gadā plānoto finansējuma apjoma nepieciešamību, pieņemts (balstoties uz statistikas datiem 2019. gadā), ka viena persona vidēji faktiski saņem 8 konsultācijas.</t>
  </si>
  <si>
    <t>Pakalpojumu grozā ar izmitināšanu šīs izmaksas 1 klientam dienā vidēji ir 26.16 euro, tiek pieņemts, ka pakalpojumam bez izmitināšanas, kas tiek sniegts klientam tikai darba dienās darba laikā, t.i., 8 stundas dienā, šīs izmaksas sastāda 70% no 26.16 euro = 18.31 euro dienā/ 2.29 euro stundā. Aprēķinos par gadā plānoto finansējuma apjoma nepieciešamību, pieņemts (balstoties uz statistikas datiem 2019. gadā), ka viena persona vidēji faktiski saņem 8 konsultācijas.</t>
  </si>
  <si>
    <t>Aprēķinos pieņemts, ka 15% no pakalpojuma saņēmējiem tiek piešķirts papildu konsultāciju kurss līdz 20 konsultācijām.</t>
  </si>
  <si>
    <t>EKK 7460</t>
  </si>
  <si>
    <t>Pakalpojuma „Sociālās rehabilitācijas pakalpojumi no vardarbības cietušām pilngadīgām personām” izmaksu aprēķins</t>
  </si>
  <si>
    <t>Izmaksu aprēķins 30 dienu kursam ar izmitināšu institūcijā no vardarbības cietušas pilngadīgas personas sociālai rehabilitācijai</t>
  </si>
  <si>
    <r>
      <t>Sociālas rehabilitācijas pakalpojumi  no vardarbības</t>
    </r>
    <r>
      <rPr>
        <u/>
        <sz val="12"/>
        <rFont val="Times New Roman"/>
        <family val="1"/>
        <charset val="186"/>
      </rPr>
      <t xml:space="preserve"> cietušām </t>
    </r>
    <r>
      <rPr>
        <sz val="12"/>
        <rFont val="Times New Roman"/>
        <family val="1"/>
        <charset val="186"/>
      </rPr>
      <t>pilngadīgām personām</t>
    </r>
    <r>
      <rPr>
        <i/>
        <sz val="12"/>
        <rFont val="Times New Roman"/>
        <family val="1"/>
        <charset val="186"/>
      </rPr>
      <t xml:space="preserve"> (skat. 1.tabulu)</t>
    </r>
  </si>
  <si>
    <r>
      <t>Sociālās rehabilitācijas pakalpojumi vardarbību</t>
    </r>
    <r>
      <rPr>
        <u/>
        <sz val="12"/>
        <rFont val="Times New Roman"/>
        <family val="1"/>
        <charset val="186"/>
      </rPr>
      <t xml:space="preserve"> veikušām</t>
    </r>
    <r>
      <rPr>
        <sz val="12"/>
        <rFont val="Times New Roman"/>
        <family val="1"/>
        <charset val="186"/>
      </rPr>
      <t xml:space="preserve"> pilngadīgām personām” </t>
    </r>
    <r>
      <rPr>
        <i/>
        <sz val="12"/>
        <rFont val="Times New Roman"/>
        <family val="1"/>
        <charset val="186"/>
      </rPr>
      <t>(skat.2. un 3.tabulu)</t>
    </r>
  </si>
  <si>
    <r>
      <t>Pakalpojuma  „Sociālās rehabilitācijas pakalpojumi vardarbību veikušām pilngadīgām personām”   speciālistu apmācības un supervīzija</t>
    </r>
    <r>
      <rPr>
        <i/>
        <sz val="12"/>
        <rFont val="Times New Roman"/>
        <family val="1"/>
        <charset val="186"/>
      </rPr>
      <t xml:space="preserve"> (skat.4.tabulu)</t>
    </r>
  </si>
  <si>
    <t>mentors</t>
  </si>
  <si>
    <r>
      <t xml:space="preserve">Speciālistu konsultācijas   (jurists, psihologs, soc.darbinieks, ārsts, menotors)                                  </t>
    </r>
    <r>
      <rPr>
        <sz val="10"/>
        <rFont val="Times New Roman"/>
        <family val="1"/>
        <charset val="186"/>
      </rPr>
      <t xml:space="preserve">     (konsultācija 45 minūtes un 15 minūtes dokumentu kārtošana)</t>
    </r>
  </si>
  <si>
    <r>
      <t>max persona 25</t>
    </r>
    <r>
      <rPr>
        <b/>
        <sz val="14"/>
        <rFont val="Times New Roman"/>
        <family val="1"/>
        <charset val="186"/>
      </rPr>
      <t xml:space="preserve"> speciālistu konsultācijas</t>
    </r>
  </si>
  <si>
    <t>dzīvesvietas nodrošinājums</t>
  </si>
  <si>
    <t>apjoms mēnesī</t>
  </si>
  <si>
    <t>izdevumi, mēn</t>
  </si>
  <si>
    <t>t.sk. komunālie maksājumi</t>
  </si>
  <si>
    <t>t.sk. visi nodokļi</t>
  </si>
  <si>
    <t>pārtika</t>
  </si>
  <si>
    <t>higiēnas un saimniecības preces</t>
  </si>
  <si>
    <t>Papildus par katru bērnu</t>
  </si>
  <si>
    <t>pieņem, ka vidēji 100 personas 30 dienas, papildus katra otrā persona ar 2 nepilngadīgiem bērniem, t.i. 100 bērni.</t>
  </si>
  <si>
    <t>kopā</t>
  </si>
  <si>
    <t>1/ 5 daļa</t>
  </si>
  <si>
    <t>180 dienas gadā saņem 10 personas (papildu 150)</t>
  </si>
  <si>
    <t>transporta izdevumi</t>
  </si>
  <si>
    <t>pers.sk.</t>
  </si>
  <si>
    <t>konsult. izmaksas</t>
  </si>
  <si>
    <t>transports kl.</t>
  </si>
  <si>
    <t>admin.</t>
  </si>
  <si>
    <t>dienas izmaksas</t>
  </si>
  <si>
    <t>t.sk. admin.izd.</t>
  </si>
  <si>
    <r>
      <t>Sociālas rehabilitācijas pakalpojumi  no vardarbības</t>
    </r>
    <r>
      <rPr>
        <u/>
        <sz val="12"/>
        <rFont val="Times New Roman"/>
        <family val="1"/>
        <charset val="186"/>
      </rPr>
      <t xml:space="preserve"> cietušām </t>
    </r>
    <r>
      <rPr>
        <sz val="12"/>
        <rFont val="Times New Roman"/>
        <family val="1"/>
        <charset val="186"/>
      </rPr>
      <t>pilngadīgām personām</t>
    </r>
    <r>
      <rPr>
        <i/>
        <sz val="12"/>
        <rFont val="Times New Roman"/>
        <family val="1"/>
        <charset val="186"/>
      </rPr>
      <t xml:space="preserve"> </t>
    </r>
  </si>
  <si>
    <r>
      <t>Sociālās rehabilitācijas pakalpojumi vardarbību</t>
    </r>
    <r>
      <rPr>
        <u/>
        <sz val="12"/>
        <rFont val="Times New Roman"/>
        <family val="1"/>
        <charset val="186"/>
      </rPr>
      <t xml:space="preserve"> veikušām</t>
    </r>
    <r>
      <rPr>
        <sz val="12"/>
        <rFont val="Times New Roman"/>
        <family val="1"/>
        <charset val="186"/>
      </rPr>
      <t xml:space="preserve"> pilngadīgām personām” </t>
    </r>
  </si>
  <si>
    <t>Izmaiņas:</t>
  </si>
  <si>
    <t>Izmaiņas 2023. gadā</t>
  </si>
  <si>
    <t>izmaiņas 2024. gadā un turpmāk ik gadu</t>
  </si>
  <si>
    <t>mentors (uzticības persona)</t>
  </si>
  <si>
    <t>*SPSPL 3.pants. Tiesības uz sociālajiem pakalpojumiem un sociālo palīdzību                                                                                                                                                                                                                                                                         (8) Tiesības saņemt sociālo rehabilitāciju kā vardarbībā cietušām pilngadīgām personām par valsts budžeta līdzekļiem ir vardarbībā cietušām personām, kuras uzturas Latvijas Republikā ar termiņuzturēšanās atļauju, kā arī personām, kuras ir trešās valsts valstspiederīgie vai bezvalstnieki, kuriem nav likumīga pamata uzturēties Latvijas Republikā un kuri ir aizturēti (līdz izraidīšanas vai izceļošanas brīdim), kuriem ir piemērots aizturēšanai alternatīvs līdzeklis, vai ārzemnieki, kuriem atgriešanas lēmuma darbība ir apturēta vai kuriem ir noteikts laikposms brīvprātīgai izceļošanai. Tiesības saņemt sociālo rehabilitāciju kā vardarbībā cietušām pilngadīgām personām ir arī personām, kas nepieder pie šajā pantā uzskaitītajām grupām, ja atbildīgās institūcijas sniegušas atzinumu par sociālās rehabilitācijas pakalpojuma nepieciešamību.</t>
  </si>
  <si>
    <t>Tiesību akta projekta "Grozījumi Ministru kabineta 2014. gada 23. decembra noteikumos Nr. 790 "Sociālās rehabilitācijas pakalpojumu sniegšanas kārtība no vardarbības cietušām un vardarbību veikušām pilngadīgām personām"" sākotnējās ietekmes (ex-ante) novērtējuma ziņojumam (anotācijai)</t>
  </si>
  <si>
    <t>Pakalpojuma tiešās izmaksas</t>
  </si>
  <si>
    <t>Pakalpojuma administrēšanas izmaksas</t>
  </si>
  <si>
    <t xml:space="preserve"> Krīzes dzīvoklis + konsultācijas*</t>
  </si>
  <si>
    <t>*Krīzes dzīvokļa izmaksas aprēķinā pie krīzes dzīvokļa izmaksām</t>
  </si>
  <si>
    <t>Pakalpojuma institūcijā</t>
  </si>
  <si>
    <t>(+1 bērns)</t>
  </si>
  <si>
    <t>EKK7000</t>
  </si>
  <si>
    <t>kopā papildus izmaksas "smagie gadījumi"</t>
  </si>
  <si>
    <t>izmaksas dienā*</t>
  </si>
  <si>
    <t>konsult.sk. (20 konsult. Papildus 100)**</t>
  </si>
  <si>
    <t>d.sk.**</t>
  </si>
  <si>
    <t>Rezultatīvais rādītājs</t>
  </si>
  <si>
    <t>No vardarbības cietušās pilngadīgās personas, kuras saņēmušas pakalpojumu (unikālais skaits)</t>
  </si>
  <si>
    <t>Vardarbību veikušās pilngadīgās personas, kuras saņēmušas pakalpojumu (unikālais skaits)</t>
  </si>
  <si>
    <t>Plāns</t>
  </si>
  <si>
    <t>izmaiņas</t>
  </si>
  <si>
    <t>Ar izmaiņām</t>
  </si>
  <si>
    <t xml:space="preserve"> Augstas vardarbības risks (plāns 10 personas gadā):</t>
  </si>
  <si>
    <t>97.02.00 "Nozares centralizēto funkciju izpilde"</t>
  </si>
  <si>
    <t xml:space="preserve">05.01.00. „Sociālās rehabilitācijas valsts programmas” </t>
  </si>
  <si>
    <t>Finansējums  informācijas sistēmu SOPA un SPOLIS</t>
  </si>
  <si>
    <t>Apakšprogramma</t>
  </si>
  <si>
    <t>papildus par katru bērnu 19.67 euro dienā</t>
  </si>
  <si>
    <t>Kopā*</t>
  </si>
  <si>
    <t>*Noteikumi stājas spēkā 2023.gada 1.jūlijā (indikatīvi pakalpojumam 2023. gadā papildu nepieciešamais finansējums 50% apmērā no gadā nepieciešamā papildu finansējuma).</t>
  </si>
  <si>
    <t>transports kl.***</t>
  </si>
  <si>
    <t>pers.sk.**</t>
  </si>
  <si>
    <t>**Plānotas kopā 10 personas 180 dienas Krīzes dzīvokļa pakalpojums, t.sk. 2 personas saņem pakalpojumu dzīvesvietā (konsultācijas)</t>
  </si>
  <si>
    <t>***transporta izmaksas plānotas, lai persona var nokļūt pie pakalpojuma sniedzēja no dzīvesvietas (Krīzes dzīvoklis). Krīzes dzīvokļa izmaksās personai transporta izmaksas paredzētas, lai persona var nokļūt darba vietā, bērnudārzā, kārtot juridiskus jautājumus, piem., laulības šķiršana u.c.</t>
  </si>
  <si>
    <t>30 dienas gadā saņem 100* personas</t>
  </si>
  <si>
    <t>*Minētais apjoms prognozēts ņemot vērā vardarbībā cietušu personu pakalpojumu ar izmitināšanu saņēmēju vidējo skaitu iepriekšējos gados, pieņemot, ka pakalpojuma saņēmēji turpmāk līdzīgā apjomā saņems pakalpojumu institūcijā līdzšinējā kārtībā un daļa izvēlēsies arī iespēju saņemt krīzes dzīvokļa pakalpojumu.</t>
  </si>
  <si>
    <t xml:space="preserve">*Grozījumi Sociālo pakalpojumu un sociālās palīdzības likumā (stājās spēkā 01.04.2022.) paredz, ka sociālās rehabilitācijas pakalpojumi, kas izriet no Sociālo pakalpojumu un sociālās palīdzības likuma 3.panta astotās daļas, tiks nodrošināti esošo valsts budžeta līdzekļu ietvaros. Pakalpojuma izdevumi tiek segti LM pamatbudžeta apakšprogrammas 05.01.00 “Sociālās rehabilitācijas valsts programmas” sociālas rehabilitācijas pakalpojumu  sniegšanai no vardarbības cietušām un vardarbību veikušām pilngadīgām personām plānotā finansējuma ietvaros. </t>
  </si>
  <si>
    <t>EKK5000</t>
  </si>
  <si>
    <t>Pakalpojuma  „Sociālās rehabilitācijas pakalpojumi vardarbību veikušām pilngadīgām personām”   speciālistu apmācības un supervīzija</t>
  </si>
  <si>
    <t xml:space="preserve"> Aprēķinos pieņemts, ka 10% no pakalpojuma saņēmējiem tiks segti transporta izdevumi.</t>
  </si>
  <si>
    <t>Pielikums 
Ministru kabineta noteikumu projekta „Grozījumi Ministru kabineta 2014.gada 23.decembra noteikumos Nr.790 “Sociālas rehabilitācijas pakalpojumu sniegšanas kārtība no vardarbības cietušām un vardarbību veikušām pilngadīgām personām”” sākotnējās ietekmes novērtējuma ziņojumam (anotācijai)</t>
  </si>
  <si>
    <t>Pakalpojuma  ""Sociālās rehabilitācijas pakalpojumi vardarbību veikušām pilngadīgām personām" speciālistu apmācībām un supervīzijām" izmaksu aprēķins</t>
  </si>
  <si>
    <t>Pakalpojuma veids/finansējuma aprēķins</t>
  </si>
  <si>
    <t>Pakalpojuma cenas un finansējums gadā</t>
  </si>
  <si>
    <t>Paskaidrojums</t>
  </si>
  <si>
    <t>stundu skaits</t>
  </si>
  <si>
    <t xml:space="preserve">       vizīšu / nodarbību  skaits</t>
  </si>
  <si>
    <t>1.posms - speciālistu apmācības kurss</t>
  </si>
  <si>
    <t>1.1.aktivitāte - speciālistu apmācības</t>
  </si>
  <si>
    <r>
      <t xml:space="preserve">2 Ekspertu atlīdzība </t>
    </r>
    <r>
      <rPr>
        <sz val="12"/>
        <rFont val="Times New Roman"/>
        <family val="1"/>
        <charset val="186"/>
      </rPr>
      <t xml:space="preserve">(ieskaitot DD soc.nod.) </t>
    </r>
    <r>
      <rPr>
        <sz val="14"/>
        <rFont val="Times New Roman"/>
        <family val="1"/>
        <charset val="186"/>
      </rPr>
      <t xml:space="preserve">par nodarbību vadīšanu </t>
    </r>
    <r>
      <rPr>
        <sz val="12"/>
        <rFont val="Times New Roman"/>
        <family val="1"/>
        <charset val="186"/>
      </rPr>
      <t>(nodarbību vada 2 speciālisti</t>
    </r>
  </si>
  <si>
    <t>10 apmācāmie grupā</t>
  </si>
  <si>
    <t>nodarbību vada 2 eksperti - 1 stundas izmaksas 1 ekspertam 35.00 euro ( Vienas stundas izmaksā 35.00 euro ir iekļauti visi nodokļi, kas saistīti ar attiecīgā pakalpojuma sniegšanu, gan darba ņēmēja, gan darba devēja valsts sociālās apdrošināšanas obligātās iemaksas, kā arī iedzīvotāju ienākuma nodoklis) * 2 ekspertiem = 70.00 euro / vienas grupas apmācības ilgums 6 dienas x 5 astronomiskās stundas=30 stundas. 70.00 euro x 5 stundas x 6 dienas = 2 100.00 euro</t>
  </si>
  <si>
    <r>
      <t xml:space="preserve">2 Ekspertu atlīdzība </t>
    </r>
    <r>
      <rPr>
        <sz val="12"/>
        <rFont val="Times New Roman"/>
        <family val="1"/>
        <charset val="186"/>
      </rPr>
      <t xml:space="preserve">(ieskaitot DD soc.nod.) </t>
    </r>
    <r>
      <rPr>
        <sz val="14"/>
        <rFont val="Times New Roman"/>
        <family val="1"/>
        <charset val="186"/>
      </rPr>
      <t xml:space="preserve">par sagatavošanos nodarbībai, </t>
    </r>
    <r>
      <rPr>
        <sz val="12"/>
        <rFont val="Times New Roman"/>
        <family val="1"/>
        <charset val="186"/>
      </rPr>
      <t>izdales materiālu un atskaišu sagatavošanu</t>
    </r>
  </si>
  <si>
    <t>1 stundas izmaksas 1 ekspertam 35.00 euro ( Vienas stundas izmaksā 35.00 euro ir iekļauti visi nodokļi, kas saistīti ar attiecīgā pakalpojuma sniegšanu, gan darba ņēmēja, gan darba devēja valsts sociālās apdrošināšanas obligātās iemaksas, kā arī iedzīvotāju ienākuma nodoklis) * 2 ekspertiem = 70.00 euro, lai sagatavotos 1 nodarbībai nepieciešamas 1 stunda.  70.00 euro x 1 stundas x 6 dienas = 420.00 euro.</t>
  </si>
  <si>
    <r>
      <t xml:space="preserve">Apmācību kursa organizēšanas izmaksas                           </t>
    </r>
    <r>
      <rPr>
        <sz val="12"/>
        <rFont val="Times New Roman"/>
        <family val="1"/>
        <charset val="186"/>
      </rPr>
      <t xml:space="preserve">       (kancelejas preces, telpu noma, kafijas pauze, sakaru pak. u.c.)</t>
    </r>
  </si>
  <si>
    <t>telpu noma 71 euro nodarbība/kafijas pauze 4 euro x 12 (10 apmācāmie un 2 speciālisti) =48 euro/kancelejas preces nodarbībai 10 euro/  kopā 129 euro x 6 nodarbības = 774 euro</t>
  </si>
  <si>
    <t>Mācību materiāls</t>
  </si>
  <si>
    <t>Katrs grupas apmācāmais saņem mācību materiālu -grāmatu  - 14 euro 1 mācību materiāla kopēšana x 10 apmācāmie =140 euro</t>
  </si>
  <si>
    <t xml:space="preserve">Grupas organizēšanas izmaksas </t>
  </si>
  <si>
    <t>Grupas komplektēšana (speciālistu dokumentu izvērtēšana un sazināšanās ar tiem).</t>
  </si>
  <si>
    <t xml:space="preserve">1.2. aktivitāte - ekspertu vizītes pie speciālistiem uz reģioniem </t>
  </si>
  <si>
    <t>Gadā 2 eksperti brauks 5  vizītes  pie 10 speciālistiem - 5 pāriem</t>
  </si>
  <si>
    <r>
      <t xml:space="preserve">2 ekspertu atlīdzība </t>
    </r>
    <r>
      <rPr>
        <sz val="12"/>
        <rFont val="Times New Roman"/>
        <family val="1"/>
        <charset val="186"/>
      </rPr>
      <t>(ieskaitot DD soc.nod.)</t>
    </r>
  </si>
  <si>
    <t>vizīte</t>
  </si>
  <si>
    <t>supervīziju vada 2 eksperti - 1 stundas izmaksas 1 speciālistam 35.00 euro ( Vienas stundas izmaksā 35.00 euro ir iekļauti visi nodokļi, kas saistīti ar attiecīgā pakalpojuma sniegšanu, gan darba ņēmēja, gan darba devēja valsts sociālās apdrošināšanas obligātās iemaksas, kā arī iedzīvotāju ienākuma nodoklis) * 2 speciālisti = 70.00 euro x 3 stundas x 5 vizītes = 1 050.00 euro</t>
  </si>
  <si>
    <t>Transporta izdevumi speciālistiem</t>
  </si>
  <si>
    <t>1 brauciens  - vidēji 250 km *8 litri degvielas uz 100 km /100=20 litri * 1.30 euro (vidējā cena 1 litram degvielas)=26 euro x 5 vizītes = 130 euro</t>
  </si>
  <si>
    <t>Komandējuma izdevumi 2 ekspertiem (dienas nauda)</t>
  </si>
  <si>
    <t xml:space="preserve">6 euro dienā*2 speciālisti=12 euro/dienā x 5 dienas = 60 euro </t>
  </si>
  <si>
    <t>2.posms -  Ikgadējs supervīziju nodrošinājums speciālistiem pēc apmācību kursa pabeigšana</t>
  </si>
  <si>
    <t xml:space="preserve"> Gadā 2 grupas (10 speciālisti grupā), kopā gadā 3 nodarbību veidā supervīzijas (21 h gadā) saņēmuši 20 speciālisti.</t>
  </si>
  <si>
    <r>
      <t>2 ekspertu atlīdzība</t>
    </r>
    <r>
      <rPr>
        <sz val="12"/>
        <rFont val="Times New Roman"/>
        <family val="1"/>
        <charset val="186"/>
      </rPr>
      <t xml:space="preserve"> (ieskaitot DD soc.nod.) </t>
    </r>
    <r>
      <rPr>
        <sz val="14"/>
        <rFont val="Times New Roman"/>
        <family val="1"/>
        <charset val="186"/>
      </rPr>
      <t xml:space="preserve">par nodarbību vadīšanu (nodarbību vada 2 speciālisti) </t>
    </r>
  </si>
  <si>
    <t>grupas</t>
  </si>
  <si>
    <t>Grupā 10 apmācāmie, viena supervīzija ilgst 7 stundas. 70.00 euro ( Vienas stundas izmaksā 35.00 euro x 2 speciālisti ir iekļauti visi nodokļi, kas saistīti ar attiecīgā pakalpojuma sniegšanu, gan darba ņēmēja, gan darba devēja valsts sociālās apdrošināšanas obligātās iemaksas, kā arī iedzīvotāju ienākuma nodoklis) x 7 stundas x 3 nodarbības = 1 470.00 euro (vienas grupas izmaksas) x 2 grupas = 2 940.00euro</t>
  </si>
  <si>
    <r>
      <t>2 ekspertu atlīdzība</t>
    </r>
    <r>
      <rPr>
        <sz val="12"/>
        <rFont val="Times New Roman"/>
        <family val="1"/>
        <charset val="186"/>
      </rPr>
      <t xml:space="preserve"> (ieskaitot DD soc.nod.)</t>
    </r>
    <r>
      <rPr>
        <sz val="14"/>
        <rFont val="Times New Roman"/>
        <family val="1"/>
        <charset val="186"/>
      </rPr>
      <t xml:space="preserve"> par sagatavošanos nodarbībai, </t>
    </r>
    <r>
      <rPr>
        <sz val="12"/>
        <rFont val="Times New Roman"/>
        <family val="1"/>
        <charset val="186"/>
      </rPr>
      <t>izdales materiālu un atskaišu sagatavošanu</t>
    </r>
  </si>
  <si>
    <t>1 ekspertam 35.00 euro (Vienas stundas izmaksā ir iekļauti visi nodokļi, kas saistīti ar attiecīgā pakalpojuma sniegšanu, gan darba ņēmēja, gan darba devēja valsts sociālās apdrošināšanas obligātās iemaksas, kā arī iedzīvotāju ienākuma nodokli) x 2 ekspertiem 70.00 euro x 1.5 stundas (katra eksperta sagatavošanās laiks nodarbībai 1.5h) x 3 nodarbības = 315.00 euro (vienas grupas izmaksas) x 2 grupas = 630.00 euro</t>
  </si>
  <si>
    <r>
      <t>Supervīziju organizēšanas izmaksas</t>
    </r>
    <r>
      <rPr>
        <sz val="12"/>
        <rFont val="Times New Roman"/>
        <family val="1"/>
        <charset val="186"/>
      </rPr>
      <t xml:space="preserve"> (izdales materiālu kopēšana, kancelejas preces, telpu noma, kafijas pauze, sakaru pak. u.c.)</t>
    </r>
  </si>
  <si>
    <t>Telpu noma 71 euro nodarbība/kafijas pauze 4 euro x 12 (10 apmācāmie un 2 speciālisti) =48 euro/kancelejas preces nodarbībai 10 euro/ kopā 129 euro (vienas grupas vienas nodarbības izmaksas) x 3 nodarbības x 2 grupas = 774.00 euro</t>
  </si>
  <si>
    <t>3. Pakalpojuma sniedzēja administrēšanas izmaksas 20%</t>
  </si>
  <si>
    <t xml:space="preserve">Ministrijā izstrādātais projekts vardarbību veikušo personu rehabilitācijai „Grupu terapijas programmas vardarbību veikušo personu sociālajai rehabilitācijai izstrāde, programmas aprobācija un speciālistu apmācības” tiek īstenots no 2011.gada un atbilstoši projektam ikgadēji tiek apmācīti 10 speciālisti (psihologi un sociālie darbinieki) no 5 pašvaldībām. </t>
  </si>
  <si>
    <t>Pakalpojuma „Sociālās rehabilitācijas pakalpojumi vardarbību veikušām pilngadīgām personām” izmaksu aprēķins</t>
  </si>
  <si>
    <t>Pakalpojuma cenas un finansējums</t>
  </si>
  <si>
    <t>Aprēķini/paskaidrojums</t>
  </si>
  <si>
    <t>nodarbību/      konsultāciju skaits</t>
  </si>
  <si>
    <t>rezultatīvais rādītājs -nosaukums</t>
  </si>
  <si>
    <t>klientu /grupu skaits</t>
  </si>
  <si>
    <t>Kopējais nepieciešamais finansējums</t>
  </si>
  <si>
    <t>MAX izmaksas uz                  1 klientu/                     1 grupu kursā (bez tulka pakalpojuma)</t>
  </si>
  <si>
    <t>1.posms - sociālās rehabilitācijas pakalpojuma sniegšana</t>
  </si>
  <si>
    <t>1.1. Sociālās rehabilitācijas pakalpojuma kurss</t>
  </si>
  <si>
    <t>1.1.1. Individuālās konsultācijas kopā</t>
  </si>
  <si>
    <r>
      <t>max</t>
    </r>
    <r>
      <rPr>
        <b/>
        <sz val="14"/>
        <rFont val="Times New Roman"/>
        <family val="1"/>
        <charset val="186"/>
      </rPr>
      <t xml:space="preserve"> 16 konsultācijas</t>
    </r>
  </si>
  <si>
    <t xml:space="preserve">Vienas stundas izmaksā 35.00 euro ir iekļauti visi nodokļi, kas saistīti ar attiecīgā pakalpojuma sniegšanu, gan darba ņēmēja, gan darba devēja valsts sociālās apdrošināšanas obligātās iemaksas, kā arī iedzīvotāju ienākuma nodoklis.  </t>
  </si>
  <si>
    <t xml:space="preserve">Pakalpojuma „Sociālās rehabilitācijas pakalpojumi no vardarbības cietušām pilngadīgām personām” grozā ar izmitināšanu šīs izmaksas 1 klientam dienā vidēji ir 26.16 euro, tiek pieņemts, ka pakalpojumam bez izmitināšanas, kas tiek sniegts klientam tikai darba dienās darba laikā, t.i., 8 stundas dienā, šīs izmaksas sastāda 70% no 26.16 euro = 18.31 euro dienā/ 2.29 euro stundā. </t>
  </si>
  <si>
    <t>1.1.2. Konsultācijas grupās (grupu terapija) kopā</t>
  </si>
  <si>
    <t>Vidējais personu skaits grupā plānots 5 personas. 406 personas : 5 = 81 grupa</t>
  </si>
  <si>
    <r>
      <t xml:space="preserve">2 Speciālistu atlīdzība </t>
    </r>
    <r>
      <rPr>
        <sz val="12"/>
        <rFont val="Times New Roman"/>
        <family val="1"/>
        <charset val="186"/>
      </rPr>
      <t xml:space="preserve">(ieskaitot DD soc.nod.) par nodarbību vadīšanu </t>
    </r>
  </si>
  <si>
    <r>
      <rPr>
        <b/>
        <sz val="14"/>
        <rFont val="Times New Roman"/>
        <family val="1"/>
        <charset val="186"/>
      </rPr>
      <t>min 4 max 12 personas grupā</t>
    </r>
    <r>
      <rPr>
        <sz val="14"/>
        <rFont val="Times New Roman"/>
        <family val="1"/>
        <charset val="186"/>
      </rPr>
      <t>, vidēji 5 personas grupā</t>
    </r>
  </si>
  <si>
    <t xml:space="preserve">Nodarbību vada 2 speciālisti - 1 stundas izmaksas 1 speciālistam 35.00 euro (Vienas stundas izmaksā 35.00 euro ir iekļauti visi nodokļi, kas saistīti ar attiecīgā pakalpojuma sniegšanu, gan darba ņēmēja, gan darba devēja valsts sociālās apdrošināšanas obligātās iemaksas, kā arī iedzīvotāju ienākuma nodoklis)  * 2 speciālisti = 70.00 euro stundā  x 2 stundas x 16 nodarbības = 2240.00 euro (vienas grupas izmaksas) x 81 grupa = 181 440.00 euro. </t>
  </si>
  <si>
    <r>
      <t>2 Speciālistu atlīdzība</t>
    </r>
    <r>
      <rPr>
        <sz val="12"/>
        <rFont val="Times New Roman"/>
        <family val="1"/>
        <charset val="186"/>
      </rPr>
      <t xml:space="preserve"> (ieskaitot DD soc.nod.) </t>
    </r>
    <r>
      <rPr>
        <sz val="14"/>
        <rFont val="Times New Roman"/>
        <family val="1"/>
        <charset val="186"/>
      </rPr>
      <t>par sagatavošanos nodarbībai</t>
    </r>
    <r>
      <rPr>
        <sz val="12"/>
        <rFont val="Times New Roman"/>
        <family val="1"/>
        <charset val="186"/>
      </rPr>
      <t xml:space="preserve"> (izdales materiālu un atskaišu sagatavošanu)</t>
    </r>
  </si>
  <si>
    <t>Nodarbību vada 2 speciālisti - 1 stundas izmaksas 1 speciālistam 35.00 euro ( Vienas stundas izmaksā 35.00 euro ir iekļauti visi nodokļi, kas saistīti ar attiecīgā pakalpojuma sniegšanu, gan darba ņēmēja, gan darba devēja valsts sociālās apdrošināšanas obligātās iemaksas, kā arī iedzīvotāju ienākuma nodoklis ) * 2 speciālisti = 70.00 euro stundā x 1 stunda x 16 nodarbības = 1 120.00 euro (vienas grupas izmaksas) x 81 grupa = 90 720.00 euro. Par sagatavošanos 2h grupu nodarbībai, speciālistam plānota atlīdzība par 1h sagatavošanās darbu.</t>
  </si>
  <si>
    <t>3 euro uz klientu x 5 klienti (vidējais personu skaits grupā) = 15 euro (vienas grupas izmaksas) x 16 nodarbības=240 euro (vienas grupas izmaksas) x 81 grupa = 19 440.00 euro</t>
  </si>
  <si>
    <t>7 euro x 16 nodarbības x 2 speciālisti = 224 euro (vienas grupas kursa izmaksas) x 81 grupa = 18 144.00 euro</t>
  </si>
  <si>
    <t>2.posms - Konsultāciju nodrošinājums pēc sociālās rehabilitācijas pakalpojuma kursa pabeigšanas</t>
  </si>
  <si>
    <t>2.1. Konsultāciju nodrošinājums pēc sociālās rehabilitācijas pakalpojuma kursa pabeigšanas</t>
  </si>
  <si>
    <t>3. Supervīzija, speciālistu kvalifikācijas celšana</t>
  </si>
  <si>
    <t xml:space="preserve">21h x 50 supervīzijas (vidēji 50 speciālistiem), kas iesaistīti pakalpojuma sniegšanā  (individuālas supervizijas).                                                                                                                                                                                            Nepieciešamības gadījumā pakalpojuma nodrošinātājs var organizēt grupu nodarbības, tādējādi novirzot finansējumu speciālistu apmācībai/kvalifikācijas celšanai.                                                                                                                                                                                                                                  Izmaksās ir iekļauti visi nodokļi, kas saistīti ar attiecīgā pakalpojuma sniegšanu, gan darba ņēmēja, gan darba devēja valsts sociālās apdrošināšanas obligātās iemaksas, kā arī iedzīvotāju ienākuma nodoklis.  </t>
  </si>
  <si>
    <t>4. Tulka pakalpojumu izdevumi</t>
  </si>
  <si>
    <t xml:space="preserve">1h izmaksas tulkam nepārsniedz 40 euro. Vienas stundas izmaksā ir iekļauti visi nodokļi, kas saistīti ar attiecīgā pakalpojuma sniegšanu, gan darba ņēmēja, gan darba devēja valsts sociālās apdrošināšanas obligātās iemaksas, kā arī iedzīvotāju ienākuma nodoklis.  </t>
  </si>
  <si>
    <t>Pakalpojumu izmaksas kopā</t>
  </si>
  <si>
    <t>5. Pakalpojuma sniedzēja administrēšanas izdevumi 10%</t>
  </si>
  <si>
    <t>Vidēji SR pakalpojuma izmaksas uz 1 personu, kuram pakalpojuma kursa saņemšana uzlikta kā pienākums pēc tiesas vai tiesneša lēmuma, t.sk.:</t>
  </si>
  <si>
    <r>
      <t xml:space="preserve">Pēc tiesas vai tiesneša lēmuma klienta samaksas apmērs par vardarbīgas uzvedības mazināšanas pakalpojumu </t>
    </r>
    <r>
      <rPr>
        <b/>
        <u/>
        <sz val="14"/>
        <rFont val="Times New Roman"/>
        <family val="1"/>
        <charset val="186"/>
      </rPr>
      <t>(100% apmērs).</t>
    </r>
  </si>
  <si>
    <t>speciālistu atalgojums</t>
  </si>
  <si>
    <t>Supervīzija, speciālistu kvalifikācijas celšana</t>
  </si>
  <si>
    <t>pakalpojuma organizēšanas izmaksas</t>
  </si>
  <si>
    <t>telpu noma konsultācijām, nodarbībām, nodarbību, konsultāciju materiālu kopēšana, kancelejas preces nodarbībām, konsultācijām, sakaru pakalpojumi (komunikācijai ar klientu) u.c.</t>
  </si>
  <si>
    <t>SR kursa administrēšanas izmaksas</t>
  </si>
  <si>
    <r>
      <t xml:space="preserve">Pēc tiesas vai tiesneša lēmuma klienta samaksas apmērs par vardarbīgas uzvedības mazināšanas pakalpojumu </t>
    </r>
    <r>
      <rPr>
        <b/>
        <u/>
        <sz val="14"/>
        <rFont val="Times New Roman"/>
        <family val="1"/>
        <charset val="186"/>
      </rPr>
      <t>(10% apmērs).</t>
    </r>
  </si>
  <si>
    <t>tabula Nr.1.1.</t>
  </si>
  <si>
    <t xml:space="preserve">Detalizēts aprēķins skat. tabula Nr.1.1.1. /      Atbilstoši pakalpojuma izpildes statistikas datiem 2019. gadā, no kopējā pakalpojumu saņēmēju skaita 20% pakalpojumu saņem institūcijā. Plānots, ka gadā pakalpojumu saņem 600 personas, no kurām 20%, t.i. 120 personas saņem pakalpojumu ar izmitināšanu institūcijā.                                                                                                                                                                                                                                                                                                                                                                                                                                                </t>
  </si>
  <si>
    <t xml:space="preserve">Detalizēts aprēķins skat. tabula Nr.1.1.1.                                                                                                Atbilstoši pakalpojuma izpildes statistikas datiem 2019. gadā, no kopējā pakalpojumu saņēmēju skaita, kuri pakalpojumu saņem ar izmitināšanu institūcijā, papildus 30 dienas tiek piešķirtas nepilniem 10%. Plānots, ka gadā pakalpojumu institūcijā saņem 120 personas, no kurām 10%, t.i. 12 personas saņem pakalpojumu ar izmitināšanu institūcijā līdz 60 dienām (papildus 30 dienas).   </t>
  </si>
  <si>
    <t>Bērna izmaksas (aprēķins skat. tabula Nr.1.1.1.) tikai uzturēšanai, ja bērns nesaņem pakalpojumu 23.22 euro/dienā. Pēc statistikas datiem 2019. gadā: pakalpojumu institūcijā kopā ar bērnu, kuram nav vardarbībā cietušās personas statuss, saņem vidēji 20% no pakalpojuma institūcijā saņēmējiem (20% no 120 personām = 24 personas). Vidēji viens bērns institūcijā pavada 32 dienas.</t>
  </si>
  <si>
    <t>tabula Nr.1.2.</t>
  </si>
  <si>
    <t>tabula Nr.1.3.</t>
  </si>
  <si>
    <t>tabula Nr.1.1.1.</t>
  </si>
  <si>
    <t>Detalizēti aprēķinus skat. 1.tabulas aprēķinu tabulā:</t>
  </si>
  <si>
    <t>Ministru kabineta noteikumu projekta „Grozījumi Ministru kabineta 2014.gada 23.decembra noteikumos Nr.790 “Sociālas rehabilitācijas pakalpojumu sniegšanas kārtība no vardarbības cietušām un vardarbību veikušām pilngadīgām personām”” sākotnējās ietekmes novērtējuma ziņojumam (anotācijai)</t>
  </si>
  <si>
    <t>tabula Nr.1</t>
  </si>
  <si>
    <t>Plānotais papildu finansējuma apjoms sociālās rehabilitācijas nodrošināšanai terorismā cietušām personām</t>
  </si>
  <si>
    <t>periods</t>
  </si>
  <si>
    <t>personu skaits</t>
  </si>
  <si>
    <t>konsultāciju skaits</t>
  </si>
  <si>
    <r>
      <t>Konsultācijas izmaksas,</t>
    </r>
    <r>
      <rPr>
        <i/>
        <sz val="12"/>
        <rFont val="Times New Roman"/>
        <family val="1"/>
        <charset val="186"/>
      </rPr>
      <t xml:space="preserve"> euro</t>
    </r>
  </si>
  <si>
    <r>
      <t xml:space="preserve">KOPĀ papildu nepieciešamais finansējums, </t>
    </r>
    <r>
      <rPr>
        <i/>
        <sz val="12"/>
        <rFont val="Times New Roman"/>
        <family val="1"/>
        <charset val="186"/>
      </rPr>
      <t>euro</t>
    </r>
  </si>
  <si>
    <t>4= ROUNDUP(1*2*3;0)</t>
  </si>
  <si>
    <t>2023. gads</t>
  </si>
  <si>
    <t>2024. gads un turpmāk ik gadu</t>
  </si>
  <si>
    <t xml:space="preserve">*Pieņēmums -1 personai būs nepieciešamas 220 speciālistu konsultācijas gadā (2023. gadā puse no gada apjoma, t.i. 110). </t>
  </si>
  <si>
    <t>Terorismā cietušām personām  pakalpojumus sniedz nekavējoties pēc tā pieprasīšanas sociālajam dienestam vai pakalpojuma sniedzējam. Pakalpojuma sniedzējs pakalpojuma kursa ilgumu nosaka individuāli un atbilstoši nepieciešamībai, regulāri izvērtējot sniegto pakalpojumu efektivitāti un nepieciešamības gadījumā pārskatot pakalpojuma sniegšanas veidu un ilgumu.</t>
  </si>
  <si>
    <t>tabula Nr.1.1.2.</t>
  </si>
  <si>
    <t>Izdevumi 2023.gadā</t>
  </si>
  <si>
    <t>Izdevumi 2024.gadā un turpmāk ik gadu</t>
  </si>
  <si>
    <t xml:space="preserve">Sociālas rehabilitācijas pakalpojumu  sniegšanai no vardarbības cietušām un vardarbību veikušām pilngadīgām personām  nepieciešamā finansējuma aprēķina kopsavilkums                                                                  
                          (izdevumi 2023.gādā un 2024. gadā (un turpmāk ik gadu))                                                                                                                                                                                                                                                                                                          </t>
  </si>
  <si>
    <t>https://likumi.lv/ta/id/340880-grozijumi-ministru-kabineta-2014-gada-23-decembra-noteikumos-nr-790-socialas-rehabilitacijas-pakalpojumu-sniegsanas-kartiba-no-…</t>
  </si>
  <si>
    <t>Detalizēti aprēķinus skat. pielikuma aprēķina tabulā:</t>
  </si>
  <si>
    <r>
      <t xml:space="preserve">Sociālas rehabilitācijas pakalpojumu  sniegšanai no vardarbības cietušām un vardarbību veikušām pilngadīgām personām  nepieciešamā finansējuma aprēķina kopsavilkums 
 (izdevumi 2023.gādā un 2024. gadā (un turpmāk ik gadu))             
</t>
    </r>
    <r>
      <rPr>
        <b/>
        <i/>
        <sz val="14"/>
        <rFont val="Times New Roman"/>
        <family val="1"/>
        <charset val="186"/>
      </rPr>
      <t xml:space="preserve">bez izmaiņām      </t>
    </r>
    <r>
      <rPr>
        <b/>
        <sz val="14"/>
        <rFont val="Times New Roman"/>
        <family val="1"/>
        <charset val="186"/>
      </rPr>
      <t xml:space="preserve">                                                                                                                                                                                                                                                                                          </t>
    </r>
  </si>
  <si>
    <t>tabula Nr.2</t>
  </si>
  <si>
    <t>menotrs/uzticības persona</t>
  </si>
  <si>
    <t>vidēji 14 personas nesaņem pakalpojumu dzīvesvietā</t>
  </si>
  <si>
    <r>
      <t>Atbilstoši MK noteikumu projekta 4.</t>
    </r>
    <r>
      <rPr>
        <i/>
        <vertAlign val="superscript"/>
        <sz val="8"/>
        <rFont val="Times New Roman"/>
        <family val="1"/>
        <charset val="186"/>
      </rPr>
      <t>3</t>
    </r>
    <r>
      <rPr>
        <i/>
        <sz val="8"/>
        <rFont val="Times New Roman"/>
        <family val="1"/>
        <charset val="186"/>
      </rPr>
      <t>2. punktam, ja nepieciešams, krīzes dzīvokļa pakalpojuma sniedzējs tam nodrošina ne vairāk par 50 stundām ilgas pakalpojuma saņēmēja izvēlētas uzticības personas konsultācijas ar ikdienas dzīves jautājumiem saistītu problēmu risināšanā, ja persona nesaņem šo noteikumu 4.2. apakšpunktā minēto pakalpojumu (4.</t>
    </r>
    <r>
      <rPr>
        <i/>
        <vertAlign val="superscript"/>
        <sz val="8"/>
        <rFont val="Times New Roman"/>
        <family val="1"/>
        <charset val="186"/>
      </rPr>
      <t>3</t>
    </r>
    <r>
      <rPr>
        <i/>
        <sz val="8"/>
        <rFont val="Times New Roman"/>
        <family val="1"/>
        <charset val="186"/>
      </rPr>
      <t xml:space="preserve">2. papakšpunkts). </t>
    </r>
  </si>
  <si>
    <t>vidēji 2 personas nesaņem pakalpojumu dzīvesvietā (katra saņem vidēji 35 uzticības/mentora pakalpojuma stundas)</t>
  </si>
  <si>
    <t>tabula Nr.2.1.</t>
  </si>
  <si>
    <r>
      <t xml:space="preserve">Sociālas rehabilitācijas pakalpojumu  sniegšanai no vardarbības cietušām pilngadīgām personām  nepieciešamā finansējuma aprēķina kopsavilkums 
 (izdevumi 2023.gādā un 2024. gadā (un turpmāk ik gadu))             
</t>
    </r>
    <r>
      <rPr>
        <b/>
        <i/>
        <sz val="14"/>
        <rFont val="Times New Roman"/>
        <family val="1"/>
        <charset val="186"/>
      </rPr>
      <t xml:space="preserve">grozījumu ietekme   </t>
    </r>
    <r>
      <rPr>
        <b/>
        <sz val="14"/>
        <rFont val="Times New Roman"/>
        <family val="1"/>
        <charset val="186"/>
      </rPr>
      <t xml:space="preserve">                                                                                                                                                                                                                                                                                          </t>
    </r>
  </si>
  <si>
    <t>EKK 5000</t>
  </si>
  <si>
    <t>Detalizēti aprēķinus skat. 2.tabulas aprēķinu tabulā:</t>
  </si>
  <si>
    <r>
      <t>Pakalpojuma „Sociālās rehabilitācijas pakalpojumi no vardarbības cietušām pilngadīgām personām” izmaksu aprēķins   
(</t>
    </r>
    <r>
      <rPr>
        <b/>
        <u/>
        <sz val="8"/>
        <rFont val="Times New Roman"/>
        <family val="1"/>
        <charset val="186"/>
      </rPr>
      <t>augstas vardarbības risks)</t>
    </r>
  </si>
  <si>
    <t>tabula Nr.2.2.</t>
  </si>
  <si>
    <r>
      <t>Sociālas rehabilitācijas pakalpojumi  no vardarbības</t>
    </r>
    <r>
      <rPr>
        <u/>
        <sz val="12"/>
        <color theme="1"/>
        <rFont val="Times New Roman"/>
        <family val="1"/>
        <charset val="186"/>
      </rPr>
      <t xml:space="preserve"> cietušām </t>
    </r>
    <r>
      <rPr>
        <sz val="12"/>
        <color theme="1"/>
        <rFont val="Times New Roman"/>
        <family val="1"/>
        <charset val="186"/>
      </rPr>
      <t>pilngadīgām personām</t>
    </r>
    <r>
      <rPr>
        <i/>
        <sz val="12"/>
        <color theme="1"/>
        <rFont val="Times New Roman"/>
        <family val="1"/>
        <charset val="186"/>
      </rPr>
      <t xml:space="preserve"> </t>
    </r>
    <r>
      <rPr>
        <sz val="12"/>
        <color theme="1"/>
        <rFont val="Times New Roman"/>
        <family val="1"/>
        <charset val="186"/>
      </rPr>
      <t>*</t>
    </r>
  </si>
  <si>
    <r>
      <t>Sociālās rehabilitācijas pakalpojumi vardarbību</t>
    </r>
    <r>
      <rPr>
        <u/>
        <sz val="12"/>
        <color theme="1"/>
        <rFont val="Times New Roman"/>
        <family val="1"/>
        <charset val="186"/>
      </rPr>
      <t xml:space="preserve"> veikušām</t>
    </r>
    <r>
      <rPr>
        <sz val="12"/>
        <color theme="1"/>
        <rFont val="Times New Roman"/>
        <family val="1"/>
        <charset val="186"/>
      </rPr>
      <t xml:space="preserve"> pilngadīgām personām” </t>
    </r>
  </si>
  <si>
    <r>
      <t>Sociālas rehabilitācijas pakalpojumi  no vardarbības</t>
    </r>
    <r>
      <rPr>
        <u/>
        <sz val="12"/>
        <color theme="1"/>
        <rFont val="Times New Roman"/>
        <family val="1"/>
        <charset val="186"/>
      </rPr>
      <t xml:space="preserve"> cietušām </t>
    </r>
    <r>
      <rPr>
        <sz val="12"/>
        <color theme="1"/>
        <rFont val="Times New Roman"/>
        <family val="1"/>
        <charset val="186"/>
      </rPr>
      <t>pilngadīgām personām</t>
    </r>
    <r>
      <rPr>
        <i/>
        <sz val="12"/>
        <color theme="1"/>
        <rFont val="Times New Roman"/>
        <family val="1"/>
        <charset val="186"/>
      </rPr>
      <t xml:space="preserve"> </t>
    </r>
  </si>
  <si>
    <r>
      <t>Pakalpojuma  „Sociālās rehabilitācijas pakalpojumi vardarbību veikušām pilngadīgām personām”   speciālistu apmācības un supervīzija</t>
    </r>
    <r>
      <rPr>
        <i/>
        <sz val="12"/>
        <color theme="1"/>
        <rFont val="Times New Roman"/>
        <family val="1"/>
        <charset val="186"/>
      </rPr>
      <t xml:space="preserve"> (</t>
    </r>
  </si>
  <si>
    <r>
      <t>** 	MK noteikumu projekta 4.</t>
    </r>
    <r>
      <rPr>
        <i/>
        <vertAlign val="superscript"/>
        <sz val="8"/>
        <rFont val="Times New Roman"/>
        <family val="1"/>
        <charset val="186"/>
      </rPr>
      <t xml:space="preserve">4 </t>
    </r>
    <r>
      <rPr>
        <i/>
        <sz val="8"/>
        <rFont val="Times New Roman"/>
        <family val="1"/>
        <charset val="186"/>
      </rPr>
      <t>punkts: 	"4.4 Ja sociālais dienests vai pakalpojuma sniedzējs, saņemot personas iesniegumu cietušo rehabilitācijas pakalpojuma saņemšanai, konstatē augstu vardarbības risku, ko apliecina sociālā dienesta vai pakalpojuma sniedzēja speciālista veikts personas veselībai un dzīvībai bīstamo faktoru novērtējums, sociālais dienests var pieņemt lēmumu par:
	4.</t>
    </r>
    <r>
      <rPr>
        <i/>
        <vertAlign val="superscript"/>
        <sz val="8"/>
        <rFont val="Times New Roman"/>
        <family val="1"/>
        <charset val="186"/>
      </rPr>
      <t>4</t>
    </r>
    <r>
      <rPr>
        <i/>
        <sz val="8"/>
        <rFont val="Times New Roman"/>
        <family val="1"/>
        <charset val="186"/>
      </rPr>
      <t>1. šo noteikumu 4.1. un 4.3. apakšpunktos minētā pakalpojuma sniegšanas ilguma pagarināšanu līdz 180 dienām;
	4.</t>
    </r>
    <r>
      <rPr>
        <i/>
        <vertAlign val="superscript"/>
        <sz val="8"/>
        <rFont val="Times New Roman"/>
        <family val="1"/>
        <charset val="186"/>
      </rPr>
      <t>4</t>
    </r>
    <r>
      <rPr>
        <i/>
        <sz val="8"/>
        <rFont val="Times New Roman"/>
        <family val="1"/>
        <charset val="186"/>
      </rPr>
      <t>2. šo noteikumu 4.2. apakšpunktā minētā pakalpojuma sniegšanas reižu skaita palielināšanu līdz 120 konsultācijām.";</t>
    </r>
  </si>
  <si>
    <t>tabula Nr.3</t>
  </si>
  <si>
    <t>tabula Nr.3.1.</t>
  </si>
  <si>
    <t>Personai, saņemot krīzes dzīvokļa pakalpojumu, nepieciešamības gadījumā  nodrošina transporta izdevumu segšanu (degviela, sabiedriskā transporta mēnešbiļete vai biļete u.c.), piemēram, lai nodrošinātu bērna nogādāšanu bērnudārzā, skolā, nokļūšanu līdz darba vietai, pie ģimenes ārsta u.c. Gadījumā, ja persona, saņemot krīzes dzīvokļa pakalpojumu, saņem arī MK noteikumu Nr.790 4.2. apakšpunktā minēto pakalpojumu (speciālistu konsultācijas dzīvesvietā), personai var tikt kompensēti papildus transporta izdevumi nokļūšanai uz konsultācijām pie speciālista (saskaņā ar MK noteikumu Nr.790 19.1. apakšpunktu). Piemēram, ja persona atrodas krīzes dzīvoklī pilsētā, kurā var nodrošināt mēnešbiļeti (brīvu pārvietošanos pilsētas teritorijā), tad personai papildu transporta izdevumu kompensāciju saskaņā ar noteikumu 19.1. apakšpunktu nepiešķir (nepastāv dubultā finansējuma risks).</t>
  </si>
  <si>
    <t>*SPSPL 3.pants. Tiesības uz sociālajiem pakalpojumiem un sociālo palīdzību   
 (8) Tiesības saņemt sociālo rehabilitāciju kā vardarbībā cietušām pilngadīgām personām par valsts budžeta līdzekļiem ir vardarbībā cietušām personām, kuras uzturas Latvijas Republikā ar termiņuzturēšanās atļauju, kā arī personām, kuras ir trešās valsts valstspiederīgie vai bezvalstnieki, kuriem nav likumīga pamata uzturēties Latvijas Republikā un kuri ir aizturēti (līdz izraidīšanas vai izceļošanas brīdim), kuriem ir piemērots aizturēšanai alternatīvs līdzeklis, vai ārzemnieki, kuriem atgriešanas lēmuma darbība ir apturēta vai kuriem ir noteikts laikposms brīvprātīgai izceļošanai. Tiesības saņemt sociālo rehabilitāciju kā vardarbībā cietušām pilngadīgām personām ir arī personām, kas nepieder pie šajā pantā uzskaitītajām grupām, ja atbildīgās institūcijas sniegušas atzinumu par sociālās rehabilitācijas pakalpojuma nepieciešamību.</t>
  </si>
  <si>
    <t>Izmaksu aprēķins 30 dienu kursam ar izmitināšu institūcijā no vardarbības cietušas pilngadīgas personas sociālai rehabilitācijai
 (SPSPL 3. panta (8) daļa)*</t>
  </si>
  <si>
    <t>Izmaksas pamata pakalpojumam (LV civiliedzīvotājiem)</t>
  </si>
  <si>
    <t>Ietekme uz budžetu**</t>
  </si>
  <si>
    <r>
      <t xml:space="preserve">**Nepieciešamības gadījumā izdevumi 22 902.12 </t>
    </r>
    <r>
      <rPr>
        <i/>
        <sz val="14"/>
        <rFont val="Times New Roman"/>
        <family val="1"/>
        <charset val="186"/>
      </rPr>
      <t>euro</t>
    </r>
    <r>
      <rPr>
        <sz val="14"/>
        <rFont val="Times New Roman"/>
        <family val="1"/>
        <charset val="186"/>
      </rPr>
      <t xml:space="preserve"> apmērā tiks segti no pakalpojumam pieejamā finansējuma (samazinot rezultatīvo rādītāju no 600 personām, skat. 1.1. tabulu uz aptuveni 590 personām).</t>
    </r>
  </si>
  <si>
    <t>dienu/      konsultāciju/ stundu,  skaits</t>
  </si>
  <si>
    <t>1.2.1. konsultācijas, stundas</t>
  </si>
  <si>
    <t>1.2.2. papildu konsultācijas, stundas</t>
  </si>
  <si>
    <t>Pakalpojuma „Sociālās rehabilitācijas pakalpojumi no vardarbības cietušām pilngadīgām personām” izmaksu aprēķins *                                                                                                                                                                                                                                    (Krīzes dzīvoklis)</t>
  </si>
  <si>
    <t>*Ar krīzes dzīvokļa pakalpojuma saistītie izdevumi, tiek segti no 2023. gada 12. jūnija.</t>
  </si>
  <si>
    <t>Mēnešalga pielīdzināta  MK 26.04.2022. not. Nr. 262 "Valsts un pašvaldību institūciju amatu katalogs, amatu klasifikācijas un amatu apraksta izstrādāšanas kārtība" 8.mēnešalgu grupai (saime, apkšsaime 43.1., līmenis IV). Mēnešalga 1 388 euro  x 1.2359 = 1 715.43 euro : 167h = 10.27 euro.  Speciālista 1 darba stundas izmaksas nepārsniedz 10.27 euro, tai skaitā darba devēja VSAOI.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</si>
</sst>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8" x14ac:knownFonts="1">
    <font>
      <sz val="10"/>
      <name val="Arial"/>
      <charset val="186"/>
    </font>
    <font>
      <sz val="11"/>
      <name val="Times New Roman"/>
      <family val="1"/>
      <charset val="186"/>
    </font>
    <font>
      <sz val="10"/>
      <name val="Arial"/>
      <family val="2"/>
      <charset val="186"/>
    </font>
    <font>
      <sz val="14"/>
      <name val="Times New Roman"/>
      <family val="1"/>
      <charset val="186"/>
    </font>
    <font>
      <b/>
      <sz val="14"/>
      <name val="Times New Roman"/>
      <family val="1"/>
      <charset val="186"/>
    </font>
    <font>
      <b/>
      <sz val="12"/>
      <name val="Times New Roman"/>
      <family val="1"/>
      <charset val="186"/>
    </font>
    <font>
      <sz val="12"/>
      <name val="Times New Roman"/>
      <family val="1"/>
      <charset val="186"/>
    </font>
    <font>
      <sz val="10"/>
      <name val="Times New Roman"/>
      <family val="1"/>
      <charset val="186"/>
    </font>
    <font>
      <u/>
      <sz val="12"/>
      <name val="Times New Roman"/>
      <family val="1"/>
      <charset val="186"/>
    </font>
    <font>
      <b/>
      <sz val="10"/>
      <name val="Times New Roman"/>
      <family val="1"/>
      <charset val="186"/>
    </font>
    <font>
      <sz val="9"/>
      <color indexed="81"/>
      <name val="Tahoma"/>
      <family val="2"/>
      <charset val="186"/>
    </font>
    <font>
      <b/>
      <sz val="9"/>
      <color indexed="81"/>
      <name val="Tahoma"/>
      <family val="2"/>
      <charset val="186"/>
    </font>
    <font>
      <b/>
      <sz val="16"/>
      <name val="Times New Roman"/>
      <family val="1"/>
      <charset val="186"/>
    </font>
    <font>
      <b/>
      <u/>
      <sz val="14"/>
      <name val="Times New Roman"/>
      <family val="1"/>
      <charset val="186"/>
    </font>
    <font>
      <sz val="8"/>
      <name val="Times New Roman"/>
      <family val="1"/>
      <charset val="186"/>
    </font>
    <font>
      <i/>
      <sz val="12"/>
      <name val="Times New Roman"/>
      <family val="1"/>
      <charset val="186"/>
    </font>
    <font>
      <i/>
      <sz val="10"/>
      <name val="Times New Roman"/>
      <family val="1"/>
      <charset val="186"/>
    </font>
    <font>
      <b/>
      <i/>
      <sz val="14"/>
      <name val="Times New Roman"/>
      <family val="1"/>
      <charset val="186"/>
    </font>
    <font>
      <b/>
      <u/>
      <sz val="12"/>
      <name val="Times New Roman"/>
      <family val="1"/>
      <charset val="186"/>
    </font>
    <font>
      <i/>
      <sz val="14"/>
      <name val="Times New Roman"/>
      <family val="1"/>
      <charset val="186"/>
    </font>
    <font>
      <i/>
      <sz val="11"/>
      <name val="Times New Roman"/>
      <family val="1"/>
      <charset val="186"/>
    </font>
    <font>
      <b/>
      <i/>
      <u/>
      <sz val="14"/>
      <name val="Times New Roman"/>
      <family val="1"/>
      <charset val="186"/>
    </font>
    <font>
      <b/>
      <sz val="25"/>
      <name val="Times New Roman"/>
      <family val="1"/>
      <charset val="186"/>
    </font>
    <font>
      <sz val="9"/>
      <name val="Times New Roman"/>
      <family val="1"/>
      <charset val="186"/>
    </font>
    <font>
      <sz val="10"/>
      <color rgb="FFFF0000"/>
      <name val="Times New Roman"/>
      <family val="1"/>
      <charset val="186"/>
    </font>
    <font>
      <sz val="10"/>
      <color rgb="FFFF0000"/>
      <name val="Arial"/>
      <family val="2"/>
      <charset val="186"/>
    </font>
    <font>
      <b/>
      <sz val="12"/>
      <color rgb="FFFF0000"/>
      <name val="Times New Roman"/>
      <family val="1"/>
      <charset val="186"/>
    </font>
    <font>
      <sz val="7"/>
      <name val="Times New Roman"/>
      <family val="1"/>
      <charset val="186"/>
    </font>
    <font>
      <i/>
      <sz val="8"/>
      <name val="Times New Roman"/>
      <family val="1"/>
      <charset val="186"/>
    </font>
    <font>
      <b/>
      <i/>
      <sz val="8"/>
      <name val="Times New Roman"/>
      <family val="1"/>
      <charset val="186"/>
    </font>
    <font>
      <i/>
      <vertAlign val="superscript"/>
      <sz val="8"/>
      <name val="Times New Roman"/>
      <family val="1"/>
      <charset val="186"/>
    </font>
    <font>
      <b/>
      <u/>
      <sz val="10"/>
      <name val="Times New Roman"/>
      <family val="1"/>
      <charset val="186"/>
    </font>
    <font>
      <b/>
      <sz val="8"/>
      <name val="Times New Roman"/>
      <family val="1"/>
      <charset val="186"/>
    </font>
    <font>
      <b/>
      <sz val="7"/>
      <name val="Times New Roman"/>
      <family val="1"/>
      <charset val="186"/>
    </font>
    <font>
      <b/>
      <i/>
      <sz val="7"/>
      <name val="Times New Roman"/>
      <family val="1"/>
      <charset val="186"/>
    </font>
    <font>
      <b/>
      <i/>
      <sz val="10"/>
      <name val="Times New Roman"/>
      <family val="1"/>
      <charset val="186"/>
    </font>
    <font>
      <i/>
      <sz val="12"/>
      <color rgb="FFFF0000"/>
      <name val="Times New Roman"/>
      <family val="1"/>
      <charset val="186"/>
    </font>
    <font>
      <b/>
      <u/>
      <sz val="8"/>
      <name val="Times New Roman"/>
      <family val="1"/>
      <charset val="186"/>
    </font>
    <font>
      <sz val="10"/>
      <color theme="1"/>
      <name val="Arial"/>
      <family val="2"/>
      <charset val="186"/>
    </font>
    <font>
      <sz val="14"/>
      <color rgb="FFFF0000"/>
      <name val="Times New Roman"/>
      <family val="1"/>
      <charset val="186"/>
    </font>
    <font>
      <sz val="12"/>
      <color rgb="FFFF0000"/>
      <name val="Times New Roman"/>
      <family val="1"/>
      <charset val="186"/>
    </font>
    <font>
      <b/>
      <sz val="14"/>
      <color rgb="FFFF0000"/>
      <name val="Times New Roman"/>
      <family val="1"/>
      <charset val="186"/>
    </font>
    <font>
      <b/>
      <u/>
      <sz val="12"/>
      <color rgb="FFFF0000"/>
      <name val="Times New Roman"/>
      <family val="1"/>
      <charset val="186"/>
    </font>
    <font>
      <sz val="9"/>
      <name val="Arial"/>
      <family val="2"/>
      <charset val="186"/>
    </font>
    <font>
      <u/>
      <sz val="14"/>
      <color rgb="FFFF0000"/>
      <name val="Times New Roman"/>
      <family val="1"/>
      <charset val="186"/>
    </font>
    <font>
      <u/>
      <sz val="14"/>
      <name val="Times New Roman"/>
      <family val="1"/>
      <charset val="186"/>
    </font>
    <font>
      <i/>
      <u/>
      <sz val="14"/>
      <name val="Times New Roman"/>
      <family val="1"/>
      <charset val="186"/>
    </font>
    <font>
      <i/>
      <sz val="11"/>
      <color rgb="FFFF0000"/>
      <name val="Times New Roman"/>
      <family val="1"/>
      <charset val="186"/>
    </font>
    <font>
      <u/>
      <sz val="10"/>
      <color theme="10"/>
      <name val="Arial"/>
      <family val="2"/>
      <charset val="186"/>
    </font>
    <font>
      <b/>
      <i/>
      <sz val="12"/>
      <name val="Times New Roman"/>
      <family val="1"/>
      <charset val="186"/>
    </font>
    <font>
      <sz val="12"/>
      <color theme="1"/>
      <name val="Times New Roman"/>
      <family val="1"/>
      <charset val="186"/>
    </font>
    <font>
      <i/>
      <sz val="11"/>
      <color theme="1"/>
      <name val="Times New Roman"/>
      <family val="1"/>
      <charset val="186"/>
    </font>
    <font>
      <b/>
      <sz val="12"/>
      <color theme="1"/>
      <name val="Times New Roman"/>
      <family val="1"/>
      <charset val="186"/>
    </font>
    <font>
      <sz val="10"/>
      <color theme="1"/>
      <name val="Times New Roman"/>
      <family val="1"/>
      <charset val="186"/>
    </font>
    <font>
      <u/>
      <sz val="12"/>
      <color theme="1"/>
      <name val="Times New Roman"/>
      <family val="1"/>
      <charset val="186"/>
    </font>
    <font>
      <i/>
      <sz val="12"/>
      <color theme="1"/>
      <name val="Times New Roman"/>
      <family val="1"/>
      <charset val="186"/>
    </font>
    <font>
      <b/>
      <sz val="10"/>
      <color theme="1"/>
      <name val="Times New Roman"/>
      <family val="1"/>
      <charset val="186"/>
    </font>
    <font>
      <sz val="9"/>
      <color theme="1"/>
      <name val="Times New Roman"/>
      <family val="1"/>
      <charset val="186"/>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7" tint="0.39997558519241921"/>
        <bgColor indexed="64"/>
      </patternFill>
    </fill>
    <fill>
      <patternFill patternType="solid">
        <fgColor theme="9"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6" tint="0.79998168889431442"/>
        <bgColor indexed="64"/>
      </patternFill>
    </fill>
  </fills>
  <borders count="68">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diagonal/>
    </border>
    <border>
      <left style="thin">
        <color indexed="64"/>
      </left>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medium">
        <color rgb="FF000000"/>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rgb="FF000000"/>
      </left>
      <right style="medium">
        <color rgb="FF000000"/>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indexed="64"/>
      </left>
      <right/>
      <top style="medium">
        <color indexed="64"/>
      </top>
      <bottom style="medium">
        <color rgb="FF000000"/>
      </bottom>
      <diagonal/>
    </border>
    <border>
      <left style="medium">
        <color indexed="64"/>
      </left>
      <right style="thin">
        <color indexed="64"/>
      </right>
      <top style="thin">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s>
  <cellStyleXfs count="3">
    <xf numFmtId="0" fontId="0" fillId="0" borderId="0"/>
    <xf numFmtId="0" fontId="2" fillId="0" borderId="0"/>
    <xf numFmtId="0" fontId="48" fillId="0" borderId="0" applyNumberFormat="0" applyFill="0" applyBorder="0" applyAlignment="0" applyProtection="0"/>
  </cellStyleXfs>
  <cellXfs count="607">
    <xf numFmtId="0" fontId="0" fillId="0" borderId="0" xfId="0"/>
    <xf numFmtId="0" fontId="3" fillId="0" borderId="0" xfId="0" applyFont="1"/>
    <xf numFmtId="0" fontId="1" fillId="0" borderId="0" xfId="0" applyFont="1" applyAlignment="1">
      <alignment horizontal="left" wrapText="1"/>
    </xf>
    <xf numFmtId="0" fontId="2" fillId="0" borderId="0" xfId="0" applyFont="1" applyAlignment="1">
      <alignment wrapText="1"/>
    </xf>
    <xf numFmtId="0" fontId="7" fillId="0" borderId="0" xfId="0" applyFont="1"/>
    <xf numFmtId="1" fontId="4" fillId="2" borderId="1" xfId="1" applyNumberFormat="1" applyFont="1" applyFill="1" applyBorder="1" applyAlignment="1">
      <alignment horizontal="center" vertical="center" wrapText="1"/>
    </xf>
    <xf numFmtId="4" fontId="4" fillId="2" borderId="1" xfId="1" applyNumberFormat="1" applyFont="1" applyFill="1" applyBorder="1" applyAlignment="1">
      <alignment vertical="center" wrapText="1"/>
    </xf>
    <xf numFmtId="4" fontId="6" fillId="2" borderId="2" xfId="1" applyNumberFormat="1" applyFont="1" applyFill="1" applyBorder="1" applyAlignment="1">
      <alignment horizontal="left" vertical="center" wrapText="1"/>
    </xf>
    <xf numFmtId="0" fontId="7" fillId="0" borderId="3" xfId="1" applyFont="1" applyFill="1" applyBorder="1" applyAlignment="1">
      <alignment horizontal="center" wrapText="1"/>
    </xf>
    <xf numFmtId="1" fontId="4" fillId="3" borderId="3" xfId="1" applyNumberFormat="1" applyFont="1" applyFill="1" applyBorder="1" applyAlignment="1">
      <alignment horizontal="center" vertical="center" wrapText="1"/>
    </xf>
    <xf numFmtId="4" fontId="4" fillId="3" borderId="3" xfId="1" applyNumberFormat="1" applyFont="1" applyFill="1" applyBorder="1" applyAlignment="1">
      <alignment vertical="center" wrapText="1"/>
    </xf>
    <xf numFmtId="4" fontId="6" fillId="3" borderId="4" xfId="1" applyNumberFormat="1" applyFont="1" applyFill="1" applyBorder="1" applyAlignment="1">
      <alignment horizontal="left" vertical="center" wrapText="1"/>
    </xf>
    <xf numFmtId="0" fontId="2" fillId="0" borderId="0" xfId="0" applyFont="1" applyAlignment="1">
      <alignment horizontal="left" wrapText="1"/>
    </xf>
    <xf numFmtId="0" fontId="14" fillId="0" borderId="0" xfId="0" applyFont="1"/>
    <xf numFmtId="0" fontId="7" fillId="0" borderId="0" xfId="0" applyFont="1" applyAlignment="1">
      <alignment vertical="center"/>
    </xf>
    <xf numFmtId="0" fontId="7" fillId="0" borderId="0" xfId="0" applyFont="1" applyFill="1" applyBorder="1"/>
    <xf numFmtId="0" fontId="7" fillId="0" borderId="0" xfId="0" applyFont="1" applyFill="1" applyBorder="1" applyAlignment="1">
      <alignment wrapText="1"/>
    </xf>
    <xf numFmtId="0" fontId="9" fillId="0" borderId="5" xfId="0" applyFont="1" applyBorder="1" applyAlignment="1">
      <alignment horizontal="center"/>
    </xf>
    <xf numFmtId="2" fontId="9" fillId="0" borderId="5" xfId="0" applyNumberFormat="1" applyFont="1" applyBorder="1" applyAlignment="1">
      <alignment horizontal="center"/>
    </xf>
    <xf numFmtId="0" fontId="3" fillId="0" borderId="5" xfId="0" applyFont="1" applyFill="1" applyBorder="1" applyAlignment="1">
      <alignment horizontal="center" vertical="center"/>
    </xf>
    <xf numFmtId="0" fontId="3" fillId="0" borderId="5" xfId="0" applyFont="1" applyFill="1" applyBorder="1" applyAlignment="1">
      <alignment vertical="center" wrapText="1"/>
    </xf>
    <xf numFmtId="2" fontId="3" fillId="0" borderId="5" xfId="0" applyNumberFormat="1" applyFont="1" applyFill="1" applyBorder="1" applyAlignment="1">
      <alignment vertical="center"/>
    </xf>
    <xf numFmtId="3" fontId="3" fillId="0" borderId="5" xfId="0" applyNumberFormat="1" applyFont="1" applyFill="1" applyBorder="1" applyAlignment="1">
      <alignment horizontal="center" vertical="center"/>
    </xf>
    <xf numFmtId="2" fontId="3" fillId="0" borderId="5" xfId="0" applyNumberFormat="1" applyFont="1" applyFill="1" applyBorder="1" applyAlignment="1">
      <alignment horizontal="center" vertical="center"/>
    </xf>
    <xf numFmtId="2" fontId="13" fillId="4" borderId="5" xfId="0" applyNumberFormat="1" applyFont="1" applyFill="1" applyBorder="1" applyAlignment="1">
      <alignment vertical="center"/>
    </xf>
    <xf numFmtId="2" fontId="13" fillId="5" borderId="5" xfId="0" applyNumberFormat="1" applyFont="1" applyFill="1" applyBorder="1" applyAlignment="1">
      <alignment vertical="center"/>
    </xf>
    <xf numFmtId="3" fontId="13" fillId="5" borderId="5" xfId="0" applyNumberFormat="1" applyFont="1" applyFill="1" applyBorder="1" applyAlignment="1">
      <alignment horizontal="center" vertical="center"/>
    </xf>
    <xf numFmtId="2" fontId="13" fillId="5" borderId="5" xfId="0" applyNumberFormat="1" applyFont="1" applyFill="1" applyBorder="1" applyAlignment="1">
      <alignment horizontal="center" vertical="center"/>
    </xf>
    <xf numFmtId="0" fontId="3" fillId="5" borderId="5" xfId="0" applyFont="1" applyFill="1" applyBorder="1" applyAlignment="1">
      <alignment vertical="center"/>
    </xf>
    <xf numFmtId="0" fontId="3" fillId="4" borderId="5" xfId="0" applyFont="1" applyFill="1" applyBorder="1" applyAlignment="1">
      <alignment vertical="center" wrapText="1"/>
    </xf>
    <xf numFmtId="0" fontId="24" fillId="0" borderId="0" xfId="0" applyFont="1"/>
    <xf numFmtId="0" fontId="24" fillId="0" borderId="0" xfId="0" applyFont="1" applyAlignment="1">
      <alignment vertical="center"/>
    </xf>
    <xf numFmtId="0" fontId="25" fillId="0" borderId="0" xfId="0" applyFont="1" applyAlignment="1">
      <alignment wrapText="1"/>
    </xf>
    <xf numFmtId="0" fontId="24" fillId="0" borderId="0" xfId="0" applyFont="1" applyFill="1" applyBorder="1"/>
    <xf numFmtId="0" fontId="24" fillId="0" borderId="0" xfId="0" applyFont="1" applyFill="1" applyBorder="1" applyAlignment="1">
      <alignment horizontal="center"/>
    </xf>
    <xf numFmtId="2" fontId="24" fillId="0" borderId="0" xfId="0" applyNumberFormat="1" applyFont="1" applyFill="1" applyBorder="1"/>
    <xf numFmtId="2" fontId="24" fillId="0" borderId="0" xfId="0" applyNumberFormat="1" applyFont="1" applyFill="1" applyBorder="1" applyAlignment="1">
      <alignment horizontal="center"/>
    </xf>
    <xf numFmtId="0" fontId="24" fillId="0" borderId="0" xfId="0" applyFont="1" applyFill="1" applyBorder="1" applyAlignment="1">
      <alignment wrapText="1"/>
    </xf>
    <xf numFmtId="0" fontId="24" fillId="0" borderId="0" xfId="0" applyFont="1" applyFill="1" applyBorder="1" applyAlignment="1">
      <alignment wrapText="1" shrinkToFit="1"/>
    </xf>
    <xf numFmtId="0" fontId="24" fillId="0" borderId="0" xfId="0" applyFont="1" applyAlignment="1">
      <alignment horizontal="center"/>
    </xf>
    <xf numFmtId="2" fontId="24" fillId="0" borderId="0" xfId="0" applyNumberFormat="1" applyFont="1"/>
    <xf numFmtId="0" fontId="7" fillId="0" borderId="0" xfId="0" applyFont="1" applyAlignment="1">
      <alignment horizontal="center"/>
    </xf>
    <xf numFmtId="2" fontId="7" fillId="0" borderId="0" xfId="0" applyNumberFormat="1" applyFont="1"/>
    <xf numFmtId="0" fontId="1" fillId="0" borderId="0" xfId="0" applyFont="1" applyAlignment="1">
      <alignment horizontal="center" wrapText="1"/>
    </xf>
    <xf numFmtId="0" fontId="7" fillId="0" borderId="0" xfId="0" applyFont="1" applyFill="1" applyBorder="1" applyAlignment="1">
      <alignment horizontal="center"/>
    </xf>
    <xf numFmtId="2" fontId="7" fillId="0" borderId="0" xfId="0" applyNumberFormat="1" applyFont="1" applyFill="1" applyBorder="1"/>
    <xf numFmtId="2" fontId="7" fillId="0" borderId="0" xfId="0" applyNumberFormat="1" applyFont="1" applyFill="1" applyBorder="1" applyAlignment="1">
      <alignment horizontal="center"/>
    </xf>
    <xf numFmtId="0" fontId="6" fillId="0" borderId="5" xfId="0" applyFont="1" applyFill="1" applyBorder="1" applyAlignment="1">
      <alignment vertical="center" wrapText="1"/>
    </xf>
    <xf numFmtId="0" fontId="16" fillId="0" borderId="0" xfId="0" applyFont="1"/>
    <xf numFmtId="0" fontId="16" fillId="0" borderId="0" xfId="0" applyFont="1" applyAlignment="1">
      <alignment horizontal="center"/>
    </xf>
    <xf numFmtId="2" fontId="16" fillId="0" borderId="0" xfId="0" applyNumberFormat="1" applyFont="1" applyAlignment="1">
      <alignment horizontal="right"/>
    </xf>
    <xf numFmtId="2" fontId="16" fillId="0" borderId="0" xfId="0" applyNumberFormat="1" applyFont="1"/>
    <xf numFmtId="0" fontId="3" fillId="0" borderId="8" xfId="1" applyFont="1" applyFill="1" applyBorder="1" applyAlignment="1">
      <alignment horizontal="right" vertical="center" wrapText="1"/>
    </xf>
    <xf numFmtId="2" fontId="3" fillId="0" borderId="5" xfId="1" applyNumberFormat="1" applyFont="1" applyFill="1" applyBorder="1" applyAlignment="1">
      <alignment horizontal="center" vertical="center"/>
    </xf>
    <xf numFmtId="0" fontId="3" fillId="0" borderId="9" xfId="1" applyFont="1" applyFill="1" applyBorder="1" applyAlignment="1">
      <alignment horizontal="right" vertical="center" wrapText="1"/>
    </xf>
    <xf numFmtId="2" fontId="3" fillId="0" borderId="3" xfId="1" applyNumberFormat="1" applyFont="1" applyFill="1" applyBorder="1" applyAlignment="1">
      <alignment horizontal="center" vertical="center"/>
    </xf>
    <xf numFmtId="1" fontId="3" fillId="0" borderId="5" xfId="1" applyNumberFormat="1" applyFont="1" applyFill="1" applyBorder="1" applyAlignment="1">
      <alignment horizontal="center" vertical="center"/>
    </xf>
    <xf numFmtId="1" fontId="3" fillId="0" borderId="3" xfId="1" applyNumberFormat="1" applyFont="1" applyFill="1" applyBorder="1" applyAlignment="1">
      <alignment horizontal="center" vertical="center"/>
    </xf>
    <xf numFmtId="0" fontId="3" fillId="0" borderId="5" xfId="1" applyFont="1" applyFill="1" applyBorder="1" applyAlignment="1">
      <alignment horizontal="center" vertical="center"/>
    </xf>
    <xf numFmtId="4" fontId="3" fillId="0" borderId="5" xfId="1" applyNumberFormat="1" applyFont="1" applyFill="1" applyBorder="1" applyAlignment="1">
      <alignment vertical="center"/>
    </xf>
    <xf numFmtId="4" fontId="6" fillId="0" borderId="10" xfId="1" applyNumberFormat="1" applyFont="1" applyFill="1" applyBorder="1" applyAlignment="1">
      <alignment horizontal="left" vertical="center" wrapText="1"/>
    </xf>
    <xf numFmtId="0" fontId="3" fillId="0" borderId="3" xfId="1" applyFont="1" applyFill="1" applyBorder="1" applyAlignment="1">
      <alignment horizontal="center" vertical="center"/>
    </xf>
    <xf numFmtId="4" fontId="3" fillId="0" borderId="3" xfId="1" applyNumberFormat="1" applyFont="1" applyFill="1" applyBorder="1" applyAlignment="1">
      <alignment vertical="center"/>
    </xf>
    <xf numFmtId="4" fontId="6" fillId="0" borderId="4" xfId="1" applyNumberFormat="1" applyFont="1" applyFill="1" applyBorder="1" applyAlignment="1">
      <alignment horizontal="left" vertical="center" wrapText="1"/>
    </xf>
    <xf numFmtId="4" fontId="4" fillId="2" borderId="1" xfId="1" applyNumberFormat="1" applyFont="1" applyFill="1" applyBorder="1" applyAlignment="1">
      <alignment horizontal="right" vertical="center" wrapText="1"/>
    </xf>
    <xf numFmtId="0" fontId="4" fillId="6" borderId="8" xfId="1" applyFont="1" applyFill="1" applyBorder="1" applyAlignment="1">
      <alignment vertical="center" wrapText="1"/>
    </xf>
    <xf numFmtId="2" fontId="4" fillId="6" borderId="5" xfId="1" applyNumberFormat="1" applyFont="1" applyFill="1" applyBorder="1" applyAlignment="1">
      <alignment horizontal="center" vertical="center"/>
    </xf>
    <xf numFmtId="1" fontId="4" fillId="6" borderId="5" xfId="1" applyNumberFormat="1" applyFont="1" applyFill="1" applyBorder="1" applyAlignment="1">
      <alignment horizontal="center" vertical="center"/>
    </xf>
    <xf numFmtId="1" fontId="4" fillId="6" borderId="5" xfId="1" applyNumberFormat="1" applyFont="1" applyFill="1" applyBorder="1" applyAlignment="1">
      <alignment horizontal="center" vertical="center" wrapText="1"/>
    </xf>
    <xf numFmtId="4" fontId="4" fillId="6" borderId="5" xfId="1" applyNumberFormat="1" applyFont="1" applyFill="1" applyBorder="1" applyAlignment="1">
      <alignment horizontal="right" vertical="center"/>
    </xf>
    <xf numFmtId="4" fontId="5" fillId="6" borderId="10" xfId="1" applyNumberFormat="1" applyFont="1" applyFill="1" applyBorder="1" applyAlignment="1">
      <alignment horizontal="left" vertical="center"/>
    </xf>
    <xf numFmtId="1" fontId="4" fillId="3" borderId="5" xfId="1" applyNumberFormat="1" applyFont="1" applyFill="1" applyBorder="1" applyAlignment="1">
      <alignment horizontal="center" vertical="center" wrapText="1"/>
    </xf>
    <xf numFmtId="4" fontId="4" fillId="3" borderId="5" xfId="1" applyNumberFormat="1" applyFont="1" applyFill="1" applyBorder="1" applyAlignment="1">
      <alignment vertical="center" wrapText="1"/>
    </xf>
    <xf numFmtId="4" fontId="6" fillId="3" borderId="10" xfId="1" applyNumberFormat="1" applyFont="1" applyFill="1" applyBorder="1" applyAlignment="1">
      <alignment horizontal="left" vertical="center" wrapText="1"/>
    </xf>
    <xf numFmtId="1" fontId="4" fillId="3" borderId="11" xfId="1" applyNumberFormat="1" applyFont="1" applyFill="1" applyBorder="1" applyAlignment="1">
      <alignment horizontal="center" vertical="center" wrapText="1"/>
    </xf>
    <xf numFmtId="4" fontId="4" fillId="3" borderId="12" xfId="1" applyNumberFormat="1" applyFont="1" applyFill="1" applyBorder="1" applyAlignment="1">
      <alignment vertical="center" wrapText="1"/>
    </xf>
    <xf numFmtId="4" fontId="6" fillId="3" borderId="6" xfId="1" applyNumberFormat="1" applyFont="1" applyFill="1" applyBorder="1" applyAlignment="1">
      <alignment horizontal="left" vertical="center" wrapText="1"/>
    </xf>
    <xf numFmtId="1" fontId="13" fillId="3" borderId="11" xfId="1" applyNumberFormat="1" applyFont="1" applyFill="1" applyBorder="1" applyAlignment="1">
      <alignment horizontal="center" vertical="center" wrapText="1"/>
    </xf>
    <xf numFmtId="4" fontId="13" fillId="3" borderId="12" xfId="1" applyNumberFormat="1" applyFont="1" applyFill="1" applyBorder="1" applyAlignment="1">
      <alignment vertical="center" wrapText="1"/>
    </xf>
    <xf numFmtId="4" fontId="8" fillId="3" borderId="6" xfId="1" applyNumberFormat="1" applyFont="1" applyFill="1" applyBorder="1" applyAlignment="1">
      <alignment horizontal="left" vertical="center" wrapText="1"/>
    </xf>
    <xf numFmtId="4" fontId="13" fillId="4" borderId="12" xfId="1" applyNumberFormat="1" applyFont="1" applyFill="1" applyBorder="1" applyAlignment="1">
      <alignment horizontal="right" vertical="center"/>
    </xf>
    <xf numFmtId="4" fontId="18" fillId="4" borderId="6" xfId="1" applyNumberFormat="1" applyFont="1" applyFill="1" applyBorder="1" applyAlignment="1">
      <alignment horizontal="left" vertical="center"/>
    </xf>
    <xf numFmtId="1" fontId="7" fillId="0" borderId="0" xfId="0" applyNumberFormat="1" applyFont="1" applyAlignment="1">
      <alignment vertical="center"/>
    </xf>
    <xf numFmtId="2" fontId="7" fillId="0" borderId="0" xfId="0" applyNumberFormat="1" applyFont="1" applyAlignment="1">
      <alignment vertical="center"/>
    </xf>
    <xf numFmtId="2" fontId="9" fillId="0" borderId="0" xfId="0" applyNumberFormat="1" applyFont="1" applyAlignment="1">
      <alignment vertical="center"/>
    </xf>
    <xf numFmtId="4" fontId="3" fillId="0" borderId="5" xfId="1" applyNumberFormat="1" applyFont="1" applyFill="1" applyBorder="1" applyAlignment="1">
      <alignment horizontal="right" vertical="center"/>
    </xf>
    <xf numFmtId="0" fontId="6" fillId="0" borderId="10" xfId="0" applyFont="1" applyFill="1" applyBorder="1" applyAlignment="1">
      <alignment horizontal="left" vertical="center" wrapText="1"/>
    </xf>
    <xf numFmtId="4" fontId="3" fillId="0" borderId="3" xfId="1" applyNumberFormat="1" applyFont="1" applyFill="1" applyBorder="1" applyAlignment="1">
      <alignment horizontal="right" vertical="center"/>
    </xf>
    <xf numFmtId="0" fontId="6" fillId="0" borderId="4" xfId="0" applyFont="1" applyFill="1" applyBorder="1" applyAlignment="1">
      <alignment horizontal="left" vertical="center" wrapText="1"/>
    </xf>
    <xf numFmtId="0" fontId="3" fillId="0" borderId="14" xfId="1" applyFont="1" applyFill="1" applyBorder="1" applyAlignment="1">
      <alignment horizontal="right" vertical="center" wrapText="1"/>
    </xf>
    <xf numFmtId="2" fontId="3" fillId="0" borderId="13" xfId="1" applyNumberFormat="1" applyFont="1" applyFill="1" applyBorder="1" applyAlignment="1">
      <alignment horizontal="center" vertical="center"/>
    </xf>
    <xf numFmtId="1" fontId="3" fillId="0" borderId="13" xfId="1" applyNumberFormat="1" applyFont="1" applyFill="1" applyBorder="1" applyAlignment="1">
      <alignment horizontal="center" vertical="center"/>
    </xf>
    <xf numFmtId="1" fontId="3" fillId="0" borderId="5" xfId="1" applyNumberFormat="1" applyFont="1" applyFill="1" applyBorder="1" applyAlignment="1">
      <alignment horizontal="center" vertical="center" wrapText="1"/>
    </xf>
    <xf numFmtId="1" fontId="3" fillId="0" borderId="3" xfId="1" applyNumberFormat="1" applyFont="1" applyFill="1" applyBorder="1" applyAlignment="1">
      <alignment horizontal="center" vertical="center" wrapText="1"/>
    </xf>
    <xf numFmtId="4" fontId="5" fillId="6" borderId="10" xfId="1" applyNumberFormat="1" applyFont="1" applyFill="1" applyBorder="1" applyAlignment="1">
      <alignment horizontal="left" vertical="center" wrapText="1"/>
    </xf>
    <xf numFmtId="4" fontId="3" fillId="0" borderId="13" xfId="1" applyNumberFormat="1" applyFont="1" applyFill="1" applyBorder="1" applyAlignment="1">
      <alignment horizontal="right" vertical="center"/>
    </xf>
    <xf numFmtId="0" fontId="6" fillId="0" borderId="15" xfId="0" applyFont="1" applyFill="1" applyBorder="1" applyAlignment="1">
      <alignment horizontal="left" vertical="center" wrapText="1"/>
    </xf>
    <xf numFmtId="4" fontId="4" fillId="3" borderId="12" xfId="1" applyNumberFormat="1" applyFont="1" applyFill="1" applyBorder="1" applyAlignment="1">
      <alignment horizontal="center" vertical="center" wrapText="1"/>
    </xf>
    <xf numFmtId="4" fontId="13" fillId="3" borderId="12" xfId="1" applyNumberFormat="1" applyFont="1" applyFill="1" applyBorder="1" applyAlignment="1">
      <alignment horizontal="center" vertical="center" wrapText="1"/>
    </xf>
    <xf numFmtId="4" fontId="13" fillId="4" borderId="12" xfId="1" applyNumberFormat="1" applyFont="1" applyFill="1" applyBorder="1" applyAlignment="1">
      <alignment horizontal="center" vertical="center"/>
    </xf>
    <xf numFmtId="4" fontId="6" fillId="0" borderId="10" xfId="0" applyNumberFormat="1" applyFont="1" applyFill="1" applyBorder="1" applyAlignment="1">
      <alignment horizontal="left" vertical="center" wrapText="1"/>
    </xf>
    <xf numFmtId="0" fontId="24" fillId="0" borderId="0" xfId="0" applyFont="1" applyAlignment="1">
      <alignment vertical="center" wrapText="1"/>
    </xf>
    <xf numFmtId="0" fontId="5" fillId="2" borderId="10" xfId="0" applyFont="1" applyFill="1" applyBorder="1" applyAlignment="1">
      <alignment horizontal="center" vertical="center"/>
    </xf>
    <xf numFmtId="3" fontId="5" fillId="0" borderId="8" xfId="0" applyNumberFormat="1" applyFont="1" applyBorder="1" applyAlignment="1">
      <alignment horizontal="right" vertical="center" wrapText="1"/>
    </xf>
    <xf numFmtId="3" fontId="5" fillId="5" borderId="3" xfId="0" applyNumberFormat="1" applyFont="1" applyFill="1" applyBorder="1" applyAlignment="1">
      <alignment horizontal="right" vertical="center"/>
    </xf>
    <xf numFmtId="3" fontId="5" fillId="5" borderId="4" xfId="0" applyNumberFormat="1" applyFont="1" applyFill="1" applyBorder="1" applyAlignment="1">
      <alignment horizontal="right" vertical="center"/>
    </xf>
    <xf numFmtId="3" fontId="24" fillId="0" borderId="0" xfId="0" applyNumberFormat="1" applyFont="1" applyAlignment="1">
      <alignment vertical="center"/>
    </xf>
    <xf numFmtId="3" fontId="6" fillId="0" borderId="5" xfId="0" applyNumberFormat="1" applyFont="1" applyBorder="1" applyAlignment="1">
      <alignment horizontal="right" vertical="center"/>
    </xf>
    <xf numFmtId="3" fontId="5" fillId="0" borderId="5" xfId="0" applyNumberFormat="1" applyFont="1" applyBorder="1" applyAlignment="1">
      <alignment horizontal="right" vertical="center"/>
    </xf>
    <xf numFmtId="0" fontId="20" fillId="0" borderId="0" xfId="0" applyFont="1"/>
    <xf numFmtId="0" fontId="20" fillId="0" borderId="0" xfId="0" applyFont="1" applyAlignment="1">
      <alignment horizontal="right" vertical="top" wrapText="1"/>
    </xf>
    <xf numFmtId="0" fontId="5" fillId="0" borderId="0" xfId="0" applyFont="1" applyAlignment="1">
      <alignment horizontal="right"/>
    </xf>
    <xf numFmtId="4" fontId="17" fillId="2" borderId="1" xfId="1" applyNumberFormat="1" applyFont="1" applyFill="1" applyBorder="1" applyAlignment="1">
      <alignment vertical="center" wrapText="1"/>
    </xf>
    <xf numFmtId="4" fontId="19" fillId="0" borderId="5" xfId="1" applyNumberFormat="1" applyFont="1" applyFill="1" applyBorder="1" applyAlignment="1">
      <alignment vertical="center"/>
    </xf>
    <xf numFmtId="4" fontId="19" fillId="0" borderId="3" xfId="1" applyNumberFormat="1" applyFont="1" applyFill="1" applyBorder="1" applyAlignment="1">
      <alignment vertical="center"/>
    </xf>
    <xf numFmtId="4" fontId="17" fillId="2" borderId="1" xfId="1" applyNumberFormat="1" applyFont="1" applyFill="1" applyBorder="1" applyAlignment="1">
      <alignment horizontal="right" vertical="center" wrapText="1"/>
    </xf>
    <xf numFmtId="4" fontId="17" fillId="6" borderId="5" xfId="1" applyNumberFormat="1" applyFont="1" applyFill="1" applyBorder="1" applyAlignment="1">
      <alignment horizontal="right" vertical="center"/>
    </xf>
    <xf numFmtId="4" fontId="19" fillId="0" borderId="5" xfId="1" applyNumberFormat="1" applyFont="1" applyFill="1" applyBorder="1" applyAlignment="1">
      <alignment horizontal="right" vertical="center"/>
    </xf>
    <xf numFmtId="4" fontId="19" fillId="0" borderId="3" xfId="1" applyNumberFormat="1" applyFont="1" applyFill="1" applyBorder="1" applyAlignment="1">
      <alignment horizontal="right" vertical="center"/>
    </xf>
    <xf numFmtId="4" fontId="17" fillId="3" borderId="5" xfId="1" applyNumberFormat="1" applyFont="1" applyFill="1" applyBorder="1" applyAlignment="1">
      <alignment vertical="center" wrapText="1"/>
    </xf>
    <xf numFmtId="4" fontId="19" fillId="0" borderId="13" xfId="1" applyNumberFormat="1" applyFont="1" applyFill="1" applyBorder="1" applyAlignment="1">
      <alignment horizontal="right" vertical="center"/>
    </xf>
    <xf numFmtId="4" fontId="17" fillId="3" borderId="12" xfId="1" applyNumberFormat="1" applyFont="1" applyFill="1" applyBorder="1" applyAlignment="1">
      <alignment horizontal="center" vertical="center" wrapText="1"/>
    </xf>
    <xf numFmtId="4" fontId="21" fillId="3" borderId="12" xfId="1" applyNumberFormat="1" applyFont="1" applyFill="1" applyBorder="1" applyAlignment="1">
      <alignment horizontal="center" vertical="center" wrapText="1"/>
    </xf>
    <xf numFmtId="4" fontId="21" fillId="4" borderId="12" xfId="1" applyNumberFormat="1" applyFont="1" applyFill="1" applyBorder="1" applyAlignment="1">
      <alignment horizontal="center" vertical="center"/>
    </xf>
    <xf numFmtId="0" fontId="24" fillId="0" borderId="0" xfId="0" applyFont="1" applyAlignment="1">
      <alignment horizontal="center"/>
    </xf>
    <xf numFmtId="4" fontId="13" fillId="5" borderId="5" xfId="0" applyNumberFormat="1" applyFont="1" applyFill="1" applyBorder="1" applyAlignment="1">
      <alignment vertical="center"/>
    </xf>
    <xf numFmtId="4" fontId="3" fillId="0" borderId="5" xfId="0" applyNumberFormat="1" applyFont="1" applyFill="1" applyBorder="1" applyAlignment="1">
      <alignment vertical="center"/>
    </xf>
    <xf numFmtId="4" fontId="13" fillId="4" borderId="5" xfId="0" applyNumberFormat="1" applyFont="1" applyFill="1" applyBorder="1" applyAlignment="1">
      <alignment vertical="center"/>
    </xf>
    <xf numFmtId="4" fontId="4" fillId="3" borderId="21" xfId="1" applyNumberFormat="1" applyFont="1" applyFill="1" applyBorder="1" applyAlignment="1">
      <alignment vertical="center" wrapText="1"/>
    </xf>
    <xf numFmtId="1" fontId="22" fillId="3" borderId="22" xfId="1" applyNumberFormat="1" applyFont="1" applyFill="1" applyBorder="1" applyAlignment="1">
      <alignment horizontal="center" vertical="center" wrapText="1"/>
    </xf>
    <xf numFmtId="0" fontId="9" fillId="0" borderId="5" xfId="0" applyFont="1" applyBorder="1" applyAlignment="1">
      <alignment horizontal="center" wrapText="1"/>
    </xf>
    <xf numFmtId="4" fontId="5" fillId="0" borderId="26" xfId="0" applyNumberFormat="1" applyFont="1" applyBorder="1" applyAlignment="1">
      <alignment horizontal="right" vertical="center"/>
    </xf>
    <xf numFmtId="3" fontId="5" fillId="5" borderId="9" xfId="0" applyNumberFormat="1" applyFont="1" applyFill="1" applyBorder="1" applyAlignment="1">
      <alignment horizontal="right" vertical="center"/>
    </xf>
    <xf numFmtId="0" fontId="3" fillId="8" borderId="5" xfId="0" applyFont="1" applyFill="1" applyBorder="1" applyAlignment="1">
      <alignment vertical="center" wrapText="1"/>
    </xf>
    <xf numFmtId="0" fontId="3" fillId="8" borderId="5" xfId="0" applyFont="1" applyFill="1" applyBorder="1" applyAlignment="1">
      <alignment horizontal="center" vertical="center"/>
    </xf>
    <xf numFmtId="0" fontId="3" fillId="8" borderId="8" xfId="1" applyFont="1" applyFill="1" applyBorder="1" applyAlignment="1">
      <alignment horizontal="right" vertical="center" wrapText="1"/>
    </xf>
    <xf numFmtId="2" fontId="3" fillId="8" borderId="5" xfId="1" applyNumberFormat="1" applyFont="1" applyFill="1" applyBorder="1" applyAlignment="1">
      <alignment horizontal="center" vertical="center"/>
    </xf>
    <xf numFmtId="3" fontId="6" fillId="0" borderId="8" xfId="0" applyNumberFormat="1" applyFont="1" applyBorder="1" applyAlignment="1">
      <alignment horizontal="right" vertical="center"/>
    </xf>
    <xf numFmtId="3" fontId="24" fillId="0" borderId="0" xfId="0" applyNumberFormat="1" applyFont="1"/>
    <xf numFmtId="3" fontId="6" fillId="0" borderId="8" xfId="0" applyNumberFormat="1" applyFont="1" applyBorder="1" applyAlignment="1">
      <alignment horizontal="center" vertical="center"/>
    </xf>
    <xf numFmtId="3" fontId="6" fillId="0" borderId="5" xfId="0" applyNumberFormat="1" applyFont="1" applyBorder="1" applyAlignment="1">
      <alignment horizontal="center" vertical="center"/>
    </xf>
    <xf numFmtId="3" fontId="5" fillId="2" borderId="10" xfId="0" applyNumberFormat="1" applyFont="1" applyFill="1" applyBorder="1" applyAlignment="1">
      <alignment horizontal="center" vertical="center"/>
    </xf>
    <xf numFmtId="3" fontId="5" fillId="2" borderId="10" xfId="0" applyNumberFormat="1" applyFont="1" applyFill="1" applyBorder="1" applyAlignment="1">
      <alignment horizontal="right" vertical="center"/>
    </xf>
    <xf numFmtId="3" fontId="5" fillId="0" borderId="8" xfId="0" applyNumberFormat="1" applyFont="1" applyBorder="1" applyAlignment="1">
      <alignment horizontal="right" vertical="center"/>
    </xf>
    <xf numFmtId="3" fontId="7" fillId="0" borderId="0" xfId="0" applyNumberFormat="1" applyFont="1"/>
    <xf numFmtId="0" fontId="20" fillId="0" borderId="0" xfId="0" applyFont="1" applyAlignment="1">
      <alignment horizontal="right"/>
    </xf>
    <xf numFmtId="4" fontId="5" fillId="0" borderId="29" xfId="0" applyNumberFormat="1" applyFont="1" applyBorder="1" applyAlignment="1">
      <alignment horizontal="right" vertical="center"/>
    </xf>
    <xf numFmtId="3" fontId="5" fillId="0" borderId="26" xfId="0" applyNumberFormat="1" applyFont="1" applyBorder="1" applyAlignment="1">
      <alignment horizontal="right" vertical="center"/>
    </xf>
    <xf numFmtId="4" fontId="17" fillId="3" borderId="3" xfId="1" applyNumberFormat="1" applyFont="1" applyFill="1" applyBorder="1" applyAlignment="1">
      <alignment vertical="center" wrapText="1"/>
    </xf>
    <xf numFmtId="0" fontId="3" fillId="0" borderId="5" xfId="0" applyFont="1" applyBorder="1" applyAlignment="1">
      <alignment horizontal="center" vertical="center"/>
    </xf>
    <xf numFmtId="2" fontId="3" fillId="0" borderId="5" xfId="0" applyNumberFormat="1" applyFont="1" applyBorder="1" applyAlignment="1">
      <alignment vertical="center"/>
    </xf>
    <xf numFmtId="3" fontId="3" fillId="0" borderId="5" xfId="0" applyNumberFormat="1" applyFont="1" applyBorder="1" applyAlignment="1">
      <alignment horizontal="center" vertical="center"/>
    </xf>
    <xf numFmtId="2" fontId="3" fillId="0" borderId="5" xfId="0" applyNumberFormat="1" applyFont="1" applyBorder="1" applyAlignment="1">
      <alignment horizontal="center" vertical="center"/>
    </xf>
    <xf numFmtId="1" fontId="3" fillId="0" borderId="13" xfId="1" applyNumberFormat="1" applyFont="1" applyFill="1" applyBorder="1" applyAlignment="1">
      <alignment horizontal="center" vertical="center" wrapText="1"/>
    </xf>
    <xf numFmtId="3" fontId="6" fillId="0" borderId="29" xfId="0" applyNumberFormat="1" applyFont="1" applyBorder="1" applyAlignment="1">
      <alignment horizontal="center" vertical="center"/>
    </xf>
    <xf numFmtId="3" fontId="6" fillId="0" borderId="29" xfId="0" applyNumberFormat="1" applyFont="1" applyBorder="1" applyAlignment="1">
      <alignment horizontal="right" vertical="center"/>
    </xf>
    <xf numFmtId="0" fontId="7" fillId="0" borderId="0" xfId="0" applyFont="1" applyAlignment="1">
      <alignment vertical="top"/>
    </xf>
    <xf numFmtId="0" fontId="27" fillId="0" borderId="0" xfId="0" applyFont="1" applyAlignment="1">
      <alignment horizontal="center" vertical="top" wrapText="1"/>
    </xf>
    <xf numFmtId="0" fontId="28" fillId="0" borderId="0" xfId="0" applyFont="1" applyAlignment="1">
      <alignment horizontal="center" vertical="top" wrapText="1"/>
    </xf>
    <xf numFmtId="2" fontId="7" fillId="0" borderId="0" xfId="0" applyNumberFormat="1" applyFont="1" applyAlignment="1">
      <alignment horizontal="right" vertical="top"/>
    </xf>
    <xf numFmtId="0" fontId="7" fillId="0" borderId="0" xfId="0" applyFont="1" applyAlignment="1">
      <alignment horizontal="center" vertical="top"/>
    </xf>
    <xf numFmtId="0" fontId="28" fillId="0" borderId="0" xfId="0" applyFont="1" applyAlignment="1">
      <alignment vertical="top"/>
    </xf>
    <xf numFmtId="0" fontId="28" fillId="0" borderId="0" xfId="0" applyFont="1" applyAlignment="1">
      <alignment vertical="top" wrapText="1"/>
    </xf>
    <xf numFmtId="0" fontId="22" fillId="0" borderId="0" xfId="0" applyFont="1" applyAlignment="1">
      <alignment horizontal="center"/>
    </xf>
    <xf numFmtId="0" fontId="9" fillId="0" borderId="0" xfId="0" applyFont="1"/>
    <xf numFmtId="0" fontId="9" fillId="0" borderId="0" xfId="0" applyFont="1" applyAlignment="1">
      <alignment vertical="top"/>
    </xf>
    <xf numFmtId="2" fontId="9" fillId="0" borderId="0" xfId="0" applyNumberFormat="1" applyFont="1" applyAlignment="1">
      <alignment horizontal="right" vertical="top"/>
    </xf>
    <xf numFmtId="1" fontId="9" fillId="0" borderId="0" xfId="0" applyNumberFormat="1" applyFont="1" applyAlignment="1">
      <alignment horizontal="center" vertical="top"/>
    </xf>
    <xf numFmtId="0" fontId="29" fillId="0" borderId="0" xfId="0" applyFont="1" applyAlignment="1">
      <alignment vertical="top"/>
    </xf>
    <xf numFmtId="0" fontId="9" fillId="0" borderId="0" xfId="0" applyFont="1" applyAlignment="1">
      <alignment horizontal="center" vertical="top"/>
    </xf>
    <xf numFmtId="2" fontId="7" fillId="0" borderId="0" xfId="0" applyNumberFormat="1" applyFont="1" applyAlignment="1">
      <alignment horizontal="right"/>
    </xf>
    <xf numFmtId="0" fontId="28" fillId="0" borderId="0" xfId="0" applyFont="1"/>
    <xf numFmtId="0" fontId="7" fillId="2" borderId="0" xfId="0" applyFont="1" applyFill="1"/>
    <xf numFmtId="0" fontId="9" fillId="2" borderId="0" xfId="0" applyFont="1" applyFill="1" applyAlignment="1">
      <alignment horizontal="right"/>
    </xf>
    <xf numFmtId="3" fontId="9" fillId="2" borderId="0" xfId="0" applyNumberFormat="1" applyFont="1" applyFill="1" applyAlignment="1">
      <alignment horizontal="right"/>
    </xf>
    <xf numFmtId="0" fontId="28" fillId="0" borderId="0" xfId="0" applyFont="1" applyAlignment="1">
      <alignment wrapText="1"/>
    </xf>
    <xf numFmtId="0" fontId="7" fillId="2" borderId="0" xfId="0" applyFont="1" applyFill="1" applyAlignment="1">
      <alignment horizontal="right"/>
    </xf>
    <xf numFmtId="0" fontId="31" fillId="2" borderId="0" xfId="0" applyFont="1" applyFill="1" applyAlignment="1">
      <alignment horizontal="right"/>
    </xf>
    <xf numFmtId="3" fontId="31" fillId="2" borderId="0" xfId="0" applyNumberFormat="1" applyFont="1" applyFill="1" applyAlignment="1">
      <alignment horizontal="right"/>
    </xf>
    <xf numFmtId="3" fontId="9" fillId="7" borderId="0" xfId="0" applyNumberFormat="1" applyFont="1" applyFill="1"/>
    <xf numFmtId="0" fontId="23" fillId="0" borderId="0" xfId="0" applyFont="1"/>
    <xf numFmtId="0" fontId="7" fillId="0" borderId="0" xfId="0" applyFont="1" applyAlignment="1">
      <alignment wrapText="1"/>
    </xf>
    <xf numFmtId="0" fontId="32" fillId="0" borderId="0" xfId="0" applyFont="1"/>
    <xf numFmtId="0" fontId="14" fillId="0" borderId="0" xfId="0" applyFont="1" applyAlignment="1">
      <alignment horizontal="center" wrapText="1"/>
    </xf>
    <xf numFmtId="0" fontId="32" fillId="0" borderId="5" xfId="0" applyFont="1" applyBorder="1" applyAlignment="1">
      <alignment horizontal="center" wrapText="1"/>
    </xf>
    <xf numFmtId="0" fontId="14" fillId="0" borderId="5" xfId="0" applyFont="1" applyBorder="1" applyAlignment="1">
      <alignment horizontal="center" wrapText="1"/>
    </xf>
    <xf numFmtId="0" fontId="33" fillId="0" borderId="0" xfId="0" applyFont="1" applyAlignment="1">
      <alignment horizontal="center" wrapText="1"/>
    </xf>
    <xf numFmtId="0" fontId="7" fillId="0" borderId="5" xfId="0" applyFont="1" applyBorder="1" applyAlignment="1">
      <alignment horizontal="center"/>
    </xf>
    <xf numFmtId="2" fontId="7" fillId="0" borderId="5" xfId="0" applyNumberFormat="1" applyFont="1" applyBorder="1"/>
    <xf numFmtId="3" fontId="7" fillId="0" borderId="5" xfId="0" applyNumberFormat="1" applyFont="1" applyBorder="1"/>
    <xf numFmtId="3" fontId="9" fillId="0" borderId="5" xfId="0" applyNumberFormat="1" applyFont="1" applyBorder="1"/>
    <xf numFmtId="0" fontId="34" fillId="0" borderId="0" xfId="0" applyFont="1"/>
    <xf numFmtId="0" fontId="33" fillId="0" borderId="0" xfId="0" applyFont="1"/>
    <xf numFmtId="4" fontId="7" fillId="0" borderId="5" xfId="0" applyNumberFormat="1" applyFont="1" applyBorder="1"/>
    <xf numFmtId="49" fontId="16" fillId="0" borderId="0" xfId="0" applyNumberFormat="1" applyFont="1" applyAlignment="1">
      <alignment horizontal="right"/>
    </xf>
    <xf numFmtId="0" fontId="35" fillId="0" borderId="5" xfId="0" applyFont="1" applyBorder="1" applyAlignment="1">
      <alignment horizontal="center"/>
    </xf>
    <xf numFmtId="0" fontId="16" fillId="0" borderId="5" xfId="0" applyFont="1" applyBorder="1" applyAlignment="1">
      <alignment horizontal="center"/>
    </xf>
    <xf numFmtId="2" fontId="16" fillId="0" borderId="5" xfId="0" applyNumberFormat="1" applyFont="1" applyBorder="1"/>
    <xf numFmtId="4" fontId="16" fillId="0" borderId="5" xfId="0" applyNumberFormat="1" applyFont="1" applyBorder="1"/>
    <xf numFmtId="3" fontId="35" fillId="0" borderId="5" xfId="0" applyNumberFormat="1" applyFont="1" applyBorder="1"/>
    <xf numFmtId="3" fontId="9" fillId="0" borderId="0" xfId="0" applyNumberFormat="1" applyFont="1"/>
    <xf numFmtId="0" fontId="36" fillId="0" borderId="0" xfId="0" applyFont="1" applyFill="1"/>
    <xf numFmtId="0" fontId="7" fillId="0" borderId="0" xfId="0" applyFont="1" applyFill="1"/>
    <xf numFmtId="0" fontId="24" fillId="0" borderId="0" xfId="0" applyFont="1" applyAlignment="1">
      <alignment wrapText="1"/>
    </xf>
    <xf numFmtId="4" fontId="24" fillId="0" borderId="0" xfId="0" applyNumberFormat="1" applyFont="1" applyAlignment="1">
      <alignment vertical="center"/>
    </xf>
    <xf numFmtId="0" fontId="6" fillId="0" borderId="5" xfId="0" applyFont="1" applyBorder="1" applyAlignment="1">
      <alignment horizontal="center" vertical="center" wrapText="1"/>
    </xf>
    <xf numFmtId="0" fontId="6" fillId="0" borderId="5" xfId="0" applyFont="1" applyBorder="1" applyAlignment="1">
      <alignment horizontal="center" vertical="center"/>
    </xf>
    <xf numFmtId="0" fontId="6" fillId="0" borderId="8" xfId="0" applyFont="1" applyBorder="1" applyAlignment="1">
      <alignment horizontal="center" vertical="center"/>
    </xf>
    <xf numFmtId="0" fontId="20" fillId="0" borderId="0" xfId="0" applyFont="1" applyAlignment="1">
      <alignment horizontal="left" vertical="top" wrapText="1"/>
    </xf>
    <xf numFmtId="0" fontId="6" fillId="0" borderId="5" xfId="0" applyFont="1" applyBorder="1" applyAlignment="1">
      <alignment horizontal="center" wrapText="1"/>
    </xf>
    <xf numFmtId="0" fontId="7" fillId="9" borderId="3" xfId="1" applyFont="1" applyFill="1" applyBorder="1" applyAlignment="1">
      <alignment horizontal="center" wrapText="1"/>
    </xf>
    <xf numFmtId="0" fontId="6" fillId="9" borderId="3" xfId="1" applyFont="1" applyFill="1" applyBorder="1" applyAlignment="1">
      <alignment horizontal="center" wrapText="1"/>
    </xf>
    <xf numFmtId="0" fontId="4" fillId="3" borderId="19" xfId="1" applyFont="1" applyFill="1" applyBorder="1" applyAlignment="1">
      <alignment vertical="center" wrapText="1"/>
    </xf>
    <xf numFmtId="4" fontId="4" fillId="3" borderId="56" xfId="1" applyNumberFormat="1" applyFont="1" applyFill="1" applyBorder="1" applyAlignment="1">
      <alignment horizontal="right" vertical="center" wrapText="1"/>
    </xf>
    <xf numFmtId="0" fontId="39" fillId="3" borderId="7" xfId="1" applyFont="1" applyFill="1" applyBorder="1" applyAlignment="1">
      <alignment horizontal="center" vertical="center" wrapText="1"/>
    </xf>
    <xf numFmtId="4" fontId="4" fillId="5" borderId="20" xfId="1" applyNumberFormat="1" applyFont="1" applyFill="1" applyBorder="1" applyAlignment="1">
      <alignment horizontal="right" vertical="center" wrapText="1"/>
    </xf>
    <xf numFmtId="4" fontId="41" fillId="5" borderId="2" xfId="1" applyNumberFormat="1" applyFont="1" applyFill="1" applyBorder="1" applyAlignment="1">
      <alignment horizontal="center" vertical="center" wrapText="1"/>
    </xf>
    <xf numFmtId="0" fontId="3" fillId="9" borderId="14" xfId="1" applyFont="1" applyFill="1" applyBorder="1" applyAlignment="1">
      <alignment horizontal="right" vertical="center" wrapText="1"/>
    </xf>
    <xf numFmtId="2" fontId="3" fillId="9" borderId="14" xfId="1" applyNumberFormat="1" applyFont="1" applyFill="1" applyBorder="1" applyAlignment="1">
      <alignment horizontal="center" vertical="center" wrapText="1"/>
    </xf>
    <xf numFmtId="0" fontId="3" fillId="9" borderId="13" xfId="1" applyFont="1" applyFill="1" applyBorder="1" applyAlignment="1">
      <alignment horizontal="center" vertical="center" wrapText="1"/>
    </xf>
    <xf numFmtId="4" fontId="3" fillId="9" borderId="13" xfId="1" applyNumberFormat="1" applyFont="1" applyFill="1" applyBorder="1" applyAlignment="1">
      <alignment horizontal="right" vertical="center"/>
    </xf>
    <xf numFmtId="4" fontId="6" fillId="9" borderId="15" xfId="1" applyNumberFormat="1" applyFont="1" applyFill="1" applyBorder="1" applyAlignment="1">
      <alignment horizontal="left" vertical="center" wrapText="1"/>
    </xf>
    <xf numFmtId="0" fontId="3" fillId="9" borderId="8" xfId="1" applyFont="1" applyFill="1" applyBorder="1" applyAlignment="1">
      <alignment horizontal="right" vertical="center" wrapText="1"/>
    </xf>
    <xf numFmtId="2" fontId="3" fillId="9" borderId="8" xfId="1" applyNumberFormat="1" applyFont="1" applyFill="1" applyBorder="1" applyAlignment="1">
      <alignment horizontal="center" vertical="center" wrapText="1"/>
    </xf>
    <xf numFmtId="0" fontId="3" fillId="9" borderId="5" xfId="1" applyFont="1" applyFill="1" applyBorder="1" applyAlignment="1">
      <alignment horizontal="center" vertical="center" wrapText="1"/>
    </xf>
    <xf numFmtId="4" fontId="3" fillId="9" borderId="5" xfId="1" applyNumberFormat="1" applyFont="1" applyFill="1" applyBorder="1" applyAlignment="1">
      <alignment horizontal="right" vertical="center"/>
    </xf>
    <xf numFmtId="4" fontId="6" fillId="9" borderId="10" xfId="1" applyNumberFormat="1" applyFont="1" applyFill="1" applyBorder="1" applyAlignment="1">
      <alignment horizontal="left" vertical="center" wrapText="1"/>
    </xf>
    <xf numFmtId="0" fontId="3" fillId="9" borderId="9" xfId="1" applyFont="1" applyFill="1" applyBorder="1" applyAlignment="1">
      <alignment horizontal="right" vertical="center" wrapText="1"/>
    </xf>
    <xf numFmtId="0" fontId="3" fillId="9" borderId="9" xfId="1" applyFont="1" applyFill="1" applyBorder="1" applyAlignment="1">
      <alignment horizontal="center" vertical="center" wrapText="1"/>
    </xf>
    <xf numFmtId="0" fontId="3" fillId="9" borderId="3" xfId="1" applyFont="1" applyFill="1" applyBorder="1" applyAlignment="1">
      <alignment horizontal="center" vertical="center" wrapText="1"/>
    </xf>
    <xf numFmtId="4" fontId="3" fillId="9" borderId="3" xfId="1" applyNumberFormat="1" applyFont="1" applyFill="1" applyBorder="1" applyAlignment="1">
      <alignment horizontal="right" vertical="center"/>
    </xf>
    <xf numFmtId="4" fontId="6" fillId="9" borderId="4" xfId="1" applyNumberFormat="1" applyFont="1" applyFill="1" applyBorder="1" applyAlignment="1">
      <alignment horizontal="left" vertical="center" wrapText="1"/>
    </xf>
    <xf numFmtId="4" fontId="3" fillId="5" borderId="2" xfId="1" applyNumberFormat="1" applyFont="1" applyFill="1" applyBorder="1" applyAlignment="1">
      <alignment horizontal="left" vertical="center" wrapText="1"/>
    </xf>
    <xf numFmtId="2" fontId="3" fillId="9" borderId="9" xfId="1" applyNumberFormat="1" applyFont="1" applyFill="1" applyBorder="1" applyAlignment="1">
      <alignment horizontal="center" vertical="center" wrapText="1"/>
    </xf>
    <xf numFmtId="4" fontId="4" fillId="3" borderId="20" xfId="1" applyNumberFormat="1" applyFont="1" applyFill="1" applyBorder="1" applyAlignment="1">
      <alignment horizontal="right" vertical="center" wrapText="1"/>
    </xf>
    <xf numFmtId="0" fontId="3" fillId="3" borderId="2" xfId="1" applyFont="1" applyFill="1" applyBorder="1" applyAlignment="1">
      <alignment horizontal="left" vertical="center" wrapText="1"/>
    </xf>
    <xf numFmtId="2" fontId="3" fillId="9" borderId="14" xfId="1" applyNumberFormat="1" applyFont="1" applyFill="1" applyBorder="1" applyAlignment="1">
      <alignment horizontal="center" vertical="center"/>
    </xf>
    <xf numFmtId="1" fontId="3" fillId="9" borderId="13" xfId="1" applyNumberFormat="1" applyFont="1" applyFill="1" applyBorder="1" applyAlignment="1">
      <alignment horizontal="center" vertical="center"/>
    </xf>
    <xf numFmtId="2" fontId="3" fillId="9" borderId="8" xfId="1" applyNumberFormat="1" applyFont="1" applyFill="1" applyBorder="1" applyAlignment="1">
      <alignment horizontal="center" vertical="center"/>
    </xf>
    <xf numFmtId="164" fontId="3" fillId="9" borderId="13" xfId="1" applyNumberFormat="1" applyFont="1" applyFill="1" applyBorder="1" applyAlignment="1">
      <alignment horizontal="center" vertical="center"/>
    </xf>
    <xf numFmtId="0" fontId="3" fillId="9" borderId="54" xfId="1" applyFont="1" applyFill="1" applyBorder="1" applyAlignment="1">
      <alignment horizontal="right" vertical="center" wrapText="1"/>
    </xf>
    <xf numFmtId="2" fontId="3" fillId="9" borderId="54" xfId="1" applyNumberFormat="1" applyFont="1" applyFill="1" applyBorder="1" applyAlignment="1">
      <alignment horizontal="center" vertical="center"/>
    </xf>
    <xf numFmtId="2" fontId="3" fillId="9" borderId="16" xfId="1" applyNumberFormat="1" applyFont="1" applyFill="1" applyBorder="1" applyAlignment="1">
      <alignment horizontal="center" vertical="center"/>
    </xf>
    <xf numFmtId="1" fontId="3" fillId="9" borderId="16" xfId="1" applyNumberFormat="1" applyFont="1" applyFill="1" applyBorder="1" applyAlignment="1">
      <alignment horizontal="center" vertical="center"/>
    </xf>
    <xf numFmtId="4" fontId="3" fillId="9" borderId="16" xfId="1" applyNumberFormat="1" applyFont="1" applyFill="1" applyBorder="1" applyAlignment="1">
      <alignment horizontal="right" vertical="center"/>
    </xf>
    <xf numFmtId="4" fontId="6" fillId="9" borderId="57" xfId="1" applyNumberFormat="1" applyFont="1" applyFill="1" applyBorder="1" applyAlignment="1">
      <alignment horizontal="left" vertical="center" wrapText="1"/>
    </xf>
    <xf numFmtId="4" fontId="4" fillId="4" borderId="58" xfId="1" applyNumberFormat="1" applyFont="1" applyFill="1" applyBorder="1" applyAlignment="1">
      <alignment horizontal="right" vertical="center"/>
    </xf>
    <xf numFmtId="4" fontId="26" fillId="4" borderId="7" xfId="1" applyNumberFormat="1" applyFont="1" applyFill="1" applyBorder="1" applyAlignment="1">
      <alignment horizontal="center" vertical="center"/>
    </xf>
    <xf numFmtId="4" fontId="4" fillId="3" borderId="58" xfId="1" applyNumberFormat="1" applyFont="1" applyFill="1" applyBorder="1" applyAlignment="1">
      <alignment horizontal="right" vertical="center"/>
    </xf>
    <xf numFmtId="4" fontId="40" fillId="3" borderId="7" xfId="1" applyNumberFormat="1" applyFont="1" applyFill="1" applyBorder="1" applyAlignment="1">
      <alignment horizontal="left" vertical="center"/>
    </xf>
    <xf numFmtId="4" fontId="42" fillId="4" borderId="6" xfId="1" applyNumberFormat="1" applyFont="1" applyFill="1" applyBorder="1" applyAlignment="1">
      <alignment horizontal="center" vertical="center"/>
    </xf>
    <xf numFmtId="0" fontId="25" fillId="0" borderId="0" xfId="0" applyFont="1"/>
    <xf numFmtId="0" fontId="2" fillId="0" borderId="0" xfId="0" applyFont="1"/>
    <xf numFmtId="0" fontId="43" fillId="0" borderId="0" xfId="0" applyFont="1"/>
    <xf numFmtId="0" fontId="2" fillId="0" borderId="0" xfId="0" applyFont="1" applyAlignment="1">
      <alignment vertical="center"/>
    </xf>
    <xf numFmtId="1" fontId="4" fillId="5" borderId="16" xfId="1" applyNumberFormat="1" applyFont="1" applyFill="1" applyBorder="1" applyAlignment="1">
      <alignment horizontal="center" vertical="center" wrapText="1"/>
    </xf>
    <xf numFmtId="4" fontId="4" fillId="5" borderId="16" xfId="1" applyNumberFormat="1" applyFont="1" applyFill="1" applyBorder="1" applyAlignment="1">
      <alignment horizontal="right" vertical="center"/>
    </xf>
    <xf numFmtId="0" fontId="3" fillId="5" borderId="57" xfId="1" applyFont="1" applyFill="1" applyBorder="1" applyAlignment="1">
      <alignment horizontal="center" vertical="center"/>
    </xf>
    <xf numFmtId="0" fontId="25" fillId="0" borderId="0" xfId="0" applyFont="1" applyAlignment="1">
      <alignment vertical="center"/>
    </xf>
    <xf numFmtId="0" fontId="4" fillId="2" borderId="17" xfId="1" applyFont="1" applyFill="1" applyBorder="1" applyAlignment="1">
      <alignment horizontal="left" vertical="center" wrapText="1"/>
    </xf>
    <xf numFmtId="1" fontId="4" fillId="2" borderId="1" xfId="0" applyNumberFormat="1" applyFont="1" applyFill="1" applyBorder="1" applyAlignment="1">
      <alignment horizontal="center" vertical="center"/>
    </xf>
    <xf numFmtId="4" fontId="4" fillId="2" borderId="1" xfId="0" applyNumberFormat="1" applyFont="1" applyFill="1" applyBorder="1" applyAlignment="1">
      <alignment horizontal="right" vertical="center"/>
    </xf>
    <xf numFmtId="4" fontId="6" fillId="2" borderId="2" xfId="0" applyNumberFormat="1" applyFont="1" applyFill="1" applyBorder="1" applyAlignment="1">
      <alignment horizontal="left" vertical="center" wrapText="1"/>
    </xf>
    <xf numFmtId="1" fontId="25" fillId="0" borderId="0" xfId="0" applyNumberFormat="1" applyFont="1" applyAlignment="1">
      <alignment vertical="center"/>
    </xf>
    <xf numFmtId="0" fontId="3" fillId="0" borderId="8" xfId="1" applyFont="1" applyBorder="1" applyAlignment="1">
      <alignment horizontal="right" vertical="center" wrapText="1"/>
    </xf>
    <xf numFmtId="2" fontId="3" fillId="0" borderId="5" xfId="1" applyNumberFormat="1" applyFont="1" applyBorder="1" applyAlignment="1">
      <alignment horizontal="center" vertical="center" wrapText="1"/>
    </xf>
    <xf numFmtId="0" fontId="3" fillId="0" borderId="5" xfId="1" applyFont="1" applyBorder="1" applyAlignment="1">
      <alignment horizontal="center" vertical="center" wrapText="1"/>
    </xf>
    <xf numFmtId="1" fontId="3" fillId="0" borderId="5" xfId="1" applyNumberFormat="1" applyFont="1" applyBorder="1" applyAlignment="1">
      <alignment horizontal="center" vertical="center" wrapText="1"/>
    </xf>
    <xf numFmtId="4" fontId="3" fillId="0" borderId="5" xfId="1" applyNumberFormat="1" applyFont="1" applyBorder="1" applyAlignment="1">
      <alignment horizontal="right" vertical="center"/>
    </xf>
    <xf numFmtId="0" fontId="6" fillId="0" borderId="10" xfId="0" applyFont="1" applyBorder="1" applyAlignment="1">
      <alignment horizontal="left" vertical="center" wrapText="1"/>
    </xf>
    <xf numFmtId="2" fontId="3" fillId="0" borderId="5" xfId="1" applyNumberFormat="1" applyFont="1" applyBorder="1" applyAlignment="1">
      <alignment horizontal="center" vertical="center"/>
    </xf>
    <xf numFmtId="1" fontId="3" fillId="0" borderId="5" xfId="1" applyNumberFormat="1" applyFont="1" applyBorder="1" applyAlignment="1">
      <alignment horizontal="center" vertical="center"/>
    </xf>
    <xf numFmtId="0" fontId="3" fillId="0" borderId="9" xfId="1" applyFont="1" applyBorder="1" applyAlignment="1">
      <alignment horizontal="right" vertical="center" wrapText="1"/>
    </xf>
    <xf numFmtId="2" fontId="3" fillId="0" borderId="3" xfId="1" applyNumberFormat="1" applyFont="1" applyBorder="1" applyAlignment="1">
      <alignment horizontal="center" vertical="center" wrapText="1"/>
    </xf>
    <xf numFmtId="0" fontId="3" fillId="0" borderId="3" xfId="1" applyFont="1" applyBorder="1" applyAlignment="1">
      <alignment horizontal="center" vertical="center" wrapText="1"/>
    </xf>
    <xf numFmtId="1" fontId="3" fillId="0" borderId="3" xfId="1" applyNumberFormat="1" applyFont="1" applyBorder="1" applyAlignment="1">
      <alignment horizontal="center" vertical="center" wrapText="1"/>
    </xf>
    <xf numFmtId="4" fontId="3" fillId="0" borderId="3" xfId="1" applyNumberFormat="1" applyFont="1" applyBorder="1" applyAlignment="1">
      <alignment horizontal="right" vertical="center"/>
    </xf>
    <xf numFmtId="4" fontId="6" fillId="0" borderId="4" xfId="1" applyNumberFormat="1" applyFont="1" applyBorder="1" applyAlignment="1">
      <alignment horizontal="left" vertical="center" wrapText="1"/>
    </xf>
    <xf numFmtId="0" fontId="4" fillId="2" borderId="1" xfId="0" applyFont="1" applyFill="1" applyBorder="1" applyAlignment="1">
      <alignment horizontal="center" vertical="center"/>
    </xf>
    <xf numFmtId="0" fontId="6" fillId="0" borderId="10" xfId="0" applyFont="1" applyBorder="1" applyAlignment="1">
      <alignment vertical="center" wrapText="1"/>
    </xf>
    <xf numFmtId="2" fontId="25" fillId="0" borderId="0" xfId="0" applyNumberFormat="1" applyFont="1" applyAlignment="1">
      <alignment vertical="center"/>
    </xf>
    <xf numFmtId="4" fontId="6" fillId="0" borderId="10" xfId="0" applyNumberFormat="1" applyFont="1" applyBorder="1" applyAlignment="1">
      <alignment vertical="center" wrapText="1"/>
    </xf>
    <xf numFmtId="2" fontId="3" fillId="0" borderId="3" xfId="1" applyNumberFormat="1" applyFont="1" applyBorder="1" applyAlignment="1">
      <alignment horizontal="center" vertical="center"/>
    </xf>
    <xf numFmtId="1" fontId="3" fillId="0" borderId="3" xfId="1" applyNumberFormat="1" applyFont="1" applyBorder="1" applyAlignment="1">
      <alignment horizontal="center" vertical="center"/>
    </xf>
    <xf numFmtId="4" fontId="25" fillId="0" borderId="0" xfId="0" applyNumberFormat="1" applyFont="1" applyAlignment="1">
      <alignment vertical="center"/>
    </xf>
    <xf numFmtId="0" fontId="4" fillId="5" borderId="59" xfId="1" applyFont="1" applyFill="1" applyBorder="1" applyAlignment="1">
      <alignment vertical="center" wrapText="1"/>
    </xf>
    <xf numFmtId="2" fontId="4" fillId="5" borderId="12" xfId="1" applyNumberFormat="1" applyFont="1" applyFill="1" applyBorder="1" applyAlignment="1">
      <alignment vertical="center" wrapText="1"/>
    </xf>
    <xf numFmtId="0" fontId="4" fillId="5" borderId="12" xfId="1" applyFont="1" applyFill="1" applyBorder="1" applyAlignment="1">
      <alignment horizontal="center" vertical="center" wrapText="1"/>
    </xf>
    <xf numFmtId="0" fontId="4" fillId="5" borderId="12" xfId="1" applyFont="1" applyFill="1" applyBorder="1" applyAlignment="1">
      <alignment vertical="center" wrapText="1"/>
    </xf>
    <xf numFmtId="1" fontId="4" fillId="5" borderId="12" xfId="1" applyNumberFormat="1" applyFont="1" applyFill="1" applyBorder="1" applyAlignment="1">
      <alignment horizontal="center" vertical="center" wrapText="1"/>
    </xf>
    <xf numFmtId="4" fontId="4" fillId="5" borderId="12" xfId="1" applyNumberFormat="1" applyFont="1" applyFill="1" applyBorder="1" applyAlignment="1">
      <alignment horizontal="right" vertical="center"/>
    </xf>
    <xf numFmtId="0" fontId="3" fillId="5" borderId="6" xfId="1" applyFont="1" applyFill="1" applyBorder="1" applyAlignment="1">
      <alignment horizontal="left" vertical="center" wrapText="1"/>
    </xf>
    <xf numFmtId="0" fontId="4" fillId="5" borderId="60" xfId="1" applyFont="1" applyFill="1" applyBorder="1" applyAlignment="1">
      <alignment vertical="center" wrapText="1"/>
    </xf>
    <xf numFmtId="0" fontId="4" fillId="5" borderId="18" xfId="1" applyFont="1" applyFill="1" applyBorder="1" applyAlignment="1">
      <alignment vertical="center" wrapText="1"/>
    </xf>
    <xf numFmtId="0" fontId="4" fillId="5" borderId="18" xfId="1" applyFont="1" applyFill="1" applyBorder="1" applyAlignment="1">
      <alignment horizontal="center" vertical="center" wrapText="1"/>
    </xf>
    <xf numFmtId="1" fontId="4" fillId="5" borderId="11" xfId="1" applyNumberFormat="1" applyFont="1" applyFill="1" applyBorder="1" applyAlignment="1">
      <alignment horizontal="center" vertical="center" wrapText="1"/>
    </xf>
    <xf numFmtId="4" fontId="4" fillId="5" borderId="12" xfId="1" applyNumberFormat="1" applyFont="1" applyFill="1" applyBorder="1" applyAlignment="1">
      <alignment horizontal="center" vertical="center"/>
    </xf>
    <xf numFmtId="0" fontId="4" fillId="3" borderId="59" xfId="1" applyFont="1" applyFill="1" applyBorder="1" applyAlignment="1">
      <alignment vertical="center" wrapText="1"/>
    </xf>
    <xf numFmtId="0" fontId="4" fillId="3" borderId="60" xfId="1" applyFont="1" applyFill="1" applyBorder="1" applyAlignment="1">
      <alignment vertical="center" wrapText="1"/>
    </xf>
    <xf numFmtId="0" fontId="4" fillId="3" borderId="18" xfId="1" applyFont="1" applyFill="1" applyBorder="1" applyAlignment="1">
      <alignment vertical="center" wrapText="1"/>
    </xf>
    <xf numFmtId="0" fontId="4" fillId="3" borderId="18" xfId="1" applyFont="1" applyFill="1" applyBorder="1" applyAlignment="1">
      <alignment horizontal="center" vertical="center" wrapText="1"/>
    </xf>
    <xf numFmtId="4" fontId="4" fillId="3" borderId="12" xfId="1" applyNumberFormat="1" applyFont="1" applyFill="1" applyBorder="1" applyAlignment="1">
      <alignment horizontal="right" vertical="center"/>
    </xf>
    <xf numFmtId="4" fontId="4" fillId="3" borderId="12" xfId="1" applyNumberFormat="1" applyFont="1" applyFill="1" applyBorder="1" applyAlignment="1">
      <alignment horizontal="center" vertical="center"/>
    </xf>
    <xf numFmtId="0" fontId="39" fillId="3" borderId="6" xfId="1" applyFont="1" applyFill="1" applyBorder="1" applyAlignment="1">
      <alignment horizontal="left" vertical="center" wrapText="1"/>
    </xf>
    <xf numFmtId="0" fontId="39" fillId="5" borderId="6" xfId="1" applyFont="1" applyFill="1" applyBorder="1" applyAlignment="1">
      <alignment horizontal="left" vertical="center" wrapText="1"/>
    </xf>
    <xf numFmtId="0" fontId="44" fillId="4" borderId="6" xfId="1" applyFont="1" applyFill="1" applyBorder="1" applyAlignment="1">
      <alignment horizontal="left" vertical="center" wrapText="1"/>
    </xf>
    <xf numFmtId="4" fontId="13" fillId="10" borderId="12" xfId="1" applyNumberFormat="1" applyFont="1" applyFill="1" applyBorder="1" applyAlignment="1">
      <alignment horizontal="right" vertical="center"/>
    </xf>
    <xf numFmtId="4" fontId="13" fillId="10" borderId="12" xfId="1" applyNumberFormat="1" applyFont="1" applyFill="1" applyBorder="1" applyAlignment="1">
      <alignment horizontal="center" vertical="center"/>
    </xf>
    <xf numFmtId="0" fontId="45" fillId="10" borderId="6" xfId="1" applyFont="1" applyFill="1" applyBorder="1" applyAlignment="1">
      <alignment horizontal="left" vertical="center" wrapText="1"/>
    </xf>
    <xf numFmtId="4" fontId="19" fillId="11" borderId="12" xfId="1" applyNumberFormat="1" applyFont="1" applyFill="1" applyBorder="1" applyAlignment="1">
      <alignment horizontal="right" vertical="center"/>
    </xf>
    <xf numFmtId="4" fontId="19" fillId="11" borderId="12" xfId="1" applyNumberFormat="1" applyFont="1" applyFill="1" applyBorder="1" applyAlignment="1">
      <alignment horizontal="center" vertical="center"/>
    </xf>
    <xf numFmtId="0" fontId="19" fillId="11" borderId="6" xfId="1" applyFont="1" applyFill="1" applyBorder="1" applyAlignment="1">
      <alignment horizontal="left" vertical="center" wrapText="1"/>
    </xf>
    <xf numFmtId="0" fontId="46" fillId="11" borderId="6" xfId="1" applyFont="1" applyFill="1" applyBorder="1" applyAlignment="1">
      <alignment horizontal="left" vertical="center" wrapText="1"/>
    </xf>
    <xf numFmtId="4" fontId="25" fillId="0" borderId="0" xfId="0" applyNumberFormat="1" applyFont="1"/>
    <xf numFmtId="0" fontId="47" fillId="0" borderId="0" xfId="0" applyFont="1"/>
    <xf numFmtId="3" fontId="47" fillId="0" borderId="0" xfId="0" applyNumberFormat="1" applyFont="1"/>
    <xf numFmtId="0" fontId="16" fillId="0" borderId="0" xfId="0" applyFont="1" applyAlignment="1">
      <alignment vertical="center"/>
    </xf>
    <xf numFmtId="0" fontId="40" fillId="0" borderId="0" xfId="0" applyFont="1"/>
    <xf numFmtId="0" fontId="6" fillId="0" borderId="0" xfId="0" applyFont="1"/>
    <xf numFmtId="0" fontId="5" fillId="0" borderId="5" xfId="0" applyFont="1" applyBorder="1" applyAlignment="1">
      <alignment horizontal="right"/>
    </xf>
    <xf numFmtId="0" fontId="6" fillId="0" borderId="5" xfId="0" applyFont="1" applyBorder="1" applyAlignment="1">
      <alignment horizontal="center"/>
    </xf>
    <xf numFmtId="1" fontId="6" fillId="0" borderId="5" xfId="0" applyNumberFormat="1" applyFont="1" applyBorder="1" applyAlignment="1">
      <alignment horizontal="center"/>
    </xf>
    <xf numFmtId="2" fontId="6" fillId="0" borderId="5" xfId="0" applyNumberFormat="1" applyFont="1" applyBorder="1"/>
    <xf numFmtId="3" fontId="5" fillId="0" borderId="5" xfId="0" applyNumberFormat="1" applyFont="1" applyBorder="1" applyAlignment="1">
      <alignment wrapText="1"/>
    </xf>
    <xf numFmtId="0" fontId="5" fillId="0" borderId="5" xfId="0" applyFont="1" applyBorder="1" applyAlignment="1">
      <alignment horizontal="right" wrapText="1"/>
    </xf>
    <xf numFmtId="0" fontId="40" fillId="0" borderId="0" xfId="0" applyFont="1" applyAlignment="1">
      <alignment vertical="center"/>
    </xf>
    <xf numFmtId="0" fontId="5" fillId="0" borderId="0" xfId="0" applyFont="1" applyFill="1" applyBorder="1" applyAlignment="1">
      <alignment horizontal="center" vertical="center"/>
    </xf>
    <xf numFmtId="3" fontId="5" fillId="0" borderId="0" xfId="0" applyNumberFormat="1" applyFont="1" applyFill="1" applyBorder="1" applyAlignment="1">
      <alignment horizontal="right" vertical="center"/>
    </xf>
    <xf numFmtId="0" fontId="7" fillId="0" borderId="0" xfId="0" applyFont="1" applyFill="1" applyAlignment="1">
      <alignment vertical="center"/>
    </xf>
    <xf numFmtId="0" fontId="47" fillId="0" borderId="0" xfId="0" applyFont="1" applyAlignment="1">
      <alignment vertical="center"/>
    </xf>
    <xf numFmtId="0" fontId="49" fillId="0" borderId="0" xfId="0" applyFont="1"/>
    <xf numFmtId="3" fontId="40" fillId="0" borderId="0" xfId="0" applyNumberFormat="1" applyFont="1"/>
    <xf numFmtId="1" fontId="3" fillId="8" borderId="5" xfId="1" applyNumberFormat="1" applyFont="1" applyFill="1" applyBorder="1" applyAlignment="1">
      <alignment horizontal="center" vertical="center"/>
    </xf>
    <xf numFmtId="0" fontId="7" fillId="2" borderId="0" xfId="0" applyFont="1" applyFill="1" applyAlignment="1">
      <alignment horizontal="right" wrapText="1"/>
    </xf>
    <xf numFmtId="3" fontId="50" fillId="12" borderId="29" xfId="0" applyNumberFormat="1" applyFont="1" applyFill="1" applyBorder="1" applyAlignment="1">
      <alignment horizontal="right" vertical="center"/>
    </xf>
    <xf numFmtId="3" fontId="50" fillId="12" borderId="27" xfId="0" applyNumberFormat="1" applyFont="1" applyFill="1" applyBorder="1" applyAlignment="1">
      <alignment horizontal="right" vertical="center"/>
    </xf>
    <xf numFmtId="3" fontId="6" fillId="12" borderId="5" xfId="0" applyNumberFormat="1" applyFont="1" applyFill="1" applyBorder="1" applyAlignment="1">
      <alignment horizontal="right" vertical="center"/>
    </xf>
    <xf numFmtId="3" fontId="50" fillId="0" borderId="29" xfId="0" applyNumberFormat="1" applyFont="1" applyBorder="1" applyAlignment="1">
      <alignment horizontal="right" vertical="center"/>
    </xf>
    <xf numFmtId="0" fontId="51" fillId="0" borderId="0" xfId="0" applyFont="1" applyAlignment="1">
      <alignment horizontal="right" vertical="center"/>
    </xf>
    <xf numFmtId="0" fontId="51" fillId="0" borderId="0" xfId="0" applyFont="1" applyAlignment="1">
      <alignment vertical="center"/>
    </xf>
    <xf numFmtId="0" fontId="51" fillId="0" borderId="0" xfId="0" applyFont="1" applyAlignment="1">
      <alignment horizontal="right" vertical="top" wrapText="1"/>
    </xf>
    <xf numFmtId="3" fontId="53" fillId="0" borderId="0" xfId="0" applyNumberFormat="1" applyFont="1"/>
    <xf numFmtId="3" fontId="50" fillId="0" borderId="29" xfId="0" applyNumberFormat="1" applyFont="1" applyBorder="1" applyAlignment="1">
      <alignment horizontal="center" vertical="center"/>
    </xf>
    <xf numFmtId="3" fontId="50" fillId="0" borderId="5" xfId="0" applyNumberFormat="1" applyFont="1" applyBorder="1" applyAlignment="1">
      <alignment horizontal="center" vertical="center"/>
    </xf>
    <xf numFmtId="3" fontId="52" fillId="2" borderId="10" xfId="0" applyNumberFormat="1" applyFont="1" applyFill="1" applyBorder="1" applyAlignment="1">
      <alignment horizontal="center" vertical="center"/>
    </xf>
    <xf numFmtId="3" fontId="50" fillId="0" borderId="8" xfId="0" applyNumberFormat="1" applyFont="1" applyBorder="1" applyAlignment="1">
      <alignment horizontal="center" vertical="center"/>
    </xf>
    <xf numFmtId="3" fontId="50" fillId="0" borderId="5" xfId="0" applyNumberFormat="1" applyFont="1" applyBorder="1" applyAlignment="1">
      <alignment horizontal="right" vertical="center"/>
    </xf>
    <xf numFmtId="3" fontId="50" fillId="12" borderId="5" xfId="0" applyNumberFormat="1" applyFont="1" applyFill="1" applyBorder="1" applyAlignment="1">
      <alignment horizontal="right" vertical="center"/>
    </xf>
    <xf numFmtId="3" fontId="52" fillId="2" borderId="10" xfId="0" applyNumberFormat="1" applyFont="1" applyFill="1" applyBorder="1" applyAlignment="1">
      <alignment horizontal="right" vertical="center"/>
    </xf>
    <xf numFmtId="3" fontId="50" fillId="0" borderId="8" xfId="0" applyNumberFormat="1" applyFont="1" applyBorder="1" applyAlignment="1">
      <alignment horizontal="right" vertical="center"/>
    </xf>
    <xf numFmtId="0" fontId="50" fillId="0" borderId="5" xfId="0" applyFont="1" applyBorder="1" applyAlignment="1">
      <alignment horizontal="center" vertical="center" wrapText="1"/>
    </xf>
    <xf numFmtId="3" fontId="52" fillId="0" borderId="8" xfId="0" applyNumberFormat="1" applyFont="1" applyBorder="1" applyAlignment="1">
      <alignment horizontal="right" vertical="center" wrapText="1"/>
    </xf>
    <xf numFmtId="4" fontId="52" fillId="0" borderId="26" xfId="0" applyNumberFormat="1" applyFont="1" applyBorder="1" applyAlignment="1">
      <alignment horizontal="right" vertical="center"/>
    </xf>
    <xf numFmtId="4" fontId="52" fillId="0" borderId="29" xfId="0" applyNumberFormat="1" applyFont="1" applyBorder="1" applyAlignment="1">
      <alignment horizontal="right" vertical="center"/>
    </xf>
    <xf numFmtId="3" fontId="52" fillId="0" borderId="26" xfId="0" applyNumberFormat="1" applyFont="1" applyBorder="1" applyAlignment="1">
      <alignment horizontal="right" vertical="center"/>
    </xf>
    <xf numFmtId="3" fontId="52" fillId="0" borderId="8" xfId="0" applyNumberFormat="1" applyFont="1" applyBorder="1" applyAlignment="1">
      <alignment horizontal="right" vertical="center"/>
    </xf>
    <xf numFmtId="3" fontId="52" fillId="0" borderId="5" xfId="0" applyNumberFormat="1" applyFont="1" applyBorder="1" applyAlignment="1">
      <alignment horizontal="right" vertical="center"/>
    </xf>
    <xf numFmtId="3" fontId="52" fillId="5" borderId="3" xfId="0" applyNumberFormat="1" applyFont="1" applyFill="1" applyBorder="1" applyAlignment="1">
      <alignment horizontal="right" vertical="center"/>
    </xf>
    <xf numFmtId="3" fontId="52" fillId="8" borderId="4" xfId="0" applyNumberFormat="1" applyFont="1" applyFill="1" applyBorder="1" applyAlignment="1">
      <alignment horizontal="right" vertical="center"/>
    </xf>
    <xf numFmtId="3" fontId="52" fillId="5" borderId="9" xfId="0" applyNumberFormat="1" applyFont="1" applyFill="1" applyBorder="1" applyAlignment="1">
      <alignment horizontal="right" vertical="center"/>
    </xf>
    <xf numFmtId="0" fontId="53" fillId="0" borderId="0" xfId="0" applyFont="1" applyAlignment="1">
      <alignment vertical="center"/>
    </xf>
    <xf numFmtId="3" fontId="53" fillId="0" borderId="0" xfId="0" applyNumberFormat="1" applyFont="1" applyAlignment="1">
      <alignment vertical="center"/>
    </xf>
    <xf numFmtId="3" fontId="50" fillId="0" borderId="27" xfId="0" applyNumberFormat="1" applyFont="1" applyBorder="1" applyAlignment="1">
      <alignment horizontal="right" vertical="center"/>
    </xf>
    <xf numFmtId="3" fontId="52" fillId="5" borderId="4" xfId="0" applyNumberFormat="1" applyFont="1" applyFill="1" applyBorder="1" applyAlignment="1">
      <alignment horizontal="right" vertical="center"/>
    </xf>
    <xf numFmtId="0" fontId="56" fillId="0" borderId="0" xfId="0" applyFont="1" applyAlignment="1">
      <alignment horizontal="left" vertical="center" wrapText="1"/>
    </xf>
    <xf numFmtId="0" fontId="53" fillId="0" borderId="0" xfId="0" applyFont="1" applyAlignment="1">
      <alignment horizontal="left" vertical="center" wrapText="1"/>
    </xf>
    <xf numFmtId="0" fontId="57" fillId="0" borderId="47" xfId="0" applyFont="1" applyBorder="1" applyAlignment="1">
      <alignment horizontal="center" vertical="center" wrapText="1"/>
    </xf>
    <xf numFmtId="0" fontId="57" fillId="0" borderId="48" xfId="0" applyFont="1" applyBorder="1" applyAlignment="1">
      <alignment horizontal="center" vertical="center" wrapText="1"/>
    </xf>
    <xf numFmtId="0" fontId="57" fillId="0" borderId="49" xfId="0" applyFont="1" applyBorder="1" applyAlignment="1">
      <alignment horizontal="center" vertical="center" wrapText="1"/>
    </xf>
    <xf numFmtId="0" fontId="57" fillId="0" borderId="50" xfId="0" applyFont="1" applyBorder="1" applyAlignment="1">
      <alignment horizontal="center" vertical="center" wrapText="1"/>
    </xf>
    <xf numFmtId="0" fontId="53" fillId="0" borderId="0" xfId="0" applyFont="1" applyAlignment="1">
      <alignment horizontal="right" vertical="center"/>
    </xf>
    <xf numFmtId="0" fontId="50" fillId="0" borderId="0" xfId="0" applyFont="1"/>
    <xf numFmtId="0" fontId="53" fillId="0" borderId="0" xfId="0" applyFont="1"/>
    <xf numFmtId="0" fontId="38" fillId="0" borderId="0" xfId="0" applyFont="1" applyAlignment="1">
      <alignment wrapText="1"/>
    </xf>
    <xf numFmtId="0" fontId="38" fillId="0" borderId="0" xfId="0" applyFont="1" applyAlignment="1">
      <alignment horizontal="left" wrapText="1"/>
    </xf>
    <xf numFmtId="1" fontId="3" fillId="0" borderId="13" xfId="1" applyNumberFormat="1" applyFont="1" applyFill="1" applyBorder="1" applyAlignment="1">
      <alignment horizontal="center" vertical="center" wrapText="1"/>
    </xf>
    <xf numFmtId="0" fontId="39" fillId="0" borderId="0" xfId="0" applyFont="1"/>
    <xf numFmtId="0" fontId="3" fillId="0" borderId="0" xfId="0" applyFont="1" applyBorder="1" applyAlignment="1">
      <alignment horizontal="left" wrapText="1"/>
    </xf>
    <xf numFmtId="0" fontId="3" fillId="8" borderId="9" xfId="1" applyFont="1" applyFill="1" applyBorder="1" applyAlignment="1">
      <alignment horizontal="right" vertical="center" wrapText="1"/>
    </xf>
    <xf numFmtId="2" fontId="3" fillId="8" borderId="3" xfId="1" applyNumberFormat="1" applyFont="1" applyFill="1" applyBorder="1" applyAlignment="1">
      <alignment horizontal="center" vertical="center"/>
    </xf>
    <xf numFmtId="1" fontId="3" fillId="8" borderId="3" xfId="1" applyNumberFormat="1" applyFont="1" applyFill="1" applyBorder="1" applyAlignment="1">
      <alignment horizontal="center" vertical="center"/>
    </xf>
    <xf numFmtId="4" fontId="4" fillId="3" borderId="65" xfId="1" applyNumberFormat="1" applyFont="1" applyFill="1" applyBorder="1" applyAlignment="1">
      <alignment vertical="center" wrapText="1"/>
    </xf>
    <xf numFmtId="4" fontId="4" fillId="2" borderId="66" xfId="1" applyNumberFormat="1" applyFont="1" applyFill="1" applyBorder="1" applyAlignment="1">
      <alignment vertical="center" wrapText="1"/>
    </xf>
    <xf numFmtId="4" fontId="3" fillId="0" borderId="67" xfId="1" applyNumberFormat="1" applyFont="1" applyFill="1" applyBorder="1" applyAlignment="1">
      <alignment vertical="center"/>
    </xf>
    <xf numFmtId="4" fontId="4" fillId="2" borderId="66" xfId="1" applyNumberFormat="1" applyFont="1" applyFill="1" applyBorder="1" applyAlignment="1">
      <alignment horizontal="right" vertical="center" wrapText="1"/>
    </xf>
    <xf numFmtId="4" fontId="4" fillId="6" borderId="67" xfId="1" applyNumberFormat="1" applyFont="1" applyFill="1" applyBorder="1" applyAlignment="1">
      <alignment horizontal="right" vertical="center"/>
    </xf>
    <xf numFmtId="0" fontId="7" fillId="0" borderId="64" xfId="0" applyFont="1" applyBorder="1" applyAlignment="1">
      <alignment vertical="center"/>
    </xf>
    <xf numFmtId="4" fontId="4" fillId="3" borderId="67" xfId="1" applyNumberFormat="1" applyFont="1" applyFill="1" applyBorder="1" applyAlignment="1">
      <alignment vertical="center" wrapText="1"/>
    </xf>
    <xf numFmtId="4" fontId="4" fillId="3" borderId="22" xfId="1" applyNumberFormat="1" applyFont="1" applyFill="1" applyBorder="1" applyAlignment="1">
      <alignment vertical="center" wrapText="1"/>
    </xf>
    <xf numFmtId="4" fontId="13" fillId="3" borderId="22" xfId="1" applyNumberFormat="1" applyFont="1" applyFill="1" applyBorder="1" applyAlignment="1">
      <alignment vertical="center" wrapText="1"/>
    </xf>
    <xf numFmtId="4" fontId="13" fillId="4" borderId="22" xfId="1" applyNumberFormat="1" applyFont="1" applyFill="1" applyBorder="1" applyAlignment="1">
      <alignment horizontal="right" vertical="center"/>
    </xf>
    <xf numFmtId="0" fontId="4" fillId="0" borderId="65" xfId="0" applyFont="1" applyBorder="1" applyAlignment="1">
      <alignment wrapText="1"/>
    </xf>
    <xf numFmtId="0" fontId="48" fillId="0" borderId="0" xfId="2" applyAlignment="1">
      <alignment horizontal="center" vertical="center" wrapText="1"/>
    </xf>
    <xf numFmtId="0" fontId="24" fillId="0" borderId="0" xfId="0" applyFont="1" applyAlignment="1">
      <alignment horizontal="center" vertical="center" wrapText="1"/>
    </xf>
    <xf numFmtId="3" fontId="5" fillId="5" borderId="38" xfId="0" applyNumberFormat="1" applyFont="1" applyFill="1" applyBorder="1" applyAlignment="1">
      <alignment horizontal="right" vertical="center" wrapText="1"/>
    </xf>
    <xf numFmtId="3" fontId="5" fillId="5" borderId="39" xfId="0" applyNumberFormat="1" applyFont="1" applyFill="1" applyBorder="1" applyAlignment="1">
      <alignment horizontal="right" vertical="center" wrapText="1"/>
    </xf>
    <xf numFmtId="3" fontId="5" fillId="5" borderId="21" xfId="0" applyNumberFormat="1" applyFont="1" applyFill="1" applyBorder="1" applyAlignment="1">
      <alignment horizontal="right" vertical="center" wrapText="1"/>
    </xf>
    <xf numFmtId="3" fontId="52" fillId="5" borderId="38" xfId="0" applyNumberFormat="1" applyFont="1" applyFill="1" applyBorder="1" applyAlignment="1">
      <alignment horizontal="right" vertical="center" wrapText="1"/>
    </xf>
    <xf numFmtId="3" fontId="52" fillId="5" borderId="39" xfId="0" applyNumberFormat="1" applyFont="1" applyFill="1" applyBorder="1" applyAlignment="1">
      <alignment horizontal="right" vertical="center" wrapText="1"/>
    </xf>
    <xf numFmtId="3" fontId="52" fillId="5" borderId="21" xfId="0" applyNumberFormat="1" applyFont="1" applyFill="1" applyBorder="1" applyAlignment="1">
      <alignment horizontal="right" vertical="center" wrapText="1"/>
    </xf>
    <xf numFmtId="0" fontId="51" fillId="0" borderId="0" xfId="0" applyFont="1" applyAlignment="1">
      <alignment horizontal="left" vertical="center" wrapText="1"/>
    </xf>
    <xf numFmtId="3" fontId="52" fillId="5" borderId="17" xfId="0" applyNumberFormat="1" applyFont="1" applyFill="1" applyBorder="1" applyAlignment="1">
      <alignment horizontal="center" vertical="center"/>
    </xf>
    <xf numFmtId="3" fontId="52" fillId="5" borderId="1" xfId="0" applyNumberFormat="1" applyFont="1" applyFill="1" applyBorder="1" applyAlignment="1">
      <alignment horizontal="center" vertical="center"/>
    </xf>
    <xf numFmtId="3" fontId="52" fillId="5" borderId="2" xfId="0" applyNumberFormat="1" applyFont="1" applyFill="1" applyBorder="1" applyAlignment="1">
      <alignment horizontal="center" vertical="center"/>
    </xf>
    <xf numFmtId="0" fontId="50" fillId="12" borderId="27" xfId="0" applyFont="1" applyFill="1" applyBorder="1" applyAlignment="1">
      <alignment horizontal="right" vertical="center" wrapText="1"/>
    </xf>
    <xf numFmtId="0" fontId="50" fillId="12" borderId="29" xfId="0" applyFont="1" applyFill="1" applyBorder="1" applyAlignment="1">
      <alignment horizontal="right" vertical="center" wrapText="1"/>
    </xf>
    <xf numFmtId="0" fontId="50" fillId="0" borderId="5" xfId="0" applyFont="1" applyBorder="1" applyAlignment="1">
      <alignment horizontal="center" vertical="center" wrapText="1"/>
    </xf>
    <xf numFmtId="3" fontId="52" fillId="5" borderId="33" xfId="0" applyNumberFormat="1" applyFont="1" applyFill="1" applyBorder="1" applyAlignment="1">
      <alignment horizontal="center" vertical="center"/>
    </xf>
    <xf numFmtId="3" fontId="52" fillId="5" borderId="43" xfId="0" applyNumberFormat="1" applyFont="1" applyFill="1" applyBorder="1" applyAlignment="1">
      <alignment horizontal="center" vertical="center"/>
    </xf>
    <xf numFmtId="0" fontId="50" fillId="0" borderId="1" xfId="0" applyFont="1" applyBorder="1" applyAlignment="1">
      <alignment horizontal="center" vertical="center"/>
    </xf>
    <xf numFmtId="0" fontId="50" fillId="0" borderId="5" xfId="0" applyFont="1" applyBorder="1" applyAlignment="1">
      <alignment horizontal="center" vertical="center"/>
    </xf>
    <xf numFmtId="0" fontId="53" fillId="0" borderId="23" xfId="0" applyFont="1" applyBorder="1" applyAlignment="1">
      <alignment horizontal="left" vertical="top" wrapText="1"/>
    </xf>
    <xf numFmtId="0" fontId="3" fillId="0" borderId="0" xfId="0" applyFont="1" applyAlignment="1">
      <alignment horizontal="right" vertical="top" wrapText="1"/>
    </xf>
    <xf numFmtId="0" fontId="4" fillId="0" borderId="0" xfId="0" applyFont="1" applyAlignment="1">
      <alignment horizontal="center" vertical="center" wrapText="1"/>
    </xf>
    <xf numFmtId="3" fontId="5" fillId="5" borderId="17" xfId="0" applyNumberFormat="1" applyFont="1" applyFill="1" applyBorder="1" applyAlignment="1">
      <alignment horizontal="center" vertical="center"/>
    </xf>
    <xf numFmtId="3" fontId="5" fillId="5" borderId="1" xfId="0" applyNumberFormat="1" applyFont="1" applyFill="1" applyBorder="1" applyAlignment="1">
      <alignment horizontal="center" vertical="center"/>
    </xf>
    <xf numFmtId="3" fontId="5" fillId="5" borderId="2" xfId="0" applyNumberFormat="1" applyFont="1" applyFill="1" applyBorder="1" applyAlignment="1">
      <alignment horizontal="center" vertical="center"/>
    </xf>
    <xf numFmtId="0" fontId="6" fillId="0" borderId="8" xfId="0" applyFont="1" applyBorder="1" applyAlignment="1">
      <alignment horizontal="right" vertical="center" wrapText="1"/>
    </xf>
    <xf numFmtId="0" fontId="6" fillId="0" borderId="5" xfId="0" applyFont="1" applyBorder="1" applyAlignment="1">
      <alignment horizontal="right" vertical="center" wrapText="1"/>
    </xf>
    <xf numFmtId="0" fontId="7" fillId="0" borderId="0" xfId="0" applyFont="1" applyAlignment="1">
      <alignment horizontal="left"/>
    </xf>
    <xf numFmtId="3" fontId="5" fillId="5" borderId="23" xfId="0" applyNumberFormat="1" applyFont="1" applyFill="1" applyBorder="1" applyAlignment="1">
      <alignment horizontal="center" vertical="center"/>
    </xf>
    <xf numFmtId="3" fontId="5" fillId="5" borderId="24" xfId="0" applyNumberFormat="1" applyFont="1" applyFill="1" applyBorder="1" applyAlignment="1">
      <alignment horizontal="center" vertical="center"/>
    </xf>
    <xf numFmtId="0" fontId="6" fillId="0" borderId="5" xfId="0" applyFont="1" applyBorder="1" applyAlignment="1">
      <alignment horizontal="center" vertical="center" wrapText="1"/>
    </xf>
    <xf numFmtId="0" fontId="6" fillId="0" borderId="1" xfId="0" applyFont="1" applyBorder="1" applyAlignment="1">
      <alignment horizontal="center" vertical="center"/>
    </xf>
    <xf numFmtId="0" fontId="6" fillId="0" borderId="5" xfId="0" applyFont="1" applyBorder="1" applyAlignment="1">
      <alignment horizontal="center" vertical="center"/>
    </xf>
    <xf numFmtId="0" fontId="50" fillId="0" borderId="19" xfId="0" applyFont="1" applyBorder="1" applyAlignment="1">
      <alignment horizontal="center" vertical="center"/>
    </xf>
    <xf numFmtId="0" fontId="50" fillId="0" borderId="23" xfId="0" applyFont="1" applyBorder="1" applyAlignment="1">
      <alignment horizontal="center" vertical="center"/>
    </xf>
    <xf numFmtId="0" fontId="50" fillId="0" borderId="30" xfId="0" applyFont="1" applyBorder="1" applyAlignment="1">
      <alignment horizontal="center" vertical="center"/>
    </xf>
    <xf numFmtId="0" fontId="50" fillId="0" borderId="31" xfId="0" applyFont="1" applyBorder="1" applyAlignment="1">
      <alignment horizontal="center" vertical="center"/>
    </xf>
    <xf numFmtId="0" fontId="6" fillId="0" borderId="17" xfId="0" applyFont="1" applyBorder="1" applyAlignment="1">
      <alignment horizontal="center" vertical="center"/>
    </xf>
    <xf numFmtId="0" fontId="6" fillId="0" borderId="8" xfId="0" applyFont="1" applyBorder="1" applyAlignment="1">
      <alignment horizontal="center" vertical="center"/>
    </xf>
    <xf numFmtId="0" fontId="57" fillId="0" borderId="51" xfId="0" applyFont="1" applyBorder="1" applyAlignment="1">
      <alignment horizontal="left" vertical="center" wrapText="1"/>
    </xf>
    <xf numFmtId="0" fontId="57" fillId="0" borderId="52" xfId="0" applyFont="1" applyBorder="1" applyAlignment="1">
      <alignment horizontal="left" vertical="center" wrapText="1"/>
    </xf>
    <xf numFmtId="0" fontId="57" fillId="0" borderId="53" xfId="0" applyFont="1" applyBorder="1" applyAlignment="1">
      <alignment horizontal="left" vertical="center" wrapText="1"/>
    </xf>
    <xf numFmtId="0" fontId="57" fillId="0" borderId="47" xfId="0" applyFont="1" applyBorder="1" applyAlignment="1">
      <alignment horizontal="left" vertical="center" wrapText="1"/>
    </xf>
    <xf numFmtId="0" fontId="50" fillId="0" borderId="27" xfId="0" applyFont="1" applyBorder="1" applyAlignment="1">
      <alignment horizontal="right" vertical="center" wrapText="1"/>
    </xf>
    <xf numFmtId="0" fontId="50" fillId="0" borderId="29" xfId="0" applyFont="1" applyBorder="1" applyAlignment="1">
      <alignment horizontal="right" vertical="center" wrapText="1"/>
    </xf>
    <xf numFmtId="0" fontId="56" fillId="0" borderId="0" xfId="0" applyFont="1" applyAlignment="1">
      <alignment horizontal="left"/>
    </xf>
    <xf numFmtId="0" fontId="20" fillId="0" borderId="0" xfId="0" applyFont="1" applyAlignment="1">
      <alignment horizontal="left" vertical="top" wrapText="1"/>
    </xf>
    <xf numFmtId="0" fontId="5" fillId="5" borderId="17" xfId="0" applyFont="1" applyFill="1" applyBorder="1" applyAlignment="1">
      <alignment horizontal="center" vertical="center"/>
    </xf>
    <xf numFmtId="0" fontId="5" fillId="5" borderId="1" xfId="0" applyFont="1" applyFill="1" applyBorder="1" applyAlignment="1">
      <alignment horizontal="center" vertical="center"/>
    </xf>
    <xf numFmtId="0" fontId="5" fillId="5" borderId="2" xfId="0" applyFont="1" applyFill="1" applyBorder="1" applyAlignment="1">
      <alignment horizontal="center" vertical="center"/>
    </xf>
    <xf numFmtId="0" fontId="9" fillId="0" borderId="0" xfId="0" applyFont="1" applyAlignment="1">
      <alignment horizontal="right"/>
    </xf>
    <xf numFmtId="0" fontId="7" fillId="0" borderId="0" xfId="0" applyFont="1" applyAlignment="1">
      <alignment horizontal="right" vertical="top" wrapText="1"/>
    </xf>
    <xf numFmtId="0" fontId="6" fillId="0" borderId="19" xfId="0" applyFont="1" applyBorder="1" applyAlignment="1">
      <alignment horizontal="center" vertical="center"/>
    </xf>
    <xf numFmtId="0" fontId="6" fillId="0" borderId="23" xfId="0" applyFont="1" applyBorder="1" applyAlignment="1">
      <alignment horizontal="center" vertical="center"/>
    </xf>
    <xf numFmtId="0" fontId="6" fillId="0" borderId="30" xfId="0" applyFont="1" applyBorder="1" applyAlignment="1">
      <alignment horizontal="center" vertical="center"/>
    </xf>
    <xf numFmtId="0" fontId="6" fillId="0" borderId="31" xfId="0" applyFont="1" applyBorder="1" applyAlignment="1">
      <alignment horizontal="center" vertical="center"/>
    </xf>
    <xf numFmtId="0" fontId="6" fillId="0" borderId="27" xfId="0" applyFont="1" applyBorder="1" applyAlignment="1">
      <alignment horizontal="right" vertical="center" wrapText="1"/>
    </xf>
    <xf numFmtId="0" fontId="6" fillId="0" borderId="29" xfId="0" applyFont="1" applyBorder="1" applyAlignment="1">
      <alignment horizontal="right" vertical="center" wrapText="1"/>
    </xf>
    <xf numFmtId="3" fontId="5" fillId="5" borderId="61" xfId="0" applyNumberFormat="1" applyFont="1" applyFill="1" applyBorder="1" applyAlignment="1">
      <alignment horizontal="right" vertical="center" wrapText="1"/>
    </xf>
    <xf numFmtId="0" fontId="7" fillId="0" borderId="0" xfId="0" applyFont="1" applyAlignment="1">
      <alignment horizontal="left" vertical="center"/>
    </xf>
    <xf numFmtId="0" fontId="6" fillId="0" borderId="0" xfId="0" applyFont="1" applyAlignment="1">
      <alignment horizontal="right" vertical="top" wrapText="1"/>
    </xf>
    <xf numFmtId="0" fontId="3" fillId="0" borderId="7" xfId="1" applyFont="1" applyFill="1" applyBorder="1" applyAlignment="1">
      <alignment horizontal="center" wrapText="1"/>
    </xf>
    <xf numFmtId="0" fontId="3" fillId="0" borderId="45" xfId="1" applyFont="1" applyFill="1" applyBorder="1" applyAlignment="1">
      <alignment horizontal="center" wrapText="1"/>
    </xf>
    <xf numFmtId="0" fontId="3" fillId="0" borderId="46" xfId="1" applyFont="1" applyFill="1" applyBorder="1" applyAlignment="1">
      <alignment horizontal="center" wrapText="1"/>
    </xf>
    <xf numFmtId="0" fontId="7" fillId="0" borderId="20" xfId="1" applyFont="1" applyFill="1" applyBorder="1" applyAlignment="1">
      <alignment horizontal="center" wrapText="1"/>
    </xf>
    <xf numFmtId="0" fontId="7" fillId="0" borderId="33" xfId="1" applyFont="1" applyFill="1" applyBorder="1" applyAlignment="1">
      <alignment horizontal="center" wrapText="1"/>
    </xf>
    <xf numFmtId="0" fontId="7" fillId="0" borderId="34" xfId="1" applyFont="1" applyFill="1" applyBorder="1" applyAlignment="1">
      <alignment horizontal="center" wrapText="1"/>
    </xf>
    <xf numFmtId="0" fontId="7" fillId="0" borderId="16" xfId="1" applyFont="1" applyFill="1" applyBorder="1" applyAlignment="1">
      <alignment horizontal="center" wrapText="1"/>
    </xf>
    <xf numFmtId="0" fontId="7" fillId="0" borderId="37" xfId="1" applyFont="1" applyFill="1" applyBorder="1" applyAlignment="1">
      <alignment horizontal="center" wrapText="1"/>
    </xf>
    <xf numFmtId="0" fontId="3" fillId="0" borderId="40" xfId="1" applyFont="1" applyFill="1" applyBorder="1" applyAlignment="1">
      <alignment horizontal="center" wrapText="1"/>
    </xf>
    <xf numFmtId="0" fontId="3" fillId="0" borderId="41" xfId="1" applyFont="1" applyFill="1" applyBorder="1" applyAlignment="1">
      <alignment horizontal="center" wrapText="1"/>
    </xf>
    <xf numFmtId="0" fontId="3" fillId="0" borderId="42" xfId="1" applyFont="1" applyFill="1" applyBorder="1" applyAlignment="1">
      <alignment horizontal="center" wrapText="1"/>
    </xf>
    <xf numFmtId="0" fontId="7" fillId="0" borderId="26" xfId="1" applyFont="1" applyFill="1" applyBorder="1" applyAlignment="1">
      <alignment horizontal="center" wrapText="1"/>
    </xf>
    <xf numFmtId="0" fontId="7" fillId="0" borderId="36" xfId="1" applyFont="1" applyFill="1" applyBorder="1" applyAlignment="1">
      <alignment horizontal="center" wrapText="1"/>
    </xf>
    <xf numFmtId="0" fontId="4" fillId="3" borderId="38" xfId="1" applyFont="1" applyFill="1" applyBorder="1" applyAlignment="1">
      <alignment horizontal="left" vertical="center" wrapText="1"/>
    </xf>
    <xf numFmtId="0" fontId="4" fillId="3" borderId="39" xfId="1" applyFont="1" applyFill="1" applyBorder="1" applyAlignment="1">
      <alignment horizontal="left" vertical="center" wrapText="1"/>
    </xf>
    <xf numFmtId="0" fontId="4" fillId="3" borderId="21" xfId="1" applyFont="1" applyFill="1" applyBorder="1" applyAlignment="1">
      <alignment horizontal="left" vertical="center" wrapText="1"/>
    </xf>
    <xf numFmtId="0" fontId="4" fillId="2" borderId="32" xfId="1" applyFont="1" applyFill="1" applyBorder="1" applyAlignment="1">
      <alignment horizontal="left" vertical="center" wrapText="1"/>
    </xf>
    <xf numFmtId="0" fontId="4" fillId="2" borderId="33" xfId="1" applyFont="1" applyFill="1" applyBorder="1" applyAlignment="1">
      <alignment horizontal="left" vertical="center" wrapText="1"/>
    </xf>
    <xf numFmtId="0" fontId="4" fillId="2" borderId="34" xfId="1" applyFont="1" applyFill="1" applyBorder="1" applyAlignment="1">
      <alignment horizontal="left" vertical="center" wrapText="1"/>
    </xf>
    <xf numFmtId="0" fontId="4" fillId="0" borderId="0" xfId="0" applyFont="1" applyBorder="1" applyAlignment="1">
      <alignment horizontal="center" wrapText="1"/>
    </xf>
    <xf numFmtId="1" fontId="4" fillId="0" borderId="16" xfId="1" applyNumberFormat="1" applyFont="1" applyFill="1" applyBorder="1" applyAlignment="1">
      <alignment horizontal="center" vertical="center" wrapText="1"/>
    </xf>
    <xf numFmtId="1" fontId="4" fillId="0" borderId="35" xfId="1" applyNumberFormat="1" applyFont="1" applyFill="1" applyBorder="1" applyAlignment="1">
      <alignment horizontal="center" vertical="center" wrapText="1"/>
    </xf>
    <xf numFmtId="1" fontId="4" fillId="0" borderId="37" xfId="1" applyNumberFormat="1" applyFont="1" applyFill="1" applyBorder="1" applyAlignment="1">
      <alignment horizontal="center" vertical="center" wrapText="1"/>
    </xf>
    <xf numFmtId="0" fontId="12" fillId="4" borderId="30" xfId="1" applyFont="1" applyFill="1" applyBorder="1" applyAlignment="1">
      <alignment horizontal="left" vertical="center" wrapText="1"/>
    </xf>
    <xf numFmtId="0" fontId="12" fillId="4" borderId="31" xfId="1" applyFont="1" applyFill="1" applyBorder="1" applyAlignment="1">
      <alignment horizontal="left" vertical="center" wrapText="1"/>
    </xf>
    <xf numFmtId="0" fontId="12" fillId="4" borderId="44" xfId="1" applyFont="1" applyFill="1" applyBorder="1" applyAlignment="1">
      <alignment horizontal="left" vertical="center" wrapText="1"/>
    </xf>
    <xf numFmtId="0" fontId="12" fillId="4" borderId="32" xfId="1" applyFont="1" applyFill="1" applyBorder="1" applyAlignment="1">
      <alignment horizontal="left" vertical="center" wrapText="1"/>
    </xf>
    <xf numFmtId="0" fontId="12" fillId="4" borderId="33" xfId="1" applyFont="1" applyFill="1" applyBorder="1" applyAlignment="1">
      <alignment horizontal="left" vertical="center" wrapText="1"/>
    </xf>
    <xf numFmtId="0" fontId="12" fillId="4" borderId="43" xfId="1" applyFont="1" applyFill="1" applyBorder="1" applyAlignment="1">
      <alignment horizontal="left" vertical="center" wrapText="1"/>
    </xf>
    <xf numFmtId="0" fontId="4" fillId="3" borderId="27" xfId="1" applyFont="1" applyFill="1" applyBorder="1" applyAlignment="1">
      <alignment horizontal="left" vertical="center" wrapText="1"/>
    </xf>
    <xf numFmtId="0" fontId="4" fillId="3" borderId="29" xfId="1" applyFont="1" applyFill="1" applyBorder="1" applyAlignment="1">
      <alignment horizontal="left" vertical="center" wrapText="1"/>
    </xf>
    <xf numFmtId="0" fontId="4" fillId="3" borderId="36" xfId="1" applyFont="1" applyFill="1" applyBorder="1" applyAlignment="1">
      <alignment horizontal="left" vertical="center" wrapText="1"/>
    </xf>
    <xf numFmtId="0" fontId="4" fillId="3" borderId="28" xfId="1" applyFont="1" applyFill="1" applyBorder="1" applyAlignment="1">
      <alignment horizontal="left" vertical="center" wrapText="1"/>
    </xf>
    <xf numFmtId="0" fontId="4" fillId="3" borderId="18" xfId="1" applyFont="1" applyFill="1" applyBorder="1" applyAlignment="1">
      <alignment horizontal="left" vertical="center" wrapText="1"/>
    </xf>
    <xf numFmtId="0" fontId="13" fillId="4" borderId="28" xfId="1" applyFont="1" applyFill="1" applyBorder="1" applyAlignment="1">
      <alignment horizontal="right" vertical="center" wrapText="1"/>
    </xf>
    <xf numFmtId="0" fontId="13" fillId="4" borderId="18" xfId="1" applyFont="1" applyFill="1" applyBorder="1" applyAlignment="1">
      <alignment horizontal="right" vertical="center" wrapText="1"/>
    </xf>
    <xf numFmtId="0" fontId="13" fillId="4" borderId="11" xfId="1" applyFont="1" applyFill="1" applyBorder="1" applyAlignment="1">
      <alignment horizontal="right" vertical="center" wrapText="1"/>
    </xf>
    <xf numFmtId="0" fontId="13" fillId="3" borderId="28" xfId="1" applyFont="1" applyFill="1" applyBorder="1" applyAlignment="1">
      <alignment horizontal="left" vertical="center" wrapText="1"/>
    </xf>
    <xf numFmtId="0" fontId="13" fillId="3" borderId="18" xfId="1" applyFont="1" applyFill="1" applyBorder="1" applyAlignment="1">
      <alignment horizontal="left" vertical="center" wrapText="1"/>
    </xf>
    <xf numFmtId="1" fontId="3" fillId="0" borderId="16" xfId="1" applyNumberFormat="1" applyFont="1" applyFill="1" applyBorder="1" applyAlignment="1">
      <alignment horizontal="center" vertical="center" wrapText="1"/>
    </xf>
    <xf numFmtId="1" fontId="3" fillId="0" borderId="35" xfId="1" applyNumberFormat="1" applyFont="1" applyFill="1" applyBorder="1" applyAlignment="1">
      <alignment horizontal="center" vertical="center" wrapText="1"/>
    </xf>
    <xf numFmtId="1" fontId="3" fillId="0" borderId="37" xfId="1" applyNumberFormat="1" applyFont="1" applyFill="1" applyBorder="1" applyAlignment="1">
      <alignment horizontal="center" vertical="center" wrapText="1"/>
    </xf>
    <xf numFmtId="1" fontId="3" fillId="0" borderId="13" xfId="1" applyNumberFormat="1" applyFont="1" applyFill="1" applyBorder="1" applyAlignment="1">
      <alignment horizontal="center" vertical="center" wrapText="1"/>
    </xf>
    <xf numFmtId="0" fontId="6" fillId="0" borderId="16" xfId="0" applyFont="1" applyFill="1" applyBorder="1" applyAlignment="1">
      <alignment horizontal="left" vertical="center" wrapText="1"/>
    </xf>
    <xf numFmtId="0" fontId="6" fillId="0" borderId="13" xfId="0" applyFont="1" applyFill="1" applyBorder="1" applyAlignment="1">
      <alignment horizontal="left" vertical="center" wrapText="1"/>
    </xf>
    <xf numFmtId="0" fontId="6" fillId="0" borderId="5" xfId="0" applyFont="1" applyBorder="1" applyAlignment="1">
      <alignment horizontal="center" wrapText="1"/>
    </xf>
    <xf numFmtId="0" fontId="4" fillId="0" borderId="0" xfId="0" applyFont="1" applyBorder="1" applyAlignment="1">
      <alignment horizontal="center" vertical="center"/>
    </xf>
    <xf numFmtId="0" fontId="4" fillId="5" borderId="26" xfId="0" applyFont="1" applyFill="1" applyBorder="1" applyAlignment="1">
      <alignment horizontal="left" vertical="center" wrapText="1"/>
    </xf>
    <xf numFmtId="0" fontId="4" fillId="5" borderId="29" xfId="0" applyFont="1" applyFill="1" applyBorder="1" applyAlignment="1">
      <alignment horizontal="left" vertical="center" wrapText="1"/>
    </xf>
    <xf numFmtId="0" fontId="4" fillId="5" borderId="36" xfId="0" applyFont="1" applyFill="1" applyBorder="1" applyAlignment="1">
      <alignment horizontal="left" vertical="center" wrapText="1"/>
    </xf>
    <xf numFmtId="0" fontId="4" fillId="4" borderId="26" xfId="0" applyFont="1" applyFill="1" applyBorder="1" applyAlignment="1">
      <alignment horizontal="center" vertical="center" wrapText="1"/>
    </xf>
    <xf numFmtId="0" fontId="4" fillId="4" borderId="29"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5" fillId="0" borderId="5" xfId="0" applyFont="1" applyBorder="1" applyAlignment="1">
      <alignment horizontal="center" wrapText="1"/>
    </xf>
    <xf numFmtId="0" fontId="9" fillId="0" borderId="5" xfId="0" applyFont="1" applyBorder="1" applyAlignment="1">
      <alignment horizontal="center" wrapText="1"/>
    </xf>
    <xf numFmtId="0" fontId="5" fillId="0" borderId="0" xfId="0" applyFont="1" applyAlignment="1">
      <alignment horizontal="center" vertical="center"/>
    </xf>
    <xf numFmtId="0" fontId="15" fillId="0" borderId="62" xfId="0" applyFont="1" applyBorder="1" applyAlignment="1">
      <alignment horizontal="left" vertical="top" wrapText="1"/>
    </xf>
    <xf numFmtId="0" fontId="15" fillId="0" borderId="0" xfId="0" applyFont="1" applyAlignment="1">
      <alignment vertical="top" wrapText="1"/>
    </xf>
    <xf numFmtId="0" fontId="1" fillId="0" borderId="0" xfId="0" applyFont="1" applyAlignment="1">
      <alignment horizontal="right" vertical="top" wrapText="1"/>
    </xf>
    <xf numFmtId="0" fontId="19" fillId="11" borderId="28" xfId="1" applyFont="1" applyFill="1" applyBorder="1" applyAlignment="1">
      <alignment horizontal="right" vertical="center" wrapText="1"/>
    </xf>
    <xf numFmtId="0" fontId="19" fillId="11" borderId="18" xfId="1" applyFont="1" applyFill="1" applyBorder="1" applyAlignment="1">
      <alignment horizontal="right" vertical="center" wrapText="1"/>
    </xf>
    <xf numFmtId="0" fontId="19" fillId="11" borderId="11" xfId="1" applyFont="1" applyFill="1" applyBorder="1" applyAlignment="1">
      <alignment horizontal="right" vertical="center" wrapText="1"/>
    </xf>
    <xf numFmtId="0" fontId="13" fillId="10" borderId="28" xfId="1" applyFont="1" applyFill="1" applyBorder="1" applyAlignment="1">
      <alignment horizontal="right" vertical="center" wrapText="1"/>
    </xf>
    <xf numFmtId="0" fontId="13" fillId="10" borderId="18" xfId="1" applyFont="1" applyFill="1" applyBorder="1" applyAlignment="1">
      <alignment horizontal="right" vertical="center" wrapText="1"/>
    </xf>
    <xf numFmtId="0" fontId="13" fillId="10" borderId="11" xfId="1" applyFont="1" applyFill="1" applyBorder="1" applyAlignment="1">
      <alignment horizontal="right" vertical="center" wrapText="1"/>
    </xf>
    <xf numFmtId="9" fontId="13" fillId="10" borderId="28" xfId="1" applyNumberFormat="1" applyFont="1" applyFill="1" applyBorder="1" applyAlignment="1">
      <alignment horizontal="right" vertical="center" wrapText="1"/>
    </xf>
    <xf numFmtId="0" fontId="7" fillId="0" borderId="5" xfId="1" applyFont="1" applyBorder="1" applyAlignment="1">
      <alignment horizontal="center" wrapText="1"/>
    </xf>
    <xf numFmtId="0" fontId="7" fillId="0" borderId="3" xfId="1" applyFont="1" applyBorder="1" applyAlignment="1">
      <alignment horizontal="center" wrapText="1"/>
    </xf>
    <xf numFmtId="0" fontId="4" fillId="3" borderId="14" xfId="1" applyFont="1" applyFill="1" applyBorder="1" applyAlignment="1">
      <alignment horizontal="left" vertical="center" wrapText="1"/>
    </xf>
    <xf numFmtId="0" fontId="4" fillId="3" borderId="13" xfId="1" applyFont="1" applyFill="1" applyBorder="1" applyAlignment="1">
      <alignment horizontal="left" vertical="center" wrapText="1"/>
    </xf>
    <xf numFmtId="0" fontId="4" fillId="3" borderId="15" xfId="1" applyFont="1" applyFill="1" applyBorder="1" applyAlignment="1">
      <alignment horizontal="left" vertical="center" wrapText="1"/>
    </xf>
    <xf numFmtId="0" fontId="4" fillId="5" borderId="54" xfId="1" applyFont="1" applyFill="1" applyBorder="1" applyAlignment="1">
      <alignment horizontal="left" vertical="center" wrapText="1"/>
    </xf>
    <xf numFmtId="0" fontId="4" fillId="5" borderId="16" xfId="1" applyFont="1" applyFill="1" applyBorder="1" applyAlignment="1">
      <alignment horizontal="left" vertical="center" wrapText="1"/>
    </xf>
    <xf numFmtId="0" fontId="4" fillId="2" borderId="1" xfId="1" applyFont="1" applyFill="1" applyBorder="1" applyAlignment="1">
      <alignment horizontal="left" vertical="center" wrapText="1"/>
    </xf>
    <xf numFmtId="1" fontId="3" fillId="0" borderId="5" xfId="1" applyNumberFormat="1" applyFont="1" applyBorder="1" applyAlignment="1">
      <alignment horizontal="center" vertical="center" wrapText="1"/>
    </xf>
    <xf numFmtId="1" fontId="3" fillId="0" borderId="3" xfId="1" applyNumberFormat="1" applyFont="1" applyBorder="1" applyAlignment="1">
      <alignment horizontal="center" vertical="center" wrapText="1"/>
    </xf>
    <xf numFmtId="0" fontId="4" fillId="3" borderId="8" xfId="1" applyFont="1" applyFill="1" applyBorder="1" applyAlignment="1">
      <alignment horizontal="left" vertical="center" wrapText="1"/>
    </xf>
    <xf numFmtId="0" fontId="4" fillId="3" borderId="5" xfId="1" applyFont="1" applyFill="1" applyBorder="1" applyAlignment="1">
      <alignment horizontal="left" vertical="center" wrapText="1"/>
    </xf>
    <xf numFmtId="0" fontId="4" fillId="3" borderId="10" xfId="1" applyFont="1" applyFill="1" applyBorder="1" applyAlignment="1">
      <alignment horizontal="left" vertical="center" wrapText="1"/>
    </xf>
    <xf numFmtId="0" fontId="4" fillId="5" borderId="28" xfId="1" applyFont="1" applyFill="1" applyBorder="1" applyAlignment="1">
      <alignment horizontal="left" vertical="center" wrapText="1"/>
    </xf>
    <xf numFmtId="0" fontId="4" fillId="5" borderId="18" xfId="1" applyFont="1" applyFill="1" applyBorder="1" applyAlignment="1">
      <alignment horizontal="left" vertical="center" wrapText="1"/>
    </xf>
    <xf numFmtId="0" fontId="4" fillId="5" borderId="11" xfId="1" applyFont="1" applyFill="1" applyBorder="1" applyAlignment="1">
      <alignment horizontal="left" vertical="center" wrapText="1"/>
    </xf>
    <xf numFmtId="0" fontId="4" fillId="0" borderId="0" xfId="0" applyFont="1" applyAlignment="1">
      <alignment horizontal="center" wrapText="1"/>
    </xf>
    <xf numFmtId="0" fontId="6" fillId="0" borderId="17" xfId="1" applyFont="1" applyBorder="1" applyAlignment="1">
      <alignment horizontal="center" wrapText="1"/>
    </xf>
    <xf numFmtId="0" fontId="6" fillId="0" borderId="8" xfId="1" applyFont="1" applyBorder="1" applyAlignment="1">
      <alignment horizontal="center" wrapText="1"/>
    </xf>
    <xf numFmtId="0" fontId="6" fillId="0" borderId="9" xfId="1" applyFont="1" applyBorder="1" applyAlignment="1">
      <alignment horizontal="center" wrapText="1"/>
    </xf>
    <xf numFmtId="0" fontId="7" fillId="0" borderId="1" xfId="1" applyFont="1" applyBorder="1" applyAlignment="1">
      <alignment horizontal="center" wrapText="1"/>
    </xf>
    <xf numFmtId="0" fontId="6" fillId="0" borderId="2" xfId="1" applyFont="1" applyBorder="1" applyAlignment="1">
      <alignment horizontal="center" wrapText="1"/>
    </xf>
    <xf numFmtId="0" fontId="6" fillId="0" borderId="10" xfId="1" applyFont="1" applyBorder="1" applyAlignment="1">
      <alignment horizontal="center" wrapText="1"/>
    </xf>
    <xf numFmtId="0" fontId="6" fillId="0" borderId="4" xfId="1" applyFont="1" applyBorder="1" applyAlignment="1">
      <alignment horizontal="center" wrapText="1"/>
    </xf>
    <xf numFmtId="0" fontId="51" fillId="0" borderId="0" xfId="0" applyFont="1" applyAlignment="1">
      <alignment horizontal="left" vertical="top" wrapText="1"/>
    </xf>
    <xf numFmtId="0" fontId="6" fillId="12" borderId="27" xfId="0" applyFont="1" applyFill="1" applyBorder="1" applyAlignment="1">
      <alignment horizontal="right" vertical="center" wrapText="1"/>
    </xf>
    <xf numFmtId="0" fontId="6" fillId="12" borderId="29" xfId="0" applyFont="1" applyFill="1" applyBorder="1" applyAlignment="1">
      <alignment horizontal="right" vertical="center" wrapText="1"/>
    </xf>
    <xf numFmtId="0" fontId="4" fillId="4" borderId="28" xfId="1" applyFont="1" applyFill="1" applyBorder="1" applyAlignment="1">
      <alignment horizontal="right" vertical="center"/>
    </xf>
    <xf numFmtId="0" fontId="4" fillId="4" borderId="18" xfId="1" applyFont="1" applyFill="1" applyBorder="1" applyAlignment="1">
      <alignment horizontal="right" vertical="center"/>
    </xf>
    <xf numFmtId="0" fontId="4" fillId="4" borderId="11" xfId="1" applyFont="1" applyFill="1" applyBorder="1" applyAlignment="1">
      <alignment horizontal="right" vertical="center"/>
    </xf>
    <xf numFmtId="0" fontId="4" fillId="3" borderId="28" xfId="1" applyFont="1" applyFill="1" applyBorder="1" applyAlignment="1">
      <alignment horizontal="right" vertical="center" wrapText="1"/>
    </xf>
    <xf numFmtId="0" fontId="4" fillId="3" borderId="18" xfId="1" applyFont="1" applyFill="1" applyBorder="1" applyAlignment="1">
      <alignment horizontal="right" vertical="center" wrapText="1"/>
    </xf>
    <xf numFmtId="0" fontId="4" fillId="3" borderId="11" xfId="1" applyFont="1" applyFill="1" applyBorder="1" applyAlignment="1">
      <alignment horizontal="right" vertical="center" wrapText="1"/>
    </xf>
    <xf numFmtId="0" fontId="13" fillId="4" borderId="28" xfId="1" applyFont="1" applyFill="1" applyBorder="1" applyAlignment="1">
      <alignment horizontal="right" vertical="center"/>
    </xf>
    <xf numFmtId="0" fontId="13" fillId="4" borderId="18" xfId="1" applyFont="1" applyFill="1" applyBorder="1" applyAlignment="1">
      <alignment horizontal="right" vertical="center"/>
    </xf>
    <xf numFmtId="0" fontId="13" fillId="4" borderId="11" xfId="1" applyFont="1" applyFill="1" applyBorder="1" applyAlignment="1">
      <alignment horizontal="right" vertical="center"/>
    </xf>
    <xf numFmtId="0" fontId="6" fillId="9" borderId="23" xfId="0" applyFont="1" applyFill="1" applyBorder="1" applyAlignment="1">
      <alignment horizontal="left" vertical="top" wrapText="1"/>
    </xf>
    <xf numFmtId="0" fontId="4" fillId="3" borderId="19" xfId="1" applyFont="1" applyFill="1" applyBorder="1" applyAlignment="1">
      <alignment horizontal="center" vertical="center" wrapText="1"/>
    </xf>
    <xf numFmtId="0" fontId="4" fillId="3" borderId="23" xfId="1" applyFont="1" applyFill="1" applyBorder="1" applyAlignment="1">
      <alignment horizontal="center" vertical="center" wrapText="1"/>
    </xf>
    <xf numFmtId="0" fontId="4" fillId="3" borderId="55" xfId="1" applyFont="1" applyFill="1" applyBorder="1" applyAlignment="1">
      <alignment horizontal="center" vertical="center" wrapText="1"/>
    </xf>
    <xf numFmtId="0" fontId="4" fillId="5" borderId="32" xfId="1" applyFont="1" applyFill="1" applyBorder="1" applyAlignment="1">
      <alignment horizontal="left" vertical="center" wrapText="1"/>
    </xf>
    <xf numFmtId="0" fontId="4" fillId="5" borderId="33" xfId="1" applyFont="1" applyFill="1" applyBorder="1" applyAlignment="1">
      <alignment horizontal="left" vertical="center" wrapText="1"/>
    </xf>
    <xf numFmtId="0" fontId="4" fillId="5" borderId="34" xfId="1" applyFont="1" applyFill="1" applyBorder="1" applyAlignment="1">
      <alignment horizontal="left" vertical="center" wrapText="1"/>
    </xf>
    <xf numFmtId="0" fontId="3" fillId="9" borderId="35" xfId="1" applyFont="1" applyFill="1" applyBorder="1" applyAlignment="1">
      <alignment horizontal="center" vertical="center" wrapText="1"/>
    </xf>
    <xf numFmtId="0" fontId="3" fillId="9" borderId="37" xfId="1" applyFont="1" applyFill="1" applyBorder="1" applyAlignment="1">
      <alignment horizontal="center" vertical="center" wrapText="1"/>
    </xf>
    <xf numFmtId="0" fontId="4" fillId="3" borderId="32" xfId="1" applyFont="1" applyFill="1" applyBorder="1" applyAlignment="1">
      <alignment horizontal="left" vertical="center" wrapText="1"/>
    </xf>
    <xf numFmtId="0" fontId="4" fillId="3" borderId="33" xfId="1" applyFont="1" applyFill="1" applyBorder="1" applyAlignment="1">
      <alignment horizontal="left" vertical="center" wrapText="1"/>
    </xf>
    <xf numFmtId="0" fontId="4" fillId="3" borderId="34" xfId="1" applyFont="1" applyFill="1" applyBorder="1" applyAlignment="1">
      <alignment horizontal="left" vertical="center" wrapText="1"/>
    </xf>
    <xf numFmtId="0" fontId="4" fillId="0" borderId="25" xfId="0" applyFont="1" applyBorder="1" applyAlignment="1">
      <alignment horizontal="center" wrapText="1"/>
    </xf>
    <xf numFmtId="0" fontId="6" fillId="9" borderId="17" xfId="1" applyFont="1" applyFill="1" applyBorder="1" applyAlignment="1">
      <alignment horizontal="center" wrapText="1"/>
    </xf>
    <xf numFmtId="0" fontId="6" fillId="9" borderId="8" xfId="1" applyFont="1" applyFill="1" applyBorder="1" applyAlignment="1">
      <alignment horizontal="center" wrapText="1"/>
    </xf>
    <xf numFmtId="0" fontId="6" fillId="9" borderId="9" xfId="1" applyFont="1" applyFill="1" applyBorder="1" applyAlignment="1">
      <alignment horizontal="center" wrapText="1"/>
    </xf>
    <xf numFmtId="0" fontId="6" fillId="9" borderId="32" xfId="1" applyFont="1" applyFill="1" applyBorder="1" applyAlignment="1">
      <alignment horizontal="center" wrapText="1"/>
    </xf>
    <xf numFmtId="0" fontId="6" fillId="9" borderId="33" xfId="1" applyFont="1" applyFill="1" applyBorder="1" applyAlignment="1">
      <alignment horizontal="center" wrapText="1"/>
    </xf>
    <xf numFmtId="0" fontId="6" fillId="9" borderId="2" xfId="1" applyFont="1" applyFill="1" applyBorder="1" applyAlignment="1">
      <alignment horizontal="center" wrapText="1"/>
    </xf>
    <xf numFmtId="0" fontId="6" fillId="9" borderId="10" xfId="1" applyFont="1" applyFill="1" applyBorder="1" applyAlignment="1">
      <alignment horizontal="center" wrapText="1"/>
    </xf>
    <xf numFmtId="0" fontId="6" fillId="9" borderId="4" xfId="1" applyFont="1" applyFill="1" applyBorder="1" applyAlignment="1">
      <alignment horizontal="center" wrapText="1"/>
    </xf>
    <xf numFmtId="0" fontId="6" fillId="9" borderId="54" xfId="1" applyFont="1" applyFill="1" applyBorder="1" applyAlignment="1">
      <alignment horizontal="center" wrapText="1"/>
    </xf>
    <xf numFmtId="0" fontId="6" fillId="9" borderId="42" xfId="1" applyFont="1" applyFill="1" applyBorder="1" applyAlignment="1">
      <alignment horizontal="center" wrapText="1"/>
    </xf>
    <xf numFmtId="0" fontId="6" fillId="9" borderId="16" xfId="1" applyFont="1" applyFill="1" applyBorder="1" applyAlignment="1">
      <alignment horizontal="center" wrapText="1"/>
    </xf>
    <xf numFmtId="0" fontId="6" fillId="9" borderId="37" xfId="1" applyFont="1" applyFill="1" applyBorder="1" applyAlignment="1">
      <alignment horizontal="center" wrapText="1"/>
    </xf>
    <xf numFmtId="0" fontId="6" fillId="9" borderId="5" xfId="1" applyFont="1" applyFill="1" applyBorder="1" applyAlignment="1">
      <alignment horizontal="center" wrapText="1"/>
    </xf>
    <xf numFmtId="0" fontId="9" fillId="0" borderId="0" xfId="0" applyFont="1" applyAlignment="1">
      <alignment horizontal="center" vertical="center" wrapText="1"/>
    </xf>
    <xf numFmtId="0" fontId="14" fillId="0" borderId="0" xfId="0" applyFont="1" applyAlignment="1">
      <alignment horizontal="right" vertical="top" wrapText="1"/>
    </xf>
    <xf numFmtId="0" fontId="14" fillId="0" borderId="0" xfId="0" applyFont="1" applyAlignment="1">
      <alignment horizontal="left" vertical="top" wrapText="1"/>
    </xf>
    <xf numFmtId="0" fontId="16" fillId="0" borderId="0" xfId="0" applyFont="1" applyAlignment="1">
      <alignment horizontal="right"/>
    </xf>
    <xf numFmtId="0" fontId="32" fillId="0" borderId="0" xfId="0" applyFont="1" applyAlignment="1">
      <alignment horizontal="right" wrapText="1"/>
    </xf>
    <xf numFmtId="0" fontId="23" fillId="0" borderId="0" xfId="0" applyFont="1" applyAlignment="1">
      <alignment horizontal="right" vertical="top" wrapText="1"/>
    </xf>
    <xf numFmtId="0" fontId="32" fillId="0" borderId="0" xfId="0" applyFont="1" applyAlignment="1">
      <alignment horizontal="center" vertical="top" wrapText="1"/>
    </xf>
    <xf numFmtId="0" fontId="28" fillId="0" borderId="0" xfId="0" applyFont="1" applyAlignment="1">
      <alignment horizontal="left" vertical="top" wrapText="1"/>
    </xf>
    <xf numFmtId="0" fontId="28" fillId="0" borderId="0" xfId="0" applyFont="1" applyAlignment="1">
      <alignment horizontal="left" vertical="top"/>
    </xf>
    <xf numFmtId="0" fontId="9" fillId="0" borderId="0" xfId="0" applyFont="1" applyAlignment="1">
      <alignment horizontal="left" wrapText="1"/>
    </xf>
    <xf numFmtId="0" fontId="12" fillId="4" borderId="0" xfId="1" applyFont="1" applyFill="1" applyBorder="1" applyAlignment="1">
      <alignment horizontal="left" vertical="center" wrapText="1"/>
    </xf>
    <xf numFmtId="0" fontId="4" fillId="0" borderId="63" xfId="0" applyFont="1" applyBorder="1" applyAlignment="1">
      <alignment horizontal="center" wrapText="1"/>
    </xf>
    <xf numFmtId="0" fontId="4" fillId="0" borderId="64" xfId="0" applyFont="1" applyBorder="1" applyAlignment="1">
      <alignment horizontal="center" wrapText="1"/>
    </xf>
    <xf numFmtId="0" fontId="16" fillId="0" borderId="16" xfId="1" applyFont="1" applyFill="1" applyBorder="1" applyAlignment="1">
      <alignment horizontal="center" wrapText="1"/>
    </xf>
    <xf numFmtId="0" fontId="16" fillId="0" borderId="37" xfId="1" applyFont="1" applyFill="1" applyBorder="1" applyAlignment="1">
      <alignment horizontal="center" wrapText="1"/>
    </xf>
    <xf numFmtId="0" fontId="3" fillId="0" borderId="0" xfId="0" applyFont="1" applyAlignment="1">
      <alignment horizontal="left" vertical="top" wrapText="1"/>
    </xf>
    <xf numFmtId="0" fontId="7" fillId="0" borderId="0" xfId="0" applyFont="1" applyAlignment="1">
      <alignment horizontal="right" wrapText="1"/>
    </xf>
    <xf numFmtId="0" fontId="4" fillId="0" borderId="0" xfId="0" applyFont="1" applyBorder="1" applyAlignment="1">
      <alignment horizontal="right" vertical="center" wrapText="1"/>
    </xf>
    <xf numFmtId="0" fontId="3" fillId="0" borderId="0" xfId="0" applyFont="1" applyBorder="1" applyAlignment="1">
      <alignment horizontal="left" wrapText="1"/>
    </xf>
    <xf numFmtId="0" fontId="3" fillId="0" borderId="0" xfId="0" applyFont="1" applyBorder="1" applyAlignment="1">
      <alignment horizontal="left" vertical="top" wrapText="1"/>
    </xf>
    <xf numFmtId="0" fontId="19" fillId="0" borderId="25" xfId="0" applyFont="1" applyBorder="1" applyAlignment="1">
      <alignment horizontal="center" wrapText="1"/>
    </xf>
    <xf numFmtId="0" fontId="4" fillId="5" borderId="5" xfId="0" applyFont="1" applyFill="1" applyBorder="1" applyAlignment="1">
      <alignment horizontal="left" vertical="center" wrapText="1"/>
    </xf>
    <xf numFmtId="0" fontId="4" fillId="4" borderId="5" xfId="0" applyFont="1" applyFill="1" applyBorder="1" applyAlignment="1">
      <alignment horizontal="center" vertical="center" wrapText="1"/>
    </xf>
    <xf numFmtId="0" fontId="4" fillId="0" borderId="0" xfId="0" applyFont="1" applyBorder="1" applyAlignment="1">
      <alignment horizontal="center" vertical="center" wrapText="1"/>
    </xf>
    <xf numFmtId="0" fontId="7" fillId="0" borderId="0" xfId="0" applyFont="1" applyAlignment="1">
      <alignment horizontal="right"/>
    </xf>
    <xf numFmtId="0" fontId="3" fillId="0" borderId="31" xfId="0" applyFont="1" applyBorder="1" applyAlignment="1">
      <alignment horizontal="left" vertical="center" wrapText="1"/>
    </xf>
  </cellXfs>
  <cellStyles count="3">
    <cellStyle name="Hyperlink" xfId="2" builtinId="8"/>
    <cellStyle name="Normal" xfId="0" builtinId="0"/>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11</xdr:col>
      <xdr:colOff>922293</xdr:colOff>
      <xdr:row>4</xdr:row>
      <xdr:rowOff>66131</xdr:rowOff>
    </xdr:from>
    <xdr:to>
      <xdr:col>12</xdr:col>
      <xdr:colOff>95250</xdr:colOff>
      <xdr:row>10</xdr:row>
      <xdr:rowOff>190500</xdr:rowOff>
    </xdr:to>
    <xdr:sp macro="" textlink="">
      <xdr:nvSpPr>
        <xdr:cNvPr id="2" name="Labā figūriekava 1">
          <a:extLst>
            <a:ext uri="{FF2B5EF4-FFF2-40B4-BE49-F238E27FC236}">
              <a16:creationId xmlns:a16="http://schemas.microsoft.com/office/drawing/2014/main" id="{8935AC98-ED89-44A0-8737-35BA2551D55C}"/>
            </a:ext>
          </a:extLst>
        </xdr:cNvPr>
        <xdr:cNvSpPr/>
      </xdr:nvSpPr>
      <xdr:spPr>
        <a:xfrm>
          <a:off x="19264722" y="1821452"/>
          <a:ext cx="329564" cy="1702798"/>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lv-LV"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likumi.lv/ta/id/340880-grozijumi-ministru-kabineta-2014-gada-23-decembra-noteikumos-nr-790-socialas-rehabilitacijas-pakalpojumu-sniegsanas-kartiba-no-&#8230;"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499984740745262"/>
    <pageSetUpPr fitToPage="1"/>
  </sheetPr>
  <dimension ref="A1:Q49"/>
  <sheetViews>
    <sheetView zoomScale="60" zoomScaleNormal="60" workbookViewId="0">
      <selection activeCell="V21" sqref="V21"/>
    </sheetView>
  </sheetViews>
  <sheetFormatPr defaultColWidth="9.08984375" defaultRowHeight="15.5" x14ac:dyDescent="0.35"/>
  <cols>
    <col min="1" max="1" width="76.90625" style="30" customWidth="1"/>
    <col min="2" max="2" width="17.453125" style="30" hidden="1" customWidth="1"/>
    <col min="3" max="3" width="17.453125" style="30" customWidth="1"/>
    <col min="4" max="4" width="21.6328125" style="30" customWidth="1"/>
    <col min="5" max="11" width="21.6328125" style="138" customWidth="1"/>
    <col min="12" max="12" width="17" style="317" bestFit="1" customWidth="1"/>
    <col min="13" max="13" width="13.453125" style="30" customWidth="1"/>
    <col min="14" max="16384" width="9.08984375" style="30"/>
  </cols>
  <sheetData>
    <row r="1" spans="1:17" ht="66" customHeight="1" x14ac:dyDescent="0.35">
      <c r="A1" s="412" t="s">
        <v>150</v>
      </c>
      <c r="B1" s="412"/>
      <c r="C1" s="412"/>
      <c r="D1" s="412"/>
      <c r="E1" s="412"/>
      <c r="F1" s="412"/>
      <c r="G1" s="412"/>
      <c r="H1" s="412"/>
      <c r="I1" s="412"/>
      <c r="J1" s="412"/>
      <c r="K1" s="412"/>
    </row>
    <row r="2" spans="1:17" ht="42" customHeight="1" x14ac:dyDescent="0.35">
      <c r="A2" s="413" t="s">
        <v>253</v>
      </c>
      <c r="B2" s="413"/>
      <c r="C2" s="413"/>
      <c r="D2" s="413"/>
      <c r="E2" s="413"/>
      <c r="F2" s="413"/>
      <c r="G2" s="413"/>
      <c r="H2" s="413"/>
      <c r="I2" s="413"/>
      <c r="J2" s="413"/>
      <c r="K2" s="413"/>
    </row>
    <row r="3" spans="1:17" ht="16" thickBot="1" x14ac:dyDescent="0.4">
      <c r="A3" s="101"/>
      <c r="B3" s="31"/>
      <c r="C3" s="31"/>
      <c r="D3" s="31"/>
      <c r="E3" s="106"/>
      <c r="F3" s="106"/>
      <c r="G3" s="106"/>
      <c r="I3" s="106"/>
      <c r="J3" s="106"/>
      <c r="K3" s="106"/>
    </row>
    <row r="4" spans="1:17" x14ac:dyDescent="0.35">
      <c r="A4" s="429" t="s">
        <v>28</v>
      </c>
      <c r="B4" s="423"/>
      <c r="C4" s="423" t="s">
        <v>136</v>
      </c>
      <c r="D4" s="420" t="str">
        <f>'1.tab_spēkā_esošie_MKnot'!C5</f>
        <v>Izdevumi 2023.gadā</v>
      </c>
      <c r="E4" s="420"/>
      <c r="F4" s="420"/>
      <c r="G4" s="421"/>
      <c r="H4" s="144"/>
      <c r="I4" s="414" t="str">
        <f>'1.tab_spēkā_esošie_MKnot'!G5</f>
        <v>Izdevumi 2024.gadā un turpmāk ik gadu</v>
      </c>
      <c r="J4" s="415"/>
      <c r="K4" s="416"/>
    </row>
    <row r="5" spans="1:17" x14ac:dyDescent="0.35">
      <c r="A5" s="430"/>
      <c r="B5" s="424"/>
      <c r="C5" s="424"/>
      <c r="D5" s="154" t="s">
        <v>147</v>
      </c>
      <c r="E5" s="140" t="s">
        <v>29</v>
      </c>
      <c r="F5" s="140" t="s">
        <v>79</v>
      </c>
      <c r="G5" s="141" t="s">
        <v>10</v>
      </c>
      <c r="H5" s="144"/>
      <c r="I5" s="139" t="s">
        <v>29</v>
      </c>
      <c r="J5" s="140" t="s">
        <v>79</v>
      </c>
      <c r="K5" s="141" t="s">
        <v>10</v>
      </c>
    </row>
    <row r="6" spans="1:17" ht="32.4" customHeight="1" x14ac:dyDescent="0.35">
      <c r="A6" s="417" t="s">
        <v>107</v>
      </c>
      <c r="B6" s="418"/>
      <c r="C6" s="422" t="s">
        <v>134</v>
      </c>
      <c r="D6" s="155">
        <v>0</v>
      </c>
      <c r="E6" s="107">
        <f>'1.tab_spēkā_esošie_MKnot'!C7</f>
        <v>0</v>
      </c>
      <c r="F6" s="107">
        <f>'1.tab_spēkā_esošie_MKnot'!D7</f>
        <v>493131.28</v>
      </c>
      <c r="G6" s="142">
        <f>E6+F6+D6</f>
        <v>493131.28</v>
      </c>
      <c r="H6" s="144"/>
      <c r="I6" s="137">
        <f t="shared" ref="I6:J8" si="0">E6</f>
        <v>0</v>
      </c>
      <c r="J6" s="107">
        <f>'1.tab_spēkā_esošie_MKnot'!H7</f>
        <v>498978</v>
      </c>
      <c r="K6" s="142">
        <f>I6+J6</f>
        <v>498978</v>
      </c>
      <c r="M6" s="392" t="s">
        <v>254</v>
      </c>
      <c r="N6" s="393"/>
      <c r="O6" s="393"/>
      <c r="P6" s="393"/>
      <c r="Q6" s="393"/>
    </row>
    <row r="7" spans="1:17" ht="32.4" customHeight="1" x14ac:dyDescent="0.35">
      <c r="A7" s="417" t="s">
        <v>108</v>
      </c>
      <c r="B7" s="418"/>
      <c r="C7" s="422"/>
      <c r="D7" s="155">
        <v>0</v>
      </c>
      <c r="E7" s="107">
        <f>'1.tab_spēkā_esošie_MKnot'!C8</f>
        <v>668562</v>
      </c>
      <c r="F7" s="107">
        <f>'1.tab_spēkā_esošie_MKnot'!D8</f>
        <v>0</v>
      </c>
      <c r="G7" s="142">
        <f>E7+F7+D7</f>
        <v>668562</v>
      </c>
      <c r="H7" s="144"/>
      <c r="I7" s="137">
        <f t="shared" si="0"/>
        <v>668562</v>
      </c>
      <c r="J7" s="107">
        <f t="shared" si="0"/>
        <v>0</v>
      </c>
      <c r="K7" s="142">
        <f>I7+J7</f>
        <v>668562</v>
      </c>
      <c r="M7" s="393"/>
      <c r="N7" s="393"/>
      <c r="O7" s="393"/>
      <c r="P7" s="393"/>
      <c r="Q7" s="393"/>
    </row>
    <row r="8" spans="1:17" ht="44.4" customHeight="1" x14ac:dyDescent="0.35">
      <c r="A8" s="417" t="s">
        <v>148</v>
      </c>
      <c r="B8" s="418"/>
      <c r="C8" s="422"/>
      <c r="D8" s="155">
        <v>0</v>
      </c>
      <c r="E8" s="107">
        <f>'1.tab_spēkā_esošie_MKnot'!C9</f>
        <v>11182</v>
      </c>
      <c r="F8" s="107">
        <f>'1.tab_spēkā_esošie_MKnot'!D9</f>
        <v>0</v>
      </c>
      <c r="G8" s="142">
        <f>E8+F8+D8</f>
        <v>11182</v>
      </c>
      <c r="H8" s="144"/>
      <c r="I8" s="137">
        <f t="shared" si="0"/>
        <v>11182</v>
      </c>
      <c r="J8" s="107">
        <f t="shared" si="0"/>
        <v>0</v>
      </c>
      <c r="K8" s="142">
        <f>I8+J8</f>
        <v>11182</v>
      </c>
      <c r="M8" s="393"/>
      <c r="N8" s="393"/>
      <c r="O8" s="393"/>
      <c r="P8" s="393"/>
      <c r="Q8" s="393"/>
    </row>
    <row r="9" spans="1:17" ht="71" hidden="1" customHeight="1" x14ac:dyDescent="0.35">
      <c r="A9" s="417" t="s">
        <v>135</v>
      </c>
      <c r="B9" s="418"/>
      <c r="C9" s="205" t="s">
        <v>133</v>
      </c>
      <c r="D9" s="155">
        <v>0</v>
      </c>
      <c r="E9" s="107">
        <v>0</v>
      </c>
      <c r="F9" s="107">
        <v>0</v>
      </c>
      <c r="G9" s="142">
        <f>E9+F9+D9</f>
        <v>0</v>
      </c>
      <c r="H9" s="144"/>
      <c r="I9" s="137">
        <v>0</v>
      </c>
      <c r="J9" s="107">
        <v>0</v>
      </c>
      <c r="K9" s="142"/>
    </row>
    <row r="10" spans="1:17" hidden="1" x14ac:dyDescent="0.35">
      <c r="A10" s="103" t="s">
        <v>30</v>
      </c>
      <c r="B10" s="131"/>
      <c r="C10" s="146"/>
      <c r="D10" s="147">
        <f>SUM(D6:D9)</f>
        <v>0</v>
      </c>
      <c r="E10" s="147">
        <f>SUM(E6:E9)</f>
        <v>679744</v>
      </c>
      <c r="F10" s="147">
        <f>SUM(F6:F9)</f>
        <v>493131.28</v>
      </c>
      <c r="G10" s="142">
        <f>SUM(G6:G9)</f>
        <v>1172875.28</v>
      </c>
      <c r="H10" s="144"/>
      <c r="I10" s="143">
        <f>SUM(I6:I8)</f>
        <v>679744</v>
      </c>
      <c r="J10" s="108">
        <f>SUM(J6:J8)</f>
        <v>498978</v>
      </c>
      <c r="K10" s="142">
        <f>SUM(K6:K8)</f>
        <v>1178722</v>
      </c>
    </row>
    <row r="11" spans="1:17" ht="16" thickBot="1" x14ac:dyDescent="0.4">
      <c r="A11" s="394" t="s">
        <v>30</v>
      </c>
      <c r="B11" s="395"/>
      <c r="C11" s="396"/>
      <c r="D11" s="104">
        <f>ROUND(D10,0)</f>
        <v>0</v>
      </c>
      <c r="E11" s="104">
        <f>ROUND(E10,0)</f>
        <v>679744</v>
      </c>
      <c r="F11" s="104">
        <f>ROUND(F10,0)</f>
        <v>493131</v>
      </c>
      <c r="G11" s="105">
        <f>ROUND(G10,0)</f>
        <v>1172875</v>
      </c>
      <c r="H11" s="144"/>
      <c r="I11" s="132">
        <f>ROUND(I10,0)</f>
        <v>679744</v>
      </c>
      <c r="J11" s="104">
        <f>ROUND(J10,0)</f>
        <v>498978</v>
      </c>
      <c r="K11" s="105">
        <f>ROUND(K10,0)</f>
        <v>1178722</v>
      </c>
      <c r="L11" s="330" t="str">
        <f>'1.tab_spēkā_esošie_MKnot'!A1</f>
        <v>tabula Nr.1</v>
      </c>
    </row>
    <row r="12" spans="1:17" ht="31.25" customHeight="1" thickBot="1" x14ac:dyDescent="0.4">
      <c r="A12" s="419" t="s">
        <v>109</v>
      </c>
      <c r="B12" s="419"/>
      <c r="C12" s="419"/>
      <c r="D12" s="419"/>
      <c r="E12" s="419"/>
      <c r="F12" s="106"/>
      <c r="G12" s="106"/>
      <c r="J12" s="106"/>
      <c r="K12" s="106"/>
    </row>
    <row r="13" spans="1:17" x14ac:dyDescent="0.35">
      <c r="A13" s="425" t="s">
        <v>28</v>
      </c>
      <c r="B13" s="426"/>
      <c r="C13" s="409" t="s">
        <v>136</v>
      </c>
      <c r="D13" s="407" t="s">
        <v>110</v>
      </c>
      <c r="E13" s="407"/>
      <c r="F13" s="407"/>
      <c r="G13" s="408"/>
      <c r="H13" s="341"/>
      <c r="I13" s="401" t="s">
        <v>111</v>
      </c>
      <c r="J13" s="402"/>
      <c r="K13" s="403"/>
    </row>
    <row r="14" spans="1:17" x14ac:dyDescent="0.35">
      <c r="A14" s="427"/>
      <c r="B14" s="428"/>
      <c r="C14" s="410"/>
      <c r="D14" s="342" t="s">
        <v>147</v>
      </c>
      <c r="E14" s="343" t="s">
        <v>29</v>
      </c>
      <c r="F14" s="343" t="s">
        <v>79</v>
      </c>
      <c r="G14" s="344" t="s">
        <v>10</v>
      </c>
      <c r="H14" s="341"/>
      <c r="I14" s="345" t="s">
        <v>29</v>
      </c>
      <c r="J14" s="343" t="s">
        <v>79</v>
      </c>
      <c r="K14" s="344" t="s">
        <v>10</v>
      </c>
    </row>
    <row r="15" spans="1:17" ht="32.4" customHeight="1" x14ac:dyDescent="0.35">
      <c r="A15" s="404" t="s">
        <v>268</v>
      </c>
      <c r="B15" s="405"/>
      <c r="C15" s="406" t="s">
        <v>134</v>
      </c>
      <c r="D15" s="337">
        <v>0</v>
      </c>
      <c r="E15" s="346">
        <f>ROUND(I15/2,0)</f>
        <v>0</v>
      </c>
      <c r="F15" s="347">
        <f>ROUND(J15/2,0)</f>
        <v>195889</v>
      </c>
      <c r="G15" s="348">
        <f>E15+F15+D15</f>
        <v>195889</v>
      </c>
      <c r="H15" s="341"/>
      <c r="I15" s="349">
        <v>0</v>
      </c>
      <c r="J15" s="347">
        <f>'2.tab_izmaiņas'!H7</f>
        <v>391777</v>
      </c>
      <c r="K15" s="348">
        <f>I15+J15</f>
        <v>391777</v>
      </c>
    </row>
    <row r="16" spans="1:17" ht="32.4" customHeight="1" x14ac:dyDescent="0.35">
      <c r="A16" s="435" t="s">
        <v>269</v>
      </c>
      <c r="B16" s="436"/>
      <c r="C16" s="406"/>
      <c r="D16" s="337">
        <v>0</v>
      </c>
      <c r="E16" s="346">
        <f t="shared" ref="E16:F17" si="1">I16</f>
        <v>0</v>
      </c>
      <c r="F16" s="346">
        <f t="shared" si="1"/>
        <v>0</v>
      </c>
      <c r="G16" s="348">
        <f>E16+F16+D16</f>
        <v>0</v>
      </c>
      <c r="H16" s="341"/>
      <c r="I16" s="349">
        <v>0</v>
      </c>
      <c r="J16" s="346">
        <v>0</v>
      </c>
      <c r="K16" s="348">
        <f>I16+J16</f>
        <v>0</v>
      </c>
    </row>
    <row r="17" spans="1:12" ht="32.4" customHeight="1" x14ac:dyDescent="0.35">
      <c r="A17" s="435" t="s">
        <v>148</v>
      </c>
      <c r="B17" s="436"/>
      <c r="C17" s="406"/>
      <c r="D17" s="337">
        <v>0</v>
      </c>
      <c r="E17" s="346">
        <f t="shared" si="1"/>
        <v>0</v>
      </c>
      <c r="F17" s="346">
        <f t="shared" si="1"/>
        <v>0</v>
      </c>
      <c r="G17" s="348">
        <f>E17+F17+D17</f>
        <v>0</v>
      </c>
      <c r="H17" s="341"/>
      <c r="I17" s="349">
        <v>0</v>
      </c>
      <c r="J17" s="346">
        <v>0</v>
      </c>
      <c r="K17" s="348">
        <f>I17+J17</f>
        <v>0</v>
      </c>
    </row>
    <row r="18" spans="1:12" ht="86.4" customHeight="1" x14ac:dyDescent="0.35">
      <c r="A18" s="404" t="s">
        <v>135</v>
      </c>
      <c r="B18" s="405"/>
      <c r="C18" s="350" t="s">
        <v>133</v>
      </c>
      <c r="D18" s="334">
        <f>'2.tab_izmaiņas'!C8</f>
        <v>76230</v>
      </c>
      <c r="E18" s="346">
        <v>0</v>
      </c>
      <c r="F18" s="346">
        <v>0</v>
      </c>
      <c r="G18" s="348">
        <f>E18+F18+D18</f>
        <v>76230</v>
      </c>
      <c r="H18" s="341"/>
      <c r="I18" s="349">
        <v>0</v>
      </c>
      <c r="J18" s="346">
        <v>0</v>
      </c>
      <c r="K18" s="348">
        <v>0</v>
      </c>
    </row>
    <row r="19" spans="1:12" hidden="1" x14ac:dyDescent="0.35">
      <c r="A19" s="351" t="s">
        <v>30</v>
      </c>
      <c r="B19" s="352"/>
      <c r="C19" s="353"/>
      <c r="D19" s="354">
        <f>SUM(D15:D18)</f>
        <v>76230</v>
      </c>
      <c r="E19" s="354">
        <f>SUM(E15:E18)</f>
        <v>0</v>
      </c>
      <c r="F19" s="354">
        <f>SUM(F15:F18)</f>
        <v>195889</v>
      </c>
      <c r="G19" s="348">
        <f>SUM(G15:G18)</f>
        <v>272119</v>
      </c>
      <c r="H19" s="341"/>
      <c r="I19" s="355">
        <f>SUM(I15:I17)</f>
        <v>0</v>
      </c>
      <c r="J19" s="356">
        <f>SUM(J15:J17)</f>
        <v>391777</v>
      </c>
      <c r="K19" s="348">
        <f>SUM(K15:K17)</f>
        <v>391777</v>
      </c>
    </row>
    <row r="20" spans="1:12" ht="16" thickBot="1" x14ac:dyDescent="0.4">
      <c r="A20" s="397" t="s">
        <v>30</v>
      </c>
      <c r="B20" s="398"/>
      <c r="C20" s="399"/>
      <c r="D20" s="357">
        <f>ROUND(D19,0)</f>
        <v>76230</v>
      </c>
      <c r="E20" s="357">
        <f>ROUND(E19,0)</f>
        <v>0</v>
      </c>
      <c r="F20" s="357">
        <f>ROUND(F19,0)</f>
        <v>195889</v>
      </c>
      <c r="G20" s="358">
        <f>ROUND(G19,0)</f>
        <v>272119</v>
      </c>
      <c r="H20" s="341"/>
      <c r="I20" s="359">
        <f>ROUND(I19,0)</f>
        <v>0</v>
      </c>
      <c r="J20" s="357">
        <f>ROUND(J19,0)</f>
        <v>391777</v>
      </c>
      <c r="K20" s="358">
        <f>ROUND(K19,0)</f>
        <v>391777</v>
      </c>
      <c r="L20" s="330" t="str">
        <f>'2.tab_izmaiņas'!A1</f>
        <v>tabula Nr.2</v>
      </c>
    </row>
    <row r="21" spans="1:12" ht="46.25" customHeight="1" x14ac:dyDescent="0.35">
      <c r="A21" s="360"/>
      <c r="B21" s="360"/>
      <c r="C21" s="360"/>
      <c r="D21" s="411" t="s">
        <v>139</v>
      </c>
      <c r="E21" s="411"/>
      <c r="F21" s="411"/>
      <c r="G21" s="411"/>
      <c r="H21" s="341"/>
      <c r="I21" s="361"/>
      <c r="J21" s="361"/>
      <c r="K21" s="361"/>
    </row>
    <row r="22" spans="1:12" ht="20.399999999999999" customHeight="1" thickBot="1" x14ac:dyDescent="0.4">
      <c r="A22" s="437" t="s">
        <v>30</v>
      </c>
      <c r="B22" s="437"/>
      <c r="C22" s="437"/>
      <c r="D22" s="437"/>
      <c r="E22" s="437"/>
      <c r="F22" s="361"/>
      <c r="G22" s="361"/>
      <c r="H22" s="341"/>
      <c r="I22" s="341"/>
      <c r="J22" s="361"/>
      <c r="K22" s="361"/>
    </row>
    <row r="23" spans="1:12" x14ac:dyDescent="0.35">
      <c r="A23" s="425" t="s">
        <v>28</v>
      </c>
      <c r="B23" s="426"/>
      <c r="C23" s="409" t="s">
        <v>136</v>
      </c>
      <c r="D23" s="407" t="str">
        <f>D4</f>
        <v>Izdevumi 2023.gadā</v>
      </c>
      <c r="E23" s="407"/>
      <c r="F23" s="407"/>
      <c r="G23" s="408"/>
      <c r="H23" s="341"/>
      <c r="I23" s="401" t="str">
        <f>I4</f>
        <v>Izdevumi 2024.gadā un turpmāk ik gadu</v>
      </c>
      <c r="J23" s="402"/>
      <c r="K23" s="403"/>
    </row>
    <row r="24" spans="1:12" x14ac:dyDescent="0.35">
      <c r="A24" s="427"/>
      <c r="B24" s="428"/>
      <c r="C24" s="410"/>
      <c r="D24" s="342" t="s">
        <v>147</v>
      </c>
      <c r="E24" s="343" t="s">
        <v>29</v>
      </c>
      <c r="F24" s="343" t="s">
        <v>79</v>
      </c>
      <c r="G24" s="344" t="s">
        <v>10</v>
      </c>
      <c r="H24" s="341"/>
      <c r="I24" s="345" t="s">
        <v>29</v>
      </c>
      <c r="J24" s="343" t="s">
        <v>79</v>
      </c>
      <c r="K24" s="344" t="s">
        <v>10</v>
      </c>
    </row>
    <row r="25" spans="1:12" ht="32.4" customHeight="1" x14ac:dyDescent="0.35">
      <c r="A25" s="435" t="s">
        <v>270</v>
      </c>
      <c r="B25" s="436"/>
      <c r="C25" s="406" t="s">
        <v>134</v>
      </c>
      <c r="D25" s="337">
        <v>0</v>
      </c>
      <c r="E25" s="346">
        <f t="shared" ref="E25:F27" si="2">E6+E15</f>
        <v>0</v>
      </c>
      <c r="F25" s="346">
        <f t="shared" si="2"/>
        <v>689020.28</v>
      </c>
      <c r="G25" s="348">
        <f>E25+F25+D25</f>
        <v>689020.28</v>
      </c>
      <c r="H25" s="341"/>
      <c r="I25" s="362">
        <f t="shared" ref="I25:J27" si="3">I6+I15</f>
        <v>0</v>
      </c>
      <c r="J25" s="346">
        <f t="shared" si="3"/>
        <v>890755</v>
      </c>
      <c r="K25" s="348">
        <f>I25+J25</f>
        <v>890755</v>
      </c>
    </row>
    <row r="26" spans="1:12" ht="32.4" customHeight="1" x14ac:dyDescent="0.35">
      <c r="A26" s="435" t="s">
        <v>269</v>
      </c>
      <c r="B26" s="436"/>
      <c r="C26" s="406"/>
      <c r="D26" s="337">
        <v>0</v>
      </c>
      <c r="E26" s="346">
        <f t="shared" si="2"/>
        <v>668562</v>
      </c>
      <c r="F26" s="346">
        <f t="shared" si="2"/>
        <v>0</v>
      </c>
      <c r="G26" s="348">
        <f>E26+F26+D26</f>
        <v>668562</v>
      </c>
      <c r="H26" s="341"/>
      <c r="I26" s="362">
        <f t="shared" si="3"/>
        <v>668562</v>
      </c>
      <c r="J26" s="346">
        <f t="shared" si="3"/>
        <v>0</v>
      </c>
      <c r="K26" s="348">
        <f>I26+J26</f>
        <v>668562</v>
      </c>
    </row>
    <row r="27" spans="1:12" ht="32.4" customHeight="1" x14ac:dyDescent="0.35">
      <c r="A27" s="435" t="s">
        <v>271</v>
      </c>
      <c r="B27" s="436"/>
      <c r="C27" s="406"/>
      <c r="D27" s="337">
        <v>0</v>
      </c>
      <c r="E27" s="346">
        <f t="shared" si="2"/>
        <v>11182</v>
      </c>
      <c r="F27" s="346">
        <f t="shared" si="2"/>
        <v>0</v>
      </c>
      <c r="G27" s="348">
        <f>E27+F27+D27</f>
        <v>11182</v>
      </c>
      <c r="H27" s="341"/>
      <c r="I27" s="362">
        <f t="shared" si="3"/>
        <v>11182</v>
      </c>
      <c r="J27" s="346">
        <f t="shared" si="3"/>
        <v>0</v>
      </c>
      <c r="K27" s="348">
        <f>I27+J27</f>
        <v>11182</v>
      </c>
    </row>
    <row r="28" spans="1:12" ht="74" customHeight="1" x14ac:dyDescent="0.35">
      <c r="A28" s="435" t="s">
        <v>135</v>
      </c>
      <c r="B28" s="436"/>
      <c r="C28" s="350" t="s">
        <v>133</v>
      </c>
      <c r="D28" s="337">
        <v>76230</v>
      </c>
      <c r="E28" s="346"/>
      <c r="F28" s="346"/>
      <c r="G28" s="348">
        <f>E28+F28+D28</f>
        <v>76230</v>
      </c>
      <c r="H28" s="341"/>
      <c r="I28" s="362">
        <v>0</v>
      </c>
      <c r="J28" s="346">
        <v>0</v>
      </c>
      <c r="K28" s="348"/>
    </row>
    <row r="29" spans="1:12" hidden="1" x14ac:dyDescent="0.35">
      <c r="A29" s="351" t="s">
        <v>30</v>
      </c>
      <c r="B29" s="352"/>
      <c r="C29" s="353"/>
      <c r="D29" s="354">
        <f>SUM(D25:D28)</f>
        <v>76230</v>
      </c>
      <c r="E29" s="354">
        <f>SUM(E25:E28)</f>
        <v>679744</v>
      </c>
      <c r="F29" s="354">
        <f>SUM(F25:F28)</f>
        <v>689020.28</v>
      </c>
      <c r="G29" s="348">
        <f>SUM(G25:G28)</f>
        <v>1444994.28</v>
      </c>
      <c r="H29" s="341"/>
      <c r="I29" s="355">
        <f>SUM(I25:I27)</f>
        <v>679744</v>
      </c>
      <c r="J29" s="356">
        <f>SUM(J25:J27)</f>
        <v>890755</v>
      </c>
      <c r="K29" s="348">
        <f>SUM(K25:K27)</f>
        <v>1570499</v>
      </c>
    </row>
    <row r="30" spans="1:12" ht="16" thickBot="1" x14ac:dyDescent="0.4">
      <c r="A30" s="397" t="s">
        <v>30</v>
      </c>
      <c r="B30" s="398"/>
      <c r="C30" s="399"/>
      <c r="D30" s="357">
        <f>ROUND(D29,0)</f>
        <v>76230</v>
      </c>
      <c r="E30" s="357">
        <f>ROUND(E29,0)</f>
        <v>679744</v>
      </c>
      <c r="F30" s="357">
        <f>ROUND(F29,0)</f>
        <v>689020</v>
      </c>
      <c r="G30" s="363">
        <f>ROUND(G29,0)</f>
        <v>1444994</v>
      </c>
      <c r="H30" s="341"/>
      <c r="I30" s="359">
        <f>ROUND(I29,0)</f>
        <v>679744</v>
      </c>
      <c r="J30" s="357">
        <f>ROUND(J29,0)</f>
        <v>890755</v>
      </c>
      <c r="K30" s="363">
        <f>ROUND(K29,0)</f>
        <v>1570499</v>
      </c>
      <c r="L30" s="331"/>
    </row>
    <row r="31" spans="1:12" x14ac:dyDescent="0.35">
      <c r="A31" s="31"/>
      <c r="B31" s="31"/>
      <c r="C31" s="31"/>
      <c r="D31" s="31"/>
      <c r="E31" s="106"/>
      <c r="F31" s="106"/>
      <c r="G31" s="106"/>
      <c r="I31" s="106"/>
      <c r="J31" s="106"/>
      <c r="K31" s="106"/>
    </row>
    <row r="32" spans="1:12" x14ac:dyDescent="0.35">
      <c r="A32" s="31"/>
      <c r="B32" s="31"/>
      <c r="C32" s="31"/>
      <c r="D32" s="31"/>
      <c r="E32" s="106"/>
      <c r="F32" s="106"/>
      <c r="G32" s="106"/>
      <c r="I32" s="106"/>
      <c r="J32" s="106"/>
      <c r="K32" s="106"/>
    </row>
    <row r="33" spans="1:12" x14ac:dyDescent="0.35">
      <c r="A33" s="145" t="s">
        <v>255</v>
      </c>
      <c r="B33" s="314"/>
      <c r="C33" s="314"/>
      <c r="D33" s="314"/>
      <c r="E33" s="315"/>
      <c r="F33" s="315"/>
      <c r="G33" s="315"/>
      <c r="I33" s="315"/>
      <c r="J33" s="315"/>
      <c r="K33" s="315"/>
    </row>
    <row r="34" spans="1:12" s="31" customFormat="1" ht="50.4" customHeight="1" x14ac:dyDescent="0.25">
      <c r="A34" s="338" t="str">
        <f>'1.tab_spēkā_esošie_MKnot'!A1</f>
        <v>tabula Nr.1</v>
      </c>
      <c r="B34" s="339"/>
      <c r="C34" s="400" t="str">
        <f>'1.tab_spēkā_esošie_MKnot'!A3</f>
        <v xml:space="preserve">Sociālas rehabilitācijas pakalpojumu  sniegšanai no vardarbības cietušām un vardarbību veikušām pilngadīgām personām  nepieciešamā finansējuma aprēķina kopsavilkums 
 (izdevumi 2023.gādā un 2024. gadā (un turpmāk ik gadu))             
bez izmaiņām                                                                                                                                                                                                                                                                                                </v>
      </c>
      <c r="D34" s="400"/>
      <c r="E34" s="400"/>
      <c r="F34" s="400"/>
      <c r="G34" s="400"/>
      <c r="H34" s="400"/>
      <c r="I34" s="400"/>
      <c r="J34" s="400"/>
      <c r="K34" s="400"/>
      <c r="L34" s="325"/>
    </row>
    <row r="35" spans="1:12" s="31" customFormat="1" ht="50.4" customHeight="1" x14ac:dyDescent="0.25">
      <c r="A35" s="338" t="str">
        <f>'2.tab_izmaiņas'!A1</f>
        <v>tabula Nr.2</v>
      </c>
      <c r="B35" s="339"/>
      <c r="C35" s="400" t="str">
        <f>'2.tab_izmaiņas'!A3</f>
        <v xml:space="preserve">Sociālas rehabilitācijas pakalpojumu  sniegšanai no vardarbības cietušām pilngadīgām personām  nepieciešamā finansējuma aprēķina kopsavilkums 
 (izdevumi 2023.gādā un 2024. gadā (un turpmāk ik gadu))             
grozījumu ietekme                                                                                                                                                                                                                                                                                             </v>
      </c>
      <c r="D35" s="400"/>
      <c r="E35" s="400"/>
      <c r="F35" s="400"/>
      <c r="G35" s="400"/>
      <c r="H35" s="400"/>
      <c r="I35" s="400"/>
      <c r="J35" s="400"/>
      <c r="K35" s="400"/>
      <c r="L35" s="325"/>
    </row>
    <row r="36" spans="1:12" s="31" customFormat="1" ht="50.4" customHeight="1" x14ac:dyDescent="0.25">
      <c r="A36" s="338" t="str">
        <f>'3.tab_ārzemnieki'!A1</f>
        <v>tabula Nr.3</v>
      </c>
      <c r="B36" s="329"/>
      <c r="C36" s="400" t="str">
        <f>'3.tab_ārzemnieki'!A3</f>
        <v>Izmaksu aprēķins 30 dienu kursam ar izmitināšu institūcijā no vardarbības cietušas pilngadīgas personas sociālai rehabilitācijai
 (SPSPL 3. panta (8) daļa)*</v>
      </c>
      <c r="D36" s="400"/>
      <c r="E36" s="400"/>
      <c r="F36" s="400"/>
      <c r="G36" s="400"/>
      <c r="H36" s="400"/>
      <c r="I36" s="400"/>
      <c r="J36" s="400"/>
      <c r="K36" s="400"/>
      <c r="L36" s="325"/>
    </row>
    <row r="37" spans="1:12" s="372" customFormat="1" ht="17" customHeight="1" x14ac:dyDescent="0.35">
      <c r="A37" s="370"/>
      <c r="B37" s="365"/>
      <c r="C37" s="365"/>
      <c r="D37" s="365"/>
      <c r="E37" s="365"/>
      <c r="F37" s="365"/>
      <c r="G37" s="365"/>
      <c r="H37" s="365"/>
      <c r="I37" s="365"/>
      <c r="J37" s="365"/>
      <c r="K37" s="365"/>
      <c r="L37" s="371"/>
    </row>
    <row r="38" spans="1:12" s="372" customFormat="1" ht="17" customHeight="1" x14ac:dyDescent="0.35">
      <c r="A38" s="370"/>
      <c r="B38" s="365"/>
      <c r="C38" s="365"/>
      <c r="D38" s="365"/>
      <c r="E38" s="365"/>
      <c r="F38" s="364" t="s">
        <v>126</v>
      </c>
      <c r="G38" s="365"/>
      <c r="H38" s="365"/>
      <c r="I38" s="365"/>
      <c r="J38" s="365"/>
      <c r="K38" s="365"/>
      <c r="L38" s="371"/>
    </row>
    <row r="39" spans="1:12" s="372" customFormat="1" ht="17" customHeight="1" thickBot="1" x14ac:dyDescent="0.4">
      <c r="A39" s="370"/>
      <c r="B39" s="365"/>
      <c r="C39" s="365"/>
      <c r="D39" s="365"/>
      <c r="E39" s="365"/>
      <c r="F39" s="365"/>
      <c r="G39" s="365"/>
      <c r="H39" s="365" t="s">
        <v>129</v>
      </c>
      <c r="I39" s="365" t="s">
        <v>130</v>
      </c>
      <c r="J39" s="365" t="s">
        <v>131</v>
      </c>
      <c r="K39" s="365"/>
      <c r="L39" s="371"/>
    </row>
    <row r="40" spans="1:12" s="372" customFormat="1" ht="30.65" customHeight="1" thickBot="1" x14ac:dyDescent="0.4">
      <c r="A40" s="370"/>
      <c r="B40" s="365"/>
      <c r="C40" s="365"/>
      <c r="D40" s="365"/>
      <c r="E40" s="365"/>
      <c r="F40" s="433" t="s">
        <v>127</v>
      </c>
      <c r="G40" s="434"/>
      <c r="H40" s="366">
        <v>600</v>
      </c>
      <c r="I40" s="366">
        <f>100+8+1</f>
        <v>109</v>
      </c>
      <c r="J40" s="367">
        <f>H40+I40</f>
        <v>709</v>
      </c>
      <c r="K40" s="365"/>
      <c r="L40" s="371"/>
    </row>
    <row r="41" spans="1:12" s="372" customFormat="1" ht="30.65" customHeight="1" thickBot="1" x14ac:dyDescent="0.4">
      <c r="A41" s="370"/>
      <c r="B41" s="365"/>
      <c r="C41" s="365"/>
      <c r="D41" s="365"/>
      <c r="E41" s="365"/>
      <c r="F41" s="431" t="s">
        <v>128</v>
      </c>
      <c r="G41" s="432"/>
      <c r="H41" s="368">
        <v>812</v>
      </c>
      <c r="I41" s="368">
        <v>0</v>
      </c>
      <c r="J41" s="369">
        <f>H41+I41</f>
        <v>812</v>
      </c>
      <c r="K41" s="365"/>
      <c r="L41" s="371"/>
    </row>
    <row r="42" spans="1:12" s="372" customFormat="1" ht="17" customHeight="1" x14ac:dyDescent="0.35">
      <c r="A42" s="370"/>
      <c r="B42" s="365"/>
      <c r="C42" s="365"/>
      <c r="D42" s="365"/>
      <c r="E42" s="365"/>
      <c r="F42" s="365"/>
      <c r="G42" s="365"/>
      <c r="H42" s="365"/>
      <c r="I42" s="365"/>
      <c r="J42" s="365"/>
      <c r="K42" s="365"/>
      <c r="L42" s="371"/>
    </row>
    <row r="43" spans="1:12" s="372" customFormat="1" x14ac:dyDescent="0.35">
      <c r="A43" s="373" t="s">
        <v>38</v>
      </c>
      <c r="B43" s="373"/>
      <c r="C43" s="373"/>
      <c r="D43" s="373"/>
      <c r="E43" s="341"/>
      <c r="F43" s="341"/>
      <c r="G43" s="341"/>
      <c r="H43" s="341"/>
      <c r="I43" s="341"/>
      <c r="J43" s="341"/>
      <c r="K43" s="341"/>
      <c r="L43" s="371"/>
    </row>
    <row r="44" spans="1:12" s="372" customFormat="1" x14ac:dyDescent="0.35">
      <c r="A44" s="374">
        <v>64331831</v>
      </c>
      <c r="B44" s="374"/>
      <c r="C44" s="374"/>
      <c r="D44" s="374"/>
      <c r="E44" s="341"/>
      <c r="F44" s="341"/>
      <c r="G44" s="341"/>
      <c r="H44" s="341"/>
      <c r="I44" s="341"/>
      <c r="J44" s="341"/>
      <c r="K44" s="341"/>
      <c r="L44" s="371"/>
    </row>
    <row r="45" spans="1:12" s="372" customFormat="1" x14ac:dyDescent="0.35">
      <c r="A45" s="373"/>
      <c r="B45" s="373"/>
      <c r="C45" s="373"/>
      <c r="D45" s="373"/>
      <c r="E45" s="341"/>
      <c r="F45" s="341"/>
      <c r="G45" s="341"/>
      <c r="H45" s="341"/>
      <c r="I45" s="341"/>
      <c r="J45" s="341"/>
      <c r="K45" s="341"/>
      <c r="L45" s="371"/>
    </row>
    <row r="46" spans="1:12" s="372" customFormat="1" x14ac:dyDescent="0.35">
      <c r="E46" s="341"/>
      <c r="F46" s="341"/>
      <c r="G46" s="341"/>
      <c r="H46" s="341"/>
      <c r="I46" s="341"/>
      <c r="J46" s="341"/>
      <c r="K46" s="341"/>
      <c r="L46" s="371"/>
    </row>
    <row r="47" spans="1:12" s="372" customFormat="1" x14ac:dyDescent="0.35">
      <c r="E47" s="341"/>
      <c r="F47" s="341"/>
      <c r="G47" s="341"/>
      <c r="H47" s="341"/>
      <c r="I47" s="341"/>
      <c r="J47" s="341"/>
      <c r="K47" s="341"/>
      <c r="L47" s="371"/>
    </row>
    <row r="48" spans="1:12" s="372" customFormat="1" x14ac:dyDescent="0.35">
      <c r="E48" s="341"/>
      <c r="F48" s="341"/>
      <c r="G48" s="341"/>
      <c r="H48" s="341"/>
      <c r="I48" s="341"/>
      <c r="J48" s="341"/>
      <c r="K48" s="341"/>
      <c r="L48" s="371"/>
    </row>
    <row r="49" spans="5:12" s="372" customFormat="1" x14ac:dyDescent="0.35">
      <c r="E49" s="341"/>
      <c r="F49" s="341"/>
      <c r="G49" s="341"/>
      <c r="H49" s="341"/>
      <c r="I49" s="341"/>
      <c r="J49" s="341"/>
      <c r="K49" s="341"/>
      <c r="L49" s="371"/>
    </row>
  </sheetData>
  <mergeCells count="41">
    <mergeCell ref="F41:G41"/>
    <mergeCell ref="F40:G40"/>
    <mergeCell ref="A15:B15"/>
    <mergeCell ref="A16:B16"/>
    <mergeCell ref="A17:B17"/>
    <mergeCell ref="A22:E22"/>
    <mergeCell ref="A28:B28"/>
    <mergeCell ref="A23:B24"/>
    <mergeCell ref="C25:C27"/>
    <mergeCell ref="A25:B25"/>
    <mergeCell ref="A26:B26"/>
    <mergeCell ref="A27:B27"/>
    <mergeCell ref="C35:K35"/>
    <mergeCell ref="C36:K36"/>
    <mergeCell ref="A1:K1"/>
    <mergeCell ref="A2:K2"/>
    <mergeCell ref="I4:K4"/>
    <mergeCell ref="I13:K13"/>
    <mergeCell ref="A8:B8"/>
    <mergeCell ref="A12:E12"/>
    <mergeCell ref="D4:G4"/>
    <mergeCell ref="C6:C8"/>
    <mergeCell ref="A9:B9"/>
    <mergeCell ref="C4:C5"/>
    <mergeCell ref="A13:B14"/>
    <mergeCell ref="A4:B5"/>
    <mergeCell ref="A6:B6"/>
    <mergeCell ref="A7:B7"/>
    <mergeCell ref="C13:C14"/>
    <mergeCell ref="D13:G13"/>
    <mergeCell ref="M6:Q8"/>
    <mergeCell ref="A11:C11"/>
    <mergeCell ref="A20:C20"/>
    <mergeCell ref="A30:C30"/>
    <mergeCell ref="C34:K34"/>
    <mergeCell ref="I23:K23"/>
    <mergeCell ref="A18:B18"/>
    <mergeCell ref="C15:C17"/>
    <mergeCell ref="D23:G23"/>
    <mergeCell ref="C23:C24"/>
    <mergeCell ref="D21:G21"/>
  </mergeCells>
  <hyperlinks>
    <hyperlink ref="M6" r:id="rId1" xr:uid="{5EA03E6A-077C-4733-8201-C4C693E6CCF9}"/>
  </hyperlinks>
  <pageMargins left="1.1811023622047245" right="0.78740157480314965" top="0.74803149606299213" bottom="0.74803149606299213" header="0.31496062992125984" footer="0.31496062992125984"/>
  <pageSetup paperSize="9" scale="51" firstPageNumber="6" fitToHeight="0" orientation="landscape" useFirstPageNumber="1" r:id="rId2"/>
  <headerFooter>
    <oddHeader>&amp;F</oddHeader>
    <oddFooter>&amp;A</oddFooter>
  </headerFooter>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A1:J20"/>
  <sheetViews>
    <sheetView zoomScale="70" zoomScaleNormal="70" workbookViewId="0">
      <selection activeCell="D27" sqref="D27"/>
    </sheetView>
  </sheetViews>
  <sheetFormatPr defaultColWidth="9.08984375" defaultRowHeight="13" x14ac:dyDescent="0.3"/>
  <cols>
    <col min="1" max="1" width="76.90625" style="30" customWidth="1"/>
    <col min="2" max="5" width="17.453125" style="30" customWidth="1"/>
    <col min="6" max="6" width="4.54296875" style="30" customWidth="1"/>
    <col min="7" max="9" width="17.453125" style="30" customWidth="1"/>
    <col min="10" max="10" width="20.36328125" style="30" customWidth="1"/>
    <col min="11" max="16384" width="9.08984375" style="30"/>
  </cols>
  <sheetData>
    <row r="1" spans="1:10" x14ac:dyDescent="0.3">
      <c r="A1" s="442" t="s">
        <v>238</v>
      </c>
      <c r="B1" s="442"/>
      <c r="C1" s="442"/>
      <c r="D1" s="442"/>
      <c r="E1" s="442"/>
      <c r="F1" s="442"/>
      <c r="G1" s="442"/>
      <c r="H1" s="442"/>
      <c r="I1" s="442"/>
    </row>
    <row r="2" spans="1:10" ht="49.25" customHeight="1" x14ac:dyDescent="0.3">
      <c r="A2" s="443" t="s">
        <v>237</v>
      </c>
      <c r="B2" s="443"/>
      <c r="C2" s="443"/>
      <c r="D2" s="443"/>
      <c r="E2" s="443"/>
      <c r="F2" s="443"/>
      <c r="G2" s="443"/>
      <c r="H2" s="443"/>
      <c r="I2" s="443"/>
    </row>
    <row r="3" spans="1:10" ht="60" customHeight="1" x14ac:dyDescent="0.3">
      <c r="A3" s="413" t="s">
        <v>256</v>
      </c>
      <c r="B3" s="413"/>
      <c r="C3" s="413"/>
      <c r="D3" s="413"/>
      <c r="E3" s="413"/>
      <c r="F3" s="413"/>
      <c r="G3" s="413"/>
      <c r="H3" s="413"/>
      <c r="I3" s="413"/>
    </row>
    <row r="4" spans="1:10" ht="13.5" thickBot="1" x14ac:dyDescent="0.35">
      <c r="A4" s="101"/>
      <c r="B4" s="31"/>
      <c r="C4" s="31"/>
      <c r="D4" s="31"/>
      <c r="E4" s="31"/>
      <c r="F4" s="31"/>
      <c r="G4" s="31"/>
      <c r="H4" s="31"/>
      <c r="I4" s="31"/>
    </row>
    <row r="5" spans="1:10" ht="15" x14ac:dyDescent="0.3">
      <c r="A5" s="444" t="s">
        <v>28</v>
      </c>
      <c r="B5" s="445"/>
      <c r="C5" s="439" t="s">
        <v>251</v>
      </c>
      <c r="D5" s="440"/>
      <c r="E5" s="441"/>
      <c r="F5" s="326"/>
      <c r="G5" s="439" t="s">
        <v>252</v>
      </c>
      <c r="H5" s="440"/>
      <c r="I5" s="441"/>
    </row>
    <row r="6" spans="1:10" ht="15.5" x14ac:dyDescent="0.3">
      <c r="A6" s="446"/>
      <c r="B6" s="447"/>
      <c r="C6" s="207" t="s">
        <v>29</v>
      </c>
      <c r="D6" s="206" t="s">
        <v>79</v>
      </c>
      <c r="E6" s="102" t="s">
        <v>10</v>
      </c>
      <c r="F6" s="326"/>
      <c r="G6" s="207" t="s">
        <v>29</v>
      </c>
      <c r="H6" s="206" t="s">
        <v>79</v>
      </c>
      <c r="I6" s="102" t="s">
        <v>10</v>
      </c>
    </row>
    <row r="7" spans="1:10" ht="32.4" customHeight="1" x14ac:dyDescent="0.3">
      <c r="A7" s="448" t="s">
        <v>82</v>
      </c>
      <c r="B7" s="449"/>
      <c r="C7" s="137">
        <v>0</v>
      </c>
      <c r="D7" s="107">
        <f>ROUND('1.1.cietušās_p_līdz_30.06.2023'!F30,0)+'1.1.2.terorisms'!F6</f>
        <v>493131.28</v>
      </c>
      <c r="E7" s="142">
        <f>C7+D7</f>
        <v>493131.28</v>
      </c>
      <c r="F7" s="327"/>
      <c r="G7" s="137">
        <v>0</v>
      </c>
      <c r="H7" s="107">
        <f>ROUND('1.1.cietušās_p_līdz_30.06.2023'!F30,0)+'1.1.2.terorisms'!F7</f>
        <v>498978</v>
      </c>
      <c r="I7" s="142">
        <f>G7+H7</f>
        <v>498978</v>
      </c>
      <c r="J7" s="316" t="str">
        <f>'1.1.cietušās_p_līdz_30.06.2023'!H1</f>
        <v>tabula Nr.1.1.</v>
      </c>
    </row>
    <row r="8" spans="1:10" ht="32.4" customHeight="1" x14ac:dyDescent="0.3">
      <c r="A8" s="448" t="s">
        <v>83</v>
      </c>
      <c r="B8" s="449"/>
      <c r="C8" s="137">
        <v>668562</v>
      </c>
      <c r="D8" s="107">
        <v>0</v>
      </c>
      <c r="E8" s="142">
        <f>C8+D8</f>
        <v>668562</v>
      </c>
      <c r="F8" s="327"/>
      <c r="G8" s="137">
        <v>668562</v>
      </c>
      <c r="H8" s="107">
        <v>0</v>
      </c>
      <c r="I8" s="142">
        <f>G8+H8</f>
        <v>668562</v>
      </c>
      <c r="J8" s="316" t="str">
        <f>'1.2.varmākas'!I1</f>
        <v>tabula Nr.1.2.</v>
      </c>
    </row>
    <row r="9" spans="1:10" ht="32.4" customHeight="1" x14ac:dyDescent="0.3">
      <c r="A9" s="448" t="s">
        <v>84</v>
      </c>
      <c r="B9" s="449"/>
      <c r="C9" s="137">
        <v>11182</v>
      </c>
      <c r="D9" s="107">
        <v>0</v>
      </c>
      <c r="E9" s="142">
        <f>C9+D9</f>
        <v>11182</v>
      </c>
      <c r="F9" s="327"/>
      <c r="G9" s="137">
        <v>11182</v>
      </c>
      <c r="H9" s="107">
        <v>0</v>
      </c>
      <c r="I9" s="142">
        <f>G9+H9</f>
        <v>11182</v>
      </c>
      <c r="J9" s="316" t="str">
        <f>'1.3.speciālistu_apmāc.'!H1</f>
        <v>tabula Nr.1.3.</v>
      </c>
    </row>
    <row r="10" spans="1:10" ht="15" hidden="1" x14ac:dyDescent="0.3">
      <c r="A10" s="103" t="s">
        <v>30</v>
      </c>
      <c r="B10" s="131"/>
      <c r="C10" s="143">
        <f>SUM(C7:C9)</f>
        <v>679744</v>
      </c>
      <c r="D10" s="108">
        <f>SUM(D7:D9)</f>
        <v>493131.28</v>
      </c>
      <c r="E10" s="142">
        <f>SUM(E7:E9)</f>
        <v>1172875.28</v>
      </c>
      <c r="F10" s="327"/>
      <c r="G10" s="143">
        <f>SUM(G7:G9)</f>
        <v>679744</v>
      </c>
      <c r="H10" s="108">
        <f>SUM(H7:H9)</f>
        <v>498978</v>
      </c>
      <c r="I10" s="142">
        <f>SUM(I7:I9)</f>
        <v>1178722</v>
      </c>
    </row>
    <row r="11" spans="1:10" ht="15.5" thickBot="1" x14ac:dyDescent="0.35">
      <c r="A11" s="394" t="s">
        <v>30</v>
      </c>
      <c r="B11" s="450"/>
      <c r="C11" s="132">
        <f>ROUND(C10,0)</f>
        <v>679744</v>
      </c>
      <c r="D11" s="104">
        <f>ROUND(D10,0)</f>
        <v>493131</v>
      </c>
      <c r="E11" s="105">
        <f>ROUND(E10,0)</f>
        <v>1172875</v>
      </c>
      <c r="F11" s="327"/>
      <c r="G11" s="132">
        <f>ROUND(G10,0)</f>
        <v>679744</v>
      </c>
      <c r="H11" s="104">
        <f>ROUND(H10,0)</f>
        <v>498978</v>
      </c>
      <c r="I11" s="105">
        <f>ROUND(I10,0)</f>
        <v>1178722</v>
      </c>
    </row>
    <row r="12" spans="1:10" x14ac:dyDescent="0.3">
      <c r="A12" s="451"/>
      <c r="B12" s="451"/>
      <c r="C12" s="451"/>
      <c r="D12" s="14"/>
      <c r="E12" s="14"/>
      <c r="F12" s="328"/>
      <c r="G12" s="14"/>
      <c r="H12" s="14"/>
      <c r="I12" s="14"/>
    </row>
    <row r="13" spans="1:10" x14ac:dyDescent="0.3">
      <c r="A13" s="31"/>
      <c r="B13" s="31"/>
      <c r="C13" s="31"/>
      <c r="D13" s="31"/>
      <c r="E13" s="31"/>
      <c r="F13" s="31"/>
      <c r="G13" s="31"/>
      <c r="H13" s="31"/>
      <c r="I13" s="31"/>
    </row>
    <row r="14" spans="1:10" ht="14" x14ac:dyDescent="0.3">
      <c r="A14" s="109" t="s">
        <v>236</v>
      </c>
      <c r="B14" s="109"/>
      <c r="C14" s="109"/>
      <c r="D14" s="109"/>
      <c r="E14" s="109"/>
      <c r="F14" s="109"/>
      <c r="G14" s="109"/>
      <c r="H14" s="109"/>
      <c r="I14" s="109"/>
    </row>
    <row r="15" spans="1:10" ht="36.65" customHeight="1" x14ac:dyDescent="0.3">
      <c r="A15" s="110" t="str">
        <f>'1.1.cietušās_p_līdz_30.06.2023'!H1</f>
        <v>tabula Nr.1.1.</v>
      </c>
      <c r="B15" s="438" t="str">
        <f>'1.1.cietušās_p_līdz_30.06.2023'!A3</f>
        <v>Pakalpojuma „Sociālās rehabilitācijas pakalpojumi no vardarbības cietušām pilngadīgām personām” izmaksu aprēķins</v>
      </c>
      <c r="C15" s="438"/>
      <c r="D15" s="438"/>
      <c r="E15" s="438"/>
      <c r="F15" s="208"/>
      <c r="G15" s="208"/>
      <c r="H15" s="208"/>
      <c r="I15" s="208"/>
    </row>
    <row r="16" spans="1:10" ht="51" customHeight="1" x14ac:dyDescent="0.3">
      <c r="A16" s="110"/>
      <c r="B16" s="208" t="str">
        <f>'1.1.1.cietušie_pak_KC'!I1</f>
        <v>tabula Nr.1.1.1.</v>
      </c>
      <c r="C16" s="438" t="str">
        <f>'1.1.1.cietušie_pak_KC'!A3</f>
        <v>Izmaksu aprēķins 30 dienu kursam ar izmitināšu institūcijā no vardarbības cietušas pilngadīgas personas sociālai rehabilitācijai</v>
      </c>
      <c r="D16" s="438"/>
      <c r="E16" s="438"/>
      <c r="F16" s="208"/>
      <c r="G16" s="208"/>
      <c r="H16" s="208"/>
      <c r="I16" s="208"/>
    </row>
    <row r="17" spans="1:9" ht="51" customHeight="1" x14ac:dyDescent="0.3">
      <c r="A17" s="110"/>
      <c r="B17" s="208" t="str">
        <f>'1.1.2.terorisms'!F1</f>
        <v>tabula Nr.1.1.2.</v>
      </c>
      <c r="C17" s="438" t="str">
        <f>'1.1.2.terorisms'!A3</f>
        <v>Plānotais papildu finansējuma apjoms sociālās rehabilitācijas nodrošināšanai terorismā cietušām personām</v>
      </c>
      <c r="D17" s="438"/>
      <c r="E17" s="438"/>
      <c r="F17" s="208"/>
      <c r="G17" s="208"/>
      <c r="H17" s="208"/>
      <c r="I17" s="208"/>
    </row>
    <row r="18" spans="1:9" ht="36.65" customHeight="1" x14ac:dyDescent="0.3">
      <c r="A18" s="110" t="str">
        <f>'1.2.varmākas'!I1</f>
        <v>tabula Nr.1.2.</v>
      </c>
      <c r="B18" s="438" t="str">
        <f>'1.2.varmākas'!A3</f>
        <v>Pakalpojuma „Sociālās rehabilitācijas pakalpojumi vardarbību veikušām pilngadīgām personām” izmaksu aprēķins</v>
      </c>
      <c r="C18" s="438"/>
      <c r="D18" s="438"/>
      <c r="E18" s="438"/>
      <c r="F18" s="208"/>
      <c r="G18" s="208"/>
      <c r="H18" s="208"/>
      <c r="I18" s="208"/>
    </row>
    <row r="19" spans="1:9" ht="39.65" customHeight="1" x14ac:dyDescent="0.3">
      <c r="A19" s="110" t="str">
        <f>'1.3.speciālistu_apmāc.'!H1</f>
        <v>tabula Nr.1.3.</v>
      </c>
      <c r="B19" s="438" t="str">
        <f>'1.3.speciālistu_apmāc.'!A3</f>
        <v>Pakalpojuma  ""Sociālās rehabilitācijas pakalpojumi vardarbību veikušām pilngadīgām personām" speciālistu apmācībām un supervīzijām" izmaksu aprēķins</v>
      </c>
      <c r="C19" s="438"/>
      <c r="D19" s="438"/>
      <c r="E19" s="438"/>
      <c r="F19" s="208"/>
      <c r="G19" s="208"/>
      <c r="H19" s="208"/>
      <c r="I19" s="208"/>
    </row>
    <row r="20" spans="1:9" x14ac:dyDescent="0.3">
      <c r="A20" s="31"/>
      <c r="B20" s="31"/>
      <c r="C20" s="31"/>
      <c r="D20" s="31"/>
      <c r="E20" s="31"/>
      <c r="F20" s="31"/>
      <c r="G20" s="31"/>
      <c r="H20" s="31"/>
      <c r="I20" s="31"/>
    </row>
  </sheetData>
  <mergeCells count="16">
    <mergeCell ref="B19:E19"/>
    <mergeCell ref="G5:I5"/>
    <mergeCell ref="C17:E17"/>
    <mergeCell ref="A1:I1"/>
    <mergeCell ref="A2:I2"/>
    <mergeCell ref="A3:I3"/>
    <mergeCell ref="B18:E18"/>
    <mergeCell ref="A5:B6"/>
    <mergeCell ref="A7:B7"/>
    <mergeCell ref="A8:B8"/>
    <mergeCell ref="A9:B9"/>
    <mergeCell ref="A11:B11"/>
    <mergeCell ref="C16:E16"/>
    <mergeCell ref="C5:E5"/>
    <mergeCell ref="A12:C12"/>
    <mergeCell ref="B15:E15"/>
  </mergeCells>
  <pageMargins left="1.1811023622047245" right="0.78740157480314965" top="0.74803149606299213" bottom="0.74803149606299213" header="0.31496062992125984" footer="0.31496062992125984"/>
  <pageSetup paperSize="9" scale="70" firstPageNumber="6" orientation="landscape" useFirstPageNumber="1" r:id="rId1"/>
  <headerFooter>
    <oddHeader>&amp;F</oddHeader>
    <oddFooter>&amp;A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79998168889431442"/>
  </sheetPr>
  <dimension ref="A1:K30"/>
  <sheetViews>
    <sheetView zoomScale="60" zoomScaleNormal="60" zoomScalePageLayoutView="70" workbookViewId="0">
      <pane ySplit="6" topLeftCell="A7" activePane="bottomLeft" state="frozen"/>
      <selection pane="bottomLeft" activeCell="R11" sqref="R11"/>
    </sheetView>
  </sheetViews>
  <sheetFormatPr defaultColWidth="8.90625" defaultRowHeight="13" x14ac:dyDescent="0.3"/>
  <cols>
    <col min="1" max="1" width="43.08984375" style="203" customWidth="1"/>
    <col min="2" max="2" width="7.453125" style="30" customWidth="1"/>
    <col min="3" max="3" width="7.36328125" style="30" customWidth="1"/>
    <col min="4" max="4" width="10.6328125" style="203" customWidth="1"/>
    <col min="5" max="5" width="7.36328125" style="30" customWidth="1"/>
    <col min="6" max="6" width="14.08984375" style="30" customWidth="1"/>
    <col min="7" max="7" width="13.90625" style="30" customWidth="1"/>
    <col min="8" max="8" width="107.08984375" style="30" customWidth="1"/>
    <col min="9" max="16384" width="8.90625" style="30"/>
  </cols>
  <sheetData>
    <row r="1" spans="1:8" ht="15" x14ac:dyDescent="0.3">
      <c r="H1" s="111" t="s">
        <v>229</v>
      </c>
    </row>
    <row r="2" spans="1:8" ht="71.400000000000006" customHeight="1" x14ac:dyDescent="0.3">
      <c r="A2" s="452" t="str">
        <f>'1.1.1.cietušie_pak_KC'!A2</f>
        <v>Ministru kabineta noteikumu projekta „Grozījumi Ministru kabineta 2014.gada 23.decembra noteikumos Nr.790 “Sociālas rehabilitācijas pakalpojumu sniegšanas kārtība no vardarbības cietušām un vardarbību veikušām pilngadīgām personām”” sākotnējās ietekmes novērtējuma ziņojumam (anotācijai)</v>
      </c>
      <c r="B2" s="452"/>
      <c r="C2" s="452"/>
      <c r="D2" s="452"/>
      <c r="E2" s="452"/>
      <c r="F2" s="452"/>
      <c r="G2" s="452"/>
      <c r="H2" s="452"/>
    </row>
    <row r="3" spans="1:8" s="1" customFormat="1" ht="29.25" customHeight="1" thickBot="1" x14ac:dyDescent="0.45">
      <c r="A3" s="472" t="s">
        <v>80</v>
      </c>
      <c r="B3" s="472"/>
      <c r="C3" s="472"/>
      <c r="D3" s="472"/>
      <c r="E3" s="472"/>
      <c r="F3" s="472"/>
      <c r="G3" s="472"/>
      <c r="H3" s="472"/>
    </row>
    <row r="4" spans="1:8" s="180" customFormat="1" ht="14.25" customHeight="1" x14ac:dyDescent="0.3">
      <c r="A4" s="461" t="s">
        <v>35</v>
      </c>
      <c r="B4" s="456" t="s">
        <v>31</v>
      </c>
      <c r="C4" s="457"/>
      <c r="D4" s="457"/>
      <c r="E4" s="457"/>
      <c r="F4" s="457"/>
      <c r="G4" s="458"/>
      <c r="H4" s="453" t="s">
        <v>18</v>
      </c>
    </row>
    <row r="5" spans="1:8" s="180" customFormat="1" ht="19.5" customHeight="1" x14ac:dyDescent="0.3">
      <c r="A5" s="462"/>
      <c r="B5" s="459" t="s">
        <v>11</v>
      </c>
      <c r="C5" s="459" t="s">
        <v>20</v>
      </c>
      <c r="D5" s="464" t="s">
        <v>9</v>
      </c>
      <c r="E5" s="465"/>
      <c r="F5" s="459" t="s">
        <v>13</v>
      </c>
      <c r="G5" s="459" t="s">
        <v>69</v>
      </c>
      <c r="H5" s="454"/>
    </row>
    <row r="6" spans="1:8" s="180" customFormat="1" ht="60.65" customHeight="1" thickBot="1" x14ac:dyDescent="0.35">
      <c r="A6" s="463"/>
      <c r="B6" s="460"/>
      <c r="C6" s="460"/>
      <c r="D6" s="8" t="s">
        <v>14</v>
      </c>
      <c r="E6" s="8" t="s">
        <v>15</v>
      </c>
      <c r="F6" s="460"/>
      <c r="G6" s="460"/>
      <c r="H6" s="455"/>
    </row>
    <row r="7" spans="1:8" s="14" customFormat="1" ht="23.25" customHeight="1" x14ac:dyDescent="0.25">
      <c r="A7" s="476" t="s">
        <v>43</v>
      </c>
      <c r="B7" s="477"/>
      <c r="C7" s="477"/>
      <c r="D7" s="477"/>
      <c r="E7" s="477"/>
      <c r="F7" s="477"/>
      <c r="G7" s="477"/>
      <c r="H7" s="478"/>
    </row>
    <row r="8" spans="1:8" s="14" customFormat="1" ht="39.65" customHeight="1" thickBot="1" x14ac:dyDescent="0.3">
      <c r="A8" s="466" t="s">
        <v>32</v>
      </c>
      <c r="B8" s="467"/>
      <c r="C8" s="467"/>
      <c r="D8" s="468"/>
      <c r="E8" s="9">
        <f>E9+E13</f>
        <v>600</v>
      </c>
      <c r="F8" s="10">
        <f>F9+F13</f>
        <v>398432.96</v>
      </c>
      <c r="G8" s="10">
        <f>G9+G13</f>
        <v>5851.62</v>
      </c>
      <c r="H8" s="11"/>
    </row>
    <row r="9" spans="1:8" s="14" customFormat="1" ht="23.25" customHeight="1" x14ac:dyDescent="0.25">
      <c r="A9" s="469" t="s">
        <v>19</v>
      </c>
      <c r="B9" s="470"/>
      <c r="C9" s="470"/>
      <c r="D9" s="471"/>
      <c r="E9" s="5">
        <f>E10</f>
        <v>120</v>
      </c>
      <c r="F9" s="6">
        <f>F10+F11+F12</f>
        <v>230680.32000000001</v>
      </c>
      <c r="G9" s="6">
        <f>G11+G12</f>
        <v>5054.3999999999996</v>
      </c>
      <c r="H9" s="7"/>
    </row>
    <row r="10" spans="1:8" s="14" customFormat="1" ht="64.25" customHeight="1" x14ac:dyDescent="0.25">
      <c r="A10" s="52" t="s">
        <v>23</v>
      </c>
      <c r="B10" s="53">
        <f>'1.1.1.cietušie_pak_KC'!G14</f>
        <v>52</v>
      </c>
      <c r="C10" s="56">
        <v>30</v>
      </c>
      <c r="D10" s="473" t="s">
        <v>61</v>
      </c>
      <c r="E10" s="58">
        <v>120</v>
      </c>
      <c r="F10" s="59">
        <f>E10*C10*B10</f>
        <v>187200</v>
      </c>
      <c r="G10" s="59">
        <f>B10*30</f>
        <v>1560</v>
      </c>
      <c r="H10" s="60" t="s">
        <v>230</v>
      </c>
    </row>
    <row r="11" spans="1:8" s="14" customFormat="1" ht="81.75" customHeight="1" x14ac:dyDescent="0.25">
      <c r="A11" s="52" t="s">
        <v>34</v>
      </c>
      <c r="B11" s="53">
        <f>'1.1.1.cietušie_pak_KC'!G14</f>
        <v>52</v>
      </c>
      <c r="C11" s="56">
        <v>30</v>
      </c>
      <c r="D11" s="474"/>
      <c r="E11" s="58">
        <v>12</v>
      </c>
      <c r="F11" s="59">
        <f>E11*C11*B11</f>
        <v>18720</v>
      </c>
      <c r="G11" s="59">
        <f>B11*60</f>
        <v>3120</v>
      </c>
      <c r="H11" s="60" t="s">
        <v>231</v>
      </c>
    </row>
    <row r="12" spans="1:8" s="14" customFormat="1" ht="73.25" customHeight="1" thickBot="1" x14ac:dyDescent="0.3">
      <c r="A12" s="54" t="s">
        <v>60</v>
      </c>
      <c r="B12" s="55">
        <f>'1.1.1.cietušie_pak_KC'!G11</f>
        <v>32.24</v>
      </c>
      <c r="C12" s="57">
        <v>32</v>
      </c>
      <c r="D12" s="475"/>
      <c r="E12" s="61">
        <v>24</v>
      </c>
      <c r="F12" s="62">
        <f>E12*C12*B12</f>
        <v>24760.32</v>
      </c>
      <c r="G12" s="62">
        <f>B12*60</f>
        <v>1934.4</v>
      </c>
      <c r="H12" s="63" t="s">
        <v>232</v>
      </c>
    </row>
    <row r="13" spans="1:8" s="14" customFormat="1" ht="39.75" customHeight="1" x14ac:dyDescent="0.25">
      <c r="A13" s="469" t="s">
        <v>33</v>
      </c>
      <c r="B13" s="470"/>
      <c r="C13" s="470"/>
      <c r="D13" s="471"/>
      <c r="E13" s="5">
        <f>E14</f>
        <v>480</v>
      </c>
      <c r="F13" s="64">
        <f>F14+F18</f>
        <v>167752.64000000001</v>
      </c>
      <c r="G13" s="64">
        <f>G14+G18</f>
        <v>797.22</v>
      </c>
      <c r="H13" s="7"/>
    </row>
    <row r="14" spans="1:8" s="14" customFormat="1" ht="17.5" x14ac:dyDescent="0.25">
      <c r="A14" s="65" t="s">
        <v>41</v>
      </c>
      <c r="B14" s="66"/>
      <c r="C14" s="67"/>
      <c r="D14" s="68"/>
      <c r="E14" s="67">
        <f>E15</f>
        <v>480</v>
      </c>
      <c r="F14" s="69">
        <f>F15+F17+F16</f>
        <v>145881.60000000001</v>
      </c>
      <c r="G14" s="69">
        <f>G15+G17+G16</f>
        <v>442.9</v>
      </c>
      <c r="H14" s="70"/>
    </row>
    <row r="15" spans="1:8" s="14" customFormat="1" ht="66" customHeight="1" x14ac:dyDescent="0.25">
      <c r="A15" s="52" t="s">
        <v>63</v>
      </c>
      <c r="B15" s="53">
        <v>35</v>
      </c>
      <c r="C15" s="56">
        <v>8</v>
      </c>
      <c r="D15" s="492" t="s">
        <v>66</v>
      </c>
      <c r="E15" s="56">
        <v>480</v>
      </c>
      <c r="F15" s="85">
        <f>E15*C15*B15</f>
        <v>134400</v>
      </c>
      <c r="G15" s="85">
        <f>B15*10</f>
        <v>350</v>
      </c>
      <c r="H15" s="86" t="s">
        <v>76</v>
      </c>
    </row>
    <row r="16" spans="1:8" s="14" customFormat="1" ht="90.75" customHeight="1" x14ac:dyDescent="0.25">
      <c r="A16" s="52" t="s">
        <v>67</v>
      </c>
      <c r="B16" s="53">
        <v>2.29</v>
      </c>
      <c r="C16" s="56">
        <f>C15</f>
        <v>8</v>
      </c>
      <c r="D16" s="493"/>
      <c r="E16" s="56">
        <f>E15</f>
        <v>480</v>
      </c>
      <c r="F16" s="85">
        <f>E16*C16*B16</f>
        <v>8793.6</v>
      </c>
      <c r="G16" s="85">
        <f>B16*10</f>
        <v>22.9</v>
      </c>
      <c r="H16" s="86" t="s">
        <v>77</v>
      </c>
    </row>
    <row r="17" spans="1:11" s="14" customFormat="1" ht="51" customHeight="1" x14ac:dyDescent="0.25">
      <c r="A17" s="52" t="s">
        <v>22</v>
      </c>
      <c r="B17" s="53">
        <v>7</v>
      </c>
      <c r="C17" s="56">
        <f>C16</f>
        <v>8</v>
      </c>
      <c r="D17" s="495"/>
      <c r="E17" s="56">
        <f>ROUND(E15*0.1,0)</f>
        <v>48</v>
      </c>
      <c r="F17" s="85">
        <f>E17*C17*B17</f>
        <v>2688</v>
      </c>
      <c r="G17" s="85">
        <f>B17*10</f>
        <v>70</v>
      </c>
      <c r="H17" s="100" t="s">
        <v>149</v>
      </c>
    </row>
    <row r="18" spans="1:11" s="14" customFormat="1" ht="30.65" customHeight="1" x14ac:dyDescent="0.25">
      <c r="A18" s="65" t="s">
        <v>36</v>
      </c>
      <c r="B18" s="66"/>
      <c r="C18" s="67"/>
      <c r="D18" s="68"/>
      <c r="E18" s="67">
        <f>E19</f>
        <v>72</v>
      </c>
      <c r="F18" s="69">
        <f>F19+F21+F20</f>
        <v>21871.040000000001</v>
      </c>
      <c r="G18" s="69">
        <f>G19+G21+G20</f>
        <v>354.32</v>
      </c>
      <c r="H18" s="94" t="s">
        <v>78</v>
      </c>
    </row>
    <row r="19" spans="1:11" s="31" customFormat="1" ht="87.75" customHeight="1" x14ac:dyDescent="0.25">
      <c r="A19" s="52" t="s">
        <v>70</v>
      </c>
      <c r="B19" s="53">
        <v>35</v>
      </c>
      <c r="C19" s="56">
        <v>8</v>
      </c>
      <c r="D19" s="492" t="s">
        <v>71</v>
      </c>
      <c r="E19" s="56">
        <f>E14*0.15</f>
        <v>72</v>
      </c>
      <c r="F19" s="85">
        <f>E19*C19*B19</f>
        <v>20160</v>
      </c>
      <c r="G19" s="85">
        <f>B19*C19</f>
        <v>280</v>
      </c>
      <c r="H19" s="86" t="str">
        <f>H15</f>
        <v>Vienas stundas izmaksā 35.00 euro ir iekļauti visi nodokļi, kas saistīti ar attiecīgā pakalpojuma sniegšanu, gan darba ņēmēja, gan darba devēja valsts sociālās apdrošināšanas obligātās iemaksas, kā arī iedzīvotāju ienākuma nodoklis.    Aprēķinos par gadā plānoto finansējuma apjoma nepieciešamību, pieņemts (balstoties uz statistikas datiem 2019. gadā), ka viena persona vidēji faktiski saņem 8 konsultācijas.</v>
      </c>
    </row>
    <row r="20" spans="1:11" s="31" customFormat="1" ht="85.25" customHeight="1" x14ac:dyDescent="0.25">
      <c r="A20" s="52" t="s">
        <v>67</v>
      </c>
      <c r="B20" s="53">
        <f>B16</f>
        <v>2.29</v>
      </c>
      <c r="C20" s="56">
        <v>8</v>
      </c>
      <c r="D20" s="493"/>
      <c r="E20" s="56">
        <f>E19</f>
        <v>72</v>
      </c>
      <c r="F20" s="85">
        <f>E20*C20*B20</f>
        <v>1319.04</v>
      </c>
      <c r="G20" s="85">
        <f>B20*C20</f>
        <v>18.32</v>
      </c>
      <c r="H20" s="86" t="str">
        <f>H16</f>
        <v>Pakalpojumu grozā ar izmitināšanu šīs izmaksas 1 klientam dienā vidēji ir 26.16 euro, tiek pieņemts, ka pakalpojumam bez izmitināšanas, kas tiek sniegts klientam tikai darba dienās darba laikā, t.i., 8 stundas dienā, šīs izmaksas sastāda 70% no 26.16 euro = 18.31 euro dienā/ 2.29 euro stundā. Aprēķinos par gadā plānoto finansējuma apjoma nepieciešamību, pieņemts (balstoties uz statistikas datiem 2019. gadā), ka viena persona vidēji faktiski saņem 8 konsultācijas.</v>
      </c>
    </row>
    <row r="21" spans="1:11" s="31" customFormat="1" ht="48.75" customHeight="1" thickBot="1" x14ac:dyDescent="0.3">
      <c r="A21" s="54" t="s">
        <v>22</v>
      </c>
      <c r="B21" s="55">
        <v>7</v>
      </c>
      <c r="C21" s="57">
        <v>8</v>
      </c>
      <c r="D21" s="494"/>
      <c r="E21" s="57">
        <f>ROUND(E19*0.1,0)</f>
        <v>7</v>
      </c>
      <c r="F21" s="87">
        <f>E21*C21*B21</f>
        <v>392</v>
      </c>
      <c r="G21" s="87">
        <f>B21*C21</f>
        <v>56</v>
      </c>
      <c r="H21" s="88" t="str">
        <f>H17</f>
        <v xml:space="preserve"> Aprēķinos pieņemts, ka 10% no pakalpojuma saņēmējiem tiks segti transporta izdevumi.</v>
      </c>
    </row>
    <row r="22" spans="1:11" s="14" customFormat="1" ht="20.25" customHeight="1" x14ac:dyDescent="0.25">
      <c r="A22" s="479" t="s">
        <v>24</v>
      </c>
      <c r="B22" s="480"/>
      <c r="C22" s="480"/>
      <c r="D22" s="480"/>
      <c r="E22" s="480"/>
      <c r="F22" s="480"/>
      <c r="G22" s="480"/>
      <c r="H22" s="481"/>
    </row>
    <row r="23" spans="1:11" s="14" customFormat="1" ht="40.25" customHeight="1" x14ac:dyDescent="0.25">
      <c r="A23" s="482" t="s">
        <v>42</v>
      </c>
      <c r="B23" s="483"/>
      <c r="C23" s="483"/>
      <c r="D23" s="484"/>
      <c r="E23" s="71">
        <f>ROUND(E8*0.1,0)</f>
        <v>60</v>
      </c>
      <c r="F23" s="72">
        <f>F24+F26+F25</f>
        <v>6838.2</v>
      </c>
      <c r="G23" s="72">
        <f>G24+G26+G25</f>
        <v>132.87</v>
      </c>
      <c r="H23" s="73" t="s">
        <v>72</v>
      </c>
    </row>
    <row r="24" spans="1:11" s="31" customFormat="1" ht="51.65" customHeight="1" x14ac:dyDescent="0.25">
      <c r="A24" s="89" t="s">
        <v>63</v>
      </c>
      <c r="B24" s="90">
        <v>35</v>
      </c>
      <c r="C24" s="91">
        <v>3</v>
      </c>
      <c r="D24" s="153" t="s">
        <v>37</v>
      </c>
      <c r="E24" s="91">
        <f>E23</f>
        <v>60</v>
      </c>
      <c r="F24" s="95">
        <f>B24*C24*E24</f>
        <v>6300</v>
      </c>
      <c r="G24" s="95">
        <f>B24*C24</f>
        <v>105</v>
      </c>
      <c r="H24" s="96" t="s">
        <v>73</v>
      </c>
    </row>
    <row r="25" spans="1:11" s="31" customFormat="1" ht="62.4" customHeight="1" x14ac:dyDescent="0.25">
      <c r="A25" s="52" t="s">
        <v>67</v>
      </c>
      <c r="B25" s="53">
        <f>B20</f>
        <v>2.29</v>
      </c>
      <c r="C25" s="56">
        <v>3</v>
      </c>
      <c r="D25" s="92" t="s">
        <v>37</v>
      </c>
      <c r="E25" s="56">
        <f>E24</f>
        <v>60</v>
      </c>
      <c r="F25" s="85">
        <f>E25*C25*B25</f>
        <v>412.2</v>
      </c>
      <c r="G25" s="85">
        <f>B25*C25</f>
        <v>6.87</v>
      </c>
      <c r="H25" s="86" t="s">
        <v>68</v>
      </c>
    </row>
    <row r="26" spans="1:11" s="31" customFormat="1" ht="26.4" customHeight="1" thickBot="1" x14ac:dyDescent="0.3">
      <c r="A26" s="54" t="s">
        <v>22</v>
      </c>
      <c r="B26" s="55">
        <v>7</v>
      </c>
      <c r="C26" s="57">
        <v>3</v>
      </c>
      <c r="D26" s="93" t="s">
        <v>37</v>
      </c>
      <c r="E26" s="57">
        <f>ROUND(E24*0.1,0)</f>
        <v>6</v>
      </c>
      <c r="F26" s="87">
        <f>B26*C26*E26</f>
        <v>126</v>
      </c>
      <c r="G26" s="87">
        <f>B26*C26</f>
        <v>21</v>
      </c>
      <c r="H26" s="63" t="s">
        <v>149</v>
      </c>
      <c r="K26" s="204"/>
    </row>
    <row r="27" spans="1:11" s="14" customFormat="1" ht="54" customHeight="1" thickBot="1" x14ac:dyDescent="0.3">
      <c r="A27" s="485" t="s">
        <v>45</v>
      </c>
      <c r="B27" s="486"/>
      <c r="C27" s="486"/>
      <c r="D27" s="486"/>
      <c r="E27" s="74"/>
      <c r="F27" s="75">
        <f>10*40*2</f>
        <v>800</v>
      </c>
      <c r="G27" s="97" t="s">
        <v>16</v>
      </c>
      <c r="H27" s="76" t="s">
        <v>74</v>
      </c>
    </row>
    <row r="28" spans="1:11" s="14" customFormat="1" ht="38.4" customHeight="1" thickBot="1" x14ac:dyDescent="0.3">
      <c r="A28" s="490" t="s">
        <v>21</v>
      </c>
      <c r="B28" s="491"/>
      <c r="C28" s="491"/>
      <c r="D28" s="491"/>
      <c r="E28" s="77"/>
      <c r="F28" s="78">
        <f>F23+F8+F27</f>
        <v>406071.16000000003</v>
      </c>
      <c r="G28" s="98" t="s">
        <v>16</v>
      </c>
      <c r="H28" s="79"/>
    </row>
    <row r="29" spans="1:11" s="14" customFormat="1" ht="38.4" customHeight="1" thickBot="1" x14ac:dyDescent="0.3">
      <c r="A29" s="485" t="s">
        <v>75</v>
      </c>
      <c r="B29" s="486"/>
      <c r="C29" s="486"/>
      <c r="D29" s="486"/>
      <c r="E29" s="74"/>
      <c r="F29" s="75">
        <f>F28*20%</f>
        <v>81214.232000000018</v>
      </c>
      <c r="G29" s="97" t="s">
        <v>16</v>
      </c>
      <c r="H29" s="76"/>
    </row>
    <row r="30" spans="1:11" s="14" customFormat="1" ht="18" thickBot="1" x14ac:dyDescent="0.3">
      <c r="A30" s="487" t="s">
        <v>10</v>
      </c>
      <c r="B30" s="488"/>
      <c r="C30" s="488"/>
      <c r="D30" s="488"/>
      <c r="E30" s="489"/>
      <c r="F30" s="80">
        <f>F28+F29</f>
        <v>487285.39200000005</v>
      </c>
      <c r="G30" s="99" t="s">
        <v>16</v>
      </c>
      <c r="H30" s="81"/>
    </row>
  </sheetData>
  <mergeCells count="23">
    <mergeCell ref="A22:H22"/>
    <mergeCell ref="A9:D9"/>
    <mergeCell ref="A23:D23"/>
    <mergeCell ref="A27:D27"/>
    <mergeCell ref="A30:E30"/>
    <mergeCell ref="A28:D28"/>
    <mergeCell ref="A29:D29"/>
    <mergeCell ref="D19:D21"/>
    <mergeCell ref="D15:D17"/>
    <mergeCell ref="A8:D8"/>
    <mergeCell ref="A13:D13"/>
    <mergeCell ref="A3:H3"/>
    <mergeCell ref="D10:D12"/>
    <mergeCell ref="F5:F6"/>
    <mergeCell ref="A7:H7"/>
    <mergeCell ref="A2:H2"/>
    <mergeCell ref="H4:H6"/>
    <mergeCell ref="B4:G4"/>
    <mergeCell ref="G5:G6"/>
    <mergeCell ref="A4:A6"/>
    <mergeCell ref="C5:C6"/>
    <mergeCell ref="B5:B6"/>
    <mergeCell ref="D5:E5"/>
  </mergeCells>
  <pageMargins left="0.43307086614173229" right="0.43307086614173229" top="0.55118110236220474" bottom="0.51181102362204722" header="0.31496062992125984" footer="0.31496062992125984"/>
  <pageSetup paperSize="9" scale="65" orientation="landscape" r:id="rId1"/>
  <headerFooter>
    <oddHeader>&amp;F</oddHeader>
    <oddFooter>&amp;A&amp;RPage &amp;P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79998168889431442"/>
    <pageSetUpPr fitToPage="1"/>
  </sheetPr>
  <dimension ref="A1:T23"/>
  <sheetViews>
    <sheetView tabSelected="1" zoomScale="60" zoomScaleNormal="60" workbookViewId="0">
      <selection activeCell="X4" sqref="X4"/>
    </sheetView>
  </sheetViews>
  <sheetFormatPr defaultColWidth="9.08984375" defaultRowHeight="13" x14ac:dyDescent="0.3"/>
  <cols>
    <col min="1" max="1" width="47.453125" style="30" customWidth="1"/>
    <col min="2" max="2" width="18.36328125" style="30" customWidth="1"/>
    <col min="3" max="3" width="5.54296875" style="39" customWidth="1"/>
    <col min="4" max="4" width="7.90625" style="30" bestFit="1" customWidth="1"/>
    <col min="5" max="5" width="14.54296875" style="30" customWidth="1"/>
    <col min="6" max="6" width="9.6328125" style="40" customWidth="1"/>
    <col min="7" max="7" width="8.08984375" style="30" customWidth="1"/>
    <col min="8" max="8" width="13.54296875" style="30" hidden="1" customWidth="1"/>
    <col min="9" max="9" width="89" style="30" customWidth="1"/>
    <col min="10" max="16" width="0" style="30" hidden="1" customWidth="1"/>
    <col min="17" max="16384" width="9.08984375" style="30"/>
  </cols>
  <sheetData>
    <row r="1" spans="1:20" ht="15" x14ac:dyDescent="0.3">
      <c r="I1" s="111" t="s">
        <v>235</v>
      </c>
    </row>
    <row r="2" spans="1:20" ht="85.25" customHeight="1" x14ac:dyDescent="0.3">
      <c r="A2" s="452" t="str">
        <f>'1.2.varmākas'!A2</f>
        <v>Ministru kabineta noteikumu projekta „Grozījumi Ministru kabineta 2014.gada 23.decembra noteikumos Nr.790 “Sociālas rehabilitācijas pakalpojumu sniegšanas kārtība no vardarbības cietušām un vardarbību veikušām pilngadīgām personām”” sākotnējās ietekmes novērtējuma ziņojumam (anotācijai)</v>
      </c>
      <c r="B2" s="452"/>
      <c r="C2" s="452"/>
      <c r="D2" s="452"/>
      <c r="E2" s="452"/>
      <c r="F2" s="452"/>
      <c r="G2" s="452"/>
      <c r="H2" s="452"/>
      <c r="I2" s="452"/>
    </row>
    <row r="3" spans="1:20" s="4" customFormat="1" ht="30" customHeight="1" x14ac:dyDescent="0.3">
      <c r="A3" s="499" t="s">
        <v>81</v>
      </c>
      <c r="B3" s="499"/>
      <c r="C3" s="499"/>
      <c r="D3" s="499"/>
      <c r="E3" s="499"/>
      <c r="F3" s="499"/>
      <c r="G3" s="499"/>
      <c r="H3" s="499"/>
      <c r="I3" s="499"/>
    </row>
    <row r="4" spans="1:20" s="13" customFormat="1" ht="41" customHeight="1" x14ac:dyDescent="0.3">
      <c r="A4" s="506" t="s">
        <v>7</v>
      </c>
      <c r="B4" s="507" t="s">
        <v>27</v>
      </c>
      <c r="C4" s="507" t="s">
        <v>5</v>
      </c>
      <c r="D4" s="507" t="s">
        <v>2</v>
      </c>
      <c r="E4" s="507" t="s">
        <v>39</v>
      </c>
      <c r="F4" s="507"/>
      <c r="G4" s="507" t="s">
        <v>44</v>
      </c>
      <c r="H4" s="507"/>
      <c r="I4" s="498" t="s">
        <v>17</v>
      </c>
    </row>
    <row r="5" spans="1:20" s="13" customFormat="1" ht="20.25" customHeight="1" x14ac:dyDescent="0.3">
      <c r="A5" s="506"/>
      <c r="B5" s="507"/>
      <c r="C5" s="507"/>
      <c r="D5" s="507"/>
      <c r="E5" s="17" t="s">
        <v>8</v>
      </c>
      <c r="F5" s="18" t="s">
        <v>6</v>
      </c>
      <c r="G5" s="17" t="s">
        <v>8</v>
      </c>
      <c r="H5" s="17" t="s">
        <v>6</v>
      </c>
      <c r="I5" s="498"/>
    </row>
    <row r="6" spans="1:20" s="14" customFormat="1" ht="37.5" customHeight="1" x14ac:dyDescent="0.25">
      <c r="A6" s="500" t="s">
        <v>40</v>
      </c>
      <c r="B6" s="501"/>
      <c r="C6" s="501"/>
      <c r="D6" s="502"/>
      <c r="E6" s="25">
        <f>E7+E8+E9+E10</f>
        <v>592.72031137724548</v>
      </c>
      <c r="F6" s="26">
        <f>E6*100/E14</f>
        <v>37.995371291189947</v>
      </c>
      <c r="G6" s="27">
        <f>G7+G8+G9+G10</f>
        <v>19.757343712574851</v>
      </c>
      <c r="H6" s="26">
        <f>G6*100/G14</f>
        <v>37.994891754951638</v>
      </c>
      <c r="I6" s="28"/>
    </row>
    <row r="7" spans="1:20" s="14" customFormat="1" ht="22.25" customHeight="1" x14ac:dyDescent="0.25">
      <c r="A7" s="20" t="s">
        <v>0</v>
      </c>
      <c r="B7" s="20" t="s">
        <v>3</v>
      </c>
      <c r="C7" s="149">
        <v>6</v>
      </c>
      <c r="D7" s="150">
        <f>(1388*1.2359)/167</f>
        <v>10.272031137724552</v>
      </c>
      <c r="E7" s="150">
        <f>C7*D7</f>
        <v>61.632186826347308</v>
      </c>
      <c r="F7" s="151"/>
      <c r="G7" s="152">
        <f>E7/30</f>
        <v>2.0544062275449102</v>
      </c>
      <c r="H7" s="22"/>
      <c r="I7" s="496" t="s">
        <v>286</v>
      </c>
      <c r="T7" s="83"/>
    </row>
    <row r="8" spans="1:20" s="31" customFormat="1" ht="87.65" customHeight="1" x14ac:dyDescent="0.25">
      <c r="A8" s="20" t="s">
        <v>1</v>
      </c>
      <c r="B8" s="20" t="s">
        <v>4</v>
      </c>
      <c r="C8" s="149">
        <v>4</v>
      </c>
      <c r="D8" s="150">
        <f>D7</f>
        <v>10.272031137724552</v>
      </c>
      <c r="E8" s="150">
        <f>C8*D8</f>
        <v>41.088124550898208</v>
      </c>
      <c r="F8" s="151"/>
      <c r="G8" s="152">
        <f>E8/30</f>
        <v>1.3696041516966069</v>
      </c>
      <c r="H8" s="22"/>
      <c r="I8" s="497"/>
    </row>
    <row r="9" spans="1:20" s="31" customFormat="1" ht="56.4" customHeight="1" x14ac:dyDescent="0.25">
      <c r="A9" s="20" t="s">
        <v>25</v>
      </c>
      <c r="B9" s="20" t="s">
        <v>3</v>
      </c>
      <c r="C9" s="149">
        <v>10</v>
      </c>
      <c r="D9" s="150">
        <v>35</v>
      </c>
      <c r="E9" s="150">
        <f>C9*D9</f>
        <v>350</v>
      </c>
      <c r="F9" s="151"/>
      <c r="G9" s="152">
        <f>E9/30</f>
        <v>11.666666666666666</v>
      </c>
      <c r="H9" s="22"/>
      <c r="I9" s="496" t="s">
        <v>46</v>
      </c>
    </row>
    <row r="10" spans="1:20" s="31" customFormat="1" ht="71.25" customHeight="1" x14ac:dyDescent="0.25">
      <c r="A10" s="20" t="s">
        <v>26</v>
      </c>
      <c r="B10" s="20" t="s">
        <v>3</v>
      </c>
      <c r="C10" s="149">
        <v>4</v>
      </c>
      <c r="D10" s="150">
        <v>35</v>
      </c>
      <c r="E10" s="150">
        <f>C10*D10</f>
        <v>140</v>
      </c>
      <c r="F10" s="151"/>
      <c r="G10" s="152">
        <f>E10/30</f>
        <v>4.666666666666667</v>
      </c>
      <c r="H10" s="22"/>
      <c r="I10" s="497"/>
    </row>
    <row r="11" spans="1:20" s="14" customFormat="1" ht="37.5" customHeight="1" x14ac:dyDescent="0.25">
      <c r="A11" s="500" t="s">
        <v>62</v>
      </c>
      <c r="B11" s="501"/>
      <c r="C11" s="501"/>
      <c r="D11" s="502"/>
      <c r="E11" s="25">
        <f>E12+E13</f>
        <v>967.26</v>
      </c>
      <c r="F11" s="26">
        <f>E11*100/E14</f>
        <v>62.004628708810053</v>
      </c>
      <c r="G11" s="27">
        <f>ROUND(G12+G13,2)</f>
        <v>32.24</v>
      </c>
      <c r="H11" s="26">
        <f>G11*100/G14</f>
        <v>62</v>
      </c>
      <c r="I11" s="28"/>
    </row>
    <row r="12" spans="1:20" s="14" customFormat="1" ht="66" customHeight="1" x14ac:dyDescent="0.25">
      <c r="A12" s="20" t="s">
        <v>48</v>
      </c>
      <c r="B12" s="20" t="s">
        <v>49</v>
      </c>
      <c r="C12" s="149">
        <v>30</v>
      </c>
      <c r="D12" s="150">
        <v>0.85</v>
      </c>
      <c r="E12" s="150">
        <f>C12*D12</f>
        <v>25.5</v>
      </c>
      <c r="F12" s="151"/>
      <c r="G12" s="152">
        <f>E12/C12</f>
        <v>0.85</v>
      </c>
      <c r="H12" s="22"/>
      <c r="I12" s="47" t="s">
        <v>50</v>
      </c>
      <c r="L12" s="82">
        <v>80</v>
      </c>
      <c r="M12" s="83">
        <f>M14*L12/100</f>
        <v>41.6</v>
      </c>
      <c r="N12" s="14" t="s">
        <v>64</v>
      </c>
    </row>
    <row r="13" spans="1:20" s="31" customFormat="1" ht="106.25" customHeight="1" x14ac:dyDescent="0.25">
      <c r="A13" s="20" t="s">
        <v>51</v>
      </c>
      <c r="B13" s="20" t="s">
        <v>52</v>
      </c>
      <c r="C13" s="149">
        <v>30</v>
      </c>
      <c r="D13" s="150">
        <f>26.16*1.2</f>
        <v>31.391999999999999</v>
      </c>
      <c r="E13" s="150">
        <f>C13*D13</f>
        <v>941.76</v>
      </c>
      <c r="F13" s="151"/>
      <c r="G13" s="152">
        <f>E13/C13</f>
        <v>31.391999999999999</v>
      </c>
      <c r="H13" s="22"/>
      <c r="I13" s="47" t="s">
        <v>47</v>
      </c>
      <c r="L13" s="14">
        <v>20</v>
      </c>
      <c r="M13" s="83">
        <f>G14-M12</f>
        <v>10.399999999999999</v>
      </c>
      <c r="N13" s="14" t="s">
        <v>65</v>
      </c>
      <c r="O13" s="14"/>
      <c r="P13" s="84">
        <f>G13-M13</f>
        <v>20.992000000000001</v>
      </c>
    </row>
    <row r="14" spans="1:20" s="14" customFormat="1" ht="39" customHeight="1" x14ac:dyDescent="0.25">
      <c r="A14" s="503" t="s">
        <v>12</v>
      </c>
      <c r="B14" s="504"/>
      <c r="C14" s="504"/>
      <c r="D14" s="505"/>
      <c r="E14" s="24">
        <f>E6+E11</f>
        <v>1559.9803113772455</v>
      </c>
      <c r="F14" s="24">
        <f>F6+F11</f>
        <v>100</v>
      </c>
      <c r="G14" s="24">
        <f>ROUND(G6+G11,2)</f>
        <v>52</v>
      </c>
      <c r="H14" s="24">
        <f>H6+H11</f>
        <v>99.994891754951638</v>
      </c>
      <c r="I14" s="29" t="s">
        <v>47</v>
      </c>
      <c r="L14" s="14">
        <v>100</v>
      </c>
      <c r="M14" s="83">
        <f>G14</f>
        <v>52</v>
      </c>
    </row>
    <row r="15" spans="1:20" s="4" customFormat="1" x14ac:dyDescent="0.3">
      <c r="C15" s="41"/>
      <c r="F15" s="42"/>
      <c r="M15" s="42">
        <f>M14-M13-M12</f>
        <v>0</v>
      </c>
    </row>
    <row r="16" spans="1:20" s="48" customFormat="1" x14ac:dyDescent="0.3">
      <c r="C16" s="49"/>
      <c r="F16" s="50" t="s">
        <v>53</v>
      </c>
      <c r="G16" s="51">
        <f>G14</f>
        <v>52</v>
      </c>
    </row>
    <row r="17" spans="3:7" s="48" customFormat="1" x14ac:dyDescent="0.3">
      <c r="C17" s="49"/>
      <c r="F17" s="50" t="s">
        <v>54</v>
      </c>
      <c r="G17" s="51">
        <f>$G$14+$G$11*1</f>
        <v>84.240000000000009</v>
      </c>
    </row>
    <row r="18" spans="3:7" s="48" customFormat="1" x14ac:dyDescent="0.3">
      <c r="C18" s="49"/>
      <c r="F18" s="50" t="s">
        <v>55</v>
      </c>
      <c r="G18" s="51">
        <f>$G$14+$G$11*2</f>
        <v>116.48</v>
      </c>
    </row>
    <row r="19" spans="3:7" s="48" customFormat="1" x14ac:dyDescent="0.3">
      <c r="C19" s="49"/>
      <c r="F19" s="50" t="s">
        <v>56</v>
      </c>
      <c r="G19" s="51">
        <f>$G$14+$G$11*3</f>
        <v>148.72</v>
      </c>
    </row>
    <row r="20" spans="3:7" s="48" customFormat="1" x14ac:dyDescent="0.3">
      <c r="C20" s="49"/>
      <c r="F20" s="50" t="s">
        <v>57</v>
      </c>
      <c r="G20" s="51">
        <f>$G$14+$G$11*4</f>
        <v>180.96</v>
      </c>
    </row>
    <row r="21" spans="3:7" s="48" customFormat="1" x14ac:dyDescent="0.3">
      <c r="C21" s="49"/>
      <c r="F21" s="50" t="s">
        <v>58</v>
      </c>
      <c r="G21" s="51">
        <f>$G$14+$G$11*5</f>
        <v>213.20000000000002</v>
      </c>
    </row>
    <row r="22" spans="3:7" s="48" customFormat="1" x14ac:dyDescent="0.3">
      <c r="C22" s="49"/>
      <c r="F22" s="50" t="s">
        <v>59</v>
      </c>
      <c r="G22" s="51"/>
    </row>
    <row r="23" spans="3:7" s="33" customFormat="1" x14ac:dyDescent="0.3">
      <c r="C23" s="34"/>
      <c r="F23" s="35"/>
    </row>
  </sheetData>
  <mergeCells count="14">
    <mergeCell ref="A2:I2"/>
    <mergeCell ref="C4:C5"/>
    <mergeCell ref="D4:D5"/>
    <mergeCell ref="E4:F4"/>
    <mergeCell ref="G4:H4"/>
    <mergeCell ref="I7:I8"/>
    <mergeCell ref="I4:I5"/>
    <mergeCell ref="A3:I3"/>
    <mergeCell ref="A6:D6"/>
    <mergeCell ref="A14:D14"/>
    <mergeCell ref="A4:A5"/>
    <mergeCell ref="B4:B5"/>
    <mergeCell ref="I9:I10"/>
    <mergeCell ref="A11:D11"/>
  </mergeCells>
  <phoneticPr fontId="0" type="noConversion"/>
  <pageMargins left="0.55118110236220474" right="0.55118110236220474" top="0.59055118110236227" bottom="0.59055118110236227" header="0.51181102362204722" footer="0.51181102362204722"/>
  <pageSetup paperSize="9" scale="52" firstPageNumber="2" orientation="landscape" useFirstPageNumber="1" r:id="rId1"/>
  <headerFooter alignWithMargins="0">
    <oddHeader>&amp;F</oddHeader>
    <oddFooter>&amp;A</oddFooter>
  </headerFooter>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F9B1F-F92A-43C5-ACAC-8AC08D0768CA}">
  <sheetPr>
    <tabColor theme="9" tint="0.79998168889431442"/>
  </sheetPr>
  <dimension ref="A1:F13"/>
  <sheetViews>
    <sheetView topLeftCell="B1" zoomScale="70" zoomScaleNormal="70" workbookViewId="0">
      <selection activeCell="O27" sqref="O27"/>
    </sheetView>
  </sheetViews>
  <sheetFormatPr defaultColWidth="9.08984375" defaultRowHeight="13" x14ac:dyDescent="0.3"/>
  <cols>
    <col min="1" max="1" width="13.6328125" style="30" hidden="1" customWidth="1"/>
    <col min="2" max="2" width="40.90625" style="30" customWidth="1"/>
    <col min="3" max="6" width="19.36328125" style="30" customWidth="1"/>
    <col min="7" max="16384" width="9.08984375" style="30"/>
  </cols>
  <sheetData>
    <row r="1" spans="1:6" ht="15" x14ac:dyDescent="0.3">
      <c r="D1" s="124"/>
      <c r="F1" s="111" t="s">
        <v>250</v>
      </c>
    </row>
    <row r="2" spans="1:6" ht="57" customHeight="1" x14ac:dyDescent="0.3">
      <c r="B2" s="511" t="str">
        <f>'1.tab_spēkā_esošie_MKnot'!A2</f>
        <v>Ministru kabineta noteikumu projekta „Grozījumi Ministru kabineta 2014.gada 23.decembra noteikumos Nr.790 “Sociālas rehabilitācijas pakalpojumu sniegšanas kārtība no vardarbības cietušām un vardarbību veikušām pilngadīgām personām”” sākotnējās ietekmes novērtējuma ziņojumam (anotācijai)</v>
      </c>
      <c r="C2" s="511"/>
      <c r="D2" s="511"/>
      <c r="E2" s="511"/>
      <c r="F2" s="511"/>
    </row>
    <row r="3" spans="1:6" s="317" customFormat="1" ht="15.5" x14ac:dyDescent="0.35">
      <c r="A3" s="508" t="s">
        <v>239</v>
      </c>
      <c r="B3" s="508"/>
      <c r="C3" s="508"/>
      <c r="D3" s="508"/>
      <c r="E3" s="508"/>
      <c r="F3" s="508"/>
    </row>
    <row r="4" spans="1:6" s="317" customFormat="1" ht="46.5" x14ac:dyDescent="0.35">
      <c r="A4" s="318"/>
      <c r="B4" s="209" t="s">
        <v>240</v>
      </c>
      <c r="C4" s="209" t="s">
        <v>241</v>
      </c>
      <c r="D4" s="209" t="s">
        <v>242</v>
      </c>
      <c r="E4" s="209" t="s">
        <v>243</v>
      </c>
      <c r="F4" s="209" t="s">
        <v>244</v>
      </c>
    </row>
    <row r="5" spans="1:6" s="317" customFormat="1" ht="15.5" x14ac:dyDescent="0.35">
      <c r="A5" s="318"/>
      <c r="B5" s="185" t="s">
        <v>16</v>
      </c>
      <c r="C5" s="185">
        <v>1</v>
      </c>
      <c r="D5" s="185">
        <v>2</v>
      </c>
      <c r="E5" s="185">
        <v>3</v>
      </c>
      <c r="F5" s="185" t="s">
        <v>245</v>
      </c>
    </row>
    <row r="6" spans="1:6" s="317" customFormat="1" ht="18.649999999999999" customHeight="1" x14ac:dyDescent="0.35">
      <c r="A6" s="318"/>
      <c r="B6" s="319" t="s">
        <v>246</v>
      </c>
      <c r="C6" s="320">
        <v>1</v>
      </c>
      <c r="D6" s="321">
        <f>D7/2</f>
        <v>110</v>
      </c>
      <c r="E6" s="322">
        <v>53.147999999999996</v>
      </c>
      <c r="F6" s="323">
        <f>C6*D6*E6</f>
        <v>5846.28</v>
      </c>
    </row>
    <row r="7" spans="1:6" s="317" customFormat="1" ht="18.649999999999999" customHeight="1" x14ac:dyDescent="0.35">
      <c r="A7" s="318"/>
      <c r="B7" s="324" t="s">
        <v>247</v>
      </c>
      <c r="C7" s="320">
        <v>1</v>
      </c>
      <c r="D7" s="321">
        <f>100+120</f>
        <v>220</v>
      </c>
      <c r="E7" s="322">
        <v>53.147999999999996</v>
      </c>
      <c r="F7" s="323">
        <f>ROUNDUP(C7*D7*E7,0)</f>
        <v>11693</v>
      </c>
    </row>
    <row r="8" spans="1:6" s="317" customFormat="1" ht="15.5" x14ac:dyDescent="0.35">
      <c r="A8" s="318"/>
      <c r="B8" s="509" t="s">
        <v>248</v>
      </c>
      <c r="C8" s="509"/>
      <c r="D8" s="509"/>
      <c r="E8" s="509"/>
      <c r="F8" s="509"/>
    </row>
    <row r="9" spans="1:6" s="317" customFormat="1" ht="51" customHeight="1" x14ac:dyDescent="0.35">
      <c r="A9" s="510" t="s">
        <v>249</v>
      </c>
      <c r="B9" s="510"/>
      <c r="C9" s="510"/>
      <c r="D9" s="510"/>
      <c r="E9" s="510"/>
      <c r="F9" s="510"/>
    </row>
    <row r="10" spans="1:6" s="317" customFormat="1" ht="15.5" x14ac:dyDescent="0.35">
      <c r="A10" s="325"/>
      <c r="B10" s="325"/>
      <c r="C10" s="325"/>
      <c r="D10" s="325"/>
    </row>
    <row r="11" spans="1:6" s="317" customFormat="1" ht="15.5" x14ac:dyDescent="0.35">
      <c r="A11" s="325"/>
      <c r="B11" s="325"/>
      <c r="C11" s="325"/>
      <c r="D11" s="325"/>
    </row>
    <row r="12" spans="1:6" s="317" customFormat="1" ht="15.5" x14ac:dyDescent="0.35">
      <c r="A12" s="325"/>
      <c r="B12" s="325"/>
      <c r="C12" s="325"/>
      <c r="D12" s="325"/>
    </row>
    <row r="13" spans="1:6" x14ac:dyDescent="0.3">
      <c r="A13" s="31"/>
      <c r="B13" s="31"/>
      <c r="C13" s="31"/>
      <c r="D13" s="31"/>
    </row>
  </sheetData>
  <mergeCells count="4">
    <mergeCell ref="A3:F3"/>
    <mergeCell ref="B8:F8"/>
    <mergeCell ref="A9:F9"/>
    <mergeCell ref="B2:F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B08F5-B7F3-40E6-A651-7E5A7BE3B59E}">
  <sheetPr>
    <tabColor theme="9" tint="0.79998168889431442"/>
  </sheetPr>
  <dimension ref="A1:L43"/>
  <sheetViews>
    <sheetView topLeftCell="A4" zoomScale="60" zoomScaleNormal="60" workbookViewId="0">
      <selection activeCell="I25" sqref="I25"/>
    </sheetView>
  </sheetViews>
  <sheetFormatPr defaultColWidth="9.08984375" defaultRowHeight="12.5" x14ac:dyDescent="0.25"/>
  <cols>
    <col min="1" max="1" width="44" style="251" customWidth="1"/>
    <col min="2" max="2" width="12.36328125" style="251" customWidth="1"/>
    <col min="3" max="3" width="6.54296875" style="251" customWidth="1"/>
    <col min="4" max="4" width="8.54296875" style="251" customWidth="1"/>
    <col min="5" max="5" width="10.6328125" style="32" customWidth="1"/>
    <col min="6" max="6" width="8.90625" style="251" customWidth="1"/>
    <col min="7" max="7" width="19.90625" style="251" customWidth="1"/>
    <col min="8" max="8" width="11.08984375" style="251" customWidth="1"/>
    <col min="9" max="9" width="117.6328125" style="251" customWidth="1"/>
    <col min="10" max="16384" width="9.08984375" style="251"/>
  </cols>
  <sheetData>
    <row r="1" spans="1:12" ht="15" x14ac:dyDescent="0.3">
      <c r="I1" s="111" t="s">
        <v>233</v>
      </c>
    </row>
    <row r="2" spans="1:12" ht="37.25" customHeight="1" x14ac:dyDescent="0.25">
      <c r="A2" s="452" t="str">
        <f>'1.3.speciālistu_apmāc.'!A2</f>
        <v>Ministru kabineta noteikumu projekta „Grozījumi Ministru kabineta 2014.gada 23.decembra noteikumos Nr.790 “Sociālas rehabilitācijas pakalpojumu sniegšanas kārtība no vardarbības cietušām un vardarbību veikušām pilngadīgām personām”” sākotnējās ietekmes novērtējuma ziņojumam (anotācijai)</v>
      </c>
      <c r="B2" s="452"/>
      <c r="C2" s="452"/>
      <c r="D2" s="452"/>
      <c r="E2" s="452"/>
      <c r="F2" s="452"/>
      <c r="G2" s="452"/>
      <c r="H2" s="452"/>
      <c r="I2" s="452"/>
    </row>
    <row r="3" spans="1:12" s="252" customFormat="1" ht="18" thickBot="1" x14ac:dyDescent="0.4">
      <c r="A3" s="535" t="s">
        <v>190</v>
      </c>
      <c r="B3" s="535"/>
      <c r="C3" s="535"/>
      <c r="D3" s="535"/>
      <c r="E3" s="535"/>
      <c r="F3" s="535"/>
      <c r="G3" s="535"/>
      <c r="H3" s="535"/>
      <c r="I3" s="535"/>
    </row>
    <row r="4" spans="1:12" s="253" customFormat="1" ht="22.5" customHeight="1" x14ac:dyDescent="0.3">
      <c r="A4" s="536" t="s">
        <v>152</v>
      </c>
      <c r="B4" s="539" t="s">
        <v>191</v>
      </c>
      <c r="C4" s="539"/>
      <c r="D4" s="539"/>
      <c r="E4" s="539"/>
      <c r="F4" s="539"/>
      <c r="G4" s="539"/>
      <c r="H4" s="539"/>
      <c r="I4" s="540" t="s">
        <v>192</v>
      </c>
    </row>
    <row r="5" spans="1:12" s="253" customFormat="1" ht="11.5" x14ac:dyDescent="0.25">
      <c r="A5" s="537"/>
      <c r="B5" s="519" t="s">
        <v>11</v>
      </c>
      <c r="C5" s="519" t="s">
        <v>155</v>
      </c>
      <c r="D5" s="519" t="s">
        <v>193</v>
      </c>
      <c r="E5" s="519" t="s">
        <v>194</v>
      </c>
      <c r="F5" s="519" t="s">
        <v>195</v>
      </c>
      <c r="G5" s="519" t="s">
        <v>196</v>
      </c>
      <c r="H5" s="519" t="s">
        <v>197</v>
      </c>
      <c r="I5" s="541"/>
    </row>
    <row r="6" spans="1:12" s="253" customFormat="1" ht="56.4" customHeight="1" thickBot="1" x14ac:dyDescent="0.3">
      <c r="A6" s="538"/>
      <c r="B6" s="520"/>
      <c r="C6" s="520"/>
      <c r="D6" s="520"/>
      <c r="E6" s="520"/>
      <c r="F6" s="520"/>
      <c r="G6" s="520"/>
      <c r="H6" s="520"/>
      <c r="I6" s="542"/>
    </row>
    <row r="7" spans="1:12" s="254" customFormat="1" ht="17.5" x14ac:dyDescent="0.25">
      <c r="A7" s="521" t="s">
        <v>198</v>
      </c>
      <c r="B7" s="522"/>
      <c r="C7" s="522"/>
      <c r="D7" s="522"/>
      <c r="E7" s="522"/>
      <c r="F7" s="522"/>
      <c r="G7" s="522"/>
      <c r="H7" s="522"/>
      <c r="I7" s="523"/>
    </row>
    <row r="8" spans="1:12" s="258" customFormat="1" ht="18.5" thickBot="1" x14ac:dyDescent="0.3">
      <c r="A8" s="524" t="s">
        <v>199</v>
      </c>
      <c r="B8" s="525"/>
      <c r="C8" s="525"/>
      <c r="D8" s="525"/>
      <c r="E8" s="525"/>
      <c r="F8" s="255">
        <f>488+324</f>
        <v>812</v>
      </c>
      <c r="G8" s="256">
        <f>G9+G13</f>
        <v>561163.84</v>
      </c>
      <c r="H8" s="256">
        <f>H9+H13</f>
        <v>1727.3066666666666</v>
      </c>
      <c r="I8" s="257"/>
    </row>
    <row r="9" spans="1:12" s="258" customFormat="1" ht="17.5" x14ac:dyDescent="0.25">
      <c r="A9" s="259" t="s">
        <v>200</v>
      </c>
      <c r="B9" s="526"/>
      <c r="C9" s="526"/>
      <c r="D9" s="526"/>
      <c r="E9" s="526"/>
      <c r="F9" s="260">
        <f>F8*0.5</f>
        <v>406</v>
      </c>
      <c r="G9" s="261">
        <f>G10+G12+G11</f>
        <v>246827.84</v>
      </c>
      <c r="H9" s="261">
        <f>H10+H12+H11</f>
        <v>708.64</v>
      </c>
      <c r="I9" s="262"/>
      <c r="L9" s="263"/>
    </row>
    <row r="10" spans="1:12" s="258" customFormat="1" ht="44" x14ac:dyDescent="0.25">
      <c r="A10" s="264" t="s">
        <v>63</v>
      </c>
      <c r="B10" s="265">
        <v>35</v>
      </c>
      <c r="C10" s="266" t="s">
        <v>16</v>
      </c>
      <c r="D10" s="267">
        <v>16</v>
      </c>
      <c r="E10" s="527" t="s">
        <v>201</v>
      </c>
      <c r="F10" s="267">
        <f>F9</f>
        <v>406</v>
      </c>
      <c r="G10" s="268">
        <f>F10*D10*B10</f>
        <v>227360</v>
      </c>
      <c r="H10" s="268">
        <f>B10*16</f>
        <v>560</v>
      </c>
      <c r="I10" s="269" t="s">
        <v>202</v>
      </c>
    </row>
    <row r="11" spans="1:12" s="258" customFormat="1" ht="70.25" customHeight="1" x14ac:dyDescent="0.25">
      <c r="A11" s="264" t="s">
        <v>67</v>
      </c>
      <c r="B11" s="270">
        <v>2.29</v>
      </c>
      <c r="C11" s="271" t="s">
        <v>16</v>
      </c>
      <c r="D11" s="267">
        <f>D10</f>
        <v>16</v>
      </c>
      <c r="E11" s="527"/>
      <c r="F11" s="266">
        <f>F10</f>
        <v>406</v>
      </c>
      <c r="G11" s="268">
        <f>F11*D11*B11</f>
        <v>14875.84</v>
      </c>
      <c r="H11" s="268">
        <f>B11*16</f>
        <v>36.64</v>
      </c>
      <c r="I11" s="269" t="s">
        <v>203</v>
      </c>
    </row>
    <row r="12" spans="1:12" s="258" customFormat="1" ht="18.5" thickBot="1" x14ac:dyDescent="0.3">
      <c r="A12" s="272" t="s">
        <v>22</v>
      </c>
      <c r="B12" s="273">
        <v>7</v>
      </c>
      <c r="C12" s="274" t="s">
        <v>16</v>
      </c>
      <c r="D12" s="275">
        <f>D11</f>
        <v>16</v>
      </c>
      <c r="E12" s="528"/>
      <c r="F12" s="275">
        <f>ROUND(F10*0.1,0)</f>
        <v>41</v>
      </c>
      <c r="G12" s="276">
        <f>F12*D12*B12</f>
        <v>4592</v>
      </c>
      <c r="H12" s="276">
        <f>B12*16</f>
        <v>112</v>
      </c>
      <c r="I12" s="277" t="s">
        <v>149</v>
      </c>
    </row>
    <row r="13" spans="1:12" s="258" customFormat="1" ht="17.5" x14ac:dyDescent="0.25">
      <c r="A13" s="469" t="s">
        <v>204</v>
      </c>
      <c r="B13" s="470"/>
      <c r="C13" s="470"/>
      <c r="D13" s="470"/>
      <c r="E13" s="471"/>
      <c r="F13" s="278">
        <f>F8*0.5</f>
        <v>406</v>
      </c>
      <c r="G13" s="261">
        <f>SUM(G14:G18)</f>
        <v>314336</v>
      </c>
      <c r="H13" s="261">
        <f>SUM(H14:H18)</f>
        <v>1018.6666666666666</v>
      </c>
      <c r="I13" s="262" t="s">
        <v>205</v>
      </c>
    </row>
    <row r="14" spans="1:12" s="258" customFormat="1" ht="77" customHeight="1" x14ac:dyDescent="0.25">
      <c r="A14" s="264" t="s">
        <v>206</v>
      </c>
      <c r="B14" s="270">
        <f>B10*2</f>
        <v>70</v>
      </c>
      <c r="C14" s="270">
        <v>2</v>
      </c>
      <c r="D14" s="271">
        <v>16</v>
      </c>
      <c r="E14" s="527" t="s">
        <v>207</v>
      </c>
      <c r="F14" s="271">
        <f>ROUND(F13/5,0)</f>
        <v>81</v>
      </c>
      <c r="G14" s="268">
        <f>B14*C14*D14*F14</f>
        <v>181440</v>
      </c>
      <c r="H14" s="268">
        <f>B14*C14*D14/4</f>
        <v>560</v>
      </c>
      <c r="I14" s="279" t="s">
        <v>208</v>
      </c>
      <c r="K14" s="280"/>
    </row>
    <row r="15" spans="1:12" s="258" customFormat="1" ht="93" customHeight="1" x14ac:dyDescent="0.25">
      <c r="A15" s="264" t="s">
        <v>209</v>
      </c>
      <c r="B15" s="270">
        <f>B14</f>
        <v>70</v>
      </c>
      <c r="C15" s="270">
        <v>1</v>
      </c>
      <c r="D15" s="271">
        <v>16</v>
      </c>
      <c r="E15" s="527"/>
      <c r="F15" s="271">
        <f>F14</f>
        <v>81</v>
      </c>
      <c r="G15" s="268">
        <f>B15*F15*D15*C15</f>
        <v>90720</v>
      </c>
      <c r="H15" s="268">
        <f>B15*C15*D15/4</f>
        <v>280</v>
      </c>
      <c r="I15" s="279" t="s">
        <v>210</v>
      </c>
      <c r="K15" s="280"/>
    </row>
    <row r="16" spans="1:12" s="258" customFormat="1" ht="49" x14ac:dyDescent="0.25">
      <c r="A16" s="264" t="s">
        <v>67</v>
      </c>
      <c r="B16" s="270">
        <v>3</v>
      </c>
      <c r="C16" s="270" t="s">
        <v>16</v>
      </c>
      <c r="D16" s="271">
        <v>16</v>
      </c>
      <c r="E16" s="527"/>
      <c r="F16" s="271">
        <f>F15</f>
        <v>81</v>
      </c>
      <c r="G16" s="268">
        <f>B16*D16*F16*5</f>
        <v>19440</v>
      </c>
      <c r="H16" s="268">
        <f>3*16</f>
        <v>48</v>
      </c>
      <c r="I16" s="279" t="s">
        <v>211</v>
      </c>
    </row>
    <row r="17" spans="1:12" s="258" customFormat="1" ht="18" x14ac:dyDescent="0.25">
      <c r="A17" s="264" t="s">
        <v>22</v>
      </c>
      <c r="B17" s="270">
        <v>7</v>
      </c>
      <c r="C17" s="270" t="s">
        <v>16</v>
      </c>
      <c r="D17" s="271">
        <v>16</v>
      </c>
      <c r="E17" s="267" t="s">
        <v>37</v>
      </c>
      <c r="F17" s="271">
        <f>ROUND(F13*0.1,0)</f>
        <v>41</v>
      </c>
      <c r="G17" s="268">
        <f>F17*D17*B17</f>
        <v>4592</v>
      </c>
      <c r="H17" s="268">
        <f>7*16</f>
        <v>112</v>
      </c>
      <c r="I17" s="281" t="str">
        <f>I12</f>
        <v xml:space="preserve"> Aprēķinos pieņemts, ka 10% no pakalpojuma saņēmējiem tiks segti transporta izdevumi.</v>
      </c>
    </row>
    <row r="18" spans="1:12" s="258" customFormat="1" ht="18.5" thickBot="1" x14ac:dyDescent="0.3">
      <c r="A18" s="272" t="s">
        <v>175</v>
      </c>
      <c r="B18" s="282">
        <v>7</v>
      </c>
      <c r="C18" s="282" t="s">
        <v>16</v>
      </c>
      <c r="D18" s="283">
        <v>16</v>
      </c>
      <c r="E18" s="275" t="s">
        <v>37</v>
      </c>
      <c r="F18" s="283">
        <f>F14</f>
        <v>81</v>
      </c>
      <c r="G18" s="276">
        <f>F18*D18*B18*2</f>
        <v>18144</v>
      </c>
      <c r="H18" s="276">
        <f>B18*D18/6</f>
        <v>18.666666666666668</v>
      </c>
      <c r="I18" s="277" t="s">
        <v>212</v>
      </c>
    </row>
    <row r="19" spans="1:12" s="254" customFormat="1" ht="18" thickBot="1" x14ac:dyDescent="0.3">
      <c r="A19" s="529" t="s">
        <v>213</v>
      </c>
      <c r="B19" s="530"/>
      <c r="C19" s="530"/>
      <c r="D19" s="530"/>
      <c r="E19" s="530"/>
      <c r="F19" s="530"/>
      <c r="G19" s="530"/>
      <c r="H19" s="530"/>
      <c r="I19" s="531"/>
    </row>
    <row r="20" spans="1:12" s="254" customFormat="1" ht="17.5" x14ac:dyDescent="0.25">
      <c r="A20" s="469" t="s">
        <v>214</v>
      </c>
      <c r="B20" s="470"/>
      <c r="C20" s="470"/>
      <c r="D20" s="470"/>
      <c r="E20" s="471"/>
      <c r="F20" s="260">
        <f>ROUND(F8*0.1,0)</f>
        <v>81</v>
      </c>
      <c r="G20" s="261">
        <f>G21+G23+G22</f>
        <v>9229.4699999999993</v>
      </c>
      <c r="H20" s="261">
        <f>H21+H23+H22</f>
        <v>132.87</v>
      </c>
      <c r="I20" s="262" t="s">
        <v>72</v>
      </c>
    </row>
    <row r="21" spans="1:12" s="258" customFormat="1" ht="44" x14ac:dyDescent="0.25">
      <c r="A21" s="264" t="s">
        <v>63</v>
      </c>
      <c r="B21" s="270">
        <v>35</v>
      </c>
      <c r="C21" s="270" t="s">
        <v>16</v>
      </c>
      <c r="D21" s="271">
        <v>3</v>
      </c>
      <c r="E21" s="267" t="s">
        <v>37</v>
      </c>
      <c r="F21" s="271">
        <f>F20</f>
        <v>81</v>
      </c>
      <c r="G21" s="268">
        <f>F21*D21*B21</f>
        <v>8505</v>
      </c>
      <c r="H21" s="268">
        <f>B21*D21</f>
        <v>105</v>
      </c>
      <c r="I21" s="279" t="s">
        <v>202</v>
      </c>
    </row>
    <row r="22" spans="1:12" s="258" customFormat="1" ht="49" x14ac:dyDescent="0.25">
      <c r="A22" s="264" t="s">
        <v>67</v>
      </c>
      <c r="B22" s="270">
        <f>B11</f>
        <v>2.29</v>
      </c>
      <c r="C22" s="271" t="s">
        <v>16</v>
      </c>
      <c r="D22" s="267">
        <f>D21</f>
        <v>3</v>
      </c>
      <c r="E22" s="267" t="s">
        <v>37</v>
      </c>
      <c r="F22" s="267">
        <f>F21</f>
        <v>81</v>
      </c>
      <c r="G22" s="268">
        <f>F22*D22*B22</f>
        <v>556.47</v>
      </c>
      <c r="H22" s="268">
        <f>B22*D22</f>
        <v>6.87</v>
      </c>
      <c r="I22" s="269" t="str">
        <f>I11</f>
        <v xml:space="preserve">Pakalpojuma „Sociālās rehabilitācijas pakalpojumi no vardarbības cietušām pilngadīgām personām” grozā ar izmitināšanu šīs izmaksas 1 klientam dienā vidēji ir 26.16 euro, tiek pieņemts, ka pakalpojumam bez izmitināšanas, kas tiek sniegts klientam tikai darba dienās darba laikā, t.i., 8 stundas dienā, šīs izmaksas sastāda 70% no 26.16 euro = 18.31 euro dienā/ 2.29 euro stundā. </v>
      </c>
    </row>
    <row r="23" spans="1:12" s="258" customFormat="1" ht="18.5" thickBot="1" x14ac:dyDescent="0.3">
      <c r="A23" s="272" t="s">
        <v>22</v>
      </c>
      <c r="B23" s="282">
        <v>7</v>
      </c>
      <c r="C23" s="282" t="s">
        <v>16</v>
      </c>
      <c r="D23" s="283">
        <v>3</v>
      </c>
      <c r="E23" s="275" t="s">
        <v>37</v>
      </c>
      <c r="F23" s="283">
        <f>ROUND(F20*0.1,0)</f>
        <v>8</v>
      </c>
      <c r="G23" s="276">
        <f>F23*D23*B23</f>
        <v>168</v>
      </c>
      <c r="H23" s="276">
        <f>B23*D23</f>
        <v>21</v>
      </c>
      <c r="I23" s="277" t="str">
        <f>I12</f>
        <v xml:space="preserve"> Aprēķinos pieņemts, ka 10% no pakalpojuma saņēmējiem tiks segti transporta izdevumi.</v>
      </c>
      <c r="L23" s="284"/>
    </row>
    <row r="24" spans="1:12" s="254" customFormat="1" ht="90.5" thickBot="1" x14ac:dyDescent="0.3">
      <c r="A24" s="285" t="s">
        <v>215</v>
      </c>
      <c r="B24" s="286">
        <v>35</v>
      </c>
      <c r="C24" s="287">
        <v>21</v>
      </c>
      <c r="D24" s="287">
        <v>50</v>
      </c>
      <c r="E24" s="288" t="s">
        <v>4</v>
      </c>
      <c r="F24" s="289" t="s">
        <v>16</v>
      </c>
      <c r="G24" s="290">
        <f>B24*C24*D24</f>
        <v>36750</v>
      </c>
      <c r="H24" s="290">
        <f>G24/F8</f>
        <v>45.258620689655174</v>
      </c>
      <c r="I24" s="291" t="s">
        <v>216</v>
      </c>
    </row>
    <row r="25" spans="1:12" s="254" customFormat="1" ht="54.5" thickBot="1" x14ac:dyDescent="0.3">
      <c r="A25" s="285" t="s">
        <v>217</v>
      </c>
      <c r="B25" s="292"/>
      <c r="C25" s="293"/>
      <c r="D25" s="294"/>
      <c r="E25" s="293"/>
      <c r="F25" s="295"/>
      <c r="G25" s="290">
        <f>(16*40)</f>
        <v>640</v>
      </c>
      <c r="H25" s="296" t="s">
        <v>16</v>
      </c>
      <c r="I25" s="291" t="s">
        <v>218</v>
      </c>
    </row>
    <row r="26" spans="1:12" s="258" customFormat="1" ht="18.5" thickBot="1" x14ac:dyDescent="0.3">
      <c r="A26" s="297" t="s">
        <v>219</v>
      </c>
      <c r="B26" s="298"/>
      <c r="C26" s="299"/>
      <c r="D26" s="300"/>
      <c r="E26" s="299"/>
      <c r="F26" s="74"/>
      <c r="G26" s="301">
        <f>G20+G8+G25+G24</f>
        <v>607783.30999999994</v>
      </c>
      <c r="H26" s="302" t="s">
        <v>16</v>
      </c>
      <c r="I26" s="303"/>
    </row>
    <row r="27" spans="1:12" s="258" customFormat="1" ht="18.5" thickBot="1" x14ac:dyDescent="0.3">
      <c r="A27" s="532" t="s">
        <v>220</v>
      </c>
      <c r="B27" s="533"/>
      <c r="C27" s="533"/>
      <c r="D27" s="533"/>
      <c r="E27" s="533"/>
      <c r="F27" s="534"/>
      <c r="G27" s="290">
        <f>G26*10%</f>
        <v>60778.330999999998</v>
      </c>
      <c r="H27" s="296" t="s">
        <v>16</v>
      </c>
      <c r="I27" s="304"/>
    </row>
    <row r="28" spans="1:12" s="258" customFormat="1" ht="18.5" thickBot="1" x14ac:dyDescent="0.3">
      <c r="A28" s="487" t="s">
        <v>10</v>
      </c>
      <c r="B28" s="488"/>
      <c r="C28" s="488"/>
      <c r="D28" s="488"/>
      <c r="E28" s="488"/>
      <c r="F28" s="489"/>
      <c r="G28" s="80">
        <f>G26+G27</f>
        <v>668561.64099999995</v>
      </c>
      <c r="H28" s="99" t="s">
        <v>16</v>
      </c>
      <c r="I28" s="305"/>
    </row>
    <row r="29" spans="1:12" ht="13" thickBot="1" x14ac:dyDescent="0.3">
      <c r="A29" s="32"/>
    </row>
    <row r="30" spans="1:12" ht="36" thickBot="1" x14ac:dyDescent="0.3">
      <c r="A30" s="515" t="s">
        <v>221</v>
      </c>
      <c r="B30" s="516"/>
      <c r="C30" s="516"/>
      <c r="D30" s="516"/>
      <c r="E30" s="516"/>
      <c r="F30" s="517"/>
      <c r="G30" s="306">
        <f>((G10+G11+G14+G15+G16+G24)*1.1)/F8</f>
        <v>772.96111330049257</v>
      </c>
      <c r="H30" s="307" t="s">
        <v>16</v>
      </c>
      <c r="I30" s="308" t="s">
        <v>222</v>
      </c>
    </row>
    <row r="31" spans="1:12" ht="18.5" thickBot="1" x14ac:dyDescent="0.3">
      <c r="A31" s="512" t="s">
        <v>223</v>
      </c>
      <c r="B31" s="513"/>
      <c r="C31" s="513"/>
      <c r="D31" s="513"/>
      <c r="E31" s="513"/>
      <c r="F31" s="514"/>
      <c r="G31" s="309">
        <f>(G10+G14+G15)/F8</f>
        <v>615.17241379310349</v>
      </c>
      <c r="H31" s="310" t="s">
        <v>16</v>
      </c>
      <c r="I31" s="311"/>
    </row>
    <row r="32" spans="1:12" ht="18.5" thickBot="1" x14ac:dyDescent="0.3">
      <c r="A32" s="512" t="s">
        <v>224</v>
      </c>
      <c r="B32" s="513"/>
      <c r="C32" s="513"/>
      <c r="D32" s="513"/>
      <c r="E32" s="513"/>
      <c r="F32" s="514"/>
      <c r="G32" s="309">
        <f>G24/F8</f>
        <v>45.258620689655174</v>
      </c>
      <c r="H32" s="310" t="s">
        <v>16</v>
      </c>
      <c r="I32" s="311"/>
    </row>
    <row r="33" spans="1:9" ht="36.5" thickBot="1" x14ac:dyDescent="0.3">
      <c r="A33" s="512" t="s">
        <v>225</v>
      </c>
      <c r="B33" s="513"/>
      <c r="C33" s="513"/>
      <c r="D33" s="513"/>
      <c r="E33" s="513"/>
      <c r="F33" s="514"/>
      <c r="G33" s="309">
        <f>(G11+G16)/F8</f>
        <v>42.260886699507388</v>
      </c>
      <c r="H33" s="310" t="s">
        <v>16</v>
      </c>
      <c r="I33" s="311" t="s">
        <v>226</v>
      </c>
    </row>
    <row r="34" spans="1:9" ht="18.5" thickBot="1" x14ac:dyDescent="0.3">
      <c r="A34" s="512" t="s">
        <v>227</v>
      </c>
      <c r="B34" s="513"/>
      <c r="C34" s="513"/>
      <c r="D34" s="513"/>
      <c r="E34" s="513"/>
      <c r="F34" s="514"/>
      <c r="G34" s="309">
        <f>(G31+G32+G33)*0.1</f>
        <v>70.269192118226599</v>
      </c>
      <c r="H34" s="310" t="s">
        <v>16</v>
      </c>
      <c r="I34" s="312"/>
    </row>
    <row r="35" spans="1:9" ht="36" thickBot="1" x14ac:dyDescent="0.3">
      <c r="A35" s="518">
        <v>0.1</v>
      </c>
      <c r="B35" s="516"/>
      <c r="C35" s="516"/>
      <c r="D35" s="516"/>
      <c r="E35" s="516"/>
      <c r="F35" s="517"/>
      <c r="G35" s="306">
        <f>ROUND(G30*0.1,2)</f>
        <v>77.3</v>
      </c>
      <c r="H35" s="307" t="s">
        <v>16</v>
      </c>
      <c r="I35" s="308" t="s">
        <v>228</v>
      </c>
    </row>
    <row r="36" spans="1:9" ht="18.5" thickBot="1" x14ac:dyDescent="0.3">
      <c r="A36" s="512" t="s">
        <v>223</v>
      </c>
      <c r="B36" s="513"/>
      <c r="C36" s="513"/>
      <c r="D36" s="513"/>
      <c r="E36" s="513"/>
      <c r="F36" s="514"/>
      <c r="G36" s="309">
        <f>ROUND(G31*0.1,2)</f>
        <v>61.52</v>
      </c>
      <c r="H36" s="310" t="s">
        <v>16</v>
      </c>
      <c r="I36" s="311"/>
    </row>
    <row r="37" spans="1:9" ht="18.5" thickBot="1" x14ac:dyDescent="0.3">
      <c r="A37" s="512" t="s">
        <v>224</v>
      </c>
      <c r="B37" s="513"/>
      <c r="C37" s="513"/>
      <c r="D37" s="513"/>
      <c r="E37" s="513"/>
      <c r="F37" s="514"/>
      <c r="G37" s="309">
        <f>ROUND(G32*0.1,2)</f>
        <v>4.53</v>
      </c>
      <c r="H37" s="310" t="s">
        <v>16</v>
      </c>
      <c r="I37" s="311"/>
    </row>
    <row r="38" spans="1:9" ht="36.5" thickBot="1" x14ac:dyDescent="0.3">
      <c r="A38" s="512" t="s">
        <v>225</v>
      </c>
      <c r="B38" s="513"/>
      <c r="C38" s="513"/>
      <c r="D38" s="513"/>
      <c r="E38" s="513"/>
      <c r="F38" s="514"/>
      <c r="G38" s="309">
        <f>ROUND(G33*0.1,2)</f>
        <v>4.2300000000000004</v>
      </c>
      <c r="H38" s="310" t="s">
        <v>16</v>
      </c>
      <c r="I38" s="311" t="s">
        <v>226</v>
      </c>
    </row>
    <row r="39" spans="1:9" ht="18.5" thickBot="1" x14ac:dyDescent="0.3">
      <c r="A39" s="512" t="s">
        <v>227</v>
      </c>
      <c r="B39" s="513"/>
      <c r="C39" s="513"/>
      <c r="D39" s="513"/>
      <c r="E39" s="513"/>
      <c r="F39" s="514"/>
      <c r="G39" s="309">
        <f>ROUND(G34*0.1,2)-0.01</f>
        <v>7.0200000000000005</v>
      </c>
      <c r="H39" s="310" t="s">
        <v>16</v>
      </c>
      <c r="I39" s="312"/>
    </row>
    <row r="40" spans="1:9" x14ac:dyDescent="0.25">
      <c r="G40" s="313">
        <f>G30-G31-G32-G33-G34</f>
        <v>0</v>
      </c>
    </row>
    <row r="41" spans="1:9" x14ac:dyDescent="0.25">
      <c r="G41" s="313">
        <f>G35-G36-G37-G38-G39</f>
        <v>-7.9936057773011271E-15</v>
      </c>
    </row>
    <row r="43" spans="1:9" x14ac:dyDescent="0.25">
      <c r="G43" s="313"/>
    </row>
  </sheetData>
  <mergeCells count="32">
    <mergeCell ref="A2:I2"/>
    <mergeCell ref="A3:I3"/>
    <mergeCell ref="A4:A6"/>
    <mergeCell ref="B4:H4"/>
    <mergeCell ref="I4:I6"/>
    <mergeCell ref="B5:B6"/>
    <mergeCell ref="C5:C6"/>
    <mergeCell ref="D5:D6"/>
    <mergeCell ref="E5:E6"/>
    <mergeCell ref="F5:F6"/>
    <mergeCell ref="A28:F28"/>
    <mergeCell ref="G5:G6"/>
    <mergeCell ref="H5:H6"/>
    <mergeCell ref="A7:I7"/>
    <mergeCell ref="A8:E8"/>
    <mergeCell ref="B9:E9"/>
    <mergeCell ref="E10:E12"/>
    <mergeCell ref="A13:E13"/>
    <mergeCell ref="E14:E16"/>
    <mergeCell ref="A19:I19"/>
    <mergeCell ref="A20:E20"/>
    <mergeCell ref="A27:F27"/>
    <mergeCell ref="A36:F36"/>
    <mergeCell ref="A37:F37"/>
    <mergeCell ref="A38:F38"/>
    <mergeCell ref="A39:F39"/>
    <mergeCell ref="A30:F30"/>
    <mergeCell ref="A31:F31"/>
    <mergeCell ref="A32:F32"/>
    <mergeCell ref="A33:F33"/>
    <mergeCell ref="A34:F34"/>
    <mergeCell ref="A35:F3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CA6CC-65C3-4F78-8E99-AB260C624889}">
  <sheetPr>
    <tabColor theme="9" tint="0.39997558519241921"/>
  </sheetPr>
  <dimension ref="A1:J17"/>
  <sheetViews>
    <sheetView zoomScale="70" zoomScaleNormal="70" workbookViewId="0">
      <selection activeCell="I30" sqref="I30"/>
    </sheetView>
  </sheetViews>
  <sheetFormatPr defaultColWidth="9.08984375" defaultRowHeight="13" x14ac:dyDescent="0.3"/>
  <cols>
    <col min="1" max="1" width="76.90625" style="30" customWidth="1"/>
    <col min="2" max="5" width="17.453125" style="30" customWidth="1"/>
    <col min="6" max="6" width="4.54296875" style="30" customWidth="1"/>
    <col min="7" max="9" width="17.453125" style="30" customWidth="1"/>
    <col min="10" max="10" width="20.36328125" style="30" customWidth="1"/>
    <col min="11" max="16384" width="9.08984375" style="30"/>
  </cols>
  <sheetData>
    <row r="1" spans="1:10" x14ac:dyDescent="0.3">
      <c r="A1" s="442" t="s">
        <v>257</v>
      </c>
      <c r="B1" s="442"/>
      <c r="C1" s="442"/>
      <c r="D1" s="442"/>
      <c r="E1" s="442"/>
      <c r="F1" s="442"/>
      <c r="G1" s="442"/>
      <c r="H1" s="442"/>
      <c r="I1" s="442"/>
    </row>
    <row r="2" spans="1:10" ht="49.25" customHeight="1" x14ac:dyDescent="0.3">
      <c r="A2" s="443" t="s">
        <v>237</v>
      </c>
      <c r="B2" s="443"/>
      <c r="C2" s="443"/>
      <c r="D2" s="443"/>
      <c r="E2" s="443"/>
      <c r="F2" s="443"/>
      <c r="G2" s="443"/>
      <c r="H2" s="443"/>
      <c r="I2" s="443"/>
    </row>
    <row r="3" spans="1:10" ht="60" customHeight="1" x14ac:dyDescent="0.3">
      <c r="A3" s="413" t="s">
        <v>263</v>
      </c>
      <c r="B3" s="413"/>
      <c r="C3" s="413"/>
      <c r="D3" s="413"/>
      <c r="E3" s="413"/>
      <c r="F3" s="413"/>
      <c r="G3" s="413"/>
      <c r="H3" s="413"/>
      <c r="I3" s="413"/>
    </row>
    <row r="4" spans="1:10" ht="13.5" thickBot="1" x14ac:dyDescent="0.35">
      <c r="A4" s="101"/>
      <c r="B4" s="31"/>
      <c r="C4" s="31"/>
      <c r="D4" s="31"/>
      <c r="E4" s="31"/>
      <c r="F4" s="31"/>
      <c r="G4" s="31"/>
      <c r="H4" s="31"/>
      <c r="I4" s="31"/>
    </row>
    <row r="5" spans="1:10" ht="15" x14ac:dyDescent="0.3">
      <c r="A5" s="444" t="s">
        <v>28</v>
      </c>
      <c r="B5" s="445"/>
      <c r="C5" s="439" t="s">
        <v>251</v>
      </c>
      <c r="D5" s="440"/>
      <c r="E5" s="441"/>
      <c r="F5" s="326"/>
      <c r="G5" s="439" t="s">
        <v>252</v>
      </c>
      <c r="H5" s="440"/>
      <c r="I5" s="441"/>
    </row>
    <row r="6" spans="1:10" ht="15.5" x14ac:dyDescent="0.3">
      <c r="A6" s="446"/>
      <c r="B6" s="447"/>
      <c r="C6" s="207" t="s">
        <v>264</v>
      </c>
      <c r="D6" s="206" t="s">
        <v>79</v>
      </c>
      <c r="E6" s="102" t="s">
        <v>10</v>
      </c>
      <c r="F6" s="326"/>
      <c r="G6" s="207" t="s">
        <v>264</v>
      </c>
      <c r="H6" s="206" t="s">
        <v>79</v>
      </c>
      <c r="I6" s="102" t="s">
        <v>10</v>
      </c>
    </row>
    <row r="7" spans="1:10" ht="32.4" customHeight="1" x14ac:dyDescent="0.3">
      <c r="A7" s="448" t="s">
        <v>82</v>
      </c>
      <c r="B7" s="449"/>
      <c r="C7" s="137">
        <v>0</v>
      </c>
      <c r="D7" s="336">
        <f>H7/2</f>
        <v>195888.5</v>
      </c>
      <c r="E7" s="142">
        <f>C7+D7</f>
        <v>195888.5</v>
      </c>
      <c r="F7" s="327"/>
      <c r="G7" s="137">
        <v>0</v>
      </c>
      <c r="H7" s="336">
        <f>'2.1.Kdz'!C27+'2.2.augsts_vardarb_risks'!I17</f>
        <v>391777</v>
      </c>
      <c r="I7" s="142">
        <f>G7+H7</f>
        <v>391777</v>
      </c>
      <c r="J7" s="316"/>
    </row>
    <row r="8" spans="1:10" ht="32.4" customHeight="1" x14ac:dyDescent="0.3">
      <c r="A8" s="544" t="s">
        <v>135</v>
      </c>
      <c r="B8" s="545"/>
      <c r="C8" s="335">
        <v>76230</v>
      </c>
      <c r="D8" s="107">
        <v>0</v>
      </c>
      <c r="E8" s="142">
        <f>C8+D8</f>
        <v>76230</v>
      </c>
      <c r="F8" s="327"/>
      <c r="G8" s="137">
        <v>0</v>
      </c>
      <c r="H8" s="107">
        <v>0</v>
      </c>
      <c r="I8" s="142">
        <f>G8+H8</f>
        <v>0</v>
      </c>
      <c r="J8" s="316"/>
    </row>
    <row r="9" spans="1:10" ht="32.4" hidden="1" customHeight="1" x14ac:dyDescent="0.3">
      <c r="A9" s="448"/>
      <c r="B9" s="449"/>
      <c r="C9" s="137"/>
      <c r="D9" s="107"/>
      <c r="E9" s="142">
        <f>C9+D9</f>
        <v>0</v>
      </c>
      <c r="F9" s="327"/>
      <c r="G9" s="137"/>
      <c r="H9" s="107"/>
      <c r="I9" s="142">
        <f>G9+H9</f>
        <v>0</v>
      </c>
      <c r="J9" s="316"/>
    </row>
    <row r="10" spans="1:10" ht="15" hidden="1" x14ac:dyDescent="0.3">
      <c r="A10" s="103" t="s">
        <v>30</v>
      </c>
      <c r="B10" s="131"/>
      <c r="C10" s="143">
        <f>SUM(C7:C9)</f>
        <v>76230</v>
      </c>
      <c r="D10" s="108">
        <f>SUM(D7:D9)</f>
        <v>195888.5</v>
      </c>
      <c r="E10" s="142">
        <f>SUM(E7:E9)</f>
        <v>272118.5</v>
      </c>
      <c r="F10" s="327"/>
      <c r="G10" s="143">
        <f>SUM(G7:G9)</f>
        <v>0</v>
      </c>
      <c r="H10" s="108">
        <f>SUM(H7:H9)</f>
        <v>391777</v>
      </c>
      <c r="I10" s="142">
        <f>SUM(I7:I9)</f>
        <v>391777</v>
      </c>
    </row>
    <row r="11" spans="1:10" ht="15.5" thickBot="1" x14ac:dyDescent="0.35">
      <c r="A11" s="394" t="s">
        <v>30</v>
      </c>
      <c r="B11" s="395"/>
      <c r="C11" s="132">
        <f>ROUND(C10,0)</f>
        <v>76230</v>
      </c>
      <c r="D11" s="104">
        <f>ROUND(D10,0)</f>
        <v>195889</v>
      </c>
      <c r="E11" s="105">
        <f>ROUND(E10,0)</f>
        <v>272119</v>
      </c>
      <c r="F11" s="327"/>
      <c r="G11" s="132">
        <f>ROUND(G10,0)</f>
        <v>0</v>
      </c>
      <c r="H11" s="104">
        <f>ROUND(H10,0)</f>
        <v>391777</v>
      </c>
      <c r="I11" s="105">
        <f>ROUND(I10,0)</f>
        <v>391777</v>
      </c>
    </row>
    <row r="12" spans="1:10" x14ac:dyDescent="0.3">
      <c r="A12" s="451"/>
      <c r="B12" s="451"/>
      <c r="C12" s="451"/>
      <c r="D12" s="14"/>
      <c r="E12" s="14"/>
      <c r="F12" s="328"/>
      <c r="G12" s="14"/>
      <c r="H12" s="14"/>
      <c r="I12" s="14"/>
    </row>
    <row r="13" spans="1:10" x14ac:dyDescent="0.3">
      <c r="A13" s="31"/>
      <c r="B13" s="31"/>
      <c r="C13" s="31"/>
      <c r="D13" s="31"/>
      <c r="E13" s="31"/>
      <c r="F13" s="31"/>
      <c r="G13" s="31"/>
      <c r="H13" s="31"/>
      <c r="I13" s="31"/>
    </row>
    <row r="14" spans="1:10" ht="14" x14ac:dyDescent="0.3">
      <c r="A14" s="109" t="s">
        <v>265</v>
      </c>
      <c r="B14" s="109"/>
      <c r="C14" s="109"/>
      <c r="D14" s="109"/>
      <c r="E14" s="109"/>
      <c r="F14" s="109"/>
      <c r="G14" s="109"/>
      <c r="H14" s="109"/>
      <c r="I14" s="109"/>
    </row>
    <row r="15" spans="1:10" ht="47.4" customHeight="1" x14ac:dyDescent="0.3">
      <c r="A15" s="340" t="str">
        <f>'2.1.Kdz'!A1</f>
        <v>tabula Nr.2.1.</v>
      </c>
      <c r="B15" s="543" t="str">
        <f>'2.1.Kdz'!A3</f>
        <v>Pakalpojuma „Sociālās rehabilitācijas pakalpojumi no vardarbības cietušām pilngadīgām personām” izmaksu aprēķins *                                                                                                                                                                                                                                    (Krīzes dzīvoklis)</v>
      </c>
      <c r="C15" s="543"/>
      <c r="D15" s="543"/>
      <c r="E15" s="543"/>
      <c r="F15" s="208"/>
      <c r="G15" s="208"/>
      <c r="H15" s="208"/>
      <c r="I15" s="208"/>
    </row>
    <row r="16" spans="1:10" ht="47.4" customHeight="1" x14ac:dyDescent="0.3">
      <c r="A16" s="340" t="str">
        <f>'2.2.augsts_vardarb_risks'!A1</f>
        <v>tabula Nr.2.2.</v>
      </c>
      <c r="B16" s="543" t="str">
        <f>'2.2.augsts_vardarb_risks'!A3</f>
        <v>Pakalpojuma „Sociālās rehabilitācijas pakalpojumi no vardarbības cietušām pilngadīgām personām” izmaksu aprēķins   
(augstas vardarbības risks)</v>
      </c>
      <c r="C16" s="543"/>
      <c r="D16" s="543"/>
      <c r="E16" s="543"/>
      <c r="F16" s="208"/>
      <c r="G16" s="208"/>
      <c r="H16" s="208"/>
      <c r="I16" s="208"/>
    </row>
    <row r="17" spans="1:9" x14ac:dyDescent="0.3">
      <c r="A17" s="31"/>
      <c r="B17" s="31"/>
      <c r="C17" s="31"/>
      <c r="D17" s="31"/>
      <c r="E17" s="31"/>
      <c r="F17" s="31"/>
      <c r="G17" s="31"/>
      <c r="H17" s="31"/>
      <c r="I17" s="31"/>
    </row>
  </sheetData>
  <mergeCells count="13">
    <mergeCell ref="A1:I1"/>
    <mergeCell ref="A2:I2"/>
    <mergeCell ref="A3:I3"/>
    <mergeCell ref="A5:B6"/>
    <mergeCell ref="C5:E5"/>
    <mergeCell ref="G5:I5"/>
    <mergeCell ref="B16:E16"/>
    <mergeCell ref="A7:B7"/>
    <mergeCell ref="A8:B8"/>
    <mergeCell ref="A9:B9"/>
    <mergeCell ref="A11:B11"/>
    <mergeCell ref="A12:C12"/>
    <mergeCell ref="B15:E1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03323F-9CBB-460F-A0C7-637A8C45627A}">
  <sheetPr>
    <tabColor theme="9" tint="0.79998168889431442"/>
  </sheetPr>
  <dimension ref="A1:H25"/>
  <sheetViews>
    <sheetView topLeftCell="A13" zoomScale="60" zoomScaleNormal="60" workbookViewId="0">
      <selection activeCell="P15" sqref="P15"/>
    </sheetView>
  </sheetViews>
  <sheetFormatPr defaultColWidth="9.08984375" defaultRowHeight="13" x14ac:dyDescent="0.3"/>
  <cols>
    <col min="1" max="1" width="57.36328125" style="4" customWidth="1"/>
    <col min="2" max="2" width="9" style="4" customWidth="1"/>
    <col min="3" max="3" width="7.90625" style="4" customWidth="1"/>
    <col min="4" max="4" width="8.6328125" style="4" customWidth="1"/>
    <col min="5" max="5" width="8.36328125" style="4" customWidth="1"/>
    <col min="6" max="6" width="7.36328125" style="4" customWidth="1"/>
    <col min="7" max="7" width="15.36328125" style="4" customWidth="1"/>
    <col min="8" max="8" width="92.453125" style="30" customWidth="1"/>
    <col min="9" max="16384" width="9.08984375" style="30"/>
  </cols>
  <sheetData>
    <row r="1" spans="1:8" ht="15" x14ac:dyDescent="0.3">
      <c r="H1" s="111" t="s">
        <v>234</v>
      </c>
    </row>
    <row r="2" spans="1:8" s="4" customFormat="1" ht="73.25" customHeight="1" x14ac:dyDescent="0.3">
      <c r="A2" s="452" t="s">
        <v>237</v>
      </c>
      <c r="B2" s="452"/>
      <c r="C2" s="452"/>
      <c r="D2" s="452"/>
      <c r="E2" s="452"/>
      <c r="F2" s="452"/>
      <c r="G2" s="452"/>
      <c r="H2" s="452"/>
    </row>
    <row r="3" spans="1:8" ht="18" thickBot="1" x14ac:dyDescent="0.4">
      <c r="A3" s="567" t="s">
        <v>151</v>
      </c>
      <c r="B3" s="567"/>
      <c r="C3" s="567"/>
      <c r="D3" s="567"/>
      <c r="E3" s="567"/>
      <c r="F3" s="567"/>
      <c r="G3" s="567"/>
      <c r="H3" s="567"/>
    </row>
    <row r="4" spans="1:8" ht="15.5" x14ac:dyDescent="0.35">
      <c r="A4" s="568" t="s">
        <v>152</v>
      </c>
      <c r="B4" s="571" t="s">
        <v>153</v>
      </c>
      <c r="C4" s="572"/>
      <c r="D4" s="572"/>
      <c r="E4" s="572"/>
      <c r="F4" s="572"/>
      <c r="G4" s="572"/>
      <c r="H4" s="573" t="s">
        <v>154</v>
      </c>
    </row>
    <row r="5" spans="1:8" ht="15.5" x14ac:dyDescent="0.35">
      <c r="A5" s="569"/>
      <c r="B5" s="576" t="s">
        <v>11</v>
      </c>
      <c r="C5" s="578" t="s">
        <v>155</v>
      </c>
      <c r="D5" s="578" t="s">
        <v>156</v>
      </c>
      <c r="E5" s="580" t="s">
        <v>9</v>
      </c>
      <c r="F5" s="580"/>
      <c r="G5" s="578" t="s">
        <v>13</v>
      </c>
      <c r="H5" s="574"/>
    </row>
    <row r="6" spans="1:8" ht="27" thickBot="1" x14ac:dyDescent="0.4">
      <c r="A6" s="570"/>
      <c r="B6" s="577"/>
      <c r="C6" s="579"/>
      <c r="D6" s="579"/>
      <c r="E6" s="210" t="s">
        <v>14</v>
      </c>
      <c r="F6" s="211" t="s">
        <v>15</v>
      </c>
      <c r="G6" s="579"/>
      <c r="H6" s="575"/>
    </row>
    <row r="7" spans="1:8" s="31" customFormat="1" ht="18.5" thickBot="1" x14ac:dyDescent="0.3">
      <c r="A7" s="212" t="s">
        <v>157</v>
      </c>
      <c r="B7" s="556"/>
      <c r="C7" s="557"/>
      <c r="D7" s="557"/>
      <c r="E7" s="557"/>
      <c r="F7" s="558"/>
      <c r="G7" s="213">
        <f>G8+G14</f>
        <v>4974</v>
      </c>
      <c r="H7" s="214"/>
    </row>
    <row r="8" spans="1:8" s="31" customFormat="1" ht="17.5" x14ac:dyDescent="0.25">
      <c r="A8" s="559" t="s">
        <v>158</v>
      </c>
      <c r="B8" s="560"/>
      <c r="C8" s="560"/>
      <c r="D8" s="560"/>
      <c r="E8" s="560"/>
      <c r="F8" s="561"/>
      <c r="G8" s="215">
        <f>SUM(G9:G13)</f>
        <v>3734</v>
      </c>
      <c r="H8" s="216"/>
    </row>
    <row r="9" spans="1:8" s="31" customFormat="1" ht="92" customHeight="1" x14ac:dyDescent="0.25">
      <c r="A9" s="217" t="s">
        <v>159</v>
      </c>
      <c r="B9" s="218">
        <f>35*2</f>
        <v>70</v>
      </c>
      <c r="C9" s="219">
        <v>5</v>
      </c>
      <c r="D9" s="219">
        <v>6</v>
      </c>
      <c r="E9" s="562" t="s">
        <v>160</v>
      </c>
      <c r="F9" s="219">
        <v>1</v>
      </c>
      <c r="G9" s="220">
        <f>B9*C9*D9</f>
        <v>2100</v>
      </c>
      <c r="H9" s="221" t="s">
        <v>161</v>
      </c>
    </row>
    <row r="10" spans="1:8" s="31" customFormat="1" ht="92" customHeight="1" x14ac:dyDescent="0.25">
      <c r="A10" s="222" t="s">
        <v>162</v>
      </c>
      <c r="B10" s="223">
        <f>B9</f>
        <v>70</v>
      </c>
      <c r="C10" s="224">
        <v>1</v>
      </c>
      <c r="D10" s="224">
        <v>6</v>
      </c>
      <c r="E10" s="562"/>
      <c r="F10" s="224">
        <v>1</v>
      </c>
      <c r="G10" s="225">
        <f>B10*C10*D10</f>
        <v>420</v>
      </c>
      <c r="H10" s="226" t="s">
        <v>163</v>
      </c>
    </row>
    <row r="11" spans="1:8" s="31" customFormat="1" ht="49" x14ac:dyDescent="0.25">
      <c r="A11" s="222" t="s">
        <v>164</v>
      </c>
      <c r="B11" s="223">
        <v>129</v>
      </c>
      <c r="C11" s="224" t="s">
        <v>16</v>
      </c>
      <c r="D11" s="224">
        <v>6</v>
      </c>
      <c r="E11" s="562"/>
      <c r="F11" s="224">
        <v>1</v>
      </c>
      <c r="G11" s="225">
        <f>B11*D11</f>
        <v>774</v>
      </c>
      <c r="H11" s="226" t="s">
        <v>165</v>
      </c>
    </row>
    <row r="12" spans="1:8" s="31" customFormat="1" ht="31" x14ac:dyDescent="0.25">
      <c r="A12" s="222" t="s">
        <v>166</v>
      </c>
      <c r="B12" s="223">
        <v>14</v>
      </c>
      <c r="C12" s="224" t="s">
        <v>16</v>
      </c>
      <c r="D12" s="224" t="s">
        <v>16</v>
      </c>
      <c r="E12" s="562"/>
      <c r="F12" s="224">
        <v>10</v>
      </c>
      <c r="G12" s="225">
        <f>B12*F12</f>
        <v>140</v>
      </c>
      <c r="H12" s="226" t="s">
        <v>167</v>
      </c>
    </row>
    <row r="13" spans="1:8" s="31" customFormat="1" ht="18.5" thickBot="1" x14ac:dyDescent="0.3">
      <c r="A13" s="227" t="s">
        <v>168</v>
      </c>
      <c r="B13" s="228">
        <v>300</v>
      </c>
      <c r="C13" s="229" t="s">
        <v>16</v>
      </c>
      <c r="D13" s="229" t="s">
        <v>16</v>
      </c>
      <c r="E13" s="563"/>
      <c r="F13" s="229">
        <v>1</v>
      </c>
      <c r="G13" s="230">
        <f>B13</f>
        <v>300</v>
      </c>
      <c r="H13" s="231" t="s">
        <v>169</v>
      </c>
    </row>
    <row r="14" spans="1:8" s="31" customFormat="1" ht="18" x14ac:dyDescent="0.25">
      <c r="A14" s="559" t="s">
        <v>170</v>
      </c>
      <c r="B14" s="560"/>
      <c r="C14" s="560"/>
      <c r="D14" s="560"/>
      <c r="E14" s="560"/>
      <c r="F14" s="561">
        <f>F15</f>
        <v>5</v>
      </c>
      <c r="G14" s="215">
        <f>G15+G16+G17</f>
        <v>1240</v>
      </c>
      <c r="H14" s="232" t="s">
        <v>171</v>
      </c>
    </row>
    <row r="15" spans="1:8" s="31" customFormat="1" ht="62" x14ac:dyDescent="0.25">
      <c r="A15" s="217" t="s">
        <v>172</v>
      </c>
      <c r="B15" s="218">
        <f>B9</f>
        <v>70</v>
      </c>
      <c r="C15" s="219">
        <v>3</v>
      </c>
      <c r="D15" s="219">
        <v>5</v>
      </c>
      <c r="E15" s="562" t="s">
        <v>173</v>
      </c>
      <c r="F15" s="219">
        <v>5</v>
      </c>
      <c r="G15" s="220">
        <f>B15*C15*D15</f>
        <v>1050</v>
      </c>
      <c r="H15" s="221" t="s">
        <v>174</v>
      </c>
    </row>
    <row r="16" spans="1:8" s="31" customFormat="1" ht="31" x14ac:dyDescent="0.25">
      <c r="A16" s="222" t="s">
        <v>175</v>
      </c>
      <c r="B16" s="223">
        <v>26</v>
      </c>
      <c r="C16" s="224" t="s">
        <v>16</v>
      </c>
      <c r="D16" s="224">
        <v>5</v>
      </c>
      <c r="E16" s="562"/>
      <c r="F16" s="224">
        <v>5</v>
      </c>
      <c r="G16" s="225">
        <f>B16*D16</f>
        <v>130</v>
      </c>
      <c r="H16" s="226" t="s">
        <v>176</v>
      </c>
    </row>
    <row r="17" spans="1:8" s="31" customFormat="1" ht="18.5" thickBot="1" x14ac:dyDescent="0.3">
      <c r="A17" s="227" t="s">
        <v>177</v>
      </c>
      <c r="B17" s="233">
        <v>12</v>
      </c>
      <c r="C17" s="229" t="s">
        <v>16</v>
      </c>
      <c r="D17" s="229">
        <v>5</v>
      </c>
      <c r="E17" s="563"/>
      <c r="F17" s="229">
        <v>5</v>
      </c>
      <c r="G17" s="230">
        <f>B17*D17</f>
        <v>60</v>
      </c>
      <c r="H17" s="231" t="s">
        <v>178</v>
      </c>
    </row>
    <row r="18" spans="1:8" s="31" customFormat="1" ht="36" x14ac:dyDescent="0.25">
      <c r="A18" s="564" t="s">
        <v>179</v>
      </c>
      <c r="B18" s="565"/>
      <c r="C18" s="565"/>
      <c r="D18" s="565"/>
      <c r="E18" s="565"/>
      <c r="F18" s="566"/>
      <c r="G18" s="234">
        <f>G19+G20+G21</f>
        <v>4344</v>
      </c>
      <c r="H18" s="235" t="s">
        <v>180</v>
      </c>
    </row>
    <row r="19" spans="1:8" s="31" customFormat="1" ht="89.4" customHeight="1" x14ac:dyDescent="0.25">
      <c r="A19" s="217" t="s">
        <v>181</v>
      </c>
      <c r="B19" s="236">
        <f>B9</f>
        <v>70</v>
      </c>
      <c r="C19" s="237">
        <v>7</v>
      </c>
      <c r="D19" s="237">
        <v>3</v>
      </c>
      <c r="E19" s="237" t="s">
        <v>182</v>
      </c>
      <c r="F19" s="237">
        <v>2</v>
      </c>
      <c r="G19" s="220">
        <f>B19*C19*D19*F19</f>
        <v>2940</v>
      </c>
      <c r="H19" s="221" t="s">
        <v>183</v>
      </c>
    </row>
    <row r="20" spans="1:8" s="31" customFormat="1" ht="89.4" customHeight="1" x14ac:dyDescent="0.25">
      <c r="A20" s="222" t="s">
        <v>184</v>
      </c>
      <c r="B20" s="238">
        <f>B9</f>
        <v>70</v>
      </c>
      <c r="C20" s="239">
        <v>1.5</v>
      </c>
      <c r="D20" s="237">
        <v>3</v>
      </c>
      <c r="E20" s="237" t="s">
        <v>182</v>
      </c>
      <c r="F20" s="237">
        <v>2</v>
      </c>
      <c r="G20" s="220">
        <f>B20*C20*D20*F20</f>
        <v>630</v>
      </c>
      <c r="H20" s="221" t="s">
        <v>185</v>
      </c>
    </row>
    <row r="21" spans="1:8" s="31" customFormat="1" ht="49.5" thickBot="1" x14ac:dyDescent="0.3">
      <c r="A21" s="240" t="s">
        <v>186</v>
      </c>
      <c r="B21" s="241">
        <v>129</v>
      </c>
      <c r="C21" s="242" t="s">
        <v>16</v>
      </c>
      <c r="D21" s="243">
        <v>3</v>
      </c>
      <c r="E21" s="243" t="s">
        <v>182</v>
      </c>
      <c r="F21" s="243">
        <v>2</v>
      </c>
      <c r="G21" s="244">
        <f>B21*D21*F21</f>
        <v>774</v>
      </c>
      <c r="H21" s="245" t="s">
        <v>187</v>
      </c>
    </row>
    <row r="22" spans="1:8" s="31" customFormat="1" ht="18" thickBot="1" x14ac:dyDescent="0.3">
      <c r="A22" s="546" t="s">
        <v>12</v>
      </c>
      <c r="B22" s="547"/>
      <c r="C22" s="547"/>
      <c r="D22" s="547"/>
      <c r="E22" s="547"/>
      <c r="F22" s="548"/>
      <c r="G22" s="246">
        <f>G7+G18</f>
        <v>9318</v>
      </c>
      <c r="H22" s="247"/>
    </row>
    <row r="23" spans="1:8" s="31" customFormat="1" ht="18" thickBot="1" x14ac:dyDescent="0.3">
      <c r="A23" s="549" t="s">
        <v>188</v>
      </c>
      <c r="B23" s="550"/>
      <c r="C23" s="550"/>
      <c r="D23" s="550"/>
      <c r="E23" s="550"/>
      <c r="F23" s="551"/>
      <c r="G23" s="248">
        <f>G22*20%</f>
        <v>1863.6000000000001</v>
      </c>
      <c r="H23" s="249"/>
    </row>
    <row r="24" spans="1:8" s="31" customFormat="1" ht="18" thickBot="1" x14ac:dyDescent="0.3">
      <c r="A24" s="552" t="s">
        <v>10</v>
      </c>
      <c r="B24" s="553"/>
      <c r="C24" s="553"/>
      <c r="D24" s="553"/>
      <c r="E24" s="553"/>
      <c r="F24" s="554"/>
      <c r="G24" s="80">
        <f>G22+G23</f>
        <v>11181.6</v>
      </c>
      <c r="H24" s="250"/>
    </row>
    <row r="25" spans="1:8" s="156" customFormat="1" ht="44.4" customHeight="1" x14ac:dyDescent="0.25">
      <c r="A25" s="555" t="s">
        <v>189</v>
      </c>
      <c r="B25" s="555"/>
      <c r="C25" s="555"/>
      <c r="D25" s="555"/>
      <c r="E25" s="555"/>
      <c r="F25" s="555"/>
      <c r="G25" s="555"/>
      <c r="H25" s="555"/>
    </row>
  </sheetData>
  <mergeCells count="20">
    <mergeCell ref="A2:H2"/>
    <mergeCell ref="A3:H3"/>
    <mergeCell ref="A4:A6"/>
    <mergeCell ref="B4:G4"/>
    <mergeCell ref="H4:H6"/>
    <mergeCell ref="B5:B6"/>
    <mergeCell ref="C5:C6"/>
    <mergeCell ref="D5:D6"/>
    <mergeCell ref="E5:F5"/>
    <mergeCell ref="G5:G6"/>
    <mergeCell ref="A22:F22"/>
    <mergeCell ref="A23:F23"/>
    <mergeCell ref="A24:F24"/>
    <mergeCell ref="A25:H25"/>
    <mergeCell ref="B7:F7"/>
    <mergeCell ref="A8:F8"/>
    <mergeCell ref="E9:E13"/>
    <mergeCell ref="A14:F14"/>
    <mergeCell ref="E15:E17"/>
    <mergeCell ref="A18:F18"/>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pageSetUpPr fitToPage="1"/>
  </sheetPr>
  <dimension ref="A1:I29"/>
  <sheetViews>
    <sheetView zoomScale="90" zoomScaleNormal="90" workbookViewId="0">
      <selection activeCell="J17" sqref="J17"/>
    </sheetView>
  </sheetViews>
  <sheetFormatPr defaultColWidth="8.90625" defaultRowHeight="13" x14ac:dyDescent="0.3"/>
  <cols>
    <col min="1" max="1" width="14.36328125" style="4" customWidth="1"/>
    <col min="2" max="2" width="29.6328125" style="4" customWidth="1"/>
    <col min="3" max="5" width="10.6328125" style="4" customWidth="1"/>
    <col min="6" max="6" width="39.36328125" style="171" customWidth="1"/>
    <col min="7" max="8" width="8.90625" style="4"/>
    <col min="9" max="9" width="9.36328125" style="4" bestFit="1" customWidth="1"/>
    <col min="10" max="16384" width="8.90625" style="4"/>
  </cols>
  <sheetData>
    <row r="1" spans="1:9" x14ac:dyDescent="0.3">
      <c r="A1" s="442" t="s">
        <v>262</v>
      </c>
      <c r="B1" s="442"/>
      <c r="C1" s="442"/>
      <c r="D1" s="442"/>
      <c r="E1" s="442"/>
      <c r="F1" s="442"/>
    </row>
    <row r="2" spans="1:9" ht="28.25" customHeight="1" x14ac:dyDescent="0.3">
      <c r="A2" s="582" t="s">
        <v>114</v>
      </c>
      <c r="B2" s="582"/>
      <c r="C2" s="582"/>
      <c r="D2" s="582"/>
      <c r="E2" s="582"/>
      <c r="F2" s="582"/>
    </row>
    <row r="3" spans="1:9" ht="47.4" customHeight="1" x14ac:dyDescent="0.3">
      <c r="A3" s="581" t="s">
        <v>284</v>
      </c>
      <c r="B3" s="581"/>
      <c r="C3" s="581"/>
      <c r="D3" s="581"/>
      <c r="E3" s="581"/>
      <c r="F3" s="581"/>
    </row>
    <row r="4" spans="1:9" ht="17" customHeight="1" x14ac:dyDescent="0.3">
      <c r="B4" s="156"/>
      <c r="C4" s="157" t="s">
        <v>123</v>
      </c>
      <c r="D4" s="157" t="s">
        <v>89</v>
      </c>
      <c r="E4" s="157" t="s">
        <v>90</v>
      </c>
      <c r="F4" s="158"/>
    </row>
    <row r="5" spans="1:9" ht="17" customHeight="1" x14ac:dyDescent="0.3">
      <c r="B5" s="156" t="s">
        <v>88</v>
      </c>
      <c r="C5" s="159">
        <v>25</v>
      </c>
      <c r="D5" s="160">
        <v>30</v>
      </c>
      <c r="E5" s="159">
        <f>C5*D5</f>
        <v>750</v>
      </c>
      <c r="F5" s="161" t="s">
        <v>91</v>
      </c>
    </row>
    <row r="6" spans="1:9" ht="17" customHeight="1" x14ac:dyDescent="0.3">
      <c r="B6" s="156" t="s">
        <v>93</v>
      </c>
      <c r="C6" s="159">
        <v>10</v>
      </c>
      <c r="D6" s="160">
        <v>30</v>
      </c>
      <c r="E6" s="159">
        <f>C6*D6</f>
        <v>300</v>
      </c>
      <c r="F6" s="161"/>
    </row>
    <row r="7" spans="1:9" ht="189" customHeight="1" x14ac:dyDescent="0.6">
      <c r="B7" s="156" t="s">
        <v>100</v>
      </c>
      <c r="C7" s="159">
        <f>E7/D7</f>
        <v>1.6666666666666667</v>
      </c>
      <c r="D7" s="160">
        <v>30</v>
      </c>
      <c r="E7" s="159">
        <v>50</v>
      </c>
      <c r="F7" s="162" t="s">
        <v>275</v>
      </c>
      <c r="I7" s="163"/>
    </row>
    <row r="8" spans="1:9" ht="17" customHeight="1" x14ac:dyDescent="0.3">
      <c r="B8" s="156" t="s">
        <v>94</v>
      </c>
      <c r="C8" s="159">
        <f>E8/D8</f>
        <v>3</v>
      </c>
      <c r="D8" s="160">
        <v>30</v>
      </c>
      <c r="E8" s="159">
        <v>90</v>
      </c>
      <c r="F8" s="161"/>
    </row>
    <row r="9" spans="1:9" s="164" customFormat="1" ht="17" customHeight="1" x14ac:dyDescent="0.3">
      <c r="B9" s="165" t="s">
        <v>30</v>
      </c>
      <c r="C9" s="166">
        <f>SUM(C5:C8)</f>
        <v>39.666666666666664</v>
      </c>
      <c r="D9" s="167">
        <v>30</v>
      </c>
      <c r="E9" s="166">
        <f>SUM(E5:E8)</f>
        <v>1190</v>
      </c>
      <c r="F9" s="168"/>
    </row>
    <row r="10" spans="1:9" x14ac:dyDescent="0.3">
      <c r="B10" s="156"/>
      <c r="C10" s="159"/>
      <c r="D10" s="160"/>
      <c r="E10" s="159"/>
      <c r="F10" s="161"/>
    </row>
    <row r="11" spans="1:9" x14ac:dyDescent="0.3">
      <c r="B11" s="165" t="s">
        <v>95</v>
      </c>
      <c r="C11" s="166">
        <f>C6+C8+C7+(C5*0.2)</f>
        <v>19.666666666666664</v>
      </c>
      <c r="D11" s="169">
        <v>30</v>
      </c>
      <c r="E11" s="166">
        <f>C11*D11</f>
        <v>589.99999999999989</v>
      </c>
      <c r="F11" s="161" t="s">
        <v>137</v>
      </c>
    </row>
    <row r="12" spans="1:9" x14ac:dyDescent="0.3">
      <c r="C12" s="170"/>
      <c r="D12" s="41"/>
      <c r="E12" s="170"/>
    </row>
    <row r="13" spans="1:9" x14ac:dyDescent="0.3">
      <c r="C13" s="170"/>
      <c r="D13" s="41"/>
      <c r="E13" s="170"/>
    </row>
    <row r="14" spans="1:9" x14ac:dyDescent="0.3">
      <c r="B14" s="4" t="s">
        <v>85</v>
      </c>
      <c r="C14" s="170">
        <v>10</v>
      </c>
      <c r="D14" s="41">
        <v>50</v>
      </c>
      <c r="E14" s="170">
        <f>C14*D14</f>
        <v>500</v>
      </c>
      <c r="F14" s="171" t="s">
        <v>92</v>
      </c>
    </row>
    <row r="16" spans="1:9" ht="41" customHeight="1" x14ac:dyDescent="0.3">
      <c r="A16" s="172"/>
      <c r="B16" s="173" t="s">
        <v>144</v>
      </c>
      <c r="C16" s="174">
        <f>($C$9*100*30)+($C$11*2*50*30)</f>
        <v>178000</v>
      </c>
      <c r="F16" s="175" t="s">
        <v>96</v>
      </c>
    </row>
    <row r="17" spans="1:6" ht="83" customHeight="1" x14ac:dyDescent="0.3">
      <c r="A17" s="172"/>
      <c r="B17" s="176" t="s">
        <v>259</v>
      </c>
      <c r="C17" s="174">
        <f>14*$E$14</f>
        <v>7000</v>
      </c>
      <c r="F17" s="175" t="s">
        <v>260</v>
      </c>
    </row>
    <row r="18" spans="1:6" x14ac:dyDescent="0.3">
      <c r="A18" s="172"/>
      <c r="B18" s="177" t="s">
        <v>97</v>
      </c>
      <c r="C18" s="178">
        <f>(C16+C17)*1.2</f>
        <v>222000</v>
      </c>
      <c r="D18" s="171" t="s">
        <v>106</v>
      </c>
    </row>
    <row r="19" spans="1:6" x14ac:dyDescent="0.3">
      <c r="A19" s="172"/>
      <c r="B19" s="172"/>
      <c r="C19" s="172"/>
    </row>
    <row r="20" spans="1:6" ht="27.65" customHeight="1" x14ac:dyDescent="0.3">
      <c r="A20" s="583" t="s">
        <v>145</v>
      </c>
      <c r="B20" s="583"/>
      <c r="C20" s="583"/>
      <c r="D20" s="583"/>
      <c r="E20" s="583"/>
      <c r="F20" s="583"/>
    </row>
    <row r="22" spans="1:6" x14ac:dyDescent="0.3">
      <c r="A22" s="172"/>
      <c r="B22" s="173" t="s">
        <v>99</v>
      </c>
      <c r="C22" s="174">
        <f>($C$9*10*150)+($C$11*5*2*150)</f>
        <v>88999.999999999985</v>
      </c>
    </row>
    <row r="23" spans="1:6" ht="25.25" customHeight="1" x14ac:dyDescent="0.3">
      <c r="A23" s="172"/>
      <c r="B23" s="333" t="s">
        <v>261</v>
      </c>
      <c r="C23" s="174">
        <f>2*35*C14</f>
        <v>700</v>
      </c>
      <c r="F23" s="171" t="s">
        <v>98</v>
      </c>
    </row>
    <row r="24" spans="1:6" x14ac:dyDescent="0.3">
      <c r="A24" s="172"/>
      <c r="B24" s="177" t="s">
        <v>97</v>
      </c>
      <c r="C24" s="178">
        <f>(C22+C23)*1.2</f>
        <v>107639.99999999999</v>
      </c>
      <c r="D24" s="171" t="s">
        <v>106</v>
      </c>
    </row>
    <row r="25" spans="1:6" x14ac:dyDescent="0.3">
      <c r="A25" s="172"/>
      <c r="B25" s="172"/>
      <c r="C25" s="172"/>
    </row>
    <row r="27" spans="1:6" x14ac:dyDescent="0.3">
      <c r="C27" s="179">
        <f>C18+C24</f>
        <v>329640</v>
      </c>
      <c r="D27" s="171" t="s">
        <v>106</v>
      </c>
    </row>
    <row r="29" spans="1:6" x14ac:dyDescent="0.3">
      <c r="A29" s="30" t="s">
        <v>285</v>
      </c>
    </row>
  </sheetData>
  <mergeCells count="4">
    <mergeCell ref="A3:F3"/>
    <mergeCell ref="A2:F2"/>
    <mergeCell ref="A1:F1"/>
    <mergeCell ref="A20:F20"/>
  </mergeCells>
  <pageMargins left="0.7" right="0.7" top="0.75" bottom="0.75" header="0.3" footer="0.3"/>
  <pageSetup fitToHeight="0" orientation="landscape"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79998168889431442"/>
    <pageSetUpPr fitToPage="1"/>
  </sheetPr>
  <dimension ref="A1:L18"/>
  <sheetViews>
    <sheetView zoomScale="80" zoomScaleNormal="80" workbookViewId="0">
      <selection activeCell="T27" sqref="T27"/>
    </sheetView>
  </sheetViews>
  <sheetFormatPr defaultColWidth="8.90625" defaultRowHeight="13" x14ac:dyDescent="0.3"/>
  <cols>
    <col min="1" max="1" width="8.90625" style="4"/>
    <col min="2" max="2" width="9.6328125" style="4" customWidth="1"/>
    <col min="3" max="6" width="8.90625" style="4"/>
    <col min="7" max="7" width="12.08984375" style="4" customWidth="1"/>
    <col min="8" max="8" width="9" style="4" bestFit="1" customWidth="1"/>
    <col min="9" max="9" width="9.08984375" style="164" bestFit="1" customWidth="1"/>
    <col min="10" max="10" width="8.90625" style="192"/>
    <col min="11" max="16384" width="8.90625" style="4"/>
  </cols>
  <sheetData>
    <row r="1" spans="1:12" x14ac:dyDescent="0.3">
      <c r="A1" s="585" t="s">
        <v>267</v>
      </c>
      <c r="B1" s="585"/>
      <c r="C1" s="585"/>
      <c r="D1" s="585"/>
      <c r="E1" s="585"/>
      <c r="F1" s="585"/>
      <c r="G1" s="585"/>
      <c r="H1" s="585"/>
      <c r="I1" s="585"/>
      <c r="J1" s="585"/>
      <c r="K1" s="585"/>
    </row>
    <row r="2" spans="1:12" ht="39" customHeight="1" x14ac:dyDescent="0.3">
      <c r="A2" s="586" t="str">
        <f>'2.1.Kdz'!A2</f>
        <v>Tiesību akta projekta "Grozījumi Ministru kabineta 2014. gada 23. decembra noteikumos Nr. 790 "Sociālās rehabilitācijas pakalpojumu sniegšanas kārtība no vardarbības cietušām un vardarbību veikušām pilngadīgām personām"" sākotnējās ietekmes (ex-ante) novērtējuma ziņojumam (anotācijai)</v>
      </c>
      <c r="B2" s="586"/>
      <c r="C2" s="586"/>
      <c r="D2" s="586"/>
      <c r="E2" s="586"/>
      <c r="F2" s="586"/>
      <c r="G2" s="586"/>
      <c r="H2" s="586"/>
      <c r="I2" s="586"/>
      <c r="J2" s="586"/>
      <c r="K2" s="586"/>
    </row>
    <row r="3" spans="1:12" ht="24.65" customHeight="1" x14ac:dyDescent="0.3">
      <c r="A3" s="587" t="s">
        <v>266</v>
      </c>
      <c r="B3" s="587"/>
      <c r="C3" s="587"/>
      <c r="D3" s="587"/>
      <c r="E3" s="587"/>
      <c r="F3" s="587"/>
      <c r="G3" s="587"/>
      <c r="H3" s="587"/>
      <c r="I3" s="587"/>
      <c r="J3" s="587"/>
      <c r="K3" s="587"/>
    </row>
    <row r="4" spans="1:12" ht="24.65" customHeight="1" x14ac:dyDescent="0.3">
      <c r="A4" s="590" t="s">
        <v>132</v>
      </c>
      <c r="B4" s="590"/>
      <c r="C4" s="590"/>
      <c r="D4" s="590"/>
      <c r="E4" s="590"/>
      <c r="F4" s="590"/>
      <c r="G4" s="590"/>
      <c r="H4" s="590"/>
      <c r="I4" s="590"/>
      <c r="J4" s="590"/>
      <c r="K4" s="590"/>
    </row>
    <row r="5" spans="1:12" s="13" customFormat="1" ht="10.5" x14ac:dyDescent="0.25">
      <c r="B5" s="182" t="s">
        <v>117</v>
      </c>
      <c r="I5" s="182"/>
      <c r="J5" s="182"/>
    </row>
    <row r="6" spans="1:12" s="183" customFormat="1" ht="42" x14ac:dyDescent="0.25">
      <c r="C6" s="184" t="s">
        <v>141</v>
      </c>
      <c r="D6" s="185" t="s">
        <v>124</v>
      </c>
      <c r="E6" s="185" t="s">
        <v>102</v>
      </c>
      <c r="F6" s="185" t="s">
        <v>140</v>
      </c>
      <c r="G6" s="185" t="s">
        <v>115</v>
      </c>
      <c r="H6" s="185" t="s">
        <v>116</v>
      </c>
      <c r="I6" s="184" t="s">
        <v>30</v>
      </c>
      <c r="J6" s="186"/>
    </row>
    <row r="7" spans="1:12" x14ac:dyDescent="0.3">
      <c r="C7" s="17">
        <v>8</v>
      </c>
      <c r="D7" s="187">
        <f>120-20</f>
        <v>100</v>
      </c>
      <c r="E7" s="188">
        <f>'1.1.cietušās_p_līdz_30.06.2023'!B15+'1.1.cietušās_p_līdz_30.06.2023'!B16</f>
        <v>37.29</v>
      </c>
      <c r="F7" s="188">
        <v>7</v>
      </c>
      <c r="G7" s="189">
        <f>(E7+F7)*D7*C7</f>
        <v>35432</v>
      </c>
      <c r="H7" s="189">
        <f>G7*0.2</f>
        <v>7086.4000000000005</v>
      </c>
      <c r="I7" s="190">
        <f>ROUND(G7+H7,0)</f>
        <v>42518</v>
      </c>
      <c r="J7" s="191" t="str">
        <f>J14</f>
        <v>EKK7000</v>
      </c>
      <c r="L7" s="30"/>
    </row>
    <row r="8" spans="1:12" x14ac:dyDescent="0.3">
      <c r="B8" s="171" t="s">
        <v>118</v>
      </c>
    </row>
    <row r="9" spans="1:12" x14ac:dyDescent="0.3">
      <c r="B9" s="171" t="s">
        <v>142</v>
      </c>
    </row>
    <row r="10" spans="1:12" ht="42" customHeight="1" x14ac:dyDescent="0.3">
      <c r="B10" s="588" t="s">
        <v>143</v>
      </c>
      <c r="C10" s="588"/>
      <c r="D10" s="588"/>
      <c r="E10" s="588"/>
      <c r="F10" s="588"/>
      <c r="G10" s="588"/>
      <c r="H10" s="588"/>
      <c r="I10" s="588"/>
      <c r="J10" s="588"/>
      <c r="K10" s="588"/>
    </row>
    <row r="12" spans="1:12" s="13" customFormat="1" ht="10.5" x14ac:dyDescent="0.25">
      <c r="B12" s="182" t="s">
        <v>119</v>
      </c>
      <c r="I12" s="182"/>
      <c r="J12" s="182"/>
    </row>
    <row r="13" spans="1:12" ht="21.5" x14ac:dyDescent="0.3">
      <c r="C13" s="184" t="s">
        <v>101</v>
      </c>
      <c r="D13" s="185" t="s">
        <v>125</v>
      </c>
      <c r="E13" s="185" t="s">
        <v>105</v>
      </c>
      <c r="F13" s="185" t="s">
        <v>103</v>
      </c>
      <c r="G13" s="185" t="s">
        <v>64</v>
      </c>
      <c r="H13" s="185" t="s">
        <v>104</v>
      </c>
      <c r="I13" s="184" t="s">
        <v>30</v>
      </c>
    </row>
    <row r="14" spans="1:12" x14ac:dyDescent="0.3">
      <c r="C14" s="17">
        <v>2</v>
      </c>
      <c r="D14" s="187">
        <f>180-60</f>
        <v>120</v>
      </c>
      <c r="E14" s="188">
        <f>'1.1.1.cietušie_pak_KC'!G14</f>
        <v>52</v>
      </c>
      <c r="F14" s="188">
        <v>0</v>
      </c>
      <c r="G14" s="193">
        <f>(E14+F14)*D14*C14</f>
        <v>12480</v>
      </c>
      <c r="H14" s="193">
        <f>G14*0.2</f>
        <v>2496</v>
      </c>
      <c r="I14" s="190">
        <f>ROUND(G14+H14,0)</f>
        <v>14976</v>
      </c>
      <c r="J14" s="191" t="s">
        <v>121</v>
      </c>
    </row>
    <row r="15" spans="1:12" s="48" customFormat="1" ht="13.5" x14ac:dyDescent="0.35">
      <c r="B15" s="194" t="s">
        <v>120</v>
      </c>
      <c r="C15" s="195">
        <v>1</v>
      </c>
      <c r="D15" s="196">
        <f>D14</f>
        <v>120</v>
      </c>
      <c r="E15" s="197">
        <f>'1.1.1.cietušie_pak_KC'!G11</f>
        <v>32.24</v>
      </c>
      <c r="F15" s="197">
        <v>0</v>
      </c>
      <c r="G15" s="198">
        <f>(E15+F15)*D15*C15</f>
        <v>3868.8</v>
      </c>
      <c r="H15" s="198">
        <f>G15*0.2</f>
        <v>773.7600000000001</v>
      </c>
      <c r="I15" s="199">
        <f>ROUND(G15+H15,0)</f>
        <v>4643</v>
      </c>
      <c r="J15" s="191" t="s">
        <v>121</v>
      </c>
    </row>
    <row r="17" spans="2:11" ht="15.5" x14ac:dyDescent="0.35">
      <c r="C17" s="584" t="s">
        <v>122</v>
      </c>
      <c r="D17" s="584"/>
      <c r="E17" s="584"/>
      <c r="F17" s="584"/>
      <c r="G17" s="584"/>
      <c r="H17" s="584"/>
      <c r="I17" s="200">
        <f>I7+I14+I15</f>
        <v>62137</v>
      </c>
      <c r="J17" s="201"/>
      <c r="K17" s="202"/>
    </row>
    <row r="18" spans="2:11" ht="99.65" customHeight="1" x14ac:dyDescent="0.3">
      <c r="B18" s="588" t="s">
        <v>272</v>
      </c>
      <c r="C18" s="589"/>
      <c r="D18" s="589"/>
      <c r="E18" s="589"/>
      <c r="F18" s="589"/>
      <c r="G18" s="589"/>
      <c r="H18" s="589"/>
      <c r="I18" s="589"/>
      <c r="J18" s="589"/>
    </row>
  </sheetData>
  <mergeCells count="7">
    <mergeCell ref="C17:H17"/>
    <mergeCell ref="A1:K1"/>
    <mergeCell ref="A2:K2"/>
    <mergeCell ref="A3:K3"/>
    <mergeCell ref="B18:J18"/>
    <mergeCell ref="A4:K4"/>
    <mergeCell ref="B10:K10"/>
  </mergeCells>
  <pageMargins left="0.7" right="0.7" top="0.75" bottom="0.75" header="0.3" footer="0.3"/>
  <pageSetup scale="94" fitToHeight="0"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39997558519241921"/>
  </sheetPr>
  <dimension ref="A1:Q37"/>
  <sheetViews>
    <sheetView zoomScale="50" zoomScaleNormal="50" zoomScalePageLayoutView="70" workbookViewId="0">
      <pane ySplit="8" topLeftCell="A9" activePane="bottomLeft" state="frozen"/>
      <selection pane="bottomLeft" activeCell="K7" sqref="K7:K8"/>
    </sheetView>
  </sheetViews>
  <sheetFormatPr defaultColWidth="8.90625" defaultRowHeight="13" x14ac:dyDescent="0.3"/>
  <cols>
    <col min="1" max="1" width="57.6328125" style="181" customWidth="1"/>
    <col min="2" max="3" width="18" style="4" customWidth="1"/>
    <col min="4" max="4" width="18" style="181" customWidth="1"/>
    <col min="5" max="6" width="18" style="4" customWidth="1"/>
    <col min="7" max="7" width="18" style="48" customWidth="1"/>
    <col min="8" max="8" width="8.90625" style="4"/>
    <col min="9" max="9" width="57.6328125" style="181" customWidth="1"/>
    <col min="10" max="11" width="18" style="4" customWidth="1"/>
    <col min="12" max="12" width="18" style="181" customWidth="1"/>
    <col min="13" max="14" width="18" style="4" customWidth="1"/>
    <col min="15" max="15" width="18" style="48" customWidth="1"/>
    <col min="16" max="16" width="8.90625" style="4"/>
    <col min="17" max="17" width="15.6328125" style="4" customWidth="1"/>
    <col min="18" max="16384" width="8.90625" style="4"/>
  </cols>
  <sheetData>
    <row r="1" spans="1:17" s="30" customFormat="1" x14ac:dyDescent="0.3">
      <c r="A1" s="597" t="s">
        <v>273</v>
      </c>
      <c r="B1" s="597"/>
      <c r="C1" s="597"/>
      <c r="D1" s="597"/>
      <c r="E1" s="597"/>
      <c r="F1" s="597"/>
      <c r="G1" s="597"/>
      <c r="H1" s="597"/>
      <c r="I1" s="597"/>
      <c r="J1" s="597"/>
      <c r="K1" s="597"/>
      <c r="L1" s="597"/>
      <c r="M1" s="597"/>
      <c r="N1" s="597"/>
      <c r="O1" s="597"/>
      <c r="P1" s="597"/>
      <c r="Q1" s="597"/>
    </row>
    <row r="2" spans="1:17" s="30" customFormat="1" ht="31.25" customHeight="1" x14ac:dyDescent="0.3">
      <c r="A2" s="452" t="str">
        <f>'2.2.augsts_vardarb_risks'!A2</f>
        <v>Tiesību akta projekta "Grozījumi Ministru kabineta 2014. gada 23. decembra noteikumos Nr. 790 "Sociālās rehabilitācijas pakalpojumu sniegšanas kārtība no vardarbības cietušām un vardarbību veikušām pilngadīgām personām"" sākotnējās ietekmes (ex-ante) novērtējuma ziņojumam (anotācijai)</v>
      </c>
      <c r="B2" s="452"/>
      <c r="C2" s="452"/>
      <c r="D2" s="452"/>
      <c r="E2" s="452"/>
      <c r="F2" s="452"/>
      <c r="G2" s="452"/>
      <c r="H2" s="452"/>
      <c r="I2" s="452"/>
      <c r="J2" s="452"/>
      <c r="K2" s="452"/>
      <c r="L2" s="452"/>
      <c r="M2" s="452"/>
      <c r="N2" s="452"/>
      <c r="O2" s="452"/>
      <c r="P2" s="452"/>
      <c r="Q2" s="452"/>
    </row>
    <row r="3" spans="1:17" s="376" customFormat="1" ht="41.75" customHeight="1" x14ac:dyDescent="0.4">
      <c r="A3" s="598" t="str">
        <f>'3.1.ārzemnieks_KC_cena'!A3</f>
        <v>Izmaksu aprēķins 30 dienu kursam ar izmitināšu institūcijā no vardarbības cietušas pilngadīgas personas sociālai rehabilitācijai
 (SPSPL 3. panta (8) daļa)*</v>
      </c>
      <c r="B3" s="598"/>
      <c r="C3" s="598"/>
      <c r="D3" s="598"/>
      <c r="E3" s="598"/>
      <c r="F3" s="598"/>
      <c r="G3" s="598"/>
      <c r="H3" s="598"/>
      <c r="I3" s="598"/>
      <c r="J3" s="598"/>
      <c r="K3" s="598"/>
      <c r="L3" s="598"/>
      <c r="M3" s="598"/>
      <c r="N3" s="598"/>
      <c r="O3" s="598"/>
      <c r="P3" s="598"/>
      <c r="Q3" s="598"/>
    </row>
    <row r="4" spans="1:17" s="1" customFormat="1" ht="84.65" customHeight="1" x14ac:dyDescent="0.4">
      <c r="A4" s="599" t="s">
        <v>276</v>
      </c>
      <c r="B4" s="599"/>
      <c r="C4" s="599"/>
      <c r="D4" s="599"/>
      <c r="E4" s="599"/>
      <c r="F4" s="599"/>
      <c r="G4" s="599"/>
      <c r="H4" s="599"/>
      <c r="I4" s="599"/>
      <c r="J4" s="599"/>
      <c r="K4" s="599"/>
      <c r="L4" s="599"/>
      <c r="M4" s="599"/>
      <c r="N4" s="599"/>
      <c r="O4" s="599"/>
      <c r="P4" s="599"/>
      <c r="Q4" s="599"/>
    </row>
    <row r="5" spans="1:17" s="1" customFormat="1" ht="37.25" customHeight="1" thickBot="1" x14ac:dyDescent="0.45">
      <c r="A5" s="601" t="s">
        <v>278</v>
      </c>
      <c r="B5" s="601"/>
      <c r="C5" s="601"/>
      <c r="D5" s="601"/>
      <c r="E5" s="601"/>
      <c r="F5" s="601"/>
      <c r="G5" s="601"/>
      <c r="H5" s="377"/>
      <c r="I5" s="377"/>
      <c r="J5" s="377"/>
      <c r="K5" s="377"/>
      <c r="L5" s="377"/>
      <c r="M5" s="377"/>
      <c r="N5" s="377"/>
      <c r="O5" s="377"/>
    </row>
    <row r="6" spans="1:17" s="180" customFormat="1" ht="14.25" customHeight="1" x14ac:dyDescent="0.3">
      <c r="A6" s="461" t="s">
        <v>35</v>
      </c>
      <c r="B6" s="456" t="s">
        <v>31</v>
      </c>
      <c r="C6" s="457"/>
      <c r="D6" s="457"/>
      <c r="E6" s="457"/>
      <c r="F6" s="457"/>
      <c r="G6" s="458"/>
      <c r="I6" s="461" t="s">
        <v>35</v>
      </c>
      <c r="J6" s="456" t="s">
        <v>31</v>
      </c>
      <c r="K6" s="457"/>
      <c r="L6" s="457"/>
      <c r="M6" s="457"/>
      <c r="N6" s="457"/>
      <c r="O6" s="458"/>
      <c r="Q6" s="592" t="s">
        <v>279</v>
      </c>
    </row>
    <row r="7" spans="1:17" s="180" customFormat="1" ht="19.5" customHeight="1" x14ac:dyDescent="0.3">
      <c r="A7" s="462"/>
      <c r="B7" s="459" t="s">
        <v>11</v>
      </c>
      <c r="C7" s="459" t="s">
        <v>281</v>
      </c>
      <c r="D7" s="464" t="s">
        <v>9</v>
      </c>
      <c r="E7" s="465"/>
      <c r="F7" s="459" t="s">
        <v>13</v>
      </c>
      <c r="G7" s="594" t="s">
        <v>69</v>
      </c>
      <c r="I7" s="462"/>
      <c r="J7" s="459" t="s">
        <v>11</v>
      </c>
      <c r="K7" s="459" t="s">
        <v>281</v>
      </c>
      <c r="L7" s="464" t="s">
        <v>9</v>
      </c>
      <c r="M7" s="465"/>
      <c r="N7" s="459" t="s">
        <v>13</v>
      </c>
      <c r="O7" s="594" t="s">
        <v>69</v>
      </c>
      <c r="Q7" s="593"/>
    </row>
    <row r="8" spans="1:17" s="180" customFormat="1" ht="60.65" customHeight="1" thickBot="1" x14ac:dyDescent="0.35">
      <c r="A8" s="463"/>
      <c r="B8" s="460"/>
      <c r="C8" s="460"/>
      <c r="D8" s="8" t="s">
        <v>14</v>
      </c>
      <c r="E8" s="8" t="s">
        <v>15</v>
      </c>
      <c r="F8" s="460"/>
      <c r="G8" s="595"/>
      <c r="I8" s="463"/>
      <c r="J8" s="460"/>
      <c r="K8" s="460"/>
      <c r="L8" s="8" t="s">
        <v>14</v>
      </c>
      <c r="M8" s="8" t="s">
        <v>15</v>
      </c>
      <c r="N8" s="460"/>
      <c r="O8" s="595"/>
      <c r="Q8" s="593"/>
    </row>
    <row r="9" spans="1:17" s="14" customFormat="1" ht="23.25" customHeight="1" thickBot="1" x14ac:dyDescent="0.4">
      <c r="A9" s="476" t="s">
        <v>43</v>
      </c>
      <c r="B9" s="477"/>
      <c r="C9" s="477"/>
      <c r="D9" s="477"/>
      <c r="E9" s="591"/>
      <c r="F9" s="477"/>
      <c r="G9" s="477"/>
      <c r="I9" s="476" t="s">
        <v>43</v>
      </c>
      <c r="J9" s="477"/>
      <c r="K9" s="477"/>
      <c r="L9" s="477"/>
      <c r="M9" s="591"/>
      <c r="N9" s="477"/>
      <c r="O9" s="477"/>
      <c r="Q9" s="391"/>
    </row>
    <row r="10" spans="1:17" s="14" customFormat="1" ht="39.65" customHeight="1" thickBot="1" x14ac:dyDescent="0.3">
      <c r="A10" s="466" t="s">
        <v>32</v>
      </c>
      <c r="B10" s="467"/>
      <c r="C10" s="467"/>
      <c r="D10" s="467"/>
      <c r="E10" s="129">
        <f>E11+E15</f>
        <v>8</v>
      </c>
      <c r="F10" s="128">
        <f>F11+F15</f>
        <v>17377.8</v>
      </c>
      <c r="G10" s="148">
        <f>G11+G15</f>
        <v>5940.2</v>
      </c>
      <c r="I10" s="466" t="s">
        <v>32</v>
      </c>
      <c r="J10" s="467"/>
      <c r="K10" s="467"/>
      <c r="L10" s="467"/>
      <c r="M10" s="129">
        <f>M11+M15</f>
        <v>8</v>
      </c>
      <c r="N10" s="128">
        <f>N11+N15</f>
        <v>22102.9</v>
      </c>
      <c r="O10" s="148">
        <f>O11+O15</f>
        <v>7133.3</v>
      </c>
      <c r="Q10" s="381">
        <f>Q11+Q15</f>
        <v>4725.1000000000004</v>
      </c>
    </row>
    <row r="11" spans="1:17" s="14" customFormat="1" ht="23.25" customHeight="1" x14ac:dyDescent="0.25">
      <c r="A11" s="469" t="s">
        <v>19</v>
      </c>
      <c r="B11" s="470"/>
      <c r="C11" s="470"/>
      <c r="D11" s="471"/>
      <c r="E11" s="5">
        <f>E12</f>
        <v>3</v>
      </c>
      <c r="F11" s="6">
        <f>F12+F13+F14</f>
        <v>13228.8</v>
      </c>
      <c r="G11" s="112">
        <f>G13+G14</f>
        <v>5054.3999999999996</v>
      </c>
      <c r="I11" s="469" t="s">
        <v>19</v>
      </c>
      <c r="J11" s="470"/>
      <c r="K11" s="470"/>
      <c r="L11" s="471"/>
      <c r="M11" s="5">
        <f>M12</f>
        <v>3</v>
      </c>
      <c r="N11" s="6">
        <f>N12+N13+N14</f>
        <v>14879.400000000001</v>
      </c>
      <c r="O11" s="112">
        <f>O13+O14</f>
        <v>5604.6</v>
      </c>
      <c r="Q11" s="382">
        <f>Q12+Q13+Q14</f>
        <v>1650.6000000000004</v>
      </c>
    </row>
    <row r="12" spans="1:17" s="14" customFormat="1" ht="34.25" customHeight="1" x14ac:dyDescent="0.25">
      <c r="A12" s="52" t="s">
        <v>23</v>
      </c>
      <c r="B12" s="53">
        <f>'1.1.cietušās_p_līdz_30.06.2023'!B10</f>
        <v>52</v>
      </c>
      <c r="C12" s="56">
        <v>30</v>
      </c>
      <c r="D12" s="473" t="s">
        <v>61</v>
      </c>
      <c r="E12" s="58">
        <v>3</v>
      </c>
      <c r="F12" s="59">
        <f>E12*C12*B12</f>
        <v>4680</v>
      </c>
      <c r="G12" s="113">
        <f>B12*30</f>
        <v>1560</v>
      </c>
      <c r="I12" s="52" t="s">
        <v>23</v>
      </c>
      <c r="J12" s="53">
        <f>'3.1.ārzemnieks_KC_cena'!G16</f>
        <v>61.17</v>
      </c>
      <c r="K12" s="56">
        <v>30</v>
      </c>
      <c r="L12" s="473" t="s">
        <v>61</v>
      </c>
      <c r="M12" s="58">
        <v>3</v>
      </c>
      <c r="N12" s="59">
        <f>M12*K12*J12</f>
        <v>5505.3</v>
      </c>
      <c r="O12" s="113">
        <f>J12*30</f>
        <v>1835.1000000000001</v>
      </c>
      <c r="Q12" s="383">
        <f>N12-F12</f>
        <v>825.30000000000018</v>
      </c>
    </row>
    <row r="13" spans="1:17" s="14" customFormat="1" ht="39" customHeight="1" x14ac:dyDescent="0.25">
      <c r="A13" s="52" t="s">
        <v>34</v>
      </c>
      <c r="B13" s="53">
        <f>B12</f>
        <v>52</v>
      </c>
      <c r="C13" s="56">
        <v>30</v>
      </c>
      <c r="D13" s="474"/>
      <c r="E13" s="58">
        <v>3</v>
      </c>
      <c r="F13" s="59">
        <f>E13*C13*B13</f>
        <v>4680</v>
      </c>
      <c r="G13" s="113">
        <f>B13*60</f>
        <v>3120</v>
      </c>
      <c r="I13" s="52" t="s">
        <v>34</v>
      </c>
      <c r="J13" s="53">
        <f>J12</f>
        <v>61.17</v>
      </c>
      <c r="K13" s="56">
        <v>30</v>
      </c>
      <c r="L13" s="474"/>
      <c r="M13" s="58">
        <v>3</v>
      </c>
      <c r="N13" s="59">
        <f>M13*K13*J13</f>
        <v>5505.3</v>
      </c>
      <c r="O13" s="113">
        <f>J13*60</f>
        <v>3670.2000000000003</v>
      </c>
      <c r="Q13" s="383">
        <f>N13-F13</f>
        <v>825.30000000000018</v>
      </c>
    </row>
    <row r="14" spans="1:17" s="14" customFormat="1" ht="34.25" customHeight="1" thickBot="1" x14ac:dyDescent="0.3">
      <c r="A14" s="54" t="s">
        <v>60</v>
      </c>
      <c r="B14" s="55">
        <f>'1.1.cietušās_p_līdz_30.06.2023'!B12</f>
        <v>32.24</v>
      </c>
      <c r="C14" s="57">
        <v>60</v>
      </c>
      <c r="D14" s="475"/>
      <c r="E14" s="61">
        <v>2</v>
      </c>
      <c r="F14" s="62">
        <f>E14*C14*B14</f>
        <v>3868.8</v>
      </c>
      <c r="G14" s="114">
        <f>B14*60</f>
        <v>1934.4</v>
      </c>
      <c r="I14" s="54" t="s">
        <v>60</v>
      </c>
      <c r="J14" s="55">
        <f>'1.1.cietušās_p_līdz_30.06.2023'!B12</f>
        <v>32.24</v>
      </c>
      <c r="K14" s="57">
        <v>60</v>
      </c>
      <c r="L14" s="475"/>
      <c r="M14" s="61">
        <v>2</v>
      </c>
      <c r="N14" s="62">
        <f>M14*K14*J14</f>
        <v>3868.8</v>
      </c>
      <c r="O14" s="114">
        <f>J14*60</f>
        <v>1934.4</v>
      </c>
      <c r="Q14" s="383">
        <f>N14-F14</f>
        <v>0</v>
      </c>
    </row>
    <row r="15" spans="1:17" s="14" customFormat="1" ht="39.75" customHeight="1" x14ac:dyDescent="0.25">
      <c r="A15" s="469" t="s">
        <v>33</v>
      </c>
      <c r="B15" s="470"/>
      <c r="C15" s="470"/>
      <c r="D15" s="471"/>
      <c r="E15" s="5">
        <f>E16</f>
        <v>5</v>
      </c>
      <c r="F15" s="64">
        <f>F16+F21</f>
        <v>4149</v>
      </c>
      <c r="G15" s="115">
        <f>G16+G21</f>
        <v>885.8</v>
      </c>
      <c r="I15" s="469" t="s">
        <v>33</v>
      </c>
      <c r="J15" s="470"/>
      <c r="K15" s="470"/>
      <c r="L15" s="471"/>
      <c r="M15" s="5">
        <f>M16</f>
        <v>5</v>
      </c>
      <c r="N15" s="64">
        <f>N16+N21</f>
        <v>7223.5</v>
      </c>
      <c r="O15" s="115">
        <f>O16+O21</f>
        <v>1528.7</v>
      </c>
      <c r="Q15" s="384">
        <f>Q16+Q21</f>
        <v>3074.5</v>
      </c>
    </row>
    <row r="16" spans="1:17" s="14" customFormat="1" ht="17.5" x14ac:dyDescent="0.25">
      <c r="A16" s="65" t="s">
        <v>282</v>
      </c>
      <c r="B16" s="66"/>
      <c r="C16" s="67"/>
      <c r="D16" s="68"/>
      <c r="E16" s="67">
        <f>E17</f>
        <v>5</v>
      </c>
      <c r="F16" s="69">
        <f>F17+F20+F18+F19</f>
        <v>2214.5</v>
      </c>
      <c r="G16" s="116">
        <f>G17+G20+G18+G19</f>
        <v>442.9</v>
      </c>
      <c r="I16" s="65" t="str">
        <f>A16</f>
        <v>1.2.1. konsultācijas, stundas</v>
      </c>
      <c r="J16" s="66"/>
      <c r="K16" s="67"/>
      <c r="L16" s="68"/>
      <c r="M16" s="67">
        <f>M17</f>
        <v>5</v>
      </c>
      <c r="N16" s="69">
        <f>N17+N20+N18+N19</f>
        <v>3821.75</v>
      </c>
      <c r="O16" s="116">
        <f>O17+O20+O18+O19</f>
        <v>764.35</v>
      </c>
      <c r="Q16" s="385">
        <f>Q17+Q20+Q18+Q19</f>
        <v>1607.25</v>
      </c>
    </row>
    <row r="17" spans="1:17" s="14" customFormat="1" ht="77.400000000000006" customHeight="1" x14ac:dyDescent="0.25">
      <c r="A17" s="52" t="s">
        <v>86</v>
      </c>
      <c r="B17" s="53">
        <v>35</v>
      </c>
      <c r="C17" s="332">
        <v>10</v>
      </c>
      <c r="D17" s="492" t="s">
        <v>87</v>
      </c>
      <c r="E17" s="56">
        <v>5</v>
      </c>
      <c r="F17" s="85">
        <f>E17*C17*B17</f>
        <v>1750</v>
      </c>
      <c r="G17" s="117">
        <f>B17*C17</f>
        <v>350</v>
      </c>
      <c r="I17" s="52" t="s">
        <v>86</v>
      </c>
      <c r="J17" s="53">
        <v>35</v>
      </c>
      <c r="K17" s="332">
        <f>10+5</f>
        <v>15</v>
      </c>
      <c r="L17" s="492" t="s">
        <v>87</v>
      </c>
      <c r="M17" s="56">
        <v>5</v>
      </c>
      <c r="N17" s="85">
        <f>M17*K17*J17</f>
        <v>2625</v>
      </c>
      <c r="O17" s="117">
        <f>J17*K17</f>
        <v>525</v>
      </c>
      <c r="Q17" s="383">
        <f>N17-F17</f>
        <v>875</v>
      </c>
    </row>
    <row r="18" spans="1:17" s="14" customFormat="1" ht="58.25" customHeight="1" x14ac:dyDescent="0.25">
      <c r="A18" s="52" t="s">
        <v>67</v>
      </c>
      <c r="B18" s="53">
        <v>2.29</v>
      </c>
      <c r="C18" s="56">
        <f>C17</f>
        <v>10</v>
      </c>
      <c r="D18" s="493"/>
      <c r="E18" s="56">
        <f>E17</f>
        <v>5</v>
      </c>
      <c r="F18" s="85">
        <f>E18*C18*B18</f>
        <v>114.5</v>
      </c>
      <c r="G18" s="117">
        <f>B18*C18</f>
        <v>22.9</v>
      </c>
      <c r="I18" s="52" t="s">
        <v>67</v>
      </c>
      <c r="J18" s="53">
        <v>2.29</v>
      </c>
      <c r="K18" s="56">
        <f>K17</f>
        <v>15</v>
      </c>
      <c r="L18" s="493"/>
      <c r="M18" s="56">
        <f>M17</f>
        <v>5</v>
      </c>
      <c r="N18" s="85">
        <f>M18*K18*J18</f>
        <v>171.75</v>
      </c>
      <c r="O18" s="117">
        <f>J18*K18</f>
        <v>34.35</v>
      </c>
      <c r="Q18" s="383">
        <f>N18-F18</f>
        <v>57.25</v>
      </c>
    </row>
    <row r="19" spans="1:17" s="14" customFormat="1" ht="32.4" customHeight="1" x14ac:dyDescent="0.25">
      <c r="A19" s="135" t="s">
        <v>258</v>
      </c>
      <c r="B19" s="136">
        <v>0</v>
      </c>
      <c r="C19" s="332">
        <v>0</v>
      </c>
      <c r="D19" s="493"/>
      <c r="E19" s="56">
        <f>E18</f>
        <v>5</v>
      </c>
      <c r="F19" s="85">
        <f>E19*C19*B19</f>
        <v>0</v>
      </c>
      <c r="G19" s="117">
        <f>B19*C19</f>
        <v>0</v>
      </c>
      <c r="I19" s="135" t="s">
        <v>258</v>
      </c>
      <c r="J19" s="136">
        <v>10</v>
      </c>
      <c r="K19" s="332">
        <v>10</v>
      </c>
      <c r="L19" s="493"/>
      <c r="M19" s="56">
        <f>M18</f>
        <v>5</v>
      </c>
      <c r="N19" s="85">
        <f>M19*K19*J19</f>
        <v>500</v>
      </c>
      <c r="O19" s="117">
        <f>J19*K19</f>
        <v>100</v>
      </c>
      <c r="Q19" s="383">
        <f>N19-F19</f>
        <v>500</v>
      </c>
    </row>
    <row r="20" spans="1:17" s="14" customFormat="1" ht="32.4" customHeight="1" x14ac:dyDescent="0.25">
      <c r="A20" s="52" t="s">
        <v>22</v>
      </c>
      <c r="B20" s="53">
        <v>7</v>
      </c>
      <c r="C20" s="56">
        <f>C17</f>
        <v>10</v>
      </c>
      <c r="D20" s="495"/>
      <c r="E20" s="56">
        <v>5</v>
      </c>
      <c r="F20" s="85">
        <f>E20*C20*B20</f>
        <v>350</v>
      </c>
      <c r="G20" s="117">
        <f>B20*C20</f>
        <v>70</v>
      </c>
      <c r="I20" s="52" t="s">
        <v>22</v>
      </c>
      <c r="J20" s="53">
        <v>7</v>
      </c>
      <c r="K20" s="56">
        <f>K17</f>
        <v>15</v>
      </c>
      <c r="L20" s="495"/>
      <c r="M20" s="56">
        <v>5</v>
      </c>
      <c r="N20" s="85">
        <f>M20*K20*J20</f>
        <v>525</v>
      </c>
      <c r="O20" s="117">
        <f>J20*K20</f>
        <v>105</v>
      </c>
      <c r="Q20" s="383">
        <f>N20-F20</f>
        <v>175</v>
      </c>
    </row>
    <row r="21" spans="1:17" s="14" customFormat="1" ht="32.4" customHeight="1" x14ac:dyDescent="0.25">
      <c r="A21" s="65" t="s">
        <v>283</v>
      </c>
      <c r="B21" s="66"/>
      <c r="C21" s="67"/>
      <c r="D21" s="68"/>
      <c r="E21" s="67">
        <v>5</v>
      </c>
      <c r="F21" s="69">
        <f>F22+F25+F23+F24</f>
        <v>1934.5</v>
      </c>
      <c r="G21" s="116">
        <f>G22+G25+G23+G24</f>
        <v>442.9</v>
      </c>
      <c r="I21" s="65" t="str">
        <f>A21</f>
        <v>1.2.2. papildu konsultācijas, stundas</v>
      </c>
      <c r="J21" s="66"/>
      <c r="K21" s="67"/>
      <c r="L21" s="68"/>
      <c r="M21" s="67">
        <v>5</v>
      </c>
      <c r="N21" s="69">
        <f>N22+N25+N23+N24</f>
        <v>3401.75</v>
      </c>
      <c r="O21" s="116">
        <f>O22+O25+O23+O24</f>
        <v>764.35</v>
      </c>
      <c r="Q21" s="385">
        <f>Q22+Q25+Q23+Q24</f>
        <v>1467.25</v>
      </c>
    </row>
    <row r="22" spans="1:17" s="14" customFormat="1" ht="59.4" customHeight="1" x14ac:dyDescent="0.25">
      <c r="A22" s="52" t="s">
        <v>70</v>
      </c>
      <c r="B22" s="53">
        <v>35</v>
      </c>
      <c r="C22" s="56">
        <f>C17</f>
        <v>10</v>
      </c>
      <c r="D22" s="492" t="s">
        <v>87</v>
      </c>
      <c r="E22" s="56">
        <v>5</v>
      </c>
      <c r="F22" s="85">
        <f>E22*C22*B22</f>
        <v>1750</v>
      </c>
      <c r="G22" s="117">
        <f>B22*C22</f>
        <v>350</v>
      </c>
      <c r="I22" s="52" t="s">
        <v>70</v>
      </c>
      <c r="J22" s="53">
        <v>35</v>
      </c>
      <c r="K22" s="56">
        <f>K17</f>
        <v>15</v>
      </c>
      <c r="L22" s="492" t="s">
        <v>87</v>
      </c>
      <c r="M22" s="56">
        <v>5</v>
      </c>
      <c r="N22" s="85">
        <f>M22*K22*J22</f>
        <v>2625</v>
      </c>
      <c r="O22" s="117">
        <f>J22*K22</f>
        <v>525</v>
      </c>
      <c r="Q22" s="383">
        <f>N22-F22</f>
        <v>875</v>
      </c>
    </row>
    <row r="23" spans="1:17" s="14" customFormat="1" ht="57.65" customHeight="1" x14ac:dyDescent="0.25">
      <c r="A23" s="52" t="s">
        <v>67</v>
      </c>
      <c r="B23" s="53">
        <f>B18</f>
        <v>2.29</v>
      </c>
      <c r="C23" s="56">
        <f>C22</f>
        <v>10</v>
      </c>
      <c r="D23" s="493"/>
      <c r="E23" s="56">
        <f>E22</f>
        <v>5</v>
      </c>
      <c r="F23" s="85">
        <f>E23*C23*B23</f>
        <v>114.5</v>
      </c>
      <c r="G23" s="117">
        <f>B23*C23</f>
        <v>22.9</v>
      </c>
      <c r="I23" s="52" t="s">
        <v>67</v>
      </c>
      <c r="J23" s="53">
        <f>J18</f>
        <v>2.29</v>
      </c>
      <c r="K23" s="56">
        <f>K22</f>
        <v>15</v>
      </c>
      <c r="L23" s="493"/>
      <c r="M23" s="56">
        <f>M22</f>
        <v>5</v>
      </c>
      <c r="N23" s="85">
        <f>M23*K23*J23</f>
        <v>171.75</v>
      </c>
      <c r="O23" s="117">
        <f>J23*K23</f>
        <v>34.35</v>
      </c>
      <c r="Q23" s="383">
        <f>N23-F23</f>
        <v>57.25</v>
      </c>
    </row>
    <row r="24" spans="1:17" s="14" customFormat="1" ht="32.4" customHeight="1" x14ac:dyDescent="0.25">
      <c r="A24" s="135" t="str">
        <f>A19</f>
        <v>menotrs/uzticības persona</v>
      </c>
      <c r="B24" s="136">
        <f>B19</f>
        <v>0</v>
      </c>
      <c r="C24" s="332">
        <f>C19</f>
        <v>0</v>
      </c>
      <c r="D24" s="493"/>
      <c r="E24" s="56">
        <f>E23</f>
        <v>5</v>
      </c>
      <c r="F24" s="85">
        <f>E24*C24*B24</f>
        <v>0</v>
      </c>
      <c r="G24" s="117">
        <f>B24*C24</f>
        <v>0</v>
      </c>
      <c r="I24" s="135" t="str">
        <f>I19</f>
        <v>menotrs/uzticības persona</v>
      </c>
      <c r="J24" s="136">
        <f>J19</f>
        <v>10</v>
      </c>
      <c r="K24" s="332">
        <v>10</v>
      </c>
      <c r="L24" s="493"/>
      <c r="M24" s="56">
        <f>M23</f>
        <v>5</v>
      </c>
      <c r="N24" s="85">
        <f>M24*K24*J24</f>
        <v>500</v>
      </c>
      <c r="O24" s="117">
        <f>J24*K24</f>
        <v>100</v>
      </c>
      <c r="Q24" s="383">
        <f>N24-F24</f>
        <v>500</v>
      </c>
    </row>
    <row r="25" spans="1:17" s="14" customFormat="1" ht="32.4" customHeight="1" thickBot="1" x14ac:dyDescent="0.3">
      <c r="A25" s="54" t="s">
        <v>22</v>
      </c>
      <c r="B25" s="55">
        <v>7</v>
      </c>
      <c r="C25" s="57">
        <f>C22</f>
        <v>10</v>
      </c>
      <c r="D25" s="495"/>
      <c r="E25" s="57">
        <f>ROUND(E22*0.1,0)</f>
        <v>1</v>
      </c>
      <c r="F25" s="87">
        <f>E25*C25*B25</f>
        <v>70</v>
      </c>
      <c r="G25" s="118">
        <f>B25*C25</f>
        <v>70</v>
      </c>
      <c r="I25" s="378" t="s">
        <v>22</v>
      </c>
      <c r="J25" s="379">
        <v>7</v>
      </c>
      <c r="K25" s="380">
        <f>K22</f>
        <v>15</v>
      </c>
      <c r="L25" s="495"/>
      <c r="M25" s="57">
        <f>ROUND(M22*0.1,0)</f>
        <v>1</v>
      </c>
      <c r="N25" s="87">
        <f>M25*K25*J25</f>
        <v>105</v>
      </c>
      <c r="O25" s="118">
        <f>J25*K25</f>
        <v>105</v>
      </c>
      <c r="Q25" s="383">
        <f>N25-F25</f>
        <v>35</v>
      </c>
    </row>
    <row r="26" spans="1:17" s="14" customFormat="1" ht="32.4" customHeight="1" x14ac:dyDescent="0.25">
      <c r="A26" s="479" t="s">
        <v>24</v>
      </c>
      <c r="B26" s="480"/>
      <c r="C26" s="480"/>
      <c r="D26" s="480"/>
      <c r="E26" s="480"/>
      <c r="F26" s="480"/>
      <c r="G26" s="480"/>
      <c r="I26" s="479" t="s">
        <v>24</v>
      </c>
      <c r="J26" s="480"/>
      <c r="K26" s="480"/>
      <c r="L26" s="480"/>
      <c r="M26" s="480"/>
      <c r="N26" s="480"/>
      <c r="O26" s="480"/>
      <c r="Q26" s="386"/>
    </row>
    <row r="27" spans="1:17" s="14" customFormat="1" ht="44.25" customHeight="1" x14ac:dyDescent="0.25">
      <c r="A27" s="482" t="s">
        <v>42</v>
      </c>
      <c r="B27" s="483"/>
      <c r="C27" s="483"/>
      <c r="D27" s="484"/>
      <c r="E27" s="71">
        <f>E10/2</f>
        <v>4</v>
      </c>
      <c r="F27" s="72">
        <f>F28+F30+F29</f>
        <v>531.48</v>
      </c>
      <c r="G27" s="119">
        <f>G28+G30+G29</f>
        <v>132.87</v>
      </c>
      <c r="I27" s="482" t="s">
        <v>42</v>
      </c>
      <c r="J27" s="483"/>
      <c r="K27" s="483"/>
      <c r="L27" s="484"/>
      <c r="M27" s="71">
        <f>M10/2</f>
        <v>4</v>
      </c>
      <c r="N27" s="72">
        <f>N28+N30+N29</f>
        <v>531.48</v>
      </c>
      <c r="O27" s="119">
        <f>O28+O30+O29</f>
        <v>132.87</v>
      </c>
      <c r="Q27" s="387">
        <f>Q28+Q30+Q29</f>
        <v>0</v>
      </c>
    </row>
    <row r="28" spans="1:17" s="14" customFormat="1" ht="44.25" customHeight="1" x14ac:dyDescent="0.25">
      <c r="A28" s="89" t="s">
        <v>63</v>
      </c>
      <c r="B28" s="90">
        <v>35</v>
      </c>
      <c r="C28" s="91">
        <v>3</v>
      </c>
      <c r="D28" s="375" t="s">
        <v>37</v>
      </c>
      <c r="E28" s="91">
        <f>E27</f>
        <v>4</v>
      </c>
      <c r="F28" s="95">
        <f>B28*C28*E28</f>
        <v>420</v>
      </c>
      <c r="G28" s="120">
        <f>B28*C28</f>
        <v>105</v>
      </c>
      <c r="I28" s="89" t="s">
        <v>63</v>
      </c>
      <c r="J28" s="90">
        <v>35</v>
      </c>
      <c r="K28" s="91">
        <v>3</v>
      </c>
      <c r="L28" s="153" t="s">
        <v>37</v>
      </c>
      <c r="M28" s="91">
        <f>M27</f>
        <v>4</v>
      </c>
      <c r="N28" s="95">
        <f>J28*K28*M28</f>
        <v>420</v>
      </c>
      <c r="O28" s="120">
        <f>J28*K28</f>
        <v>105</v>
      </c>
      <c r="Q28" s="383">
        <f>N28-F28</f>
        <v>0</v>
      </c>
    </row>
    <row r="29" spans="1:17" s="14" customFormat="1" ht="74.25" customHeight="1" x14ac:dyDescent="0.25">
      <c r="A29" s="52" t="s">
        <v>67</v>
      </c>
      <c r="B29" s="53">
        <f>B23</f>
        <v>2.29</v>
      </c>
      <c r="C29" s="56">
        <v>3</v>
      </c>
      <c r="D29" s="92" t="s">
        <v>37</v>
      </c>
      <c r="E29" s="56">
        <f>E28</f>
        <v>4</v>
      </c>
      <c r="F29" s="85">
        <f>E29*C29*B29</f>
        <v>27.48</v>
      </c>
      <c r="G29" s="117">
        <f>B29*C29</f>
        <v>6.87</v>
      </c>
      <c r="I29" s="52" t="s">
        <v>67</v>
      </c>
      <c r="J29" s="53">
        <f>J23</f>
        <v>2.29</v>
      </c>
      <c r="K29" s="56">
        <v>3</v>
      </c>
      <c r="L29" s="92" t="s">
        <v>37</v>
      </c>
      <c r="M29" s="56">
        <f>M28</f>
        <v>4</v>
      </c>
      <c r="N29" s="85">
        <f>M29*K29*J29</f>
        <v>27.48</v>
      </c>
      <c r="O29" s="117">
        <f>J29*K29</f>
        <v>6.87</v>
      </c>
      <c r="Q29" s="383">
        <f>N29-F29</f>
        <v>0</v>
      </c>
    </row>
    <row r="30" spans="1:17" s="14" customFormat="1" ht="44.25" customHeight="1" thickBot="1" x14ac:dyDescent="0.3">
      <c r="A30" s="54" t="s">
        <v>22</v>
      </c>
      <c r="B30" s="55">
        <v>7</v>
      </c>
      <c r="C30" s="57">
        <v>3</v>
      </c>
      <c r="D30" s="93" t="s">
        <v>37</v>
      </c>
      <c r="E30" s="57">
        <f>E28</f>
        <v>4</v>
      </c>
      <c r="F30" s="87">
        <f>B30*C30*E30</f>
        <v>84</v>
      </c>
      <c r="G30" s="118">
        <f>B30*C30</f>
        <v>21</v>
      </c>
      <c r="I30" s="54" t="s">
        <v>22</v>
      </c>
      <c r="J30" s="55">
        <v>7</v>
      </c>
      <c r="K30" s="57">
        <v>3</v>
      </c>
      <c r="L30" s="93" t="s">
        <v>37</v>
      </c>
      <c r="M30" s="57">
        <f>M28</f>
        <v>4</v>
      </c>
      <c r="N30" s="87">
        <f>J30*K30*M30</f>
        <v>84</v>
      </c>
      <c r="O30" s="118">
        <f>J30*K30</f>
        <v>21</v>
      </c>
      <c r="Q30" s="383">
        <f>N30-F30</f>
        <v>0</v>
      </c>
    </row>
    <row r="31" spans="1:17" s="14" customFormat="1" ht="36" customHeight="1" thickBot="1" x14ac:dyDescent="0.3">
      <c r="A31" s="485" t="s">
        <v>45</v>
      </c>
      <c r="B31" s="486"/>
      <c r="C31" s="486"/>
      <c r="D31" s="486"/>
      <c r="E31" s="74"/>
      <c r="F31" s="75">
        <v>800</v>
      </c>
      <c r="G31" s="121" t="s">
        <v>16</v>
      </c>
      <c r="I31" s="485" t="s">
        <v>45</v>
      </c>
      <c r="J31" s="486"/>
      <c r="K31" s="486"/>
      <c r="L31" s="486"/>
      <c r="M31" s="74"/>
      <c r="N31" s="75">
        <v>15160</v>
      </c>
      <c r="O31" s="121" t="s">
        <v>16</v>
      </c>
      <c r="Q31" s="388">
        <f>N31-F31</f>
        <v>14360</v>
      </c>
    </row>
    <row r="32" spans="1:17" s="14" customFormat="1" ht="24" customHeight="1" thickBot="1" x14ac:dyDescent="0.3">
      <c r="A32" s="490" t="s">
        <v>21</v>
      </c>
      <c r="B32" s="491"/>
      <c r="C32" s="491"/>
      <c r="D32" s="491"/>
      <c r="E32" s="77"/>
      <c r="F32" s="78">
        <f>F27+F10+F31</f>
        <v>18709.28</v>
      </c>
      <c r="G32" s="122" t="s">
        <v>16</v>
      </c>
      <c r="I32" s="490" t="s">
        <v>21</v>
      </c>
      <c r="J32" s="491"/>
      <c r="K32" s="491"/>
      <c r="L32" s="491"/>
      <c r="M32" s="77"/>
      <c r="N32" s="78">
        <f>N27+N10+N31</f>
        <v>37794.380000000005</v>
      </c>
      <c r="O32" s="122" t="s">
        <v>16</v>
      </c>
      <c r="Q32" s="389">
        <f>Q27+Q10+Q31</f>
        <v>19085.099999999999</v>
      </c>
    </row>
    <row r="33" spans="1:17" s="14" customFormat="1" ht="24" customHeight="1" thickBot="1" x14ac:dyDescent="0.3">
      <c r="A33" s="485" t="s">
        <v>75</v>
      </c>
      <c r="B33" s="486"/>
      <c r="C33" s="486"/>
      <c r="D33" s="486"/>
      <c r="E33" s="74"/>
      <c r="F33" s="75">
        <f>F32*20%</f>
        <v>3741.8559999999998</v>
      </c>
      <c r="G33" s="121" t="s">
        <v>16</v>
      </c>
      <c r="I33" s="485" t="s">
        <v>75</v>
      </c>
      <c r="J33" s="486"/>
      <c r="K33" s="486"/>
      <c r="L33" s="486"/>
      <c r="M33" s="74"/>
      <c r="N33" s="75">
        <f>N32*20%</f>
        <v>7558.8760000000011</v>
      </c>
      <c r="O33" s="121" t="s">
        <v>16</v>
      </c>
      <c r="Q33" s="388">
        <f>Q32*20%</f>
        <v>3817.02</v>
      </c>
    </row>
    <row r="34" spans="1:17" s="14" customFormat="1" ht="18" thickBot="1" x14ac:dyDescent="0.3">
      <c r="A34" s="487" t="s">
        <v>138</v>
      </c>
      <c r="B34" s="488"/>
      <c r="C34" s="488"/>
      <c r="D34" s="488"/>
      <c r="E34" s="489"/>
      <c r="F34" s="80">
        <f>F32+F33</f>
        <v>22451.135999999999</v>
      </c>
      <c r="G34" s="123" t="s">
        <v>16</v>
      </c>
      <c r="I34" s="487" t="s">
        <v>138</v>
      </c>
      <c r="J34" s="488"/>
      <c r="K34" s="488"/>
      <c r="L34" s="488"/>
      <c r="M34" s="489"/>
      <c r="N34" s="80">
        <f>N32+N33</f>
        <v>45353.256000000008</v>
      </c>
      <c r="O34" s="123" t="s">
        <v>16</v>
      </c>
      <c r="Q34" s="390">
        <f>Q32+Q33</f>
        <v>22902.12</v>
      </c>
    </row>
    <row r="35" spans="1:17" x14ac:dyDescent="0.3">
      <c r="A35" s="4"/>
      <c r="D35" s="4"/>
      <c r="G35" s="4"/>
      <c r="I35" s="4"/>
      <c r="L35" s="4"/>
      <c r="O35" s="4"/>
    </row>
    <row r="36" spans="1:17" ht="41" customHeight="1" x14ac:dyDescent="0.3">
      <c r="A36" s="600" t="s">
        <v>146</v>
      </c>
      <c r="B36" s="600"/>
      <c r="C36" s="600"/>
      <c r="D36" s="600"/>
      <c r="E36" s="600"/>
      <c r="F36" s="600"/>
      <c r="G36" s="600"/>
      <c r="H36" s="600"/>
      <c r="I36" s="600"/>
      <c r="J36" s="600"/>
      <c r="K36" s="600"/>
      <c r="L36" s="600"/>
      <c r="M36" s="600"/>
      <c r="N36" s="600"/>
      <c r="O36" s="600"/>
      <c r="P36" s="600"/>
      <c r="Q36" s="600"/>
    </row>
    <row r="37" spans="1:17" ht="39.65" customHeight="1" x14ac:dyDescent="0.3">
      <c r="A37" s="596" t="s">
        <v>280</v>
      </c>
      <c r="B37" s="596"/>
      <c r="C37" s="596"/>
      <c r="D37" s="596"/>
      <c r="E37" s="596"/>
      <c r="F37" s="596"/>
      <c r="G37" s="596"/>
      <c r="H37" s="596"/>
      <c r="I37" s="596"/>
      <c r="J37" s="596"/>
      <c r="K37" s="596"/>
      <c r="L37" s="596"/>
      <c r="M37" s="596"/>
      <c r="N37" s="596"/>
      <c r="O37" s="596"/>
      <c r="P37" s="596"/>
      <c r="Q37" s="596"/>
    </row>
  </sheetData>
  <mergeCells count="48">
    <mergeCell ref="A37:Q37"/>
    <mergeCell ref="A1:Q1"/>
    <mergeCell ref="A2:Q2"/>
    <mergeCell ref="A3:Q3"/>
    <mergeCell ref="A4:Q4"/>
    <mergeCell ref="A36:Q36"/>
    <mergeCell ref="A32:D32"/>
    <mergeCell ref="A33:D33"/>
    <mergeCell ref="A34:E34"/>
    <mergeCell ref="A5:G5"/>
    <mergeCell ref="A15:D15"/>
    <mergeCell ref="D17:D20"/>
    <mergeCell ref="D22:D25"/>
    <mergeCell ref="A26:G26"/>
    <mergeCell ref="A27:D27"/>
    <mergeCell ref="A31:D31"/>
    <mergeCell ref="A6:A8"/>
    <mergeCell ref="B6:G6"/>
    <mergeCell ref="B7:B8"/>
    <mergeCell ref="C7:C8"/>
    <mergeCell ref="D7:E7"/>
    <mergeCell ref="F7:F8"/>
    <mergeCell ref="G7:G8"/>
    <mergeCell ref="A9:G9"/>
    <mergeCell ref="A11:D11"/>
    <mergeCell ref="A10:D10"/>
    <mergeCell ref="D12:D14"/>
    <mergeCell ref="Q6:Q8"/>
    <mergeCell ref="K7:K8"/>
    <mergeCell ref="L7:M7"/>
    <mergeCell ref="O7:O8"/>
    <mergeCell ref="I9:O9"/>
    <mergeCell ref="I10:L10"/>
    <mergeCell ref="I11:L11"/>
    <mergeCell ref="L12:L14"/>
    <mergeCell ref="I6:I8"/>
    <mergeCell ref="J6:O6"/>
    <mergeCell ref="J7:J8"/>
    <mergeCell ref="N7:N8"/>
    <mergeCell ref="I34:M34"/>
    <mergeCell ref="I15:L15"/>
    <mergeCell ref="L17:L20"/>
    <mergeCell ref="L22:L25"/>
    <mergeCell ref="I26:O26"/>
    <mergeCell ref="I27:L27"/>
    <mergeCell ref="I31:L31"/>
    <mergeCell ref="I32:L32"/>
    <mergeCell ref="I33:L33"/>
  </mergeCells>
  <pageMargins left="0.43307086614173229" right="0.43307086614173229" top="0.55118110236220474" bottom="0.51181102362204722" header="0.31496062992125984" footer="0.31496062992125984"/>
  <pageSetup paperSize="9" scale="65" orientation="landscape" r:id="rId1"/>
  <headerFooter>
    <oddHeader>&amp;F</oddHeader>
    <oddFooter>&amp;A&amp;RPage &amp;P</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79998168889431442"/>
    <pageSetUpPr fitToPage="1"/>
  </sheetPr>
  <dimension ref="A1:G31"/>
  <sheetViews>
    <sheetView zoomScale="60" zoomScaleNormal="60" workbookViewId="0">
      <selection activeCell="K14" sqref="K14"/>
    </sheetView>
  </sheetViews>
  <sheetFormatPr defaultColWidth="9.08984375" defaultRowHeight="13" x14ac:dyDescent="0.3"/>
  <cols>
    <col min="1" max="1" width="108.08984375" style="30" customWidth="1"/>
    <col min="2" max="2" width="18" style="30" customWidth="1"/>
    <col min="3" max="3" width="14.08984375" style="124" customWidth="1"/>
    <col min="4" max="5" width="14.08984375" style="30" customWidth="1"/>
    <col min="6" max="6" width="14.08984375" style="40" customWidth="1"/>
    <col min="7" max="7" width="14.08984375" style="30" customWidth="1"/>
    <col min="8" max="8" width="9.08984375" style="30" customWidth="1"/>
    <col min="9" max="16384" width="9.08984375" style="30"/>
  </cols>
  <sheetData>
    <row r="1" spans="1:7" x14ac:dyDescent="0.3">
      <c r="A1" s="605" t="s">
        <v>274</v>
      </c>
      <c r="B1" s="605"/>
      <c r="C1" s="605"/>
      <c r="D1" s="605"/>
      <c r="E1" s="605"/>
      <c r="F1" s="605"/>
      <c r="G1" s="605"/>
    </row>
    <row r="2" spans="1:7" ht="42.65" customHeight="1" x14ac:dyDescent="0.3">
      <c r="A2" s="452" t="str">
        <f>'2.1.Kdz'!A2</f>
        <v>Tiesību akta projekta "Grozījumi Ministru kabineta 2014. gada 23. decembra noteikumos Nr. 790 "Sociālās rehabilitācijas pakalpojumu sniegšanas kārtība no vardarbības cietušām un vardarbību veikušām pilngadīgām personām"" sākotnējās ietekmes (ex-ante) novērtējuma ziņojumam (anotācijai)</v>
      </c>
      <c r="B2" s="452"/>
      <c r="C2" s="452"/>
      <c r="D2" s="452"/>
      <c r="E2" s="452"/>
      <c r="F2" s="452"/>
      <c r="G2" s="452"/>
    </row>
    <row r="3" spans="1:7" s="4" customFormat="1" ht="54" customHeight="1" x14ac:dyDescent="0.3">
      <c r="A3" s="604" t="s">
        <v>277</v>
      </c>
      <c r="B3" s="604"/>
      <c r="C3" s="604"/>
      <c r="D3" s="604"/>
      <c r="E3" s="604"/>
      <c r="F3" s="604"/>
      <c r="G3" s="604"/>
    </row>
    <row r="4" spans="1:7" s="4" customFormat="1" ht="116" customHeight="1" x14ac:dyDescent="0.3">
      <c r="A4" s="606" t="s">
        <v>113</v>
      </c>
      <c r="B4" s="606"/>
      <c r="C4" s="606"/>
      <c r="D4" s="606"/>
      <c r="E4" s="606"/>
      <c r="F4" s="606"/>
      <c r="G4" s="606"/>
    </row>
    <row r="5" spans="1:7" s="13" customFormat="1" ht="45" customHeight="1" x14ac:dyDescent="0.3">
      <c r="A5" s="506" t="s">
        <v>7</v>
      </c>
      <c r="B5" s="507" t="s">
        <v>27</v>
      </c>
      <c r="C5" s="507" t="s">
        <v>5</v>
      </c>
      <c r="D5" s="507" t="s">
        <v>2</v>
      </c>
      <c r="E5" s="507" t="s">
        <v>39</v>
      </c>
      <c r="F5" s="507"/>
      <c r="G5" s="130" t="s">
        <v>44</v>
      </c>
    </row>
    <row r="6" spans="1:7" s="13" customFormat="1" ht="20.25" customHeight="1" x14ac:dyDescent="0.3">
      <c r="A6" s="506"/>
      <c r="B6" s="507"/>
      <c r="C6" s="507"/>
      <c r="D6" s="507"/>
      <c r="E6" s="17" t="s">
        <v>8</v>
      </c>
      <c r="F6" s="18" t="s">
        <v>6</v>
      </c>
      <c r="G6" s="17" t="s">
        <v>8</v>
      </c>
    </row>
    <row r="7" spans="1:7" s="14" customFormat="1" ht="37.5" customHeight="1" x14ac:dyDescent="0.25">
      <c r="A7" s="602" t="s">
        <v>40</v>
      </c>
      <c r="B7" s="602"/>
      <c r="C7" s="602"/>
      <c r="D7" s="602"/>
      <c r="E7" s="125">
        <f>SUM(E8:E12)</f>
        <v>867.72031137724548</v>
      </c>
      <c r="F7" s="26">
        <f>E7*100/E16</f>
        <v>47.287717802594706</v>
      </c>
      <c r="G7" s="25">
        <f>SUM(G8:G12)</f>
        <v>28.924010379241516</v>
      </c>
    </row>
    <row r="8" spans="1:7" s="14" customFormat="1" ht="38" customHeight="1" x14ac:dyDescent="0.25">
      <c r="A8" s="20" t="s">
        <v>0</v>
      </c>
      <c r="B8" s="20" t="s">
        <v>3</v>
      </c>
      <c r="C8" s="19">
        <v>6</v>
      </c>
      <c r="D8" s="150">
        <f>(1388*1.2359)/167</f>
        <v>10.272031137724552</v>
      </c>
      <c r="E8" s="126">
        <f>C8*D8</f>
        <v>61.632186826347308</v>
      </c>
      <c r="F8" s="22"/>
      <c r="G8" s="23">
        <f>E8/30</f>
        <v>2.0544062275449102</v>
      </c>
    </row>
    <row r="9" spans="1:7" s="31" customFormat="1" ht="38" customHeight="1" x14ac:dyDescent="0.25">
      <c r="A9" s="20" t="s">
        <v>1</v>
      </c>
      <c r="B9" s="20" t="s">
        <v>4</v>
      </c>
      <c r="C9" s="19">
        <v>4</v>
      </c>
      <c r="D9" s="21">
        <f>D8</f>
        <v>10.272031137724552</v>
      </c>
      <c r="E9" s="126">
        <f>C9*D9</f>
        <v>41.088124550898208</v>
      </c>
      <c r="F9" s="22"/>
      <c r="G9" s="23">
        <f>E9/30</f>
        <v>1.3696041516966069</v>
      </c>
    </row>
    <row r="10" spans="1:7" s="31" customFormat="1" ht="38" customHeight="1" x14ac:dyDescent="0.25">
      <c r="A10" s="133" t="s">
        <v>112</v>
      </c>
      <c r="B10" s="133" t="s">
        <v>4</v>
      </c>
      <c r="C10" s="134">
        <v>10</v>
      </c>
      <c r="D10" s="21">
        <v>10</v>
      </c>
      <c r="E10" s="126">
        <f>C10*D10</f>
        <v>100</v>
      </c>
      <c r="F10" s="22"/>
      <c r="G10" s="23">
        <f>E10/30</f>
        <v>3.3333333333333335</v>
      </c>
    </row>
    <row r="11" spans="1:7" s="31" customFormat="1" ht="38" customHeight="1" x14ac:dyDescent="0.25">
      <c r="A11" s="20" t="s">
        <v>25</v>
      </c>
      <c r="B11" s="20" t="s">
        <v>3</v>
      </c>
      <c r="C11" s="19">
        <v>10</v>
      </c>
      <c r="D11" s="21">
        <v>35</v>
      </c>
      <c r="E11" s="126">
        <f>C11*D11</f>
        <v>350</v>
      </c>
      <c r="F11" s="22"/>
      <c r="G11" s="23">
        <f>E11/30</f>
        <v>11.666666666666666</v>
      </c>
    </row>
    <row r="12" spans="1:7" s="31" customFormat="1" ht="38" customHeight="1" x14ac:dyDescent="0.25">
      <c r="A12" s="20" t="s">
        <v>26</v>
      </c>
      <c r="B12" s="20" t="s">
        <v>3</v>
      </c>
      <c r="C12" s="134">
        <f>4+5</f>
        <v>9</v>
      </c>
      <c r="D12" s="21">
        <v>35</v>
      </c>
      <c r="E12" s="126">
        <f>C12*D12</f>
        <v>315</v>
      </c>
      <c r="F12" s="22"/>
      <c r="G12" s="23">
        <f>E12/30</f>
        <v>10.5</v>
      </c>
    </row>
    <row r="13" spans="1:7" s="14" customFormat="1" ht="38" customHeight="1" x14ac:dyDescent="0.25">
      <c r="A13" s="602" t="s">
        <v>62</v>
      </c>
      <c r="B13" s="602"/>
      <c r="C13" s="602"/>
      <c r="D13" s="602"/>
      <c r="E13" s="125">
        <f>E14+E15</f>
        <v>967.26</v>
      </c>
      <c r="F13" s="26">
        <f>E13*100/E16</f>
        <v>52.712282197405294</v>
      </c>
      <c r="G13" s="25">
        <f>G14+G15</f>
        <v>32.241999999999997</v>
      </c>
    </row>
    <row r="14" spans="1:7" s="14" customFormat="1" ht="38" customHeight="1" x14ac:dyDescent="0.25">
      <c r="A14" s="20" t="s">
        <v>48</v>
      </c>
      <c r="B14" s="20" t="s">
        <v>49</v>
      </c>
      <c r="C14" s="19">
        <v>30</v>
      </c>
      <c r="D14" s="21">
        <v>0.85</v>
      </c>
      <c r="E14" s="126">
        <f>C14*D14</f>
        <v>25.5</v>
      </c>
      <c r="F14" s="22"/>
      <c r="G14" s="23">
        <f>E14/C14</f>
        <v>0.85</v>
      </c>
    </row>
    <row r="15" spans="1:7" s="31" customFormat="1" ht="38" customHeight="1" x14ac:dyDescent="0.25">
      <c r="A15" s="20" t="s">
        <v>51</v>
      </c>
      <c r="B15" s="20" t="s">
        <v>52</v>
      </c>
      <c r="C15" s="19">
        <v>30</v>
      </c>
      <c r="D15" s="21">
        <f>'1.1.1.cietušie_pak_KC'!D13</f>
        <v>31.391999999999999</v>
      </c>
      <c r="E15" s="126">
        <f>C15*D15</f>
        <v>941.76</v>
      </c>
      <c r="F15" s="22"/>
      <c r="G15" s="23">
        <f>E15/C15</f>
        <v>31.391999999999999</v>
      </c>
    </row>
    <row r="16" spans="1:7" s="14" customFormat="1" ht="38" customHeight="1" x14ac:dyDescent="0.25">
      <c r="A16" s="603" t="s">
        <v>12</v>
      </c>
      <c r="B16" s="603"/>
      <c r="C16" s="603"/>
      <c r="D16" s="603"/>
      <c r="E16" s="127">
        <f>E7+E13</f>
        <v>1834.9803113772455</v>
      </c>
      <c r="F16" s="24">
        <f>F7+F13</f>
        <v>100</v>
      </c>
      <c r="G16" s="24">
        <f>ROUND(G7+G13,2)</f>
        <v>61.17</v>
      </c>
    </row>
    <row r="17" spans="1:7" s="4" customFormat="1" x14ac:dyDescent="0.3">
      <c r="C17" s="41"/>
      <c r="F17" s="42"/>
    </row>
    <row r="18" spans="1:7" s="48" customFormat="1" x14ac:dyDescent="0.3">
      <c r="C18" s="49"/>
      <c r="F18" s="50" t="s">
        <v>53</v>
      </c>
      <c r="G18" s="51">
        <f>G16</f>
        <v>61.17</v>
      </c>
    </row>
    <row r="19" spans="1:7" s="48" customFormat="1" x14ac:dyDescent="0.3">
      <c r="C19" s="49"/>
      <c r="F19" s="50" t="s">
        <v>54</v>
      </c>
      <c r="G19" s="51">
        <f>$G$16+$G$13*1</f>
        <v>93.412000000000006</v>
      </c>
    </row>
    <row r="20" spans="1:7" s="48" customFormat="1" x14ac:dyDescent="0.3">
      <c r="C20" s="49"/>
      <c r="F20" s="50" t="s">
        <v>55</v>
      </c>
      <c r="G20" s="51">
        <f>$G$16+$G$13*2</f>
        <v>125.654</v>
      </c>
    </row>
    <row r="21" spans="1:7" s="48" customFormat="1" x14ac:dyDescent="0.3">
      <c r="C21" s="49"/>
      <c r="F21" s="50" t="s">
        <v>56</v>
      </c>
      <c r="G21" s="51">
        <f>$G$16+$G$13*3</f>
        <v>157.89600000000002</v>
      </c>
    </row>
    <row r="22" spans="1:7" s="48" customFormat="1" x14ac:dyDescent="0.3">
      <c r="C22" s="49"/>
      <c r="F22" s="50" t="s">
        <v>57</v>
      </c>
      <c r="G22" s="51">
        <f>$G$16+$G$13*4</f>
        <v>190.13799999999998</v>
      </c>
    </row>
    <row r="23" spans="1:7" s="48" customFormat="1" x14ac:dyDescent="0.3">
      <c r="C23" s="49"/>
      <c r="F23" s="50" t="s">
        <v>58</v>
      </c>
      <c r="G23" s="51">
        <f>$G$16+$G$13*5</f>
        <v>222.38</v>
      </c>
    </row>
    <row r="24" spans="1:7" s="48" customFormat="1" x14ac:dyDescent="0.3">
      <c r="C24" s="49"/>
      <c r="F24" s="50" t="s">
        <v>59</v>
      </c>
      <c r="G24" s="51"/>
    </row>
    <row r="25" spans="1:7" s="15" customFormat="1" ht="15" customHeight="1" x14ac:dyDescent="0.3">
      <c r="A25" s="3" t="s">
        <v>38</v>
      </c>
      <c r="B25" s="2"/>
      <c r="C25" s="43"/>
      <c r="D25" s="2"/>
      <c r="E25" s="2"/>
      <c r="F25" s="2"/>
      <c r="G25" s="2"/>
    </row>
    <row r="26" spans="1:7" s="15" customFormat="1" x14ac:dyDescent="0.3">
      <c r="A26" s="12">
        <v>64331831</v>
      </c>
      <c r="C26" s="44"/>
      <c r="F26" s="45"/>
    </row>
    <row r="27" spans="1:7" s="15" customFormat="1" x14ac:dyDescent="0.3">
      <c r="A27" s="16"/>
      <c r="C27" s="44"/>
      <c r="E27" s="44"/>
      <c r="F27" s="46"/>
      <c r="G27" s="46"/>
    </row>
    <row r="28" spans="1:7" s="33" customFormat="1" ht="14.25" customHeight="1" x14ac:dyDescent="0.3">
      <c r="A28" s="37"/>
      <c r="C28" s="34"/>
      <c r="E28" s="36"/>
      <c r="F28" s="36"/>
      <c r="G28" s="36"/>
    </row>
    <row r="29" spans="1:7" s="33" customFormat="1" x14ac:dyDescent="0.3">
      <c r="C29" s="34"/>
      <c r="F29" s="35"/>
    </row>
    <row r="30" spans="1:7" s="33" customFormat="1" x14ac:dyDescent="0.3">
      <c r="A30" s="38"/>
      <c r="C30" s="34"/>
      <c r="E30" s="35"/>
      <c r="F30" s="35"/>
      <c r="G30" s="35"/>
    </row>
    <row r="31" spans="1:7" s="33" customFormat="1" x14ac:dyDescent="0.3">
      <c r="C31" s="34"/>
      <c r="F31" s="35"/>
    </row>
  </sheetData>
  <mergeCells count="12">
    <mergeCell ref="A1:G1"/>
    <mergeCell ref="D5:D6"/>
    <mergeCell ref="E5:F5"/>
    <mergeCell ref="A4:G4"/>
    <mergeCell ref="A7:D7"/>
    <mergeCell ref="A13:D13"/>
    <mergeCell ref="A16:D16"/>
    <mergeCell ref="A2:G2"/>
    <mergeCell ref="A3:G3"/>
    <mergeCell ref="A5:A6"/>
    <mergeCell ref="B5:B6"/>
    <mergeCell ref="C5:C6"/>
  </mergeCells>
  <pageMargins left="0.55118110236220474" right="0.55118110236220474" top="0.59055118110236227" bottom="0.59055118110236227" header="0.51181102362204722" footer="0.51181102362204722"/>
  <pageSetup paperSize="9" scale="59" firstPageNumber="2" orientation="landscape" useFirstPageNumber="1" r:id="rId1"/>
  <headerFooter alignWithMargins="0">
    <oddHeader>&amp;F</oddHeader>
    <oddFoote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Pielikums</vt:lpstr>
      <vt:lpstr>1.tab_spēkā_esošie_MKnot</vt:lpstr>
      <vt:lpstr>1.1.cietušās_p_līdz_30.06.2023</vt:lpstr>
      <vt:lpstr>1.1.1.cietušie_pak_KC</vt:lpstr>
      <vt:lpstr>1.1.2.terorisms</vt:lpstr>
      <vt:lpstr>1.2.varmākas</vt:lpstr>
      <vt:lpstr>2.tab_izmaiņas</vt:lpstr>
      <vt:lpstr>1.3.speciālistu_apmāc.</vt:lpstr>
      <vt:lpstr>2.1.Kdz</vt:lpstr>
      <vt:lpstr>2.2.augsts_vardarb_risks</vt:lpstr>
      <vt:lpstr>3.tab_ārzemnieki</vt:lpstr>
      <vt:lpstr>3.1.ārzemnieks_KC_cena</vt:lpstr>
      <vt:lpstr>'1.1.1.cietušie_pak_KC'!Print_Titles</vt:lpstr>
      <vt:lpstr>'1.1.cietušās_p_līdz_30.06.2023'!Print_Titles</vt:lpstr>
      <vt:lpstr>'3.1.ārzemnieks_KC_cena'!Print_Titles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Sociālās rehabilitācijas pakalpojums no vardarbības cietušām pilngadīgām personām un vardarbības veicējiem   groza aprēķini</dc:title>
  <dc:subject>MKanotp1_070714</dc:subject>
  <dc:creator>lilitac</dc:creator>
  <dc:description>Ineta.Pikse@lm.gov.lv, tel.67021634, fax.67021678</dc:description>
  <cp:lastModifiedBy>Elīna Dumpe</cp:lastModifiedBy>
  <cp:lastPrinted>2023-01-24T10:33:15Z</cp:lastPrinted>
  <dcterms:created xsi:type="dcterms:W3CDTF">2012-09-03T07:32:21Z</dcterms:created>
  <dcterms:modified xsi:type="dcterms:W3CDTF">2023-06-21T06:22:25Z</dcterms:modified>
</cp:coreProperties>
</file>