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inese.kasurina\Desktop\Inese 2021\111 - kopīgi grozījumi\0 - kopīgā doku paka\1. TAP iesniegshana\6 vers peec saskanosanas\"/>
    </mc:Choice>
  </mc:AlternateContent>
  <bookViews>
    <workbookView xWindow="-120" yWindow="-120" windowWidth="22956" windowHeight="11292" firstSheet="1" activeTab="5"/>
  </bookViews>
  <sheets>
    <sheet name="Pārdales" sheetId="1" r:id="rId1"/>
    <sheet name="pārdales pārb." sheetId="16" r:id="rId2"/>
    <sheet name="projektu saraksts" sheetId="13" r:id="rId3"/>
    <sheet name="REACT pārrēķins" sheetId="15" r:id="rId4"/>
    <sheet name="sadalījums pa teritorijām" sheetId="4" r:id="rId5"/>
    <sheet name="Rādītāji" sheetId="9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1" l="1"/>
  <c r="B66" i="16"/>
  <c r="B65" i="16"/>
  <c r="B64" i="16"/>
  <c r="X23" i="15"/>
  <c r="X33" i="15"/>
  <c r="X50" i="15"/>
  <c r="B56" i="16"/>
  <c r="B55" i="16"/>
  <c r="B60" i="16"/>
  <c r="B59" i="16"/>
  <c r="B58" i="16"/>
  <c r="B57" i="16"/>
  <c r="B54" i="16"/>
  <c r="E87" i="15"/>
  <c r="D89" i="15"/>
  <c r="D88" i="15"/>
  <c r="E86" i="15"/>
  <c r="F85" i="15"/>
  <c r="T62" i="15" l="1"/>
  <c r="T39" i="15"/>
  <c r="D50" i="13"/>
  <c r="D48" i="13"/>
  <c r="T38" i="15" l="1"/>
  <c r="P33" i="15"/>
  <c r="O33" i="15"/>
  <c r="M38" i="15"/>
  <c r="M44" i="15"/>
  <c r="E105" i="1"/>
  <c r="E104" i="1"/>
  <c r="E103" i="1"/>
  <c r="F119" i="1"/>
  <c r="F118" i="1"/>
  <c r="D119" i="1"/>
  <c r="C112" i="1"/>
  <c r="C111" i="1"/>
  <c r="D118" i="1"/>
  <c r="C118" i="1"/>
  <c r="F105" i="1"/>
  <c r="F104" i="1"/>
  <c r="C105" i="1"/>
  <c r="C104" i="1"/>
  <c r="C84" i="1"/>
  <c r="D74" i="1"/>
  <c r="D73" i="1"/>
  <c r="C72" i="1"/>
  <c r="C53" i="1"/>
  <c r="C74" i="1"/>
  <c r="C73" i="1"/>
  <c r="B33" i="1" l="1"/>
  <c r="B35" i="1"/>
  <c r="B29" i="1"/>
  <c r="E8" i="16" l="1"/>
  <c r="D8" i="16"/>
  <c r="B5" i="16"/>
  <c r="C5" i="16"/>
  <c r="E6" i="16"/>
  <c r="E9" i="16" s="1"/>
  <c r="D6" i="16"/>
  <c r="C8" i="16"/>
  <c r="C9" i="16" s="1"/>
  <c r="B8" i="16"/>
  <c r="B7" i="16"/>
  <c r="D5" i="16"/>
  <c r="C15" i="1"/>
  <c r="E17" i="16"/>
  <c r="E12" i="16"/>
  <c r="D9" i="16" l="1"/>
  <c r="B9" i="16"/>
  <c r="J44" i="13"/>
  <c r="E45" i="13" s="1"/>
  <c r="B37" i="1"/>
  <c r="B38" i="1"/>
  <c r="K26" i="1" l="1"/>
  <c r="H27" i="1"/>
  <c r="K27" i="1" s="1"/>
  <c r="D8" i="1" s="1"/>
  <c r="H25" i="1"/>
  <c r="K25" i="1" s="1"/>
  <c r="I21" i="1"/>
  <c r="I20" i="1"/>
  <c r="I19" i="1"/>
  <c r="C8" i="1"/>
  <c r="C54" i="1" l="1"/>
  <c r="C85" i="1"/>
  <c r="B36" i="1"/>
  <c r="C33" i="1"/>
  <c r="C90" i="1"/>
  <c r="C88" i="1" s="1"/>
  <c r="K24" i="1"/>
  <c r="C60" i="1"/>
  <c r="C55" i="1"/>
  <c r="E55" i="1" s="1"/>
  <c r="G55" i="1" s="1"/>
  <c r="C61" i="1"/>
  <c r="E61" i="1" s="1"/>
  <c r="G61" i="1" s="1"/>
  <c r="B8" i="1"/>
  <c r="H24" i="1"/>
  <c r="G72" i="1"/>
  <c r="G73" i="1"/>
  <c r="G74" i="1"/>
  <c r="D85" i="1" l="1"/>
  <c r="C83" i="1"/>
  <c r="D84" i="1" s="1"/>
  <c r="C52" i="1"/>
  <c r="D54" i="1"/>
  <c r="B10" i="1"/>
  <c r="C59" i="1"/>
  <c r="D53" i="1" l="1"/>
  <c r="D55" i="1"/>
  <c r="C89" i="1"/>
  <c r="D6" i="15"/>
  <c r="D7" i="15"/>
  <c r="D40" i="15"/>
  <c r="V39" i="15" l="1"/>
  <c r="V38" i="15"/>
  <c r="V34" i="15"/>
  <c r="V33" i="15"/>
  <c r="W56" i="15"/>
  <c r="W29" i="15"/>
  <c r="W24" i="15"/>
  <c r="D33" i="1" l="1"/>
  <c r="B92" i="1" s="1"/>
  <c r="G17" i="1"/>
  <c r="G18" i="1"/>
  <c r="E102" i="15" l="1"/>
  <c r="E101" i="15"/>
  <c r="C102" i="15"/>
  <c r="C101" i="15"/>
  <c r="G103" i="15"/>
  <c r="J47" i="13" l="1"/>
  <c r="I47" i="13" l="1"/>
  <c r="E43" i="13"/>
  <c r="E44" i="13" s="1"/>
  <c r="E105" i="15"/>
  <c r="G107" i="15" s="1"/>
  <c r="G101" i="15"/>
  <c r="C97" i="15"/>
  <c r="E96" i="15"/>
  <c r="E95" i="15"/>
  <c r="G62" i="15"/>
  <c r="M62" i="15" s="1"/>
  <c r="G61" i="15"/>
  <c r="M61" i="15" s="1"/>
  <c r="T61" i="15" s="1"/>
  <c r="E60" i="15"/>
  <c r="G60" i="15" s="1"/>
  <c r="M60" i="15" s="1"/>
  <c r="D60" i="15"/>
  <c r="E54" i="15"/>
  <c r="W54" i="15" s="1"/>
  <c r="C54" i="15"/>
  <c r="E51" i="15"/>
  <c r="W51" i="15" s="1"/>
  <c r="W20" i="15" s="1"/>
  <c r="D51" i="15"/>
  <c r="E50" i="15"/>
  <c r="D50" i="15"/>
  <c r="C49" i="15"/>
  <c r="D49" i="15" s="1"/>
  <c r="G44" i="15"/>
  <c r="W55" i="15"/>
  <c r="D39" i="15"/>
  <c r="G39" i="15" s="1"/>
  <c r="M39" i="15" s="1"/>
  <c r="D38" i="15"/>
  <c r="G38" i="15" s="1"/>
  <c r="F37" i="15"/>
  <c r="V37" i="15" s="1"/>
  <c r="E37" i="15"/>
  <c r="W37" i="15" s="1"/>
  <c r="C37" i="15"/>
  <c r="D37" i="15" s="1"/>
  <c r="D34" i="15"/>
  <c r="G34" i="15" s="1"/>
  <c r="D33" i="15"/>
  <c r="G33" i="15" s="1"/>
  <c r="F32" i="15"/>
  <c r="V32" i="15" s="1"/>
  <c r="E32" i="15"/>
  <c r="W32" i="15" s="1"/>
  <c r="C32" i="15"/>
  <c r="D32" i="15" s="1"/>
  <c r="D29" i="15"/>
  <c r="G29" i="15" s="1"/>
  <c r="M29" i="15" s="1"/>
  <c r="P29" i="15" s="1"/>
  <c r="D28" i="15"/>
  <c r="G28" i="15" s="1"/>
  <c r="E27" i="15"/>
  <c r="W27" i="15" s="1"/>
  <c r="C27" i="15"/>
  <c r="D27" i="15" s="1"/>
  <c r="W39" i="15"/>
  <c r="W38" i="15"/>
  <c r="D24" i="15"/>
  <c r="G24" i="15" s="1"/>
  <c r="M24" i="15" s="1"/>
  <c r="D23" i="15"/>
  <c r="G23" i="15" s="1"/>
  <c r="E22" i="15"/>
  <c r="W22" i="15" s="1"/>
  <c r="C22" i="15"/>
  <c r="D22" i="15" s="1"/>
  <c r="W34" i="15"/>
  <c r="W33" i="15"/>
  <c r="W28" i="15"/>
  <c r="W23" i="15"/>
  <c r="C5" i="15"/>
  <c r="D5" i="15" s="1"/>
  <c r="M33" i="15" l="1"/>
  <c r="P38" i="15"/>
  <c r="D96" i="15"/>
  <c r="D95" i="15"/>
  <c r="G95" i="15"/>
  <c r="G96" i="15"/>
  <c r="P39" i="15"/>
  <c r="P24" i="15"/>
  <c r="U62" i="15"/>
  <c r="G32" i="15"/>
  <c r="T60" i="15"/>
  <c r="U60" i="15" s="1"/>
  <c r="U61" i="15"/>
  <c r="E49" i="15"/>
  <c r="W49" i="15" s="1"/>
  <c r="E97" i="15"/>
  <c r="G97" i="15" s="1"/>
  <c r="W50" i="15"/>
  <c r="W19" i="15" s="1"/>
  <c r="M23" i="15"/>
  <c r="G22" i="15"/>
  <c r="M22" i="15" s="1"/>
  <c r="G37" i="15"/>
  <c r="G27" i="15"/>
  <c r="M27" i="15" s="1"/>
  <c r="M28" i="15"/>
  <c r="M34" i="15"/>
  <c r="G106" i="15"/>
  <c r="T24" i="15" l="1"/>
  <c r="U24" i="15" s="1"/>
  <c r="P28" i="15"/>
  <c r="P23" i="15"/>
  <c r="U38" i="15" s="1"/>
  <c r="T34" i="15"/>
  <c r="F96" i="15"/>
  <c r="F95" i="15"/>
  <c r="T29" i="15"/>
  <c r="U29" i="15" s="1"/>
  <c r="P34" i="15"/>
  <c r="W18" i="15"/>
  <c r="M37" i="15"/>
  <c r="T23" i="15" l="1"/>
  <c r="U23" i="15" s="1"/>
  <c r="T28" i="15"/>
  <c r="T27" i="15" s="1"/>
  <c r="U27" i="15" s="1"/>
  <c r="G102" i="15"/>
  <c r="U28" i="15"/>
  <c r="U34" i="15"/>
  <c r="M32" i="15"/>
  <c r="D69" i="15" l="1"/>
  <c r="E85" i="1"/>
  <c r="C79" i="1"/>
  <c r="E79" i="1" s="1"/>
  <c r="C78" i="1"/>
  <c r="E78" i="1" s="1"/>
  <c r="G85" i="1" l="1"/>
  <c r="E78" i="15"/>
  <c r="E80" i="15" s="1"/>
  <c r="E77" i="1"/>
  <c r="F63" i="13"/>
  <c r="E62" i="13"/>
  <c r="E64" i="13" s="1"/>
  <c r="J45" i="13" s="1"/>
  <c r="D62" i="13"/>
  <c r="D64" i="13" s="1"/>
  <c r="F61" i="13"/>
  <c r="F60" i="13"/>
  <c r="F59" i="13"/>
  <c r="F58" i="13"/>
  <c r="F57" i="13"/>
  <c r="F56" i="13"/>
  <c r="F55" i="13"/>
  <c r="E38" i="13"/>
  <c r="D38" i="13"/>
  <c r="F37" i="13"/>
  <c r="F36" i="13"/>
  <c r="F35" i="13"/>
  <c r="F34" i="13"/>
  <c r="E33" i="13"/>
  <c r="D33" i="13"/>
  <c r="F32" i="13"/>
  <c r="F31" i="13"/>
  <c r="F25" i="13"/>
  <c r="E22" i="13"/>
  <c r="D22" i="13"/>
  <c r="F21" i="13"/>
  <c r="F20" i="13"/>
  <c r="F19" i="13"/>
  <c r="F18" i="13"/>
  <c r="F17" i="13"/>
  <c r="F16" i="13"/>
  <c r="E15" i="13"/>
  <c r="D15" i="13"/>
  <c r="F14" i="13"/>
  <c r="F13" i="13"/>
  <c r="F12" i="13"/>
  <c r="F11" i="13"/>
  <c r="F10" i="13"/>
  <c r="F9" i="13"/>
  <c r="F8" i="13"/>
  <c r="E7" i="13"/>
  <c r="D7" i="13"/>
  <c r="F6" i="13"/>
  <c r="F5" i="13"/>
  <c r="F4" i="13"/>
  <c r="D56" i="15" l="1"/>
  <c r="E84" i="15"/>
  <c r="F38" i="13"/>
  <c r="F15" i="13"/>
  <c r="Y20" i="15"/>
  <c r="F7" i="13"/>
  <c r="F22" i="13"/>
  <c r="D23" i="13"/>
  <c r="D26" i="13" s="1"/>
  <c r="D41" i="13" s="1"/>
  <c r="D39" i="13"/>
  <c r="F39" i="13" s="1"/>
  <c r="F62" i="13"/>
  <c r="F64" i="13" s="1"/>
  <c r="E39" i="13"/>
  <c r="I45" i="13"/>
  <c r="D45" i="13" s="1"/>
  <c r="E23" i="13"/>
  <c r="F33" i="13"/>
  <c r="D42" i="13" l="1"/>
  <c r="D75" i="15" s="1"/>
  <c r="D78" i="15" s="1"/>
  <c r="H36" i="13"/>
  <c r="F23" i="13"/>
  <c r="F26" i="13" s="1"/>
  <c r="F41" i="13" s="1"/>
  <c r="J36" i="13" s="1"/>
  <c r="Y19" i="15"/>
  <c r="F42" i="13"/>
  <c r="F43" i="13" s="1"/>
  <c r="D65" i="13"/>
  <c r="E26" i="13"/>
  <c r="E41" i="13" s="1"/>
  <c r="E24" i="13"/>
  <c r="E42" i="13" l="1"/>
  <c r="E75" i="15" s="1"/>
  <c r="I36" i="13"/>
  <c r="D46" i="13"/>
  <c r="D24" i="13"/>
  <c r="F55" i="15"/>
  <c r="G55" i="15" s="1"/>
  <c r="D55" i="15"/>
  <c r="E46" i="13"/>
  <c r="J46" i="13" l="1"/>
  <c r="E47" i="13" l="1"/>
  <c r="Z20" i="15" s="1"/>
  <c r="D47" i="13"/>
  <c r="D46" i="15" l="1"/>
  <c r="C71" i="15"/>
  <c r="Z19" i="15"/>
  <c r="E50" i="13"/>
  <c r="E76" i="15" l="1"/>
  <c r="D76" i="15"/>
  <c r="D80" i="15"/>
  <c r="D85" i="15" s="1"/>
  <c r="D79" i="15"/>
  <c r="T44" i="15" s="1"/>
  <c r="F56" i="15" l="1"/>
  <c r="C24" i="1"/>
  <c r="C97" i="1" s="1"/>
  <c r="T33" i="15"/>
  <c r="U33" i="15" s="1"/>
  <c r="D54" i="15"/>
  <c r="E85" i="15"/>
  <c r="D24" i="1" s="1"/>
  <c r="C98" i="1" s="1"/>
  <c r="F51" i="15"/>
  <c r="D84" i="15"/>
  <c r="F84" i="15" s="1"/>
  <c r="N55" i="15"/>
  <c r="V55" i="15"/>
  <c r="F50" i="15"/>
  <c r="G56" i="15" l="1"/>
  <c r="M56" i="15" s="1"/>
  <c r="M51" i="15" s="1"/>
  <c r="C96" i="1"/>
  <c r="D97" i="1" s="1"/>
  <c r="V56" i="15"/>
  <c r="F54" i="15"/>
  <c r="V54" i="15" s="1"/>
  <c r="E98" i="1"/>
  <c r="N56" i="15"/>
  <c r="V51" i="15"/>
  <c r="V20" i="15" s="1"/>
  <c r="G51" i="15"/>
  <c r="T43" i="15"/>
  <c r="U43" i="15" s="1"/>
  <c r="U44" i="15"/>
  <c r="F49" i="15"/>
  <c r="V49" i="15" s="1"/>
  <c r="G50" i="15"/>
  <c r="V50" i="15"/>
  <c r="M55" i="15"/>
  <c r="E54" i="1"/>
  <c r="G54" i="1" s="1"/>
  <c r="E53" i="1"/>
  <c r="G53" i="1" s="1"/>
  <c r="E60" i="1"/>
  <c r="G60" i="1" s="1"/>
  <c r="E59" i="1"/>
  <c r="G59" i="1" s="1"/>
  <c r="E117" i="1"/>
  <c r="A123" i="1"/>
  <c r="E111" i="1"/>
  <c r="G104" i="1" s="1"/>
  <c r="E112" i="1"/>
  <c r="G105" i="1" s="1"/>
  <c r="E110" i="1"/>
  <c r="B77" i="1"/>
  <c r="A8" i="9"/>
  <c r="C3" i="9"/>
  <c r="G54" i="15" l="1"/>
  <c r="T55" i="15"/>
  <c r="U55" i="15" s="1"/>
  <c r="T56" i="15"/>
  <c r="T51" i="15" s="1"/>
  <c r="D98" i="1"/>
  <c r="G98" i="1"/>
  <c r="E69" i="1"/>
  <c r="E52" i="1"/>
  <c r="G52" i="1" s="1"/>
  <c r="E58" i="1"/>
  <c r="G58" i="1" s="1"/>
  <c r="G49" i="15"/>
  <c r="V19" i="15"/>
  <c r="T50" i="15"/>
  <c r="M50" i="15"/>
  <c r="M49" i="15" s="1"/>
  <c r="M54" i="15"/>
  <c r="T32" i="15"/>
  <c r="U32" i="15" s="1"/>
  <c r="G103" i="1"/>
  <c r="U56" i="15" l="1"/>
  <c r="G69" i="1"/>
  <c r="T20" i="15"/>
  <c r="U51" i="15"/>
  <c r="U20" i="15" s="1"/>
  <c r="X20" i="15" s="1"/>
  <c r="E7" i="15" s="1"/>
  <c r="T49" i="15"/>
  <c r="T19" i="15"/>
  <c r="V18" i="15"/>
  <c r="AB18" i="15" s="1"/>
  <c r="T54" i="15"/>
  <c r="U54" i="15" s="1"/>
  <c r="I10" i="1"/>
  <c r="H10" i="1"/>
  <c r="J12" i="1"/>
  <c r="J10" i="1" s="1"/>
  <c r="U49" i="15" l="1"/>
  <c r="U50" i="15"/>
  <c r="E30" i="4"/>
  <c r="E29" i="4"/>
  <c r="E28" i="4"/>
  <c r="E27" i="4"/>
  <c r="E34" i="4"/>
  <c r="E33" i="4"/>
  <c r="E32" i="4"/>
  <c r="E31" i="4"/>
  <c r="C20" i="4" l="1"/>
  <c r="B20" i="4"/>
  <c r="F34" i="4" l="1"/>
  <c r="G34" i="4" s="1"/>
  <c r="F30" i="4"/>
  <c r="G30" i="4" s="1"/>
  <c r="F32" i="4"/>
  <c r="G32" i="4" s="1"/>
  <c r="F31" i="4"/>
  <c r="G31" i="4" s="1"/>
  <c r="F29" i="4"/>
  <c r="G29" i="4" s="1"/>
  <c r="F28" i="4"/>
  <c r="G28" i="4" s="1"/>
  <c r="F27" i="4"/>
  <c r="G27" i="4" s="1"/>
  <c r="F7" i="4"/>
  <c r="G7" i="4" s="1"/>
  <c r="F8" i="4"/>
  <c r="G8" i="4" s="1"/>
  <c r="F9" i="4"/>
  <c r="G9" i="4" s="1"/>
  <c r="F10" i="4"/>
  <c r="G10" i="4" s="1"/>
  <c r="F6" i="4"/>
  <c r="G6" i="4" s="1"/>
  <c r="F33" i="4" l="1"/>
  <c r="G33" i="4" s="1"/>
  <c r="T22" i="15" l="1"/>
  <c r="U22" i="15" s="1"/>
  <c r="U19" i="15" l="1"/>
  <c r="X19" i="15" s="1"/>
  <c r="E6" i="15" s="1"/>
  <c r="T18" i="15"/>
  <c r="U39" i="15"/>
  <c r="T37" i="15"/>
  <c r="U37" i="15" s="1"/>
  <c r="U18" i="15" l="1"/>
  <c r="X18" i="15" s="1"/>
  <c r="E5" i="15" s="1"/>
  <c r="E90" i="1"/>
  <c r="G90" i="1" s="1"/>
  <c r="E89" i="1" l="1"/>
  <c r="E97" i="1" l="1"/>
  <c r="E68" i="1" s="1"/>
  <c r="E84" i="1"/>
  <c r="G89" i="1"/>
  <c r="E88" i="1"/>
  <c r="G88" i="1" s="1"/>
  <c r="G97" i="1" l="1"/>
  <c r="E96" i="1"/>
  <c r="G96" i="1" s="1"/>
  <c r="E83" i="1"/>
  <c r="G84" i="1"/>
  <c r="G83" i="1" l="1"/>
  <c r="F84" i="1"/>
  <c r="F85" i="1"/>
  <c r="E67" i="1"/>
  <c r="G68" i="1"/>
  <c r="F69" i="1" l="1"/>
  <c r="F68" i="1"/>
  <c r="G67" i="1"/>
</calcChain>
</file>

<file path=xl/comments1.xml><?xml version="1.0" encoding="utf-8"?>
<comments xmlns="http://schemas.openxmlformats.org/spreadsheetml/2006/main">
  <authors>
    <author>Inese Kašurina</author>
  </authors>
  <commentList>
    <comment ref="B6" authorId="0" shapeId="0">
      <text>
        <r>
          <rPr>
            <b/>
            <sz val="9"/>
            <color indexed="81"/>
            <rFont val="Tahoma"/>
            <family val="2"/>
            <charset val="186"/>
          </rPr>
          <t>Inese Kašurina:</t>
        </r>
        <r>
          <rPr>
            <sz val="9"/>
            <color indexed="81"/>
            <rFont val="Tahoma"/>
            <family val="2"/>
            <charset val="186"/>
          </rPr>
          <t xml:space="preserve">
noņemti centi 4k atlikumiem NS un S projektiem:
364,685.64
492,173.88
</t>
        </r>
      </text>
    </comment>
  </commentList>
</comments>
</file>

<file path=xl/comments2.xml><?xml version="1.0" encoding="utf-8"?>
<comments xmlns="http://schemas.openxmlformats.org/spreadsheetml/2006/main">
  <authors>
    <author>Inese Kašurina</author>
  </authors>
  <commentList>
    <comment ref="B43" authorId="0" shapeId="0">
      <text>
        <r>
          <rPr>
            <b/>
            <sz val="9"/>
            <color indexed="81"/>
            <rFont val="Tahoma"/>
            <charset val="1"/>
          </rPr>
          <t>Inese Kašurina:</t>
        </r>
        <r>
          <rPr>
            <sz val="9"/>
            <color indexed="81"/>
            <rFont val="Tahoma"/>
            <charset val="1"/>
          </rPr>
          <t xml:space="preserve">
korekcija veikt: 
1) pret KPVIS projektu summām projektos pa kārtām;
2) noapaļošana</t>
        </r>
      </text>
    </comment>
    <comment ref="J46" authorId="0" shapeId="0">
      <text>
        <r>
          <rPr>
            <b/>
            <sz val="9"/>
            <color indexed="81"/>
            <rFont val="Tahoma"/>
            <family val="2"/>
            <charset val="186"/>
          </rPr>
          <t>Inese Kašurina:</t>
        </r>
        <r>
          <rPr>
            <sz val="9"/>
            <color indexed="81"/>
            <rFont val="Tahoma"/>
            <family val="2"/>
            <charset val="186"/>
          </rPr>
          <t xml:space="preserve">
noapaļots uz augšu, lai ir korektas pārdales starp pasākumiem un pietiek projektu finansēšanai</t>
        </r>
      </text>
    </comment>
    <comment ref="I47" authorId="0" shapeId="0">
      <text>
        <r>
          <rPr>
            <b/>
            <sz val="9"/>
            <color indexed="81"/>
            <rFont val="Tahoma"/>
            <family val="2"/>
            <charset val="186"/>
          </rPr>
          <t>Inese Kašurina:</t>
        </r>
        <r>
          <rPr>
            <sz val="9"/>
            <color indexed="81"/>
            <rFont val="Tahoma"/>
            <family val="2"/>
            <charset val="186"/>
          </rPr>
          <t xml:space="preserve">
jānoapaļo uz augšu, lai ir korektas pārdales starp pasākumiem</t>
        </r>
      </text>
    </comment>
  </commentList>
</comments>
</file>

<file path=xl/comments3.xml><?xml version="1.0" encoding="utf-8"?>
<comments xmlns="http://schemas.openxmlformats.org/spreadsheetml/2006/main">
  <authors>
    <author>Inese Kašurina</author>
    <author>tc={1EB69D27-25F2-4192-94C1-0ECEF494CAD0}</author>
    <author>tc={5EE59636-059B-4B89-8DE1-5B01934AAC97}</author>
    <author>tc={66879B63-17E4-42B1-8D21-4999D030AE7F}</author>
  </authors>
  <commentList>
    <comment ref="T51" authorId="0" shapeId="0">
      <text>
        <r>
          <rPr>
            <b/>
            <sz val="9"/>
            <color indexed="81"/>
            <rFont val="Tahoma"/>
            <charset val="1"/>
          </rPr>
          <t>Inese Kašurina:</t>
        </r>
        <r>
          <rPr>
            <sz val="9"/>
            <color indexed="81"/>
            <rFont val="Tahoma"/>
            <charset val="1"/>
          </rPr>
          <t xml:space="preserve">
noapaļots uz augšu</t>
        </r>
      </text>
    </comment>
    <comment ref="T55" authorId="0" shapeId="0">
      <text>
        <r>
          <rPr>
            <b/>
            <sz val="9"/>
            <color indexed="81"/>
            <rFont val="Tahoma"/>
            <charset val="1"/>
          </rPr>
          <t>Inese Kašurina:</t>
        </r>
        <r>
          <rPr>
            <sz val="9"/>
            <color indexed="81"/>
            <rFont val="Tahoma"/>
            <charset val="1"/>
          </rPr>
          <t xml:space="preserve">
noapaļots uz augšu</t>
        </r>
      </text>
    </comment>
    <comment ref="D56" authorId="1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precizēju</t>
        </r>
      </text>
    </comment>
    <comment ref="T62" authorId="0" shapeId="0">
      <text>
        <r>
          <rPr>
            <b/>
            <sz val="9"/>
            <color indexed="81"/>
            <rFont val="Tahoma"/>
            <charset val="1"/>
          </rPr>
          <t>Inese Kašurina:</t>
        </r>
        <r>
          <rPr>
            <sz val="9"/>
            <color indexed="81"/>
            <rFont val="Tahoma"/>
            <charset val="1"/>
          </rPr>
          <t xml:space="preserve">
noapaļots uz augšu</t>
        </r>
      </text>
    </comment>
    <comment ref="D71" authorId="2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precizēju</t>
        </r>
      </text>
    </comment>
    <comment ref="E75" authorId="3" shapeId="0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precizēju</t>
        </r>
      </text>
    </comment>
    <comment ref="D82" authorId="0" shapeId="0">
      <text>
        <r>
          <rPr>
            <b/>
            <sz val="9"/>
            <color indexed="81"/>
            <rFont val="Tahoma"/>
            <family val="2"/>
            <charset val="186"/>
          </rPr>
          <t>Inese Kašurina:</t>
        </r>
        <r>
          <rPr>
            <sz val="9"/>
            <color indexed="81"/>
            <rFont val="Tahoma"/>
            <family val="2"/>
            <charset val="186"/>
          </rPr>
          <t xml:space="preserve">
proporcionāli aprēķinatais ERAF, kas pielikts  klāt 4k saimn.projektiem kā atlikums</t>
        </r>
      </text>
    </comment>
    <comment ref="E82" authorId="0" shapeId="0">
      <text>
        <r>
          <rPr>
            <b/>
            <sz val="9"/>
            <color indexed="81"/>
            <rFont val="Tahoma"/>
            <family val="2"/>
            <charset val="186"/>
          </rPr>
          <t>Inese Kašurina:</t>
        </r>
        <r>
          <rPr>
            <sz val="9"/>
            <color indexed="81"/>
            <rFont val="Tahoma"/>
            <family val="2"/>
            <charset val="186"/>
          </rPr>
          <t xml:space="preserve">
papildus 1 euro nāca dēļ noapaļošanas</t>
        </r>
      </text>
    </comment>
    <comment ref="D85" authorId="0" shapeId="0">
      <text>
        <r>
          <rPr>
            <b/>
            <sz val="9"/>
            <color indexed="81"/>
            <rFont val="Tahoma"/>
            <charset val="1"/>
          </rPr>
          <t>Inese Kašurina:</t>
        </r>
        <r>
          <rPr>
            <sz val="9"/>
            <color indexed="81"/>
            <rFont val="Tahoma"/>
            <charset val="1"/>
          </rPr>
          <t xml:space="preserve">
korekcija, lai atbilst 1115 intensitātei</t>
        </r>
      </text>
    </comment>
  </commentList>
</comments>
</file>

<file path=xl/sharedStrings.xml><?xml version="1.0" encoding="utf-8"?>
<sst xmlns="http://schemas.openxmlformats.org/spreadsheetml/2006/main" count="655" uniqueCount="297">
  <si>
    <t>ERAF</t>
  </si>
  <si>
    <t>VB</t>
  </si>
  <si>
    <t>1 daļa</t>
  </si>
  <si>
    <t>2 daļa</t>
  </si>
  <si>
    <t>kopā</t>
  </si>
  <si>
    <t>Pārdale uz 1113</t>
  </si>
  <si>
    <t>Pārdale uz 1115 2.k. Buffalo 1 semestrim</t>
  </si>
  <si>
    <t>111 SAM pasakumu atlikumi</t>
  </si>
  <si>
    <t>Pasākums un atlikuma veids</t>
  </si>
  <si>
    <t>Kopā</t>
  </si>
  <si>
    <t>1112 kopējais atlikums</t>
  </si>
  <si>
    <t>t.sk. 1112 atbrīvotais finansējums</t>
  </si>
  <si>
    <t>1115 kopējais atlikums</t>
  </si>
  <si>
    <t>t.sk. 1115 atbrīvotais finansējums</t>
  </si>
  <si>
    <t>t.sk. 1115 nepiesaistītais finansējums</t>
  </si>
  <si>
    <t>1.tabula</t>
  </si>
  <si>
    <t>2.tabula</t>
  </si>
  <si>
    <t>1.1.1.1/19/A/013</t>
  </si>
  <si>
    <t>1.1.1.1/19/A/089</t>
  </si>
  <si>
    <t>1.1.1.1/19/A/102</t>
  </si>
  <si>
    <t>1.1.1.1/20/A/016</t>
  </si>
  <si>
    <t>1.1.1.1/20/A/027</t>
  </si>
  <si>
    <t>1.1.1.1/20/A/035</t>
  </si>
  <si>
    <t>1.1.1.1/20/A/045</t>
  </si>
  <si>
    <t>1.1.1.1/20/A/110</t>
  </si>
  <si>
    <t>1.1.1.1/20/A/116</t>
  </si>
  <si>
    <t>1.1.1.1/20/A/139</t>
  </si>
  <si>
    <t>1.1.1.1/20/A/144</t>
  </si>
  <si>
    <t>1.1.1.1/20/A/185</t>
  </si>
  <si>
    <t>Publiskais kopā</t>
  </si>
  <si>
    <t>1.1.1.1. pasākums</t>
  </si>
  <si>
    <t>13.1.2.1. pasākums</t>
  </si>
  <si>
    <t>REACT_EU_kopā</t>
  </si>
  <si>
    <t xml:space="preserve"> </t>
  </si>
  <si>
    <t>Kārtas numurs</t>
  </si>
  <si>
    <t>ERAF īpatsvars Teritorijai 1 (%)</t>
  </si>
  <si>
    <t>KP finansējums, EUR</t>
  </si>
  <si>
    <t>Teritorija1</t>
  </si>
  <si>
    <t>Teritorija2</t>
  </si>
  <si>
    <t>1. kārta</t>
  </si>
  <si>
    <t>2. kārta</t>
  </si>
  <si>
    <t>3. kārta</t>
  </si>
  <si>
    <t>4. kārta</t>
  </si>
  <si>
    <t>5. kārta</t>
  </si>
  <si>
    <t>Indikatīvais ERAF finansējuma sadalījums pa teritorijām, ievērojot SAM 1.1.1. pasākumu ietvaros plānotās ERAF pārdales atblstoši MKN grozījumiem Ministru kabineta 13.04.2021 noteikumi Nr. 235</t>
  </si>
  <si>
    <t>Indikatīvais ERAF finansējuma sadalījums pa teritorijām, ievērojot SAM 1.1.1. pasākumu ietvaros plānoto ERAF pārdali</t>
  </si>
  <si>
    <t>pamatpiešķīrums</t>
  </si>
  <si>
    <t>REACT-EU</t>
  </si>
  <si>
    <t>4.tabula</t>
  </si>
  <si>
    <t>5.tabula</t>
  </si>
  <si>
    <t>6.tabula</t>
  </si>
  <si>
    <t>ERAF finansējuma sadalījuma pa teritorijām 1.1.1.1. pasākuma un 13.1.2.1. pasākuma ietvaros aprēķini:</t>
  </si>
  <si>
    <t>7.tabula</t>
  </si>
  <si>
    <t>Pieejams (REACT)</t>
  </si>
  <si>
    <t>virssaistības</t>
  </si>
  <si>
    <t>ReactEU (atbilstoši projektiem)</t>
  </si>
  <si>
    <t>KOPĀ ar ReactEU</t>
  </si>
  <si>
    <t>Aktuālā MKN redakcija, kopējais pasākumu finansējums</t>
  </si>
  <si>
    <t>virssaistības*</t>
  </si>
  <si>
    <t>trūkst</t>
  </si>
  <si>
    <t>* iegrozīts ar Ministru kabineta 13.04.2021. noteikumiem Nr. 235</t>
  </si>
  <si>
    <t>Šobrīd 3.kārta</t>
  </si>
  <si>
    <t>Šobrīd 4.kārta</t>
  </si>
  <si>
    <t>Šobrīd 5.kārta</t>
  </si>
  <si>
    <t>MKN</t>
  </si>
  <si>
    <t>Šobrīd 4.kārtas nesaimn. projekti</t>
  </si>
  <si>
    <t>Šobrīd 3.kārtas nesaimn. projekti</t>
  </si>
  <si>
    <t>Kopā atlikumi</t>
  </si>
  <si>
    <t xml:space="preserve">Nepieciešams: </t>
  </si>
  <si>
    <t>Šobrīd 5.kārtas 1.virziens</t>
  </si>
  <si>
    <t>Šobrīd 5.kārtas 2.virziens</t>
  </si>
  <si>
    <t>Šobrīd 4.kārtas saimn. projekti</t>
  </si>
  <si>
    <t>t.sk. 1112 projekta pētniecības pieteikumos nepiesaistītais finansējums (ietaupījums projektā)</t>
  </si>
  <si>
    <t>1.kārta</t>
  </si>
  <si>
    <t>2.kārta</t>
  </si>
  <si>
    <t>ReactEU (atbilstoši projektu līgumiem)</t>
  </si>
  <si>
    <t>eraf</t>
  </si>
  <si>
    <t>Pamatpiešķ. atlikums</t>
  </si>
  <si>
    <t>1111 4.k PP atlikums nesaimn.</t>
  </si>
  <si>
    <t>1111 4.k PP atlikums saimn.</t>
  </si>
  <si>
    <t>1115 3.k. atbrīvotais</t>
  </si>
  <si>
    <t xml:space="preserve">Pārdale uz 1113 no 1111 4k. </t>
  </si>
  <si>
    <r>
      <t xml:space="preserve">REACT_EU finansējuma sadalījums pa kārtām un projektiem 
</t>
    </r>
    <r>
      <rPr>
        <sz val="11"/>
        <color theme="1"/>
        <rFont val="Calibri"/>
        <family val="2"/>
        <charset val="186"/>
        <scheme val="minor"/>
      </rPr>
      <t>(atbilstoši līgumos noslēgtajām summām, KPVIS dati uz 03.02.2022.)</t>
    </r>
  </si>
  <si>
    <t>3.tabula</t>
  </si>
  <si>
    <t>%</t>
  </si>
  <si>
    <t>1.1.1.1.pasākuma finansējuma pārrēķins</t>
  </si>
  <si>
    <t>10.tabula</t>
  </si>
  <si>
    <t>EK noteiktais</t>
  </si>
  <si>
    <t>111 SAM pasākumu atlikumi</t>
  </si>
  <si>
    <t>t.sk. 1115 atbrīvot plānotais finansejums</t>
  </si>
  <si>
    <t>pārdale no IZM projekta nr. 1.1.1.5/17/I/002</t>
  </si>
  <si>
    <t>Nepieciešams</t>
  </si>
  <si>
    <t xml:space="preserve">  </t>
  </si>
  <si>
    <t>RTU aprēķini</t>
  </si>
  <si>
    <t>eur/cilv</t>
  </si>
  <si>
    <t>Pieejamā summa pārdalei</t>
  </si>
  <si>
    <t>Rādītaja aprēķins:</t>
  </si>
  <si>
    <t>personu skaits</t>
  </si>
  <si>
    <t>eur/pers</t>
  </si>
  <si>
    <t>1115 2K</t>
  </si>
  <si>
    <t xml:space="preserve">1115 1k </t>
  </si>
  <si>
    <t>Tagad MKN</t>
  </si>
  <si>
    <t>Kopā:</t>
  </si>
  <si>
    <t>nac. priv. līdzfinan.</t>
  </si>
  <si>
    <t xml:space="preserve">Pētniecības pieteikumu īstenošanai </t>
  </si>
  <si>
    <t>2.k.</t>
  </si>
  <si>
    <t>3.k.</t>
  </si>
  <si>
    <t>1k</t>
  </si>
  <si>
    <t>SUMMAS MKN</t>
  </si>
  <si>
    <t>RTU 2.k.</t>
  </si>
  <si>
    <t>IZM projekts</t>
  </si>
  <si>
    <t>44.8.darbībai:</t>
  </si>
  <si>
    <t>Groz. gala</t>
  </si>
  <si>
    <t xml:space="preserve">aprēķini </t>
  </si>
  <si>
    <t>noapaļojums</t>
  </si>
  <si>
    <t>priv</t>
  </si>
  <si>
    <t>2k</t>
  </si>
  <si>
    <t>Priv.fin. apreķins</t>
  </si>
  <si>
    <t>Fin.veids</t>
  </si>
  <si>
    <t>2021.g. pārskaitījums</t>
  </si>
  <si>
    <t>Kopā REACT_EU 3. kārtai</t>
  </si>
  <si>
    <t>Kopā REACT_EU 4. kārtai</t>
  </si>
  <si>
    <t>1.1.1.1/21/A/033</t>
  </si>
  <si>
    <t>Līgums</t>
  </si>
  <si>
    <t>1.1.1.1/21/A/046</t>
  </si>
  <si>
    <t>1.1.1.1/21/A/079</t>
  </si>
  <si>
    <t>1.1.1.1/21/A/034</t>
  </si>
  <si>
    <t>Apstiprināts</t>
  </si>
  <si>
    <t>1.1.1.1/21/A/011</t>
  </si>
  <si>
    <t>1.1.1.1/21/A/053</t>
  </si>
  <si>
    <t>Kopā REACT_EU 5. kārtai</t>
  </si>
  <si>
    <t xml:space="preserve">starpība starp aprēķināto </t>
  </si>
  <si>
    <t>izmantot kā virssaistības</t>
  </si>
  <si>
    <t>Kopā virssaistības 4.kārtai</t>
  </si>
  <si>
    <t>1.1.1.1/21/A/029</t>
  </si>
  <si>
    <t>1.1.1.1/21/A/050</t>
  </si>
  <si>
    <t>1.1.1.1/21/A/010</t>
  </si>
  <si>
    <t>1.1.1.1/21/A/055</t>
  </si>
  <si>
    <t>plānot no virssaistībām</t>
  </si>
  <si>
    <t>Pieejams (REACT atlikums)</t>
  </si>
  <si>
    <t>Atlikumi pārdalei:</t>
  </si>
  <si>
    <t>1111 4.k. līgumos nepiesaistītais</t>
  </si>
  <si>
    <t>*</t>
  </si>
  <si>
    <t>pārdalei (1111 4k + 1115 3k +1111 5k 2 virz):</t>
  </si>
  <si>
    <t>1115 3.k. līgumos nepiesaistītais</t>
  </si>
  <si>
    <t>**</t>
  </si>
  <si>
    <t>Nepieciešams papildus:</t>
  </si>
  <si>
    <t>1111 5.k. 2.virz.atlikums</t>
  </si>
  <si>
    <t>Pārdale no atbrīvotā finansējuma</t>
  </si>
  <si>
    <t>Paliek pāri neizmantots</t>
  </si>
  <si>
    <t>* paredzēts visu proporcionālo ERAF daļu pārdalīt uz 1113 2k</t>
  </si>
  <si>
    <t>** paredzēts visu proporcionālo ERAF daļu pārdalīt uz 1115 2k (Buffalo)</t>
  </si>
  <si>
    <t>1.1.1.1. pamatpiešķīruma finansējums (5.k. 2.virziens)</t>
  </si>
  <si>
    <t>1.1.1.1/21/A/040</t>
  </si>
  <si>
    <t xml:space="preserve">1.1.1.1/21/A/082 </t>
  </si>
  <si>
    <t xml:space="preserve">1.1.1.1/21/A/030 </t>
  </si>
  <si>
    <t>1.1.1.1/21/A/031</t>
  </si>
  <si>
    <t xml:space="preserve">1.1.1.1/21/A/063 </t>
  </si>
  <si>
    <t>1.1.1.1/21/A/044</t>
  </si>
  <si>
    <t>1.1.1.1/21/A/052</t>
  </si>
  <si>
    <t>Kopā PP 5.kārtai</t>
  </si>
  <si>
    <t>Pieejamais fin. 2. virzienam</t>
  </si>
  <si>
    <t>Atlikums</t>
  </si>
  <si>
    <t>atlikums pēc pārdales uz virssaistībām</t>
  </si>
  <si>
    <t xml:space="preserve">bez virssaistībām 
(pamatpiešķīrums) </t>
  </si>
  <si>
    <t xml:space="preserve">virssaistības </t>
  </si>
  <si>
    <t>virssaistības (REACT atlikums)</t>
  </si>
  <si>
    <t>Pārdale no 1111 4.k. PP uz 1111 4.k. virssaistībām</t>
  </si>
  <si>
    <t>Pārdale no 1111 5.k. 2.virz.atlik. uz 1111 5.k. 2.virz. Virssaistībam</t>
  </si>
  <si>
    <t>tikai noņemt, nekur nelikt klāt (ir jau summās iekšā)</t>
  </si>
  <si>
    <t>PP (atbilstoši projektu līgumiem)</t>
  </si>
  <si>
    <t xml:space="preserve">KOPĀ </t>
  </si>
  <si>
    <r>
      <t xml:space="preserve">Pārdale no </t>
    </r>
    <r>
      <rPr>
        <sz val="11"/>
        <color rgb="FFFF0000"/>
        <rFont val="Calibri"/>
        <family val="2"/>
        <charset val="186"/>
        <scheme val="minor"/>
      </rPr>
      <t>1115 3.k.</t>
    </r>
    <r>
      <rPr>
        <sz val="11"/>
        <color theme="1"/>
        <rFont val="Calibri"/>
        <family val="2"/>
        <scheme val="minor"/>
      </rPr>
      <t xml:space="preserve"> atbrīvota uz 1111 5.k. 2.virz. Virssaistībam</t>
    </r>
  </si>
  <si>
    <r>
      <t xml:space="preserve">Pārdale no </t>
    </r>
    <r>
      <rPr>
        <sz val="11"/>
        <color rgb="FFFF0000"/>
        <rFont val="Calibri"/>
        <family val="2"/>
        <charset val="186"/>
        <scheme val="minor"/>
      </rPr>
      <t xml:space="preserve">1115 3.k. </t>
    </r>
    <r>
      <rPr>
        <sz val="11"/>
        <color theme="1"/>
        <rFont val="Calibri"/>
        <family val="2"/>
        <scheme val="minor"/>
      </rPr>
      <t>PP uz 1111 4.k. virssaistībām</t>
    </r>
  </si>
  <si>
    <t>* paredzēts visu proporcionālo ERAF daļu pārdalīt uz 1115 2k (Buffalo)</t>
  </si>
  <si>
    <t xml:space="preserve">Virssaistību finansējuma sadalījums pa kārtām un projektiem </t>
  </si>
  <si>
    <t>KOPĀ ar ReactEU un virssaistībām</t>
  </si>
  <si>
    <t>Kopā virssaistības 5.kārtai 1.virz.</t>
  </si>
  <si>
    <t>pamatpiešķīrums (kompensēts no pārdalēm)</t>
  </si>
  <si>
    <t>pārdale no ERAF pārdaļu atlikums</t>
  </si>
  <si>
    <t>(plānots no 1115 1.kārtas atbrīvotā finansējuma)</t>
  </si>
  <si>
    <t>Pārdales no atbrīvotā finansēuma (virssaistības)</t>
  </si>
  <si>
    <t xml:space="preserve">No </t>
  </si>
  <si>
    <t>Uz</t>
  </si>
  <si>
    <t xml:space="preserve">1115 3k </t>
  </si>
  <si>
    <t>1111 5.k. 1.virz.</t>
  </si>
  <si>
    <t>Pārdale uz 1111 5.k. 2.virz.</t>
  </si>
  <si>
    <t>Skat. Lapu "REACT pārrēķins"</t>
  </si>
  <si>
    <t>KOPĀ</t>
  </si>
  <si>
    <t>pārdale uz 1111 5.k. 1.v.</t>
  </si>
  <si>
    <t xml:space="preserve"> atlikums no pārdalēm</t>
  </si>
  <si>
    <t>3k kopā</t>
  </si>
  <si>
    <t>4k kopā</t>
  </si>
  <si>
    <t>3k NS</t>
  </si>
  <si>
    <t>4k NS</t>
  </si>
  <si>
    <t>4k S</t>
  </si>
  <si>
    <t>5k kopā</t>
  </si>
  <si>
    <t>5k 1.v.</t>
  </si>
  <si>
    <t>5.k. 2.v</t>
  </si>
  <si>
    <t>KOPĀ ar ReactEU, virssaistībām</t>
  </si>
  <si>
    <t>KOPĀ:
Gala summa MKN grozījumos</t>
  </si>
  <si>
    <t>MKN summas</t>
  </si>
  <si>
    <t>1.1.1.1. 
ES fondu virssaistības</t>
  </si>
  <si>
    <t xml:space="preserve">1111
nepiesaistītā fin. pārdale uz PP </t>
  </si>
  <si>
    <t xml:space="preserve">1111
atbrīvotā fin. pārdale uz VB </t>
  </si>
  <si>
    <t>Kopā trūkst</t>
  </si>
  <si>
    <t>uz 1111 PP</t>
  </si>
  <si>
    <t>13.1.2.1.  REACT</t>
  </si>
  <si>
    <t>uz 1111 PP (atbrīv.)</t>
  </si>
  <si>
    <t>6. tabula</t>
  </si>
  <si>
    <t>9.tabula</t>
  </si>
  <si>
    <t>11.tabula</t>
  </si>
  <si>
    <t>1111 bez virssaistībām</t>
  </si>
  <si>
    <t>1.1. tabula</t>
  </si>
  <si>
    <t>1.2. tabula</t>
  </si>
  <si>
    <t>1.3. tabula</t>
  </si>
  <si>
    <t>1115 pasākuma 2.kārta:</t>
  </si>
  <si>
    <t>REACT sadalījums pa gadiem</t>
  </si>
  <si>
    <t>ok</t>
  </si>
  <si>
    <t>tikai ar MK lēmumu!</t>
  </si>
  <si>
    <t>1115 3.k.</t>
  </si>
  <si>
    <t>ar MK lēmumu</t>
  </si>
  <si>
    <t>noņem atlikumus</t>
  </si>
  <si>
    <t>trūkst pret projektu summām</t>
  </si>
  <si>
    <t>paliek pāri</t>
  </si>
  <si>
    <t xml:space="preserve">summa projektos kopā KPVIS </t>
  </si>
  <si>
    <t>no 4 k</t>
  </si>
  <si>
    <t>uz 4k</t>
  </si>
  <si>
    <t>uz 3k 130063</t>
  </si>
  <si>
    <t>no 3k. 22337</t>
  </si>
  <si>
    <t>8.tabula (korekcija atbilstoši KPVIS projektu summām un skaitļu noapaļojumiem)</t>
  </si>
  <si>
    <t>VB papildus (projektos minus pieejamais)</t>
  </si>
  <si>
    <t>Trūkst papildus pēc korekcijas</t>
  </si>
  <si>
    <t>t.sk.</t>
  </si>
  <si>
    <t>1111 nepiesaistītais finansējums</t>
  </si>
  <si>
    <t>1111 4.k.</t>
  </si>
  <si>
    <t>atlikums/iztrūkums</t>
  </si>
  <si>
    <t>ERAF papildus</t>
  </si>
  <si>
    <t>Korekcija</t>
  </si>
  <si>
    <t>papildus pēc korekcijas</t>
  </si>
  <si>
    <t>kopa uz 1111</t>
  </si>
  <si>
    <t>t.sk. uz 1111 no 1115 3k</t>
  </si>
  <si>
    <t>MK lēmums</t>
  </si>
  <si>
    <t>1.1.1.1. un 13.1.2.1. ERAF finansējums pēc grozījumiem</t>
  </si>
  <si>
    <t>uz 1115 2.k.</t>
  </si>
  <si>
    <t>uz 1111 5.k.</t>
  </si>
  <si>
    <t>49 vb uz 4.k. nesaimn</t>
  </si>
  <si>
    <t>projektos</t>
  </si>
  <si>
    <t>11111 pamatpiešķīrums t.sk. virssaistības</t>
  </si>
  <si>
    <t>paliek virssaistības priekš 5.k.</t>
  </si>
  <si>
    <t>priv.</t>
  </si>
  <si>
    <t>pārdale</t>
  </si>
  <si>
    <t>ROUND</t>
  </si>
  <si>
    <t>1112 projekts (intensitātes aprēķins)</t>
  </si>
  <si>
    <t>ERAF nepies.</t>
  </si>
  <si>
    <t>VB nepies.</t>
  </si>
  <si>
    <t>ERAF atbrīv.</t>
  </si>
  <si>
    <t>VB atbrīv.</t>
  </si>
  <si>
    <t>1112 2 daļa, 1115 3.k.viss</t>
  </si>
  <si>
    <t>1112 viss, 1115 1 daļa</t>
  </si>
  <si>
    <t>1111 5k atlikums</t>
  </si>
  <si>
    <t>Finansejums</t>
  </si>
  <si>
    <t>Pardale</t>
  </si>
  <si>
    <t>1111 4k</t>
  </si>
  <si>
    <t>1113 2.k.</t>
  </si>
  <si>
    <t>nepiesaistītais</t>
  </si>
  <si>
    <t>ārējā</t>
  </si>
  <si>
    <t>atbrīvotais</t>
  </si>
  <si>
    <t>1115 2.k.</t>
  </si>
  <si>
    <t>1115 1.k.</t>
  </si>
  <si>
    <t>iekšējā</t>
  </si>
  <si>
    <t>1115. 3.k.</t>
  </si>
  <si>
    <t>1111 5k 2.v.</t>
  </si>
  <si>
    <t>1111 5k 1v</t>
  </si>
  <si>
    <t>1111 4.k. S</t>
  </si>
  <si>
    <t xml:space="preserve">uz 1113 </t>
  </si>
  <si>
    <t xml:space="preserve">Uz 1115 </t>
  </si>
  <si>
    <t>Uz 1111</t>
  </si>
  <si>
    <t>Ārējās pārdales</t>
  </si>
  <si>
    <t>No 1111</t>
  </si>
  <si>
    <t>No 1112</t>
  </si>
  <si>
    <t>No 1115</t>
  </si>
  <si>
    <t>samazināts</t>
  </si>
  <si>
    <t>Pārdale</t>
  </si>
  <si>
    <t>1113  2k</t>
  </si>
  <si>
    <t>Plus</t>
  </si>
  <si>
    <t>Minus</t>
  </si>
  <si>
    <t>Pārbaude:</t>
  </si>
  <si>
    <t>1111 4.k., 1112 1 daļa</t>
  </si>
  <si>
    <t>5kārtas 1 virzienā</t>
  </si>
  <si>
    <t>4.kārtas saimn</t>
  </si>
  <si>
    <t>ERAF uz 4.kārtas saimn, VB uz 5.k.</t>
  </si>
  <si>
    <t>Aprēķini pārdalei (1112)</t>
  </si>
  <si>
    <t>tikai pēc 1.1.1.5. 1.kārtas atlikuma atbrīvošanas</t>
  </si>
  <si>
    <t>VB 0.89 ielikts pie 5k PP ; ERAF 55,668.10 euro + 6 euro ielikts pie 4k saimn.</t>
  </si>
  <si>
    <t>atlikums</t>
  </si>
  <si>
    <t>Ietekme uz VB (1111)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</si>
</sst>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-* #,##0.00_-;\-* #,##0.00_-;_-* &quot;-&quot;??_-;_-@_-"/>
    <numFmt numFmtId="165" formatCode="0.000"/>
    <numFmt numFmtId="166" formatCode="0.0"/>
    <numFmt numFmtId="167" formatCode="0.00000"/>
    <numFmt numFmtId="168" formatCode="0.000000000"/>
    <numFmt numFmtId="169" formatCode="#,##0.0"/>
    <numFmt numFmtId="170" formatCode="0.00000000"/>
    <numFmt numFmtId="171" formatCode="_-* #,##0_-;\-* #,##0_-;_-* &quot;-&quot;??_-;_-@_-"/>
    <numFmt numFmtId="172" formatCode="0.0000000000"/>
    <numFmt numFmtId="173" formatCode="0.0000"/>
    <numFmt numFmtId="174" formatCode="0.000000"/>
    <numFmt numFmtId="175" formatCode="0.00000000000000000"/>
    <numFmt numFmtId="176" formatCode="0.00000000000"/>
  </numFmts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2708C4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1"/>
      <color theme="9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414142"/>
      <name val="Times New Roman"/>
      <family val="1"/>
      <charset val="186"/>
    </font>
    <font>
      <sz val="11"/>
      <color rgb="FF414142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Calibri"/>
      <family val="2"/>
      <scheme val="minor"/>
    </font>
    <font>
      <sz val="11"/>
      <name val="Times New Roman"/>
      <family val="1"/>
      <charset val="186"/>
    </font>
    <font>
      <sz val="10"/>
      <color rgb="FF000000"/>
      <name val="Arial"/>
      <family val="2"/>
      <charset val="186"/>
    </font>
    <font>
      <sz val="11"/>
      <color rgb="FF25396E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sz val="7"/>
      <color rgb="FF000000"/>
      <name val="Verdana"/>
      <family val="2"/>
      <charset val="186"/>
    </font>
    <font>
      <b/>
      <sz val="7"/>
      <color rgb="FF000000"/>
      <name val="Verdana"/>
      <family val="2"/>
      <charset val="186"/>
    </font>
    <font>
      <sz val="11"/>
      <color rgb="FF7030A0"/>
      <name val="Calibri"/>
      <family val="2"/>
      <scheme val="minor"/>
    </font>
    <font>
      <i/>
      <sz val="11"/>
      <color rgb="FF7030A0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sz val="11"/>
      <name val="Calibri"/>
      <family val="2"/>
      <scheme val="minor"/>
    </font>
    <font>
      <b/>
      <sz val="8"/>
      <name val="Verdana"/>
      <family val="2"/>
      <charset val="186"/>
    </font>
    <font>
      <b/>
      <sz val="11"/>
      <name val="Calibri"/>
      <family val="2"/>
      <charset val="186"/>
      <scheme val="minor"/>
    </font>
    <font>
      <sz val="8"/>
      <color rgb="FF000000"/>
      <name val="Times New Roman"/>
      <family val="1"/>
      <charset val="186"/>
    </font>
    <font>
      <b/>
      <sz val="11"/>
      <color rgb="FFFF0000"/>
      <name val="Calibri"/>
      <family val="2"/>
      <charset val="186"/>
      <scheme val="minor"/>
    </font>
    <font>
      <i/>
      <sz val="11"/>
      <color rgb="FFFF0000"/>
      <name val="Calibri"/>
      <family val="2"/>
      <charset val="186"/>
      <scheme val="minor"/>
    </font>
    <font>
      <sz val="11"/>
      <color rgb="FF9C0006"/>
      <name val="Calibri"/>
      <family val="2"/>
      <scheme val="minor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11"/>
      <color theme="0" tint="-0.249977111117893"/>
      <name val="Calibri"/>
      <family val="2"/>
      <charset val="186"/>
      <scheme val="minor"/>
    </font>
    <font>
      <b/>
      <sz val="11"/>
      <color theme="0" tint="-0.499984740745262"/>
      <name val="Calibri"/>
      <family val="2"/>
      <charset val="186"/>
      <scheme val="minor"/>
    </font>
    <font>
      <sz val="11"/>
      <color theme="0" tint="-0.499984740745262"/>
      <name val="Calibri"/>
      <family val="2"/>
      <charset val="186"/>
      <scheme val="minor"/>
    </font>
    <font>
      <b/>
      <sz val="11"/>
      <color rgb="FF7030A0"/>
      <name val="Calibri"/>
      <family val="2"/>
      <charset val="186"/>
      <scheme val="minor"/>
    </font>
    <font>
      <sz val="14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1"/>
      <color theme="0" tint="-0.499984740745262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  <font>
      <sz val="11"/>
      <color rgb="FF7030A0"/>
      <name val="Calibri"/>
      <family val="2"/>
      <charset val="186"/>
      <scheme val="minor"/>
    </font>
    <font>
      <i/>
      <sz val="11"/>
      <color theme="1"/>
      <name val="Times New Roman"/>
      <family val="1"/>
      <charset val="186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B050"/>
      <name val="Calibri"/>
      <family val="2"/>
      <charset val="186"/>
      <scheme val="minor"/>
    </font>
    <font>
      <i/>
      <sz val="11"/>
      <color rgb="FF00B050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8"/>
      <color rgb="FF414142"/>
      <name val="Arial"/>
      <family val="2"/>
      <charset val="186"/>
    </font>
    <font>
      <strike/>
      <sz val="11"/>
      <color rgb="FFFF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6" fillId="0" borderId="0"/>
    <xf numFmtId="0" fontId="18" fillId="0" borderId="0"/>
    <xf numFmtId="0" fontId="34" fillId="19" borderId="0" applyNumberFormat="0" applyBorder="0" applyAlignment="0" applyProtection="0"/>
    <xf numFmtId="164" fontId="55" fillId="0" borderId="0" applyFont="0" applyFill="0" applyBorder="0" applyAlignment="0" applyProtection="0"/>
  </cellStyleXfs>
  <cellXfs count="473">
    <xf numFmtId="0" fontId="0" fillId="0" borderId="0" xfId="0"/>
    <xf numFmtId="0" fontId="0" fillId="0" borderId="1" xfId="0" applyBorder="1"/>
    <xf numFmtId="0" fontId="5" fillId="0" borderId="1" xfId="0" applyFont="1" applyBorder="1"/>
    <xf numFmtId="0" fontId="0" fillId="0" borderId="0" xfId="0" applyBorder="1" applyAlignment="1">
      <alignment horizontal="left"/>
    </xf>
    <xf numFmtId="1" fontId="0" fillId="0" borderId="1" xfId="0" applyNumberFormat="1" applyBorder="1"/>
    <xf numFmtId="1" fontId="0" fillId="0" borderId="0" xfId="0" applyNumberFormat="1"/>
    <xf numFmtId="0" fontId="0" fillId="0" borderId="0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5" fillId="0" borderId="1" xfId="0" applyFont="1" applyFill="1" applyBorder="1" applyAlignment="1">
      <alignment horizontal="left"/>
    </xf>
    <xf numFmtId="2" fontId="5" fillId="0" borderId="1" xfId="0" applyNumberFormat="1" applyFont="1" applyBorder="1"/>
    <xf numFmtId="2" fontId="0" fillId="0" borderId="1" xfId="0" applyNumberFormat="1" applyBorder="1"/>
    <xf numFmtId="2" fontId="0" fillId="0" borderId="0" xfId="0" applyNumberFormat="1"/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4" fontId="0" fillId="0" borderId="0" xfId="0" applyNumberFormat="1"/>
    <xf numFmtId="0" fontId="7" fillId="3" borderId="1" xfId="0" applyFont="1" applyFill="1" applyBorder="1" applyAlignment="1">
      <alignment vertical="center"/>
    </xf>
    <xf numFmtId="4" fontId="8" fillId="3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vertical="center"/>
    </xf>
    <xf numFmtId="0" fontId="8" fillId="7" borderId="1" xfId="0" applyFont="1" applyFill="1" applyBorder="1" applyAlignment="1">
      <alignment vertical="center"/>
    </xf>
    <xf numFmtId="0" fontId="10" fillId="7" borderId="1" xfId="0" applyFont="1" applyFill="1" applyBorder="1" applyAlignment="1">
      <alignment vertical="center"/>
    </xf>
    <xf numFmtId="165" fontId="0" fillId="0" borderId="1" xfId="0" applyNumberFormat="1" applyBorder="1"/>
    <xf numFmtId="0" fontId="0" fillId="0" borderId="9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1" fontId="0" fillId="0" borderId="0" xfId="0" applyNumberFormat="1" applyFill="1" applyBorder="1"/>
    <xf numFmtId="1" fontId="0" fillId="0" borderId="0" xfId="0" applyNumberFormat="1" applyBorder="1"/>
    <xf numFmtId="0" fontId="0" fillId="0" borderId="0" xfId="0" applyBorder="1"/>
    <xf numFmtId="165" fontId="0" fillId="0" borderId="0" xfId="0" applyNumberFormat="1" applyBorder="1"/>
    <xf numFmtId="0" fontId="9" fillId="0" borderId="0" xfId="0" applyFont="1" applyBorder="1" applyAlignment="1">
      <alignment wrapText="1"/>
    </xf>
    <xf numFmtId="0" fontId="11" fillId="0" borderId="0" xfId="0" applyFont="1" applyBorder="1"/>
    <xf numFmtId="0" fontId="0" fillId="0" borderId="0" xfId="0" applyAlignment="1">
      <alignment horizontal="left"/>
    </xf>
    <xf numFmtId="0" fontId="0" fillId="2" borderId="0" xfId="0" applyFill="1"/>
    <xf numFmtId="0" fontId="5" fillId="0" borderId="0" xfId="0" applyFont="1"/>
    <xf numFmtId="0" fontId="0" fillId="0" borderId="0" xfId="0" applyFont="1" applyFill="1"/>
    <xf numFmtId="0" fontId="0" fillId="0" borderId="0" xfId="0" applyFill="1"/>
    <xf numFmtId="0" fontId="0" fillId="0" borderId="1" xfId="0" applyFont="1" applyFill="1" applyBorder="1"/>
    <xf numFmtId="0" fontId="14" fillId="0" borderId="1" xfId="0" applyFont="1" applyFill="1" applyBorder="1"/>
    <xf numFmtId="0" fontId="6" fillId="0" borderId="0" xfId="0" applyFont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3" fontId="0" fillId="0" borderId="0" xfId="0" applyNumberFormat="1"/>
    <xf numFmtId="0" fontId="17" fillId="0" borderId="1" xfId="0" applyFont="1" applyFill="1" applyBorder="1"/>
    <xf numFmtId="0" fontId="4" fillId="0" borderId="1" xfId="0" applyFont="1" applyBorder="1" applyAlignment="1">
      <alignment horizontal="left"/>
    </xf>
    <xf numFmtId="0" fontId="0" fillId="0" borderId="0" xfId="0" applyFont="1" applyFill="1" applyBorder="1"/>
    <xf numFmtId="0" fontId="14" fillId="0" borderId="0" xfId="0" applyFont="1" applyFill="1" applyBorder="1"/>
    <xf numFmtId="0" fontId="5" fillId="0" borderId="5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/>
    </xf>
    <xf numFmtId="0" fontId="0" fillId="0" borderId="0" xfId="0" applyFill="1" applyBorder="1"/>
    <xf numFmtId="0" fontId="5" fillId="0" borderId="0" xfId="0" applyFont="1" applyFill="1" applyBorder="1"/>
    <xf numFmtId="1" fontId="5" fillId="0" borderId="0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0" fontId="17" fillId="0" borderId="0" xfId="0" applyFont="1" applyFill="1" applyBorder="1"/>
    <xf numFmtId="0" fontId="0" fillId="0" borderId="1" xfId="0" applyFill="1" applyBorder="1"/>
    <xf numFmtId="0" fontId="15" fillId="0" borderId="1" xfId="0" applyFont="1" applyBorder="1"/>
    <xf numFmtId="4" fontId="10" fillId="6" borderId="1" xfId="0" applyNumberFormat="1" applyFont="1" applyFill="1" applyBorder="1"/>
    <xf numFmtId="0" fontId="10" fillId="4" borderId="1" xfId="0" applyFont="1" applyFill="1" applyBorder="1" applyAlignment="1">
      <alignment horizontal="left" indent="1"/>
    </xf>
    <xf numFmtId="4" fontId="10" fillId="8" borderId="1" xfId="0" applyNumberFormat="1" applyFont="1" applyFill="1" applyBorder="1"/>
    <xf numFmtId="0" fontId="19" fillId="13" borderId="1" xfId="2" applyNumberFormat="1" applyFont="1" applyFill="1" applyBorder="1" applyAlignment="1">
      <alignment horizontal="left" vertical="center" wrapText="1"/>
    </xf>
    <xf numFmtId="4" fontId="15" fillId="13" borderId="1" xfId="2" applyNumberFormat="1" applyFont="1" applyFill="1" applyBorder="1" applyAlignment="1">
      <alignment horizontal="right" vertical="center"/>
    </xf>
    <xf numFmtId="166" fontId="0" fillId="0" borderId="0" xfId="0" applyNumberFormat="1"/>
    <xf numFmtId="2" fontId="5" fillId="0" borderId="0" xfId="0" applyNumberFormat="1" applyFont="1" applyFill="1" applyBorder="1"/>
    <xf numFmtId="2" fontId="0" fillId="0" borderId="0" xfId="0" applyNumberFormat="1" applyFill="1" applyBorder="1"/>
    <xf numFmtId="0" fontId="21" fillId="0" borderId="0" xfId="0" applyFont="1"/>
    <xf numFmtId="0" fontId="5" fillId="0" borderId="1" xfId="0" applyFont="1" applyFill="1" applyBorder="1" applyAlignment="1">
      <alignment wrapText="1"/>
    </xf>
    <xf numFmtId="2" fontId="0" fillId="0" borderId="0" xfId="0" applyNumberFormat="1" applyFill="1"/>
    <xf numFmtId="2" fontId="0" fillId="0" borderId="1" xfId="0" applyNumberFormat="1" applyFill="1" applyBorder="1"/>
    <xf numFmtId="1" fontId="0" fillId="0" borderId="0" xfId="0" applyNumberFormat="1" applyFont="1" applyFill="1" applyBorder="1"/>
    <xf numFmtId="1" fontId="0" fillId="0" borderId="1" xfId="0" applyNumberFormat="1" applyFont="1" applyFill="1" applyBorder="1"/>
    <xf numFmtId="0" fontId="6" fillId="0" borderId="0" xfId="0" applyFont="1" applyFill="1" applyBorder="1"/>
    <xf numFmtId="166" fontId="0" fillId="0" borderId="0" xfId="0" applyNumberFormat="1" applyFill="1" applyBorder="1"/>
    <xf numFmtId="2" fontId="12" fillId="0" borderId="0" xfId="0" applyNumberFormat="1" applyFont="1" applyFill="1" applyBorder="1"/>
    <xf numFmtId="0" fontId="12" fillId="0" borderId="0" xfId="0" applyFont="1"/>
    <xf numFmtId="0" fontId="6" fillId="0" borderId="0" xfId="0" applyFont="1" applyFill="1" applyBorder="1" applyAlignment="1">
      <alignment horizontal="right"/>
    </xf>
    <xf numFmtId="0" fontId="24" fillId="0" borderId="0" xfId="0" applyFont="1"/>
    <xf numFmtId="0" fontId="25" fillId="0" borderId="0" xfId="0" applyFont="1"/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/>
    </xf>
    <xf numFmtId="0" fontId="26" fillId="2" borderId="4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16" fillId="0" borderId="0" xfId="0" applyFont="1"/>
    <xf numFmtId="0" fontId="16" fillId="9" borderId="0" xfId="0" applyFont="1" applyFill="1"/>
    <xf numFmtId="1" fontId="16" fillId="0" borderId="0" xfId="0" applyNumberFormat="1" applyFont="1"/>
    <xf numFmtId="166" fontId="16" fillId="0" borderId="0" xfId="0" applyNumberFormat="1" applyFont="1"/>
    <xf numFmtId="1" fontId="12" fillId="0" borderId="0" xfId="0" applyNumberFormat="1" applyFont="1" applyFill="1"/>
    <xf numFmtId="0" fontId="0" fillId="6" borderId="0" xfId="0" applyFill="1"/>
    <xf numFmtId="0" fontId="16" fillId="0" borderId="0" xfId="0" applyFont="1" applyFill="1"/>
    <xf numFmtId="166" fontId="16" fillId="0" borderId="0" xfId="0" applyNumberFormat="1" applyFont="1" applyFill="1"/>
    <xf numFmtId="1" fontId="27" fillId="0" borderId="0" xfId="0" applyNumberFormat="1" applyFont="1"/>
    <xf numFmtId="0" fontId="28" fillId="0" borderId="0" xfId="0" applyFont="1"/>
    <xf numFmtId="2" fontId="16" fillId="0" borderId="0" xfId="0" applyNumberFormat="1" applyFont="1" applyFill="1"/>
    <xf numFmtId="1" fontId="16" fillId="0" borderId="0" xfId="0" applyNumberFormat="1" applyFont="1" applyFill="1"/>
    <xf numFmtId="0" fontId="29" fillId="0" borderId="0" xfId="0" applyFont="1"/>
    <xf numFmtId="0" fontId="5" fillId="15" borderId="0" xfId="0" applyFont="1" applyFill="1"/>
    <xf numFmtId="0" fontId="16" fillId="14" borderId="0" xfId="0" applyFont="1" applyFill="1" applyAlignment="1">
      <alignment horizontal="left"/>
    </xf>
    <xf numFmtId="1" fontId="16" fillId="0" borderId="0" xfId="0" applyNumberFormat="1" applyFont="1" applyAlignment="1">
      <alignment horizontal="left"/>
    </xf>
    <xf numFmtId="1" fontId="5" fillId="0" borderId="0" xfId="0" applyNumberFormat="1" applyFont="1" applyFill="1"/>
    <xf numFmtId="3" fontId="15" fillId="9" borderId="10" xfId="1" applyNumberFormat="1" applyFont="1" applyFill="1" applyBorder="1" applyAlignment="1">
      <alignment horizontal="left" vertical="center" wrapText="1"/>
    </xf>
    <xf numFmtId="0" fontId="31" fillId="0" borderId="0" xfId="0" applyFont="1" applyFill="1" applyBorder="1"/>
    <xf numFmtId="4" fontId="15" fillId="0" borderId="1" xfId="0" applyNumberFormat="1" applyFont="1" applyBorder="1"/>
    <xf numFmtId="2" fontId="21" fillId="0" borderId="0" xfId="0" applyNumberFormat="1" applyFont="1"/>
    <xf numFmtId="0" fontId="15" fillId="4" borderId="3" xfId="0" applyFont="1" applyFill="1" applyBorder="1" applyAlignment="1">
      <alignment horizontal="center" vertical="center"/>
    </xf>
    <xf numFmtId="0" fontId="17" fillId="13" borderId="1" xfId="2" applyNumberFormat="1" applyFont="1" applyFill="1" applyBorder="1" applyAlignment="1">
      <alignment horizontal="left" vertical="center" wrapText="1"/>
    </xf>
    <xf numFmtId="4" fontId="0" fillId="0" borderId="11" xfId="0" applyNumberFormat="1" applyBorder="1"/>
    <xf numFmtId="0" fontId="0" fillId="0" borderId="11" xfId="0" applyBorder="1" applyAlignment="1">
      <alignment horizontal="left"/>
    </xf>
    <xf numFmtId="0" fontId="0" fillId="0" borderId="11" xfId="0" applyBorder="1"/>
    <xf numFmtId="0" fontId="0" fillId="16" borderId="11" xfId="0" applyFill="1" applyBorder="1"/>
    <xf numFmtId="1" fontId="0" fillId="16" borderId="11" xfId="0" applyNumberFormat="1" applyFill="1" applyBorder="1"/>
    <xf numFmtId="4" fontId="0" fillId="0" borderId="1" xfId="0" applyNumberFormat="1" applyBorder="1"/>
    <xf numFmtId="3" fontId="0" fillId="0" borderId="1" xfId="0" applyNumberFormat="1" applyBorder="1"/>
    <xf numFmtId="4" fontId="0" fillId="0" borderId="0" xfId="0" applyNumberFormat="1" applyFill="1"/>
    <xf numFmtId="4" fontId="9" fillId="0" borderId="0" xfId="0" applyNumberFormat="1" applyFont="1" applyBorder="1" applyAlignment="1">
      <alignment vertical="center"/>
    </xf>
    <xf numFmtId="4" fontId="0" fillId="0" borderId="0" xfId="0" applyNumberFormat="1" applyBorder="1"/>
    <xf numFmtId="1" fontId="4" fillId="0" borderId="0" xfId="0" applyNumberFormat="1" applyFont="1"/>
    <xf numFmtId="3" fontId="0" fillId="0" borderId="0" xfId="0" applyNumberFormat="1" applyFill="1" applyBorder="1"/>
    <xf numFmtId="4" fontId="10" fillId="4" borderId="1" xfId="0" applyNumberFormat="1" applyFont="1" applyFill="1" applyBorder="1"/>
    <xf numFmtId="4" fontId="10" fillId="17" borderId="1" xfId="0" applyNumberFormat="1" applyFont="1" applyFill="1" applyBorder="1"/>
    <xf numFmtId="0" fontId="15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indent="1"/>
    </xf>
    <xf numFmtId="1" fontId="10" fillId="0" borderId="0" xfId="0" applyNumberFormat="1" applyFont="1" applyFill="1" applyBorder="1"/>
    <xf numFmtId="4" fontId="10" fillId="0" borderId="0" xfId="0" applyNumberFormat="1" applyFont="1" applyFill="1" applyBorder="1"/>
    <xf numFmtId="4" fontId="5" fillId="0" borderId="0" xfId="0" applyNumberFormat="1" applyFont="1" applyFill="1"/>
    <xf numFmtId="0" fontId="10" fillId="0" borderId="0" xfId="0" applyFont="1" applyFill="1" applyBorder="1" applyAlignment="1">
      <alignment horizontal="left" vertical="top" indent="1"/>
    </xf>
    <xf numFmtId="0" fontId="5" fillId="12" borderId="0" xfId="0" applyFont="1" applyFill="1"/>
    <xf numFmtId="0" fontId="4" fillId="0" borderId="0" xfId="0" applyFont="1" applyFill="1"/>
    <xf numFmtId="0" fontId="33" fillId="0" borderId="0" xfId="0" applyFont="1" applyFill="1"/>
    <xf numFmtId="3" fontId="6" fillId="0" borderId="0" xfId="0" applyNumberFormat="1" applyFont="1" applyAlignment="1">
      <alignment horizontal="left" vertical="center"/>
    </xf>
    <xf numFmtId="0" fontId="4" fillId="0" borderId="0" xfId="0" applyFont="1"/>
    <xf numFmtId="3" fontId="0" fillId="0" borderId="1" xfId="0" applyNumberFormat="1" applyFill="1" applyBorder="1"/>
    <xf numFmtId="4" fontId="0" fillId="0" borderId="1" xfId="0" applyNumberFormat="1" applyFill="1" applyBorder="1"/>
    <xf numFmtId="0" fontId="0" fillId="0" borderId="4" xfId="0" applyFill="1" applyBorder="1"/>
    <xf numFmtId="4" fontId="0" fillId="0" borderId="0" xfId="0" applyNumberFormat="1" applyFill="1" applyBorder="1"/>
    <xf numFmtId="4" fontId="5" fillId="0" borderId="0" xfId="0" applyNumberFormat="1" applyFont="1" applyFill="1" applyBorder="1"/>
    <xf numFmtId="1" fontId="6" fillId="0" borderId="0" xfId="0" applyNumberFormat="1" applyFont="1"/>
    <xf numFmtId="4" fontId="16" fillId="0" borderId="0" xfId="0" applyNumberFormat="1" applyFont="1"/>
    <xf numFmtId="0" fontId="5" fillId="0" borderId="1" xfId="0" applyFont="1" applyFill="1" applyBorder="1" applyAlignment="1">
      <alignment horizontal="center" vertical="center" wrapText="1"/>
    </xf>
    <xf numFmtId="0" fontId="23" fillId="0" borderId="0" xfId="0" applyFont="1" applyFill="1"/>
    <xf numFmtId="0" fontId="22" fillId="0" borderId="0" xfId="0" applyFont="1" applyFill="1"/>
    <xf numFmtId="3" fontId="0" fillId="0" borderId="0" xfId="0" applyNumberFormat="1" applyFill="1"/>
    <xf numFmtId="166" fontId="0" fillId="0" borderId="1" xfId="0" applyNumberFormat="1" applyBorder="1" applyAlignment="1">
      <alignment wrapText="1"/>
    </xf>
    <xf numFmtId="2" fontId="6" fillId="0" borderId="0" xfId="0" applyNumberFormat="1" applyFont="1" applyFill="1" applyBorder="1"/>
    <xf numFmtId="0" fontId="5" fillId="0" borderId="0" xfId="0" applyFont="1" applyFill="1" applyBorder="1" applyAlignment="1">
      <alignment wrapText="1"/>
    </xf>
    <xf numFmtId="0" fontId="32" fillId="0" borderId="0" xfId="0" applyFont="1" applyFill="1" applyBorder="1"/>
    <xf numFmtId="2" fontId="21" fillId="0" borderId="0" xfId="0" applyNumberFormat="1" applyFont="1" applyFill="1" applyBorder="1"/>
    <xf numFmtId="1" fontId="0" fillId="0" borderId="1" xfId="0" applyNumberFormat="1" applyFill="1" applyBorder="1" applyAlignment="1">
      <alignment wrapText="1"/>
    </xf>
    <xf numFmtId="0" fontId="0" fillId="0" borderId="1" xfId="0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  <xf numFmtId="0" fontId="6" fillId="0" borderId="1" xfId="0" applyFont="1" applyFill="1" applyBorder="1" applyAlignment="1">
      <alignment horizontal="left" wrapText="1"/>
    </xf>
    <xf numFmtId="0" fontId="27" fillId="0" borderId="0" xfId="0" applyFont="1"/>
    <xf numFmtId="2" fontId="0" fillId="0" borderId="0" xfId="0" applyNumberFormat="1" applyFont="1" applyFill="1" applyBorder="1"/>
    <xf numFmtId="3" fontId="0" fillId="0" borderId="0" xfId="0" applyNumberFormat="1" applyFont="1" applyFill="1" applyBorder="1"/>
    <xf numFmtId="2" fontId="16" fillId="0" borderId="0" xfId="0" applyNumberFormat="1" applyFont="1" applyFill="1" applyBorder="1"/>
    <xf numFmtId="168" fontId="0" fillId="0" borderId="0" xfId="0" applyNumberFormat="1" applyFill="1" applyBorder="1"/>
    <xf numFmtId="4" fontId="0" fillId="16" borderId="11" xfId="0" applyNumberFormat="1" applyFill="1" applyBorder="1"/>
    <xf numFmtId="0" fontId="0" fillId="0" borderId="0" xfId="0" applyFill="1" applyAlignment="1">
      <alignment horizontal="center"/>
    </xf>
    <xf numFmtId="0" fontId="21" fillId="0" borderId="0" xfId="0" applyFont="1" applyFill="1"/>
    <xf numFmtId="1" fontId="16" fillId="0" borderId="1" xfId="0" applyNumberFormat="1" applyFont="1" applyFill="1" applyBorder="1"/>
    <xf numFmtId="1" fontId="16" fillId="0" borderId="1" xfId="0" applyNumberFormat="1" applyFont="1" applyBorder="1"/>
    <xf numFmtId="1" fontId="12" fillId="0" borderId="1" xfId="0" applyNumberFormat="1" applyFont="1" applyFill="1" applyBorder="1"/>
    <xf numFmtId="1" fontId="27" fillId="0" borderId="0" xfId="0" applyNumberFormat="1" applyFont="1" applyFill="1" applyBorder="1"/>
    <xf numFmtId="1" fontId="16" fillId="0" borderId="0" xfId="0" applyNumberFormat="1" applyFont="1" applyFill="1" applyBorder="1"/>
    <xf numFmtId="1" fontId="34" fillId="0" borderId="0" xfId="3" applyNumberFormat="1" applyFill="1"/>
    <xf numFmtId="3" fontId="0" fillId="16" borderId="11" xfId="0" applyNumberFormat="1" applyFill="1" applyBorder="1"/>
    <xf numFmtId="0" fontId="5" fillId="0" borderId="0" xfId="0" applyFont="1" applyFill="1" applyBorder="1" applyAlignment="1">
      <alignment horizontal="left" vertical="center" wrapText="1"/>
    </xf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5" fillId="0" borderId="13" xfId="0" applyFont="1" applyBorder="1"/>
    <xf numFmtId="0" fontId="0" fillId="0" borderId="13" xfId="0" applyFill="1" applyBorder="1"/>
    <xf numFmtId="0" fontId="0" fillId="0" borderId="16" xfId="0" applyBorder="1"/>
    <xf numFmtId="1" fontId="0" fillId="0" borderId="6" xfId="0" applyNumberFormat="1" applyFill="1" applyBorder="1"/>
    <xf numFmtId="166" fontId="0" fillId="0" borderId="6" xfId="0" applyNumberFormat="1" applyBorder="1" applyAlignment="1">
      <alignment wrapText="1"/>
    </xf>
    <xf numFmtId="1" fontId="12" fillId="0" borderId="6" xfId="0" applyNumberFormat="1" applyFont="1" applyFill="1" applyBorder="1"/>
    <xf numFmtId="0" fontId="0" fillId="15" borderId="0" xfId="0" applyFill="1" applyBorder="1"/>
    <xf numFmtId="2" fontId="0" fillId="15" borderId="0" xfId="0" applyNumberFormat="1" applyFill="1" applyBorder="1"/>
    <xf numFmtId="0" fontId="7" fillId="0" borderId="0" xfId="0" applyFont="1"/>
    <xf numFmtId="0" fontId="37" fillId="0" borderId="0" xfId="0" applyFont="1" applyFill="1" applyBorder="1" applyAlignment="1">
      <alignment horizontal="left" vertical="center" wrapText="1"/>
    </xf>
    <xf numFmtId="0" fontId="38" fillId="0" borderId="2" xfId="0" applyFont="1" applyFill="1" applyBorder="1" applyAlignment="1">
      <alignment horizontal="left" vertical="center" wrapText="1"/>
    </xf>
    <xf numFmtId="0" fontId="38" fillId="0" borderId="0" xfId="0" applyFont="1" applyFill="1" applyBorder="1" applyAlignment="1">
      <alignment horizontal="left" vertical="center" wrapText="1"/>
    </xf>
    <xf numFmtId="3" fontId="39" fillId="0" borderId="0" xfId="0" applyNumberFormat="1" applyFont="1" applyFill="1"/>
    <xf numFmtId="0" fontId="39" fillId="0" borderId="0" xfId="0" applyFont="1" applyFill="1"/>
    <xf numFmtId="3" fontId="0" fillId="0" borderId="0" xfId="0" applyNumberFormat="1" applyFill="1" applyAlignment="1">
      <alignment horizontal="right"/>
    </xf>
    <xf numFmtId="2" fontId="6" fillId="0" borderId="1" xfId="0" applyNumberFormat="1" applyFont="1" applyFill="1" applyBorder="1"/>
    <xf numFmtId="2" fontId="6" fillId="0" borderId="1" xfId="0" applyNumberFormat="1" applyFont="1" applyFill="1" applyBorder="1" applyAlignment="1">
      <alignment horizontal="left"/>
    </xf>
    <xf numFmtId="0" fontId="32" fillId="0" borderId="1" xfId="0" applyFont="1" applyFill="1" applyBorder="1"/>
    <xf numFmtId="0" fontId="40" fillId="0" borderId="1" xfId="0" applyFont="1" applyFill="1" applyBorder="1"/>
    <xf numFmtId="0" fontId="0" fillId="0" borderId="19" xfId="0" applyBorder="1"/>
    <xf numFmtId="0" fontId="5" fillId="0" borderId="20" xfId="0" applyFont="1" applyFill="1" applyBorder="1" applyAlignment="1">
      <alignment horizontal="left" vertical="center" wrapText="1"/>
    </xf>
    <xf numFmtId="0" fontId="5" fillId="11" borderId="20" xfId="0" applyFont="1" applyFill="1" applyBorder="1" applyAlignment="1">
      <alignment horizontal="left" vertical="center" wrapText="1"/>
    </xf>
    <xf numFmtId="0" fontId="5" fillId="2" borderId="0" xfId="0" applyFont="1" applyFill="1"/>
    <xf numFmtId="1" fontId="0" fillId="0" borderId="0" xfId="0" applyNumberFormat="1" applyAlignment="1">
      <alignment horizontal="left"/>
    </xf>
    <xf numFmtId="2" fontId="0" fillId="9" borderId="0" xfId="0" applyNumberFormat="1" applyFill="1" applyAlignment="1">
      <alignment horizontal="left"/>
    </xf>
    <xf numFmtId="0" fontId="5" fillId="0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horizontal="left" vertical="top"/>
    </xf>
    <xf numFmtId="0" fontId="0" fillId="18" borderId="1" xfId="0" applyFill="1" applyBorder="1"/>
    <xf numFmtId="4" fontId="0" fillId="18" borderId="1" xfId="0" applyNumberFormat="1" applyFill="1" applyBorder="1"/>
    <xf numFmtId="0" fontId="16" fillId="18" borderId="1" xfId="0" applyFont="1" applyFill="1" applyBorder="1"/>
    <xf numFmtId="0" fontId="16" fillId="0" borderId="0" xfId="0" applyFont="1" applyBorder="1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5" fillId="0" borderId="8" xfId="0" applyFont="1" applyFill="1" applyBorder="1" applyAlignment="1">
      <alignment horizontal="left" vertical="center" wrapText="1"/>
    </xf>
    <xf numFmtId="1" fontId="0" fillId="0" borderId="8" xfId="0" applyNumberFormat="1" applyFill="1" applyBorder="1"/>
    <xf numFmtId="1" fontId="0" fillId="0" borderId="8" xfId="0" applyNumberFormat="1" applyFont="1" applyFill="1" applyBorder="1"/>
    <xf numFmtId="1" fontId="12" fillId="0" borderId="8" xfId="0" applyNumberFormat="1" applyFont="1" applyFill="1" applyBorder="1"/>
    <xf numFmtId="0" fontId="5" fillId="0" borderId="0" xfId="0" applyFont="1" applyFill="1" applyBorder="1" applyAlignment="1">
      <alignment vertical="center" wrapText="1"/>
    </xf>
    <xf numFmtId="1" fontId="0" fillId="0" borderId="14" xfId="0" applyNumberFormat="1" applyFill="1" applyBorder="1"/>
    <xf numFmtId="0" fontId="0" fillId="0" borderId="14" xfId="0" applyFill="1" applyBorder="1"/>
    <xf numFmtId="0" fontId="15" fillId="0" borderId="0" xfId="0" applyFont="1" applyFill="1" applyBorder="1"/>
    <xf numFmtId="4" fontId="0" fillId="0" borderId="1" xfId="0" applyNumberFormat="1" applyFont="1" applyFill="1" applyBorder="1"/>
    <xf numFmtId="4" fontId="0" fillId="0" borderId="0" xfId="0" applyNumberFormat="1" applyFont="1" applyFill="1" applyBorder="1"/>
    <xf numFmtId="4" fontId="5" fillId="0" borderId="1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/>
    <xf numFmtId="4" fontId="5" fillId="0" borderId="1" xfId="0" applyNumberFormat="1" applyFont="1" applyFill="1" applyBorder="1" applyAlignment="1">
      <alignment horizontal="left" vertical="center" wrapText="1"/>
    </xf>
    <xf numFmtId="4" fontId="16" fillId="0" borderId="1" xfId="0" applyNumberFormat="1" applyFont="1" applyFill="1" applyBorder="1"/>
    <xf numFmtId="4" fontId="0" fillId="0" borderId="0" xfId="0" applyNumberFormat="1" applyFont="1" applyFill="1"/>
    <xf numFmtId="4" fontId="6" fillId="0" borderId="1" xfId="0" applyNumberFormat="1" applyFont="1" applyFill="1" applyBorder="1"/>
    <xf numFmtId="4" fontId="0" fillId="0" borderId="0" xfId="0" applyNumberFormat="1" applyFill="1" applyBorder="1" applyAlignment="1">
      <alignment horizontal="right"/>
    </xf>
    <xf numFmtId="2" fontId="12" fillId="0" borderId="0" xfId="0" applyNumberFormat="1" applyFont="1" applyFill="1"/>
    <xf numFmtId="1" fontId="12" fillId="0" borderId="0" xfId="0" applyNumberFormat="1" applyFont="1" applyFill="1" applyBorder="1"/>
    <xf numFmtId="1" fontId="0" fillId="0" borderId="0" xfId="0" applyNumberFormat="1" applyFont="1" applyFill="1"/>
    <xf numFmtId="3" fontId="0" fillId="2" borderId="0" xfId="0" applyNumberFormat="1" applyFill="1"/>
    <xf numFmtId="169" fontId="0" fillId="0" borderId="0" xfId="0" applyNumberFormat="1" applyFill="1"/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0" fillId="0" borderId="0" xfId="0" applyFill="1" applyBorder="1" applyAlignment="1">
      <alignment wrapText="1"/>
    </xf>
    <xf numFmtId="3" fontId="12" fillId="0" borderId="0" xfId="0" applyNumberFormat="1" applyFont="1" applyFill="1"/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166" fontId="0" fillId="0" borderId="0" xfId="0" applyNumberFormat="1" applyFill="1" applyBorder="1" applyAlignment="1">
      <alignment horizontal="right"/>
    </xf>
    <xf numFmtId="166" fontId="0" fillId="0" borderId="0" xfId="0" applyNumberFormat="1" applyFill="1" applyAlignment="1">
      <alignment horizontal="right"/>
    </xf>
    <xf numFmtId="4" fontId="0" fillId="0" borderId="0" xfId="0" applyNumberFormat="1" applyFill="1" applyAlignment="1">
      <alignment horizontal="right"/>
    </xf>
    <xf numFmtId="4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" fontId="27" fillId="0" borderId="0" xfId="0" applyNumberFormat="1" applyFont="1" applyFill="1" applyBorder="1" applyAlignment="1">
      <alignment horizontal="center"/>
    </xf>
    <xf numFmtId="1" fontId="27" fillId="0" borderId="0" xfId="0" applyNumberFormat="1" applyFont="1" applyFill="1" applyAlignment="1">
      <alignment horizontal="center"/>
    </xf>
    <xf numFmtId="1" fontId="0" fillId="0" borderId="0" xfId="0" applyNumberFormat="1" applyFill="1" applyAlignment="1">
      <alignment horizontal="center"/>
    </xf>
    <xf numFmtId="2" fontId="12" fillId="0" borderId="0" xfId="0" applyNumberFormat="1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166" fontId="0" fillId="0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1" fontId="0" fillId="0" borderId="0" xfId="0" applyNumberFormat="1" applyFont="1" applyFill="1" applyAlignment="1">
      <alignment horizontal="center"/>
    </xf>
    <xf numFmtId="1" fontId="12" fillId="0" borderId="0" xfId="0" applyNumberFormat="1" applyFont="1" applyFill="1" applyAlignment="1">
      <alignment horizontal="center"/>
    </xf>
    <xf numFmtId="2" fontId="12" fillId="0" borderId="0" xfId="0" applyNumberFormat="1" applyFont="1" applyFill="1" applyAlignment="1">
      <alignment horizontal="center"/>
    </xf>
    <xf numFmtId="1" fontId="12" fillId="0" borderId="0" xfId="0" applyNumberFormat="1" applyFont="1" applyFill="1" applyBorder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Border="1" applyAlignment="1">
      <alignment horizontal="right"/>
    </xf>
    <xf numFmtId="0" fontId="5" fillId="0" borderId="0" xfId="0" applyFont="1" applyFill="1" applyBorder="1" applyAlignment="1">
      <alignment horizontal="right" vertical="center" wrapText="1"/>
    </xf>
    <xf numFmtId="1" fontId="16" fillId="0" borderId="0" xfId="0" applyNumberFormat="1" applyFont="1" applyFill="1" applyBorder="1" applyAlignment="1">
      <alignment horizontal="right"/>
    </xf>
    <xf numFmtId="1" fontId="0" fillId="0" borderId="0" xfId="0" applyNumberFormat="1" applyFill="1" applyBorder="1" applyAlignment="1">
      <alignment horizontal="right"/>
    </xf>
    <xf numFmtId="2" fontId="0" fillId="0" borderId="0" xfId="0" applyNumberFormat="1" applyFill="1" applyBorder="1" applyAlignment="1">
      <alignment horizontal="right"/>
    </xf>
    <xf numFmtId="1" fontId="27" fillId="0" borderId="0" xfId="0" applyNumberFormat="1" applyFont="1" applyFill="1" applyBorder="1" applyAlignment="1">
      <alignment horizontal="right"/>
    </xf>
    <xf numFmtId="1" fontId="27" fillId="0" borderId="0" xfId="0" applyNumberFormat="1" applyFont="1" applyFill="1" applyAlignment="1">
      <alignment horizontal="right"/>
    </xf>
    <xf numFmtId="1" fontId="0" fillId="0" borderId="0" xfId="0" applyNumberFormat="1" applyFill="1" applyAlignment="1">
      <alignment horizontal="right"/>
    </xf>
    <xf numFmtId="1" fontId="12" fillId="0" borderId="0" xfId="0" applyNumberFormat="1" applyFont="1" applyFill="1" applyAlignment="1">
      <alignment horizontal="right"/>
    </xf>
    <xf numFmtId="2" fontId="12" fillId="0" borderId="0" xfId="0" applyNumberFormat="1" applyFont="1" applyFill="1" applyAlignment="1">
      <alignment horizontal="right"/>
    </xf>
    <xf numFmtId="1" fontId="12" fillId="0" borderId="0" xfId="0" applyNumberFormat="1" applyFont="1" applyFill="1" applyBorder="1" applyAlignment="1">
      <alignment horizontal="right"/>
    </xf>
    <xf numFmtId="1" fontId="32" fillId="0" borderId="0" xfId="0" applyNumberFormat="1" applyFont="1" applyFill="1" applyBorder="1"/>
    <xf numFmtId="2" fontId="5" fillId="0" borderId="0" xfId="0" applyNumberFormat="1" applyFont="1" applyFill="1"/>
    <xf numFmtId="2" fontId="0" fillId="0" borderId="0" xfId="0" applyNumberFormat="1" applyFont="1" applyFill="1" applyAlignment="1">
      <alignment horizontal="right"/>
    </xf>
    <xf numFmtId="1" fontId="44" fillId="0" borderId="0" xfId="0" applyNumberFormat="1" applyFont="1" applyFill="1"/>
    <xf numFmtId="0" fontId="27" fillId="0" borderId="0" xfId="0" applyFont="1" applyFill="1" applyBorder="1"/>
    <xf numFmtId="0" fontId="3" fillId="0" borderId="0" xfId="0" applyFont="1" applyFill="1" applyBorder="1"/>
    <xf numFmtId="2" fontId="0" fillId="0" borderId="0" xfId="0" applyNumberFormat="1" applyBorder="1" applyAlignment="1">
      <alignment horizontal="center"/>
    </xf>
    <xf numFmtId="0" fontId="27" fillId="0" borderId="1" xfId="0" applyFont="1" applyBorder="1"/>
    <xf numFmtId="0" fontId="27" fillId="0" borderId="1" xfId="0" applyFont="1" applyFill="1" applyBorder="1" applyAlignment="1">
      <alignment horizontal="center"/>
    </xf>
    <xf numFmtId="0" fontId="27" fillId="0" borderId="1" xfId="0" applyFont="1" applyFill="1" applyBorder="1" applyAlignment="1">
      <alignment horizontal="left"/>
    </xf>
    <xf numFmtId="2" fontId="27" fillId="0" borderId="1" xfId="0" applyNumberFormat="1" applyFont="1" applyFill="1" applyBorder="1" applyAlignment="1">
      <alignment horizontal="center"/>
    </xf>
    <xf numFmtId="0" fontId="27" fillId="0" borderId="1" xfId="0" applyFont="1" applyFill="1" applyBorder="1" applyAlignment="1">
      <alignment horizontal="left" wrapText="1"/>
    </xf>
    <xf numFmtId="0" fontId="30" fillId="0" borderId="1" xfId="0" applyFont="1" applyFill="1" applyBorder="1" applyAlignment="1">
      <alignment horizontal="left"/>
    </xf>
    <xf numFmtId="0" fontId="30" fillId="0" borderId="1" xfId="0" applyFont="1" applyFill="1" applyBorder="1"/>
    <xf numFmtId="0" fontId="27" fillId="0" borderId="1" xfId="0" applyFont="1" applyFill="1" applyBorder="1"/>
    <xf numFmtId="2" fontId="27" fillId="0" borderId="1" xfId="0" applyNumberFormat="1" applyFont="1" applyFill="1" applyBorder="1"/>
    <xf numFmtId="0" fontId="6" fillId="10" borderId="1" xfId="1" applyFont="1" applyFill="1" applyBorder="1" applyAlignment="1">
      <alignment horizontal="left"/>
    </xf>
    <xf numFmtId="0" fontId="6" fillId="10" borderId="1" xfId="1" applyFont="1" applyFill="1" applyBorder="1" applyAlignment="1">
      <alignment horizontal="center"/>
    </xf>
    <xf numFmtId="3" fontId="15" fillId="9" borderId="1" xfId="1" applyNumberFormat="1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10" borderId="1" xfId="1" applyFont="1" applyFill="1" applyBorder="1" applyAlignment="1">
      <alignment horizontal="center"/>
    </xf>
    <xf numFmtId="3" fontId="47" fillId="9" borderId="1" xfId="1" applyNumberFormat="1" applyFont="1" applyFill="1" applyBorder="1" applyAlignment="1">
      <alignment horizontal="center" vertical="center" wrapText="1"/>
    </xf>
    <xf numFmtId="0" fontId="48" fillId="0" borderId="1" xfId="0" applyFont="1" applyBorder="1" applyAlignment="1">
      <alignment horizontal="center"/>
    </xf>
    <xf numFmtId="0" fontId="48" fillId="0" borderId="1" xfId="0" applyFont="1" applyFill="1" applyBorder="1" applyAlignment="1">
      <alignment horizontal="center"/>
    </xf>
    <xf numFmtId="166" fontId="0" fillId="0" borderId="1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4" fontId="44" fillId="0" borderId="0" xfId="0" applyNumberFormat="1" applyFont="1" applyAlignment="1">
      <alignment horizontal="left" vertical="center"/>
    </xf>
    <xf numFmtId="2" fontId="0" fillId="0" borderId="0" xfId="0" applyNumberFormat="1" applyFill="1" applyBorder="1" applyAlignment="1">
      <alignment horizontal="left"/>
    </xf>
    <xf numFmtId="3" fontId="0" fillId="0" borderId="17" xfId="0" applyNumberFormat="1" applyFill="1" applyBorder="1"/>
    <xf numFmtId="0" fontId="0" fillId="0" borderId="18" xfId="0" applyFill="1" applyBorder="1"/>
    <xf numFmtId="0" fontId="46" fillId="0" borderId="0" xfId="0" applyFont="1" applyFill="1" applyAlignment="1">
      <alignment vertical="center"/>
    </xf>
    <xf numFmtId="4" fontId="6" fillId="0" borderId="0" xfId="0" applyNumberFormat="1" applyFont="1" applyFill="1" applyBorder="1"/>
    <xf numFmtId="3" fontId="41" fillId="0" borderId="0" xfId="0" applyNumberFormat="1" applyFont="1" applyFill="1" applyBorder="1"/>
    <xf numFmtId="1" fontId="27" fillId="0" borderId="0" xfId="0" applyNumberFormat="1" applyFont="1" applyFill="1"/>
    <xf numFmtId="4" fontId="45" fillId="0" borderId="0" xfId="0" applyNumberFormat="1" applyFont="1"/>
    <xf numFmtId="0" fontId="49" fillId="0" borderId="0" xfId="0" applyFont="1" applyFill="1" applyBorder="1"/>
    <xf numFmtId="168" fontId="49" fillId="0" borderId="0" xfId="0" applyNumberFormat="1" applyFont="1" applyFill="1" applyBorder="1"/>
    <xf numFmtId="1" fontId="49" fillId="0" borderId="0" xfId="0" applyNumberFormat="1" applyFont="1" applyFill="1" applyBorder="1"/>
    <xf numFmtId="0" fontId="49" fillId="0" borderId="0" xfId="0" applyFont="1" applyFill="1" applyBorder="1" applyAlignment="1">
      <alignment horizontal="right"/>
    </xf>
    <xf numFmtId="0" fontId="49" fillId="0" borderId="0" xfId="0" applyFont="1" applyFill="1" applyBorder="1" applyAlignment="1">
      <alignment horizontal="center"/>
    </xf>
    <xf numFmtId="1" fontId="4" fillId="0" borderId="1" xfId="0" applyNumberFormat="1" applyFont="1" applyFill="1" applyBorder="1"/>
    <xf numFmtId="1" fontId="5" fillId="0" borderId="0" xfId="0" applyNumberFormat="1" applyFont="1" applyFill="1" applyBorder="1" applyAlignment="1">
      <alignment horizontal="left"/>
    </xf>
    <xf numFmtId="0" fontId="51" fillId="0" borderId="0" xfId="0" applyFont="1"/>
    <xf numFmtId="0" fontId="51" fillId="0" borderId="0" xfId="0" applyFont="1" applyFill="1"/>
    <xf numFmtId="0" fontId="52" fillId="0" borderId="0" xfId="0" applyFont="1"/>
    <xf numFmtId="0" fontId="51" fillId="16" borderId="0" xfId="0" applyFont="1" applyFill="1"/>
    <xf numFmtId="0" fontId="53" fillId="0" borderId="0" xfId="0" applyFont="1" applyFill="1"/>
    <xf numFmtId="0" fontId="51" fillId="0" borderId="0" xfId="0" applyFont="1" applyFill="1" applyBorder="1"/>
    <xf numFmtId="0" fontId="53" fillId="0" borderId="0" xfId="0" applyFont="1" applyFill="1" applyBorder="1"/>
    <xf numFmtId="3" fontId="51" fillId="0" borderId="0" xfId="0" applyNumberFormat="1" applyFont="1" applyFill="1" applyBorder="1"/>
    <xf numFmtId="1" fontId="51" fillId="0" borderId="0" xfId="0" applyNumberFormat="1" applyFont="1" applyFill="1" applyBorder="1"/>
    <xf numFmtId="0" fontId="54" fillId="0" borderId="0" xfId="0" applyFont="1" applyFill="1"/>
    <xf numFmtId="4" fontId="12" fillId="0" borderId="0" xfId="0" applyNumberFormat="1" applyFont="1" applyFill="1"/>
    <xf numFmtId="3" fontId="0" fillId="20" borderId="0" xfId="0" applyNumberFormat="1" applyFill="1" applyBorder="1"/>
    <xf numFmtId="171" fontId="51" fillId="0" borderId="0" xfId="4" applyNumberFormat="1" applyFont="1" applyFill="1" applyBorder="1"/>
    <xf numFmtId="172" fontId="0" fillId="0" borderId="0" xfId="0" applyNumberFormat="1" applyFill="1" applyBorder="1"/>
    <xf numFmtId="4" fontId="51" fillId="0" borderId="0" xfId="0" applyNumberFormat="1" applyFont="1" applyFill="1" applyBorder="1"/>
    <xf numFmtId="2" fontId="0" fillId="0" borderId="0" xfId="0" applyNumberFormat="1" applyBorder="1"/>
    <xf numFmtId="0" fontId="2" fillId="0" borderId="1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2" fontId="5" fillId="0" borderId="1" xfId="0" applyNumberFormat="1" applyFont="1" applyFill="1" applyBorder="1"/>
    <xf numFmtId="0" fontId="2" fillId="0" borderId="0" xfId="0" applyFont="1"/>
    <xf numFmtId="1" fontId="12" fillId="0" borderId="0" xfId="0" applyNumberFormat="1" applyFont="1"/>
    <xf numFmtId="1" fontId="2" fillId="0" borderId="0" xfId="0" applyNumberFormat="1" applyFont="1" applyFill="1"/>
    <xf numFmtId="0" fontId="56" fillId="0" borderId="0" xfId="0" applyFont="1" applyBorder="1"/>
    <xf numFmtId="0" fontId="25" fillId="0" borderId="0" xfId="0" applyFont="1" applyFill="1"/>
    <xf numFmtId="4" fontId="44" fillId="0" borderId="0" xfId="0" applyNumberFormat="1" applyFont="1" applyFill="1" applyAlignment="1">
      <alignment horizontal="left" vertical="center"/>
    </xf>
    <xf numFmtId="0" fontId="20" fillId="0" borderId="0" xfId="0" applyFont="1" applyFill="1" applyBorder="1" applyAlignment="1">
      <alignment horizontal="left" indent="1"/>
    </xf>
    <xf numFmtId="0" fontId="32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 wrapText="1"/>
    </xf>
    <xf numFmtId="2" fontId="0" fillId="0" borderId="0" xfId="0" applyNumberFormat="1" applyFill="1" applyBorder="1" applyAlignment="1">
      <alignment vertical="top"/>
    </xf>
    <xf numFmtId="0" fontId="0" fillId="15" borderId="0" xfId="0" applyFill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18" borderId="1" xfId="0" applyFill="1" applyBorder="1" applyAlignment="1">
      <alignment horizontal="left"/>
    </xf>
    <xf numFmtId="0" fontId="0" fillId="17" borderId="0" xfId="0" applyFill="1"/>
    <xf numFmtId="0" fontId="0" fillId="12" borderId="0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5" fillId="15" borderId="1" xfId="0" applyFont="1" applyFill="1" applyBorder="1" applyAlignment="1">
      <alignment horizontal="right"/>
    </xf>
    <xf numFmtId="0" fontId="5" fillId="10" borderId="1" xfId="0" applyFont="1" applyFill="1" applyBorder="1" applyAlignment="1">
      <alignment horizontal="right"/>
    </xf>
    <xf numFmtId="0" fontId="0" fillId="0" borderId="0" xfId="0" applyBorder="1" applyAlignment="1">
      <alignment horizontal="right"/>
    </xf>
    <xf numFmtId="167" fontId="0" fillId="0" borderId="0" xfId="0" applyNumberForma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1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1" fontId="2" fillId="9" borderId="1" xfId="0" applyNumberFormat="1" applyFont="1" applyFill="1" applyBorder="1" applyAlignment="1">
      <alignment horizontal="right"/>
    </xf>
    <xf numFmtId="2" fontId="2" fillId="9" borderId="1" xfId="0" applyNumberFormat="1" applyFont="1" applyFill="1" applyBorder="1" applyAlignment="1">
      <alignment horizontal="right"/>
    </xf>
    <xf numFmtId="0" fontId="2" fillId="9" borderId="1" xfId="0" applyFont="1" applyFill="1" applyBorder="1" applyAlignment="1">
      <alignment horizontal="right"/>
    </xf>
    <xf numFmtId="0" fontId="5" fillId="18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1" fontId="2" fillId="0" borderId="1" xfId="0" applyNumberFormat="1" applyFont="1" applyFill="1" applyBorder="1" applyAlignment="1">
      <alignment horizontal="right"/>
    </xf>
    <xf numFmtId="2" fontId="2" fillId="0" borderId="1" xfId="0" applyNumberFormat="1" applyFont="1" applyFill="1" applyBorder="1" applyAlignment="1">
      <alignment horizontal="right"/>
    </xf>
    <xf numFmtId="0" fontId="2" fillId="18" borderId="1" xfId="0" applyFont="1" applyFill="1" applyBorder="1" applyAlignment="1">
      <alignment horizontal="right"/>
    </xf>
    <xf numFmtId="1" fontId="0" fillId="0" borderId="1" xfId="0" applyNumberFormat="1" applyBorder="1" applyAlignment="1">
      <alignment horizontal="left"/>
    </xf>
    <xf numFmtId="0" fontId="5" fillId="0" borderId="0" xfId="0" applyFont="1" applyAlignment="1">
      <alignment horizontal="left"/>
    </xf>
    <xf numFmtId="1" fontId="5" fillId="0" borderId="0" xfId="0" applyNumberFormat="1" applyFont="1" applyAlignment="1">
      <alignment horizontal="left"/>
    </xf>
    <xf numFmtId="0" fontId="0" fillId="21" borderId="0" xfId="0" applyFill="1"/>
    <xf numFmtId="1" fontId="0" fillId="21" borderId="0" xfId="0" applyNumberFormat="1" applyFill="1"/>
    <xf numFmtId="175" fontId="0" fillId="0" borderId="0" xfId="0" applyNumberFormat="1"/>
    <xf numFmtId="1" fontId="16" fillId="2" borderId="0" xfId="0" applyNumberFormat="1" applyFont="1" applyFill="1"/>
    <xf numFmtId="0" fontId="5" fillId="16" borderId="0" xfId="0" applyFont="1" applyFill="1" applyAlignment="1">
      <alignment horizontal="left"/>
    </xf>
    <xf numFmtId="4" fontId="0" fillId="16" borderId="0" xfId="0" applyNumberFormat="1" applyFill="1" applyBorder="1"/>
    <xf numFmtId="4" fontId="0" fillId="16" borderId="0" xfId="0" applyNumberFormat="1" applyFill="1"/>
    <xf numFmtId="0" fontId="53" fillId="16" borderId="0" xfId="0" applyFont="1" applyFill="1"/>
    <xf numFmtId="3" fontId="12" fillId="0" borderId="0" xfId="0" applyNumberFormat="1" applyFont="1" applyFill="1" applyBorder="1"/>
    <xf numFmtId="2" fontId="0" fillId="20" borderId="0" xfId="0" applyNumberFormat="1" applyFill="1" applyBorder="1" applyAlignment="1">
      <alignment horizontal="left"/>
    </xf>
    <xf numFmtId="169" fontId="12" fillId="0" borderId="0" xfId="0" applyNumberFormat="1" applyFont="1" applyFill="1" applyBorder="1"/>
    <xf numFmtId="172" fontId="0" fillId="0" borderId="0" xfId="0" applyNumberFormat="1" applyFill="1"/>
    <xf numFmtId="172" fontId="0" fillId="0" borderId="0" xfId="0" applyNumberFormat="1"/>
    <xf numFmtId="4" fontId="12" fillId="0" borderId="0" xfId="0" applyNumberFormat="1" applyFont="1" applyFill="1" applyBorder="1"/>
    <xf numFmtId="176" fontId="0" fillId="0" borderId="0" xfId="0" applyNumberFormat="1" applyFill="1"/>
    <xf numFmtId="176" fontId="0" fillId="0" borderId="0" xfId="0" applyNumberFormat="1"/>
    <xf numFmtId="0" fontId="0" fillId="0" borderId="1" xfId="0" applyBorder="1" applyAlignment="1">
      <alignment horizontal="center"/>
    </xf>
    <xf numFmtId="0" fontId="15" fillId="4" borderId="4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0" fontId="15" fillId="4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2" fontId="32" fillId="0" borderId="0" xfId="0" applyNumberFormat="1" applyFont="1" applyFill="1" applyBorder="1"/>
    <xf numFmtId="2" fontId="49" fillId="0" borderId="0" xfId="0" applyNumberFormat="1" applyFont="1" applyFill="1" applyBorder="1"/>
    <xf numFmtId="2" fontId="58" fillId="0" borderId="0" xfId="0" applyNumberFormat="1" applyFont="1" applyFill="1" applyBorder="1"/>
    <xf numFmtId="2" fontId="59" fillId="0" borderId="0" xfId="0" applyNumberFormat="1" applyFont="1" applyFill="1" applyBorder="1"/>
    <xf numFmtId="0" fontId="58" fillId="0" borderId="0" xfId="0" applyFont="1" applyFill="1" applyBorder="1"/>
    <xf numFmtId="2" fontId="58" fillId="0" borderId="0" xfId="0" applyNumberFormat="1" applyFont="1" applyFill="1" applyBorder="1" applyAlignment="1">
      <alignment horizontal="left"/>
    </xf>
    <xf numFmtId="4" fontId="0" fillId="0" borderId="1" xfId="0" applyNumberFormat="1" applyFont="1" applyFill="1" applyBorder="1" applyAlignment="1">
      <alignment horizontal="left"/>
    </xf>
    <xf numFmtId="2" fontId="0" fillId="0" borderId="1" xfId="0" applyNumberFormat="1" applyFill="1" applyBorder="1" applyAlignment="1">
      <alignment horizontal="left"/>
    </xf>
    <xf numFmtId="0" fontId="45" fillId="0" borderId="0" xfId="0" applyFont="1" applyFill="1"/>
    <xf numFmtId="4" fontId="50" fillId="9" borderId="0" xfId="0" applyNumberFormat="1" applyFont="1" applyFill="1" applyBorder="1"/>
    <xf numFmtId="2" fontId="0" fillId="9" borderId="0" xfId="0" applyNumberFormat="1" applyFill="1" applyBorder="1" applyAlignment="1">
      <alignment horizontal="left"/>
    </xf>
    <xf numFmtId="4" fontId="50" fillId="20" borderId="0" xfId="0" applyNumberFormat="1" applyFont="1" applyFill="1" applyBorder="1"/>
    <xf numFmtId="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wrapText="1"/>
    </xf>
    <xf numFmtId="3" fontId="6" fillId="0" borderId="0" xfId="0" applyNumberFormat="1" applyFont="1" applyFill="1" applyAlignment="1">
      <alignment horizontal="left" vertical="center"/>
    </xf>
    <xf numFmtId="0" fontId="15" fillId="0" borderId="1" xfId="0" applyFont="1" applyFill="1" applyBorder="1"/>
    <xf numFmtId="4" fontId="13" fillId="0" borderId="1" xfId="0" applyNumberFormat="1" applyFont="1" applyFill="1" applyBorder="1"/>
    <xf numFmtId="166" fontId="0" fillId="0" borderId="0" xfId="0" applyNumberFormat="1" applyFill="1"/>
    <xf numFmtId="4" fontId="16" fillId="0" borderId="0" xfId="0" applyNumberFormat="1" applyFont="1" applyFill="1"/>
    <xf numFmtId="0" fontId="6" fillId="0" borderId="0" xfId="0" applyFont="1" applyFill="1"/>
    <xf numFmtId="171" fontId="0" fillId="0" borderId="1" xfId="4" applyNumberFormat="1" applyFont="1" applyFill="1" applyBorder="1"/>
    <xf numFmtId="171" fontId="16" fillId="0" borderId="1" xfId="4" applyNumberFormat="1" applyFont="1" applyFill="1" applyBorder="1"/>
    <xf numFmtId="2" fontId="0" fillId="0" borderId="1" xfId="0" applyNumberFormat="1" applyFont="1" applyFill="1" applyBorder="1"/>
    <xf numFmtId="2" fontId="30" fillId="0" borderId="1" xfId="0" applyNumberFormat="1" applyFont="1" applyFill="1" applyBorder="1"/>
    <xf numFmtId="2" fontId="2" fillId="0" borderId="1" xfId="0" applyNumberFormat="1" applyFont="1" applyFill="1" applyBorder="1"/>
    <xf numFmtId="2" fontId="57" fillId="0" borderId="1" xfId="0" applyNumberFormat="1" applyFont="1" applyFill="1" applyBorder="1"/>
    <xf numFmtId="2" fontId="16" fillId="0" borderId="1" xfId="0" applyNumberFormat="1" applyFont="1" applyFill="1" applyBorder="1"/>
    <xf numFmtId="0" fontId="5" fillId="0" borderId="1" xfId="0" applyFont="1" applyFill="1" applyBorder="1" applyAlignment="1">
      <alignment horizontal="left" wrapText="1"/>
    </xf>
    <xf numFmtId="0" fontId="0" fillId="18" borderId="0" xfId="0" applyFill="1"/>
    <xf numFmtId="0" fontId="0" fillId="18" borderId="0" xfId="0" applyFill="1" applyBorder="1"/>
    <xf numFmtId="1" fontId="0" fillId="18" borderId="0" xfId="0" applyNumberFormat="1" applyFill="1"/>
    <xf numFmtId="1" fontId="5" fillId="18" borderId="0" xfId="0" applyNumberFormat="1" applyFont="1" applyFill="1" applyBorder="1"/>
    <xf numFmtId="1" fontId="5" fillId="18" borderId="0" xfId="0" applyNumberFormat="1" applyFont="1" applyFill="1"/>
    <xf numFmtId="0" fontId="56" fillId="18" borderId="0" xfId="0" applyFont="1" applyFill="1"/>
    <xf numFmtId="2" fontId="0" fillId="18" borderId="0" xfId="0" applyNumberFormat="1" applyFill="1"/>
    <xf numFmtId="0" fontId="44" fillId="0" borderId="0" xfId="0" applyFont="1" applyFill="1"/>
    <xf numFmtId="0" fontId="44" fillId="0" borderId="0" xfId="0" applyFont="1"/>
    <xf numFmtId="2" fontId="44" fillId="0" borderId="0" xfId="0" applyNumberFormat="1" applyFont="1"/>
    <xf numFmtId="0" fontId="5" fillId="0" borderId="0" xfId="0" applyFont="1" applyFill="1" applyBorder="1" applyAlignment="1">
      <alignment horizontal="left"/>
    </xf>
    <xf numFmtId="168" fontId="0" fillId="0" borderId="0" xfId="0" applyNumberFormat="1" applyFill="1"/>
    <xf numFmtId="0" fontId="5" fillId="0" borderId="0" xfId="0" applyFont="1" applyFill="1"/>
    <xf numFmtId="1" fontId="2" fillId="0" borderId="0" xfId="0" applyNumberFormat="1" applyFont="1" applyFill="1" applyAlignment="1">
      <alignment horizontal="right"/>
    </xf>
    <xf numFmtId="2" fontId="16" fillId="0" borderId="1" xfId="0" applyNumberFormat="1" applyFont="1" applyFill="1" applyBorder="1" applyAlignment="1">
      <alignment vertical="top"/>
    </xf>
    <xf numFmtId="2" fontId="16" fillId="0" borderId="1" xfId="0" applyNumberFormat="1" applyFont="1" applyFill="1" applyBorder="1" applyAlignment="1"/>
    <xf numFmtId="1" fontId="0" fillId="0" borderId="0" xfId="0" applyNumberFormat="1" applyFill="1" applyAlignment="1">
      <alignment horizontal="left"/>
    </xf>
    <xf numFmtId="172" fontId="16" fillId="0" borderId="0" xfId="0" applyNumberFormat="1" applyFont="1" applyFill="1"/>
    <xf numFmtId="166" fontId="27" fillId="0" borderId="0" xfId="0" applyNumberFormat="1" applyFont="1" applyFill="1"/>
    <xf numFmtId="170" fontId="16" fillId="0" borderId="0" xfId="0" applyNumberFormat="1" applyFont="1" applyFill="1"/>
    <xf numFmtId="2" fontId="27" fillId="0" borderId="0" xfId="0" applyNumberFormat="1" applyFont="1" applyFill="1"/>
    <xf numFmtId="0" fontId="28" fillId="0" borderId="0" xfId="0" applyFont="1" applyFill="1"/>
    <xf numFmtId="173" fontId="0" fillId="0" borderId="0" xfId="0" applyNumberFormat="1" applyFill="1"/>
    <xf numFmtId="166" fontId="16" fillId="0" borderId="0" xfId="0" applyNumberFormat="1" applyFont="1" applyBorder="1"/>
    <xf numFmtId="1" fontId="16" fillId="0" borderId="0" xfId="0" applyNumberFormat="1" applyFont="1" applyBorder="1"/>
    <xf numFmtId="1" fontId="0" fillId="0" borderId="0" xfId="0" applyNumberFormat="1" applyBorder="1" applyAlignment="1">
      <alignment horizontal="left"/>
    </xf>
    <xf numFmtId="0" fontId="5" fillId="16" borderId="0" xfId="0" applyFont="1" applyFill="1" applyBorder="1" applyAlignment="1">
      <alignment horizontal="left"/>
    </xf>
    <xf numFmtId="0" fontId="0" fillId="16" borderId="0" xfId="0" applyFill="1" applyBorder="1"/>
    <xf numFmtId="1" fontId="0" fillId="16" borderId="0" xfId="0" applyNumberFormat="1" applyFill="1" applyBorder="1" applyAlignment="1">
      <alignment horizontal="left"/>
    </xf>
    <xf numFmtId="0" fontId="16" fillId="14" borderId="0" xfId="0" applyFont="1" applyFill="1" applyBorder="1" applyAlignment="1">
      <alignment horizontal="left"/>
    </xf>
    <xf numFmtId="0" fontId="16" fillId="9" borderId="0" xfId="0" applyFont="1" applyFill="1" applyBorder="1"/>
    <xf numFmtId="1" fontId="0" fillId="0" borderId="0" xfId="0" applyNumberFormat="1" applyFill="1" applyBorder="1" applyAlignment="1">
      <alignment horizontal="left"/>
    </xf>
    <xf numFmtId="174" fontId="16" fillId="0" borderId="0" xfId="0" applyNumberFormat="1" applyFont="1" applyFill="1" applyBorder="1"/>
    <xf numFmtId="170" fontId="0" fillId="0" borderId="0" xfId="0" applyNumberFormat="1" applyFill="1" applyBorder="1"/>
    <xf numFmtId="173" fontId="0" fillId="0" borderId="0" xfId="0" applyNumberFormat="1" applyFill="1" applyBorder="1"/>
    <xf numFmtId="1" fontId="30" fillId="0" borderId="0" xfId="0" applyNumberFormat="1" applyFont="1" applyBorder="1"/>
    <xf numFmtId="1" fontId="16" fillId="0" borderId="0" xfId="0" applyNumberFormat="1" applyFont="1" applyBorder="1" applyAlignment="1">
      <alignment horizontal="left"/>
    </xf>
    <xf numFmtId="0" fontId="0" fillId="0" borderId="0" xfId="0" applyFill="1" applyAlignment="1">
      <alignment horizontal="left"/>
    </xf>
    <xf numFmtId="4" fontId="0" fillId="0" borderId="0" xfId="0" applyNumberFormat="1" applyFill="1" applyAlignment="1">
      <alignment horizontal="left"/>
    </xf>
    <xf numFmtId="4" fontId="27" fillId="0" borderId="0" xfId="0" applyNumberFormat="1" applyFont="1" applyFill="1" applyAlignment="1">
      <alignment horizontal="left" vertical="center"/>
    </xf>
    <xf numFmtId="0" fontId="38" fillId="0" borderId="0" xfId="0" applyFont="1" applyFill="1" applyBorder="1"/>
    <xf numFmtId="2" fontId="38" fillId="0" borderId="0" xfId="0" applyNumberFormat="1" applyFont="1"/>
    <xf numFmtId="1" fontId="39" fillId="0" borderId="0" xfId="0" applyNumberFormat="1" applyFont="1" applyAlignment="1">
      <alignment horizontal="right"/>
    </xf>
    <xf numFmtId="0" fontId="39" fillId="0" borderId="0" xfId="0" applyFont="1" applyAlignment="1">
      <alignment horizontal="right"/>
    </xf>
    <xf numFmtId="1" fontId="39" fillId="0" borderId="0" xfId="0" applyNumberFormat="1" applyFont="1"/>
    <xf numFmtId="1" fontId="27" fillId="9" borderId="1" xfId="0" applyNumberFormat="1" applyFont="1" applyFill="1" applyBorder="1" applyAlignment="1">
      <alignment horizontal="right"/>
    </xf>
    <xf numFmtId="0" fontId="0" fillId="0" borderId="21" xfId="0" applyFill="1" applyBorder="1" applyAlignment="1">
      <alignment horizontal="left"/>
    </xf>
    <xf numFmtId="174" fontId="0" fillId="0" borderId="0" xfId="0" applyNumberFormat="1"/>
    <xf numFmtId="4" fontId="50" fillId="9" borderId="0" xfId="0" applyNumberFormat="1" applyFont="1" applyFill="1" applyBorder="1" applyAlignment="1">
      <alignment horizontal="left"/>
    </xf>
    <xf numFmtId="4" fontId="58" fillId="0" borderId="1" xfId="0" applyNumberFormat="1" applyFont="1" applyFill="1" applyBorder="1" applyAlignment="1">
      <alignment horizontal="left"/>
    </xf>
    <xf numFmtId="2" fontId="39" fillId="0" borderId="0" xfId="0" applyNumberFormat="1" applyFont="1" applyFill="1"/>
    <xf numFmtId="0" fontId="0" fillId="18" borderId="0" xfId="0" applyFill="1" applyBorder="1" applyAlignment="1">
      <alignment horizontal="left"/>
    </xf>
    <xf numFmtId="1" fontId="27" fillId="18" borderId="1" xfId="0" applyNumberFormat="1" applyFont="1" applyFill="1" applyBorder="1" applyAlignment="1">
      <alignment horizontal="right"/>
    </xf>
    <xf numFmtId="2" fontId="51" fillId="0" borderId="0" xfId="0" applyNumberFormat="1" applyFont="1" applyFill="1"/>
  </cellXfs>
  <cellStyles count="5">
    <cellStyle name="Bad" xfId="3" builtinId="27"/>
    <cellStyle name="Comma" xfId="4" builtinId="3"/>
    <cellStyle name="Normal" xfId="0" builtinId="0"/>
    <cellStyle name="Normal 2" xfId="2"/>
    <cellStyle name="Normal 3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Viktorija Fomčenkova" id="{450FCA18-3F83-4085-96C1-D9E522EF2357}" userId="S::viktorija.fomcenkova@cfla.gov.lv::765cb814-97fc-4fe2-a469-313f445a9bb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56" dT="2022-03-22T10:15:31.79" personId="{450FCA18-3F83-4085-96C1-D9E522EF2357}" id="{1EB69D27-25F2-4192-94C1-0ECEF494CAD0}">
    <text>precizēju</text>
  </threadedComment>
  <threadedComment ref="D71" dT="2022-03-22T10:15:23.72" personId="{450FCA18-3F83-4085-96C1-D9E522EF2357}" id="{5EE59636-059B-4B89-8DE1-5B01934AAC97}">
    <text>precizēju</text>
  </threadedComment>
  <threadedComment ref="E75" dT="2022-03-22T10:15:51.71" personId="{450FCA18-3F83-4085-96C1-D9E522EF2357}" id="{66879B63-17E4-42B1-8D21-4999D030AE7F}">
    <text>precizēju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40"/>
  <sheetViews>
    <sheetView topLeftCell="A35" zoomScaleNormal="100" workbookViewId="0">
      <selection activeCell="E8" sqref="E8"/>
    </sheetView>
  </sheetViews>
  <sheetFormatPr defaultRowHeight="14.4" x14ac:dyDescent="0.3"/>
  <cols>
    <col min="1" max="1" width="14.5546875" customWidth="1"/>
    <col min="2" max="2" width="16" customWidth="1"/>
    <col min="3" max="3" width="12.109375" customWidth="1"/>
    <col min="4" max="4" width="12.6640625" customWidth="1"/>
    <col min="5" max="6" width="12.33203125" customWidth="1"/>
    <col min="7" max="7" width="47.44140625" customWidth="1"/>
    <col min="8" max="8" width="11.88671875" customWidth="1"/>
    <col min="9" max="9" width="11.44140625" customWidth="1"/>
    <col min="10" max="10" width="11" customWidth="1"/>
    <col min="11" max="11" width="11.5546875" bestFit="1" customWidth="1"/>
    <col min="12" max="12" width="10.6640625" customWidth="1"/>
    <col min="13" max="13" width="10.6640625" bestFit="1" customWidth="1"/>
    <col min="14" max="14" width="9.6640625" bestFit="1" customWidth="1"/>
    <col min="15" max="15" width="20.109375" bestFit="1" customWidth="1"/>
  </cols>
  <sheetData>
    <row r="1" spans="1:12" x14ac:dyDescent="0.3">
      <c r="G1" t="s">
        <v>213</v>
      </c>
    </row>
    <row r="2" spans="1:12" x14ac:dyDescent="0.3">
      <c r="C2" t="s">
        <v>15</v>
      </c>
      <c r="G2" t="s">
        <v>7</v>
      </c>
      <c r="H2" s="11"/>
    </row>
    <row r="3" spans="1:12" x14ac:dyDescent="0.3">
      <c r="A3" t="s">
        <v>88</v>
      </c>
      <c r="G3" s="272" t="s">
        <v>8</v>
      </c>
      <c r="H3" s="273" t="s">
        <v>0</v>
      </c>
      <c r="I3" s="273" t="s">
        <v>1</v>
      </c>
      <c r="J3" s="272" t="s">
        <v>9</v>
      </c>
    </row>
    <row r="4" spans="1:12" x14ac:dyDescent="0.3">
      <c r="A4" s="1" t="s">
        <v>67</v>
      </c>
      <c r="B4" s="1"/>
      <c r="C4" s="1"/>
      <c r="G4" s="277" t="s">
        <v>234</v>
      </c>
      <c r="H4" s="275">
        <v>856859.52</v>
      </c>
      <c r="I4" s="275">
        <v>45247.61</v>
      </c>
      <c r="J4" s="275">
        <v>902107.13</v>
      </c>
    </row>
    <row r="5" spans="1:12" x14ac:dyDescent="0.3">
      <c r="A5" s="2"/>
      <c r="B5" s="9" t="s">
        <v>0</v>
      </c>
      <c r="C5" s="9" t="s">
        <v>1</v>
      </c>
      <c r="D5" s="1" t="s">
        <v>250</v>
      </c>
      <c r="G5" s="277" t="s">
        <v>10</v>
      </c>
      <c r="H5" s="275">
        <v>1102030.04</v>
      </c>
      <c r="I5" s="275">
        <v>112659.25</v>
      </c>
      <c r="J5" s="275">
        <v>1214689.29</v>
      </c>
      <c r="K5" s="34"/>
      <c r="L5" s="34"/>
    </row>
    <row r="6" spans="1:12" x14ac:dyDescent="0.3">
      <c r="A6" s="195" t="s">
        <v>235</v>
      </c>
      <c r="B6" s="68">
        <v>856858</v>
      </c>
      <c r="C6" s="68">
        <v>45247.61</v>
      </c>
      <c r="D6" s="55"/>
      <c r="E6" s="309"/>
      <c r="G6" s="274" t="s">
        <v>11</v>
      </c>
      <c r="H6" s="275">
        <v>585047.06000000006</v>
      </c>
      <c r="I6" s="275">
        <v>53713.38</v>
      </c>
      <c r="J6" s="275">
        <v>638760.44000000006</v>
      </c>
      <c r="K6" s="34"/>
      <c r="L6" s="34"/>
    </row>
    <row r="7" spans="1:12" hidden="1" x14ac:dyDescent="0.3">
      <c r="A7" s="8">
        <v>1112</v>
      </c>
      <c r="B7" s="327">
        <v>516982</v>
      </c>
      <c r="C7" s="327">
        <v>58945</v>
      </c>
      <c r="D7" s="327">
        <v>44219</v>
      </c>
      <c r="E7" s="310"/>
      <c r="F7" s="67"/>
      <c r="K7" s="34"/>
      <c r="L7" s="34"/>
    </row>
    <row r="8" spans="1:12" x14ac:dyDescent="0.3">
      <c r="A8" s="418">
        <v>1112</v>
      </c>
      <c r="B8" s="414">
        <f>K25</f>
        <v>500895</v>
      </c>
      <c r="C8" s="414">
        <f>C7</f>
        <v>58945</v>
      </c>
      <c r="D8" s="414">
        <f>K27</f>
        <v>34184</v>
      </c>
      <c r="E8" s="472"/>
      <c r="F8" s="67"/>
      <c r="G8" s="274"/>
      <c r="H8" s="275"/>
      <c r="I8" s="275"/>
      <c r="J8" s="275"/>
      <c r="K8" s="34"/>
      <c r="L8" s="34"/>
    </row>
    <row r="9" spans="1:12" ht="28.8" x14ac:dyDescent="0.3">
      <c r="A9" s="196" t="s">
        <v>2</v>
      </c>
      <c r="B9" s="185">
        <v>344186</v>
      </c>
      <c r="C9" s="185"/>
      <c r="D9" s="55"/>
      <c r="E9" s="34"/>
      <c r="F9" s="34"/>
      <c r="G9" s="276" t="s">
        <v>72</v>
      </c>
      <c r="H9" s="275">
        <v>516982.98</v>
      </c>
      <c r="I9" s="275">
        <v>58945.87</v>
      </c>
      <c r="J9" s="275">
        <v>575928.85</v>
      </c>
      <c r="K9" s="34"/>
      <c r="L9" s="34"/>
    </row>
    <row r="10" spans="1:12" x14ac:dyDescent="0.3">
      <c r="A10" s="196" t="s">
        <v>3</v>
      </c>
      <c r="B10" s="185">
        <f>B8-B9</f>
        <v>156709</v>
      </c>
      <c r="C10" s="185"/>
      <c r="D10" s="55"/>
      <c r="E10" s="34"/>
      <c r="F10" s="34"/>
      <c r="G10" s="278" t="s">
        <v>12</v>
      </c>
      <c r="H10" s="275">
        <f>H11+H12+H14</f>
        <v>2659554.7800000003</v>
      </c>
      <c r="I10" s="275">
        <f t="shared" ref="I10:J10" si="0">I11+I12+I14</f>
        <v>469333.18999999971</v>
      </c>
      <c r="J10" s="275">
        <f t="shared" si="0"/>
        <v>3128888.4699999997</v>
      </c>
    </row>
    <row r="11" spans="1:12" x14ac:dyDescent="0.3">
      <c r="A11" s="196"/>
      <c r="B11" s="68"/>
      <c r="C11" s="68"/>
      <c r="D11" s="55"/>
      <c r="G11" s="274" t="s">
        <v>13</v>
      </c>
      <c r="H11" s="275">
        <v>2104286.6500000004</v>
      </c>
      <c r="I11" s="275">
        <v>371344.69999999972</v>
      </c>
      <c r="J11" s="275">
        <v>2475631.35</v>
      </c>
    </row>
    <row r="12" spans="1:12" x14ac:dyDescent="0.3">
      <c r="A12" s="195" t="s">
        <v>220</v>
      </c>
      <c r="B12" s="327">
        <v>215268</v>
      </c>
      <c r="C12" s="327">
        <v>37988</v>
      </c>
      <c r="D12" s="55"/>
      <c r="E12" s="311"/>
      <c r="G12" s="279" t="s">
        <v>89</v>
      </c>
      <c r="H12" s="280">
        <v>340000</v>
      </c>
      <c r="I12" s="280">
        <v>60000</v>
      </c>
      <c r="J12" s="280">
        <f>H12+I12</f>
        <v>400000</v>
      </c>
      <c r="K12" s="77" t="s">
        <v>90</v>
      </c>
    </row>
    <row r="13" spans="1:12" x14ac:dyDescent="0.3">
      <c r="A13" s="196" t="s">
        <v>2</v>
      </c>
      <c r="B13" s="327"/>
      <c r="C13" s="415">
        <v>6698</v>
      </c>
      <c r="D13" s="55"/>
      <c r="E13" s="427" t="s">
        <v>244</v>
      </c>
      <c r="G13" s="279"/>
      <c r="H13" s="280"/>
      <c r="I13" s="280"/>
      <c r="J13" s="280"/>
      <c r="K13" s="77"/>
    </row>
    <row r="14" spans="1:12" x14ac:dyDescent="0.3">
      <c r="B14" s="68"/>
      <c r="C14" s="416"/>
      <c r="D14" s="55"/>
      <c r="E14" s="427"/>
      <c r="F14" s="32"/>
      <c r="G14" s="274" t="s">
        <v>14</v>
      </c>
      <c r="H14" s="275">
        <v>215268.12999999989</v>
      </c>
      <c r="I14" s="275">
        <v>37988.49</v>
      </c>
      <c r="J14" s="275">
        <v>253257.11999999988</v>
      </c>
    </row>
    <row r="15" spans="1:12" x14ac:dyDescent="0.3">
      <c r="A15" s="197" t="s">
        <v>3</v>
      </c>
      <c r="B15" s="68"/>
      <c r="C15" s="417">
        <f>C12-C13</f>
        <v>31290</v>
      </c>
      <c r="D15" s="55"/>
      <c r="E15" s="428" t="s">
        <v>245</v>
      </c>
      <c r="G15" s="6"/>
      <c r="H15" s="240"/>
      <c r="I15" s="240"/>
      <c r="J15" s="271"/>
      <c r="K15" t="s">
        <v>92</v>
      </c>
    </row>
    <row r="16" spans="1:12" x14ac:dyDescent="0.3">
      <c r="A16" s="44"/>
      <c r="B16" s="10"/>
      <c r="C16" s="10"/>
      <c r="D16" s="1"/>
      <c r="G16" s="26"/>
      <c r="H16" s="271"/>
      <c r="I16" s="271"/>
      <c r="J16" s="271"/>
    </row>
    <row r="17" spans="1:15" x14ac:dyDescent="0.3">
      <c r="C17" s="11"/>
      <c r="G17" s="308">
        <f>172798.5-50354</f>
        <v>122444.5</v>
      </c>
      <c r="H17" s="419" t="s">
        <v>253</v>
      </c>
      <c r="I17" s="424"/>
      <c r="J17" s="425"/>
      <c r="K17" s="419"/>
    </row>
    <row r="18" spans="1:15" x14ac:dyDescent="0.3">
      <c r="C18" s="11"/>
      <c r="G18" s="30">
        <f>58945.87-37337.63</f>
        <v>21608.240000000005</v>
      </c>
      <c r="H18" s="419">
        <v>47910415</v>
      </c>
      <c r="I18" s="419">
        <v>100</v>
      </c>
      <c r="J18" s="419"/>
      <c r="K18" s="420"/>
      <c r="N18" s="11"/>
      <c r="O18" s="366"/>
    </row>
    <row r="19" spans="1:15" x14ac:dyDescent="0.3">
      <c r="A19" s="3" t="s">
        <v>214</v>
      </c>
      <c r="B19" s="11"/>
      <c r="C19" s="5"/>
      <c r="H19" s="419">
        <v>40399189</v>
      </c>
      <c r="I19" s="419">
        <f>H19*I18/H18</f>
        <v>84.322352457184934</v>
      </c>
      <c r="J19" s="419"/>
      <c r="K19" s="420"/>
      <c r="L19" s="11"/>
      <c r="M19" s="11"/>
      <c r="N19" s="11"/>
      <c r="O19" s="366"/>
    </row>
    <row r="20" spans="1:15" x14ac:dyDescent="0.3">
      <c r="A20" s="80" t="s">
        <v>181</v>
      </c>
      <c r="B20" s="31"/>
      <c r="C20" s="31"/>
      <c r="D20" s="31"/>
      <c r="H20" s="419">
        <v>4754147</v>
      </c>
      <c r="I20" s="419">
        <f>H20*I18/H18</f>
        <v>9.9229927355043781</v>
      </c>
      <c r="J20" s="419"/>
      <c r="K20" s="419"/>
      <c r="N20" s="11"/>
    </row>
    <row r="21" spans="1:15" x14ac:dyDescent="0.3">
      <c r="A21" s="148" t="s">
        <v>182</v>
      </c>
      <c r="B21" s="148" t="s">
        <v>183</v>
      </c>
      <c r="C21" s="148" t="s">
        <v>0</v>
      </c>
      <c r="D21" s="149" t="s">
        <v>1</v>
      </c>
      <c r="H21" s="424">
        <v>2757079</v>
      </c>
      <c r="I21" s="419">
        <f>H21*I18/H18</f>
        <v>5.7546548073106862</v>
      </c>
      <c r="J21" s="419"/>
      <c r="K21" s="419"/>
      <c r="N21" s="11"/>
    </row>
    <row r="22" spans="1:15" x14ac:dyDescent="0.3">
      <c r="A22" s="148" t="s">
        <v>100</v>
      </c>
      <c r="B22" s="148" t="s">
        <v>99</v>
      </c>
      <c r="C22" s="433">
        <v>340000</v>
      </c>
      <c r="D22" s="434">
        <v>60000</v>
      </c>
      <c r="E22" s="426" t="s">
        <v>293</v>
      </c>
      <c r="F22" s="126"/>
      <c r="I22" s="26"/>
      <c r="K22" s="25"/>
    </row>
    <row r="23" spans="1:15" x14ac:dyDescent="0.3">
      <c r="A23" s="148"/>
      <c r="B23" s="325"/>
      <c r="C23" s="434"/>
      <c r="D23" s="434"/>
      <c r="E23" s="426"/>
      <c r="H23" s="419" t="s">
        <v>292</v>
      </c>
      <c r="I23" s="419"/>
      <c r="J23" s="419"/>
      <c r="K23" s="420" t="s">
        <v>252</v>
      </c>
    </row>
    <row r="24" spans="1:15" x14ac:dyDescent="0.3">
      <c r="A24" s="148" t="s">
        <v>184</v>
      </c>
      <c r="B24" s="150" t="s">
        <v>185</v>
      </c>
      <c r="C24" s="433">
        <f>('REACT pārrēķins'!D85)</f>
        <v>34272</v>
      </c>
      <c r="D24" s="433">
        <f>'REACT pārrēķins'!E85</f>
        <v>6048</v>
      </c>
      <c r="E24" s="426" t="s">
        <v>219</v>
      </c>
      <c r="F24" s="126"/>
      <c r="H24" s="421">
        <f>SUM(H25:H27)</f>
        <v>594024.41955938679</v>
      </c>
      <c r="I24" s="419">
        <v>100</v>
      </c>
      <c r="J24" s="419"/>
      <c r="K24" s="422">
        <f>SUM(K25:K27)</f>
        <v>594024</v>
      </c>
    </row>
    <row r="25" spans="1:15" x14ac:dyDescent="0.3">
      <c r="A25" s="81"/>
      <c r="B25" s="336"/>
      <c r="C25" s="337"/>
      <c r="D25" s="337"/>
      <c r="E25" s="126"/>
      <c r="F25" s="126"/>
      <c r="G25" s="326" t="s">
        <v>0</v>
      </c>
      <c r="H25" s="421">
        <f>H26*I25/I26</f>
        <v>500895.36474261311</v>
      </c>
      <c r="I25" s="419">
        <v>84.322352457184934</v>
      </c>
      <c r="J25" s="419"/>
      <c r="K25" s="423">
        <f>ROUND(H25,0)</f>
        <v>500895</v>
      </c>
    </row>
    <row r="26" spans="1:15" x14ac:dyDescent="0.3">
      <c r="C26" s="11">
        <f>C22+C24+D22+D24</f>
        <v>440320</v>
      </c>
      <c r="G26" s="326" t="s">
        <v>1</v>
      </c>
      <c r="H26" s="421">
        <v>58945</v>
      </c>
      <c r="I26" s="419">
        <v>9.9229927355043781</v>
      </c>
      <c r="J26" s="419"/>
      <c r="K26" s="423">
        <f t="shared" ref="K26:K27" si="1">ROUND(H26,0)</f>
        <v>58945</v>
      </c>
    </row>
    <row r="27" spans="1:15" x14ac:dyDescent="0.3">
      <c r="A27" s="429" t="s">
        <v>5</v>
      </c>
      <c r="B27" s="67"/>
      <c r="C27" s="67"/>
      <c r="D27" s="67"/>
      <c r="E27" s="53"/>
      <c r="F27" s="67"/>
      <c r="G27" s="326" t="s">
        <v>33</v>
      </c>
      <c r="H27" s="421">
        <f>H26*I27/I26</f>
        <v>34184.054816773656</v>
      </c>
      <c r="I27" s="419">
        <v>5.7546548073106862</v>
      </c>
      <c r="J27" s="419"/>
      <c r="K27" s="423">
        <f t="shared" si="1"/>
        <v>34184</v>
      </c>
    </row>
    <row r="28" spans="1:15" x14ac:dyDescent="0.3">
      <c r="A28" s="6" t="s">
        <v>68</v>
      </c>
      <c r="B28" s="67">
        <v>1201044</v>
      </c>
      <c r="C28" s="34"/>
      <c r="D28" s="34"/>
      <c r="E28" s="67"/>
      <c r="F28" s="430"/>
    </row>
    <row r="29" spans="1:15" x14ac:dyDescent="0.3">
      <c r="A29" s="34" t="s">
        <v>0</v>
      </c>
      <c r="B29" s="67">
        <f>B6+B9</f>
        <v>1201044</v>
      </c>
      <c r="C29" s="310" t="s">
        <v>288</v>
      </c>
      <c r="D29" s="34"/>
      <c r="E29" s="34" t="s">
        <v>33</v>
      </c>
      <c r="F29" s="34"/>
    </row>
    <row r="30" spans="1:15" x14ac:dyDescent="0.3">
      <c r="A30" s="34"/>
      <c r="B30" s="34"/>
      <c r="C30" s="34"/>
      <c r="D30" s="34"/>
      <c r="E30" s="34"/>
      <c r="F30" s="34"/>
      <c r="H30" s="32"/>
      <c r="L30" s="26"/>
    </row>
    <row r="31" spans="1:15" x14ac:dyDescent="0.3">
      <c r="A31" s="431" t="s">
        <v>6</v>
      </c>
      <c r="B31" s="34"/>
      <c r="C31" s="34"/>
      <c r="D31" s="34"/>
      <c r="E31" s="34"/>
      <c r="F31" s="34"/>
      <c r="H31" s="347"/>
      <c r="I31" s="348"/>
      <c r="J31" s="331"/>
      <c r="K31" s="324"/>
    </row>
    <row r="32" spans="1:15" x14ac:dyDescent="0.3">
      <c r="A32" s="34"/>
      <c r="B32" s="230" t="s">
        <v>0</v>
      </c>
      <c r="C32" s="230" t="s">
        <v>1</v>
      </c>
      <c r="D32" s="230"/>
      <c r="E32" s="34"/>
      <c r="F32" s="67"/>
      <c r="G32" s="67"/>
      <c r="H32" s="258"/>
      <c r="I32" s="254"/>
      <c r="J32" s="64"/>
      <c r="K32" s="26"/>
    </row>
    <row r="33" spans="1:15" x14ac:dyDescent="0.3">
      <c r="A33" s="34" t="s">
        <v>91</v>
      </c>
      <c r="B33" s="432">
        <f>B10+B12+C22</f>
        <v>711977</v>
      </c>
      <c r="C33" s="53">
        <f>C13+C8+D22</f>
        <v>125643</v>
      </c>
      <c r="D33" s="233">
        <f>B33+C33</f>
        <v>837620</v>
      </c>
      <c r="E33" s="34"/>
      <c r="F33" s="67" t="s">
        <v>282</v>
      </c>
      <c r="G33" s="67"/>
      <c r="H33" s="64"/>
      <c r="I33" s="24"/>
      <c r="J33" s="49"/>
      <c r="K33" s="49"/>
    </row>
    <row r="34" spans="1:15" x14ac:dyDescent="0.3">
      <c r="A34" s="34"/>
      <c r="B34" s="330"/>
      <c r="C34" s="34"/>
      <c r="D34" s="408"/>
      <c r="E34" s="34"/>
      <c r="F34" s="34"/>
      <c r="G34" s="67"/>
      <c r="H34" s="24"/>
      <c r="I34" s="25"/>
      <c r="J34" s="24"/>
      <c r="K34" s="49"/>
    </row>
    <row r="35" spans="1:15" x14ac:dyDescent="0.3">
      <c r="A35" s="34" t="s">
        <v>254</v>
      </c>
      <c r="B35" s="53">
        <f>B10+B12</f>
        <v>371977</v>
      </c>
      <c r="C35" s="310" t="s">
        <v>258</v>
      </c>
      <c r="D35" s="88"/>
      <c r="E35" s="34"/>
      <c r="F35" s="34"/>
      <c r="H35" s="324"/>
      <c r="I35" s="26"/>
      <c r="J35" s="26"/>
      <c r="K35" s="26"/>
      <c r="M35" s="26"/>
      <c r="N35" s="26"/>
      <c r="O35" s="26"/>
    </row>
    <row r="36" spans="1:15" x14ac:dyDescent="0.3">
      <c r="A36" s="34" t="s">
        <v>255</v>
      </c>
      <c r="B36" s="53">
        <f>C8+C13</f>
        <v>65643</v>
      </c>
      <c r="C36" s="310" t="s">
        <v>259</v>
      </c>
      <c r="D36" s="88"/>
      <c r="E36" s="34"/>
      <c r="F36" s="34"/>
      <c r="H36" s="64"/>
      <c r="I36" s="49"/>
      <c r="J36" s="49"/>
      <c r="K36" s="26"/>
      <c r="M36" s="26"/>
      <c r="N36" s="26"/>
      <c r="O36" s="26"/>
    </row>
    <row r="37" spans="1:15" x14ac:dyDescent="0.3">
      <c r="A37" s="34" t="s">
        <v>256</v>
      </c>
      <c r="B37" s="53">
        <f>C22</f>
        <v>340000</v>
      </c>
      <c r="C37" s="332" t="s">
        <v>180</v>
      </c>
      <c r="D37" s="34"/>
      <c r="E37" s="34"/>
      <c r="F37" s="34"/>
      <c r="H37" s="324"/>
      <c r="I37" s="26"/>
      <c r="J37" s="26"/>
      <c r="K37" s="26"/>
      <c r="N37" s="26"/>
      <c r="O37" s="26"/>
    </row>
    <row r="38" spans="1:15" x14ac:dyDescent="0.3">
      <c r="A38" s="34" t="s">
        <v>257</v>
      </c>
      <c r="B38" s="53">
        <f>D22</f>
        <v>60000</v>
      </c>
      <c r="C38" s="332" t="s">
        <v>180</v>
      </c>
      <c r="D38" s="34"/>
      <c r="E38" s="34"/>
      <c r="F38" s="34"/>
      <c r="M38" s="26"/>
      <c r="N38" s="26"/>
      <c r="O38" s="26"/>
    </row>
    <row r="39" spans="1:15" x14ac:dyDescent="0.3">
      <c r="A39" s="88"/>
      <c r="B39" s="53"/>
      <c r="C39" s="332"/>
      <c r="D39" s="34"/>
      <c r="E39" s="34"/>
      <c r="F39" s="34"/>
      <c r="G39" s="34"/>
      <c r="H39" s="34"/>
      <c r="M39" s="26"/>
      <c r="N39" s="26"/>
      <c r="O39" s="26"/>
    </row>
    <row r="40" spans="1:15" x14ac:dyDescent="0.3">
      <c r="A40" s="74"/>
      <c r="B40" s="329"/>
      <c r="M40" s="26"/>
      <c r="N40" s="26"/>
      <c r="O40" s="26"/>
    </row>
    <row r="41" spans="1:15" x14ac:dyDescent="0.3">
      <c r="C41" s="5"/>
      <c r="D41" s="11"/>
      <c r="M41" s="26"/>
      <c r="N41" s="26"/>
      <c r="O41" s="26"/>
    </row>
    <row r="42" spans="1:15" x14ac:dyDescent="0.3">
      <c r="A42" s="32" t="s">
        <v>186</v>
      </c>
      <c r="B42" s="65"/>
      <c r="C42" s="5"/>
      <c r="D42" s="11"/>
      <c r="E42" s="312"/>
      <c r="F42" s="312"/>
      <c r="M42" s="26"/>
      <c r="N42" s="26"/>
      <c r="O42" s="26"/>
    </row>
    <row r="43" spans="1:15" x14ac:dyDescent="0.3">
      <c r="A43" s="151" t="s">
        <v>187</v>
      </c>
      <c r="B43" s="65"/>
      <c r="D43" s="11"/>
      <c r="O43" s="26"/>
    </row>
    <row r="44" spans="1:15" x14ac:dyDescent="0.3">
      <c r="A44" s="65"/>
      <c r="B44" s="102"/>
      <c r="O44" s="26"/>
    </row>
    <row r="45" spans="1:15" x14ac:dyDescent="0.3">
      <c r="B45" s="11"/>
      <c r="C45" s="77"/>
      <c r="D45" s="11"/>
      <c r="O45" s="26"/>
    </row>
    <row r="46" spans="1:15" x14ac:dyDescent="0.3">
      <c r="A46" t="s">
        <v>215</v>
      </c>
      <c r="D46" s="11"/>
      <c r="M46" s="26"/>
      <c r="N46" s="26"/>
      <c r="O46" s="26"/>
    </row>
    <row r="47" spans="1:15" x14ac:dyDescent="0.3">
      <c r="A47" s="95" t="s">
        <v>108</v>
      </c>
    </row>
    <row r="49" spans="1:7" x14ac:dyDescent="0.3">
      <c r="A49" s="368">
        <v>1112</v>
      </c>
      <c r="G49" s="30"/>
    </row>
    <row r="50" spans="1:7" x14ac:dyDescent="0.3">
      <c r="B50" s="34" t="s">
        <v>101</v>
      </c>
      <c r="C50" s="96" t="s">
        <v>113</v>
      </c>
      <c r="D50" s="96" t="s">
        <v>114</v>
      </c>
      <c r="E50" s="83" t="s">
        <v>112</v>
      </c>
      <c r="F50" s="83"/>
      <c r="G50" s="30" t="s">
        <v>251</v>
      </c>
    </row>
    <row r="51" spans="1:7" x14ac:dyDescent="0.3">
      <c r="B51" s="431" t="s">
        <v>102</v>
      </c>
      <c r="C51" s="34"/>
      <c r="D51" s="34"/>
      <c r="E51" s="34"/>
      <c r="F51" s="34"/>
      <c r="G51" s="456"/>
    </row>
    <row r="52" spans="1:7" x14ac:dyDescent="0.3">
      <c r="A52" t="s">
        <v>4</v>
      </c>
      <c r="B52" s="34">
        <v>47910415</v>
      </c>
      <c r="C52" s="98">
        <f>SUM(C53:C55)</f>
        <v>47316391</v>
      </c>
      <c r="D52" s="34"/>
      <c r="E52" s="53">
        <f>E53+E54+E55</f>
        <v>47316391</v>
      </c>
      <c r="F52" s="53"/>
      <c r="G52" s="435">
        <f>E52-B52</f>
        <v>-594024</v>
      </c>
    </row>
    <row r="53" spans="1:7" x14ac:dyDescent="0.3">
      <c r="A53" t="s">
        <v>76</v>
      </c>
      <c r="B53" s="34">
        <v>40399189</v>
      </c>
      <c r="C53" s="98">
        <f>B53-B8</f>
        <v>39898294</v>
      </c>
      <c r="D53" s="441">
        <f>C53/C52</f>
        <v>0.84322352480348728</v>
      </c>
      <c r="E53" s="53">
        <f>ROUND(C53,0)</f>
        <v>39898294</v>
      </c>
      <c r="F53" s="53"/>
      <c r="G53" s="435">
        <f t="shared" ref="G53:G105" si="2">E53-B53</f>
        <v>-500895</v>
      </c>
    </row>
    <row r="54" spans="1:7" x14ac:dyDescent="0.3">
      <c r="A54" t="s">
        <v>1</v>
      </c>
      <c r="B54" s="34">
        <v>4754147</v>
      </c>
      <c r="C54" s="98">
        <f>B54-C8</f>
        <v>4695202</v>
      </c>
      <c r="D54" s="441">
        <f>C54/C52</f>
        <v>9.9229926475161642E-2</v>
      </c>
      <c r="E54" s="53">
        <f>ROUND(C54,0)</f>
        <v>4695202</v>
      </c>
      <c r="F54" s="53"/>
      <c r="G54" s="435">
        <f t="shared" si="2"/>
        <v>-58945</v>
      </c>
    </row>
    <row r="55" spans="1:7" x14ac:dyDescent="0.3">
      <c r="A55" t="s">
        <v>103</v>
      </c>
      <c r="B55" s="34">
        <v>2757079</v>
      </c>
      <c r="C55" s="53">
        <f>B55-D8</f>
        <v>2722895</v>
      </c>
      <c r="D55" s="441">
        <f>C55/C52</f>
        <v>5.7546548721351128E-2</v>
      </c>
      <c r="E55" s="53">
        <f>ROUND(C55,0)</f>
        <v>2722895</v>
      </c>
      <c r="F55" s="53"/>
      <c r="G55" s="435">
        <f t="shared" si="2"/>
        <v>-34184</v>
      </c>
    </row>
    <row r="56" spans="1:7" x14ac:dyDescent="0.3">
      <c r="B56" s="34"/>
      <c r="C56" s="34"/>
      <c r="D56" s="34"/>
      <c r="E56" s="34"/>
      <c r="F56" s="34"/>
      <c r="G56" s="435"/>
    </row>
    <row r="57" spans="1:7" x14ac:dyDescent="0.3">
      <c r="B57" s="431" t="s">
        <v>104</v>
      </c>
      <c r="C57" s="34"/>
      <c r="D57" s="34"/>
      <c r="E57" s="34"/>
      <c r="F57" s="34"/>
      <c r="G57" s="435"/>
    </row>
    <row r="58" spans="1:7" x14ac:dyDescent="0.3">
      <c r="A58" t="s">
        <v>4</v>
      </c>
      <c r="B58" s="34">
        <v>44925282</v>
      </c>
      <c r="C58" s="98"/>
      <c r="D58" s="34"/>
      <c r="E58" s="53">
        <f>E59+E60+E61</f>
        <v>44331258</v>
      </c>
      <c r="F58" s="53"/>
      <c r="G58" s="435">
        <f t="shared" si="2"/>
        <v>-594024</v>
      </c>
    </row>
    <row r="59" spans="1:7" x14ac:dyDescent="0.3">
      <c r="A59" t="s">
        <v>76</v>
      </c>
      <c r="B59" s="34">
        <v>37861826</v>
      </c>
      <c r="C59" s="98">
        <f>B59-B8</f>
        <v>37360931</v>
      </c>
      <c r="D59" s="67"/>
      <c r="E59" s="53">
        <f>ROUND(C59,0)</f>
        <v>37360931</v>
      </c>
      <c r="F59" s="53"/>
      <c r="G59" s="435">
        <f t="shared" si="2"/>
        <v>-500895</v>
      </c>
    </row>
    <row r="60" spans="1:7" x14ac:dyDescent="0.3">
      <c r="A60" t="s">
        <v>1</v>
      </c>
      <c r="B60" s="34">
        <v>4306377</v>
      </c>
      <c r="C60" s="98">
        <f>B60-C8</f>
        <v>4247432</v>
      </c>
      <c r="D60" s="67"/>
      <c r="E60" s="53">
        <f>ROUND(C60,0)</f>
        <v>4247432</v>
      </c>
      <c r="F60" s="34"/>
      <c r="G60" s="435">
        <f t="shared" si="2"/>
        <v>-58945</v>
      </c>
    </row>
    <row r="61" spans="1:7" x14ac:dyDescent="0.3">
      <c r="A61" t="s">
        <v>103</v>
      </c>
      <c r="B61" s="34">
        <v>2757079</v>
      </c>
      <c r="C61" s="53">
        <f>B61-D8</f>
        <v>2722895</v>
      </c>
      <c r="D61" s="34"/>
      <c r="E61" s="53">
        <f>ROUND(C61,0)</f>
        <v>2722895</v>
      </c>
      <c r="F61" s="53"/>
      <c r="G61" s="435">
        <f t="shared" si="2"/>
        <v>-34184</v>
      </c>
    </row>
    <row r="62" spans="1:7" x14ac:dyDescent="0.3">
      <c r="B62" s="34"/>
      <c r="C62" s="34"/>
      <c r="D62" s="34"/>
      <c r="E62" s="34"/>
      <c r="F62" s="34"/>
      <c r="G62" s="435"/>
    </row>
    <row r="63" spans="1:7" x14ac:dyDescent="0.3">
      <c r="C63" s="94"/>
      <c r="G63" s="193"/>
    </row>
    <row r="64" spans="1:7" x14ac:dyDescent="0.3">
      <c r="C64" s="76"/>
      <c r="E64" s="94"/>
      <c r="F64" s="94"/>
      <c r="G64" s="193"/>
    </row>
    <row r="65" spans="1:12" x14ac:dyDescent="0.3">
      <c r="A65" s="368">
        <v>1115</v>
      </c>
      <c r="C65" s="82"/>
      <c r="D65" s="82"/>
      <c r="G65" s="193"/>
    </row>
    <row r="66" spans="1:12" x14ac:dyDescent="0.3">
      <c r="B66" s="34" t="s">
        <v>101</v>
      </c>
      <c r="C66" s="96" t="s">
        <v>113</v>
      </c>
      <c r="D66" s="96" t="s">
        <v>114</v>
      </c>
      <c r="E66" s="83" t="s">
        <v>112</v>
      </c>
      <c r="F66" s="83"/>
      <c r="G66" s="193"/>
      <c r="H66" s="34"/>
      <c r="I66" s="34"/>
      <c r="J66" s="34"/>
      <c r="K66" s="34"/>
      <c r="L66" s="34"/>
    </row>
    <row r="67" spans="1:12" x14ac:dyDescent="0.3">
      <c r="A67" t="s">
        <v>4</v>
      </c>
      <c r="B67" s="34">
        <v>34676151</v>
      </c>
      <c r="C67" s="93"/>
      <c r="D67" s="85"/>
      <c r="E67" s="367">
        <f>E68+E69</f>
        <v>34820196</v>
      </c>
      <c r="F67" s="93"/>
      <c r="G67" s="193">
        <f t="shared" si="2"/>
        <v>144045</v>
      </c>
      <c r="H67" s="97"/>
      <c r="J67" s="34"/>
      <c r="K67" s="53"/>
      <c r="L67" s="34"/>
    </row>
    <row r="68" spans="1:12" x14ac:dyDescent="0.3">
      <c r="A68" s="87" t="s">
        <v>76</v>
      </c>
      <c r="B68" s="34">
        <v>29474727</v>
      </c>
      <c r="C68" s="438"/>
      <c r="E68" s="367">
        <f>E73+E84+E97</f>
        <v>29597165</v>
      </c>
      <c r="F68" s="92">
        <f>E68/E67</f>
        <v>0.84999995404965556</v>
      </c>
      <c r="G68" s="193">
        <f t="shared" si="2"/>
        <v>122438</v>
      </c>
      <c r="H68" s="97"/>
      <c r="I68" s="5"/>
      <c r="J68" s="34"/>
      <c r="K68" s="53"/>
      <c r="L68" s="34"/>
    </row>
    <row r="69" spans="1:12" x14ac:dyDescent="0.3">
      <c r="A69" t="s">
        <v>1</v>
      </c>
      <c r="B69" s="34">
        <v>5201424</v>
      </c>
      <c r="C69" s="438"/>
      <c r="E69" s="367">
        <f>E74+E85+E98</f>
        <v>5223031</v>
      </c>
      <c r="F69" s="92">
        <f>E69/E67</f>
        <v>0.15000004595034444</v>
      </c>
      <c r="G69" s="193">
        <f t="shared" si="2"/>
        <v>21607</v>
      </c>
      <c r="H69" s="97"/>
      <c r="J69" s="34"/>
      <c r="K69" s="53"/>
      <c r="L69" s="34"/>
    </row>
    <row r="70" spans="1:12" x14ac:dyDescent="0.3">
      <c r="B70" s="34"/>
      <c r="C70" s="84"/>
      <c r="D70" s="85"/>
      <c r="E70" s="84"/>
      <c r="F70" s="84"/>
      <c r="G70" s="193"/>
      <c r="H70" s="34"/>
      <c r="I70" s="34"/>
      <c r="J70" s="34"/>
      <c r="K70" s="34"/>
      <c r="L70" s="34"/>
    </row>
    <row r="71" spans="1:12" x14ac:dyDescent="0.3">
      <c r="A71" s="431" t="s">
        <v>107</v>
      </c>
      <c r="B71" s="34"/>
      <c r="C71" s="96" t="s">
        <v>113</v>
      </c>
      <c r="D71" s="96" t="s">
        <v>114</v>
      </c>
      <c r="E71" s="83" t="s">
        <v>112</v>
      </c>
      <c r="F71" s="83"/>
      <c r="G71" s="435"/>
    </row>
    <row r="72" spans="1:12" x14ac:dyDescent="0.3">
      <c r="A72" s="34" t="s">
        <v>4</v>
      </c>
      <c r="B72" s="34">
        <v>13407134</v>
      </c>
      <c r="C72" s="92">
        <f>SUM(C73:C74)</f>
        <v>13007134</v>
      </c>
      <c r="D72" s="89"/>
      <c r="E72" s="93">
        <v>13007134</v>
      </c>
      <c r="F72" s="93"/>
      <c r="G72" s="435">
        <f t="shared" si="2"/>
        <v>-400000</v>
      </c>
    </row>
    <row r="73" spans="1:12" x14ac:dyDescent="0.3">
      <c r="A73" s="34" t="s">
        <v>76</v>
      </c>
      <c r="B73" s="34">
        <v>11396063</v>
      </c>
      <c r="C73" s="92">
        <f>B73-C22</f>
        <v>11056063</v>
      </c>
      <c r="D73" s="92">
        <f>C73/C72</f>
        <v>0.8499999308072016</v>
      </c>
      <c r="E73" s="93">
        <v>11056063</v>
      </c>
      <c r="F73" s="93"/>
      <c r="G73" s="435">
        <f t="shared" si="2"/>
        <v>-340000</v>
      </c>
    </row>
    <row r="74" spans="1:12" x14ac:dyDescent="0.3">
      <c r="A74" s="34" t="s">
        <v>1</v>
      </c>
      <c r="B74" s="34">
        <v>2011071</v>
      </c>
      <c r="C74" s="92">
        <f>B74-D22</f>
        <v>1951071</v>
      </c>
      <c r="D74" s="92">
        <f>C74/C72</f>
        <v>0.15000006919279835</v>
      </c>
      <c r="E74" s="93">
        <v>1951071</v>
      </c>
      <c r="F74" s="93"/>
      <c r="G74" s="435">
        <f t="shared" si="2"/>
        <v>-60000</v>
      </c>
    </row>
    <row r="75" spans="1:12" x14ac:dyDescent="0.3">
      <c r="A75" s="34"/>
      <c r="B75" s="34"/>
      <c r="C75" s="88"/>
      <c r="D75" s="89"/>
      <c r="E75" s="93"/>
      <c r="F75" s="93"/>
      <c r="G75" s="435"/>
    </row>
    <row r="76" spans="1:12" x14ac:dyDescent="0.3">
      <c r="A76" s="431" t="s">
        <v>110</v>
      </c>
      <c r="B76" s="34" t="s">
        <v>101</v>
      </c>
      <c r="C76" s="96" t="s">
        <v>113</v>
      </c>
      <c r="D76" s="96" t="s">
        <v>114</v>
      </c>
      <c r="E76" s="83" t="s">
        <v>112</v>
      </c>
      <c r="F76" s="83"/>
      <c r="G76" s="435"/>
    </row>
    <row r="77" spans="1:12" x14ac:dyDescent="0.3">
      <c r="A77" s="34" t="s">
        <v>4</v>
      </c>
      <c r="B77" s="34">
        <f>B78+B79</f>
        <v>7338080</v>
      </c>
      <c r="C77" s="88"/>
      <c r="D77" s="89"/>
      <c r="E77" s="93">
        <f>E78+E79</f>
        <v>6938080</v>
      </c>
      <c r="F77" s="93"/>
      <c r="G77" s="435"/>
    </row>
    <row r="78" spans="1:12" x14ac:dyDescent="0.3">
      <c r="A78" s="34" t="s">
        <v>76</v>
      </c>
      <c r="B78" s="34">
        <v>6237368</v>
      </c>
      <c r="C78" s="88">
        <f>B78-C22</f>
        <v>5897368</v>
      </c>
      <c r="D78" s="92"/>
      <c r="E78" s="93">
        <f>ROUND(C78,0)</f>
        <v>5897368</v>
      </c>
      <c r="F78" s="93"/>
      <c r="G78" s="435"/>
    </row>
    <row r="79" spans="1:12" x14ac:dyDescent="0.3">
      <c r="A79" s="34" t="s">
        <v>1</v>
      </c>
      <c r="B79" s="34">
        <v>1100712</v>
      </c>
      <c r="C79" s="88">
        <f>B79-D22</f>
        <v>1040712</v>
      </c>
      <c r="D79" s="92"/>
      <c r="E79" s="93">
        <f>ROUND(C79,0)</f>
        <v>1040712</v>
      </c>
      <c r="F79" s="93"/>
      <c r="G79" s="435"/>
    </row>
    <row r="80" spans="1:12" x14ac:dyDescent="0.3">
      <c r="A80" s="34"/>
      <c r="B80" s="34"/>
      <c r="C80" s="88"/>
      <c r="D80" s="89"/>
      <c r="E80" s="93"/>
      <c r="F80" s="93"/>
      <c r="G80" s="435"/>
    </row>
    <row r="81" spans="1:9" x14ac:dyDescent="0.3">
      <c r="A81" s="431" t="s">
        <v>105</v>
      </c>
      <c r="B81" s="34"/>
      <c r="C81" s="88"/>
      <c r="D81" s="89"/>
      <c r="E81" s="88"/>
      <c r="F81" s="88"/>
      <c r="G81" s="435"/>
    </row>
    <row r="82" spans="1:9" x14ac:dyDescent="0.3">
      <c r="A82" s="34"/>
      <c r="B82" s="34" t="s">
        <v>101</v>
      </c>
      <c r="C82" s="96" t="s">
        <v>113</v>
      </c>
      <c r="D82" s="96" t="s">
        <v>114</v>
      </c>
      <c r="E82" s="83" t="s">
        <v>112</v>
      </c>
      <c r="F82" s="83"/>
      <c r="G82" s="435"/>
    </row>
    <row r="83" spans="1:9" x14ac:dyDescent="0.3">
      <c r="A83" s="34" t="s">
        <v>4</v>
      </c>
      <c r="B83" s="34">
        <v>10590500</v>
      </c>
      <c r="C83" s="93">
        <f>SUM(C84:C85)</f>
        <v>11428120</v>
      </c>
      <c r="D83" s="89"/>
      <c r="E83" s="93">
        <f>E84+E85</f>
        <v>11428121</v>
      </c>
      <c r="F83" s="93"/>
      <c r="G83" s="435">
        <f t="shared" si="2"/>
        <v>837621</v>
      </c>
      <c r="H83" s="5"/>
    </row>
    <row r="84" spans="1:9" x14ac:dyDescent="0.3">
      <c r="A84" s="34" t="s">
        <v>76</v>
      </c>
      <c r="B84" s="34">
        <v>9001925</v>
      </c>
      <c r="C84" s="93">
        <f>B84+B10+B12+C22</f>
        <v>9713902</v>
      </c>
      <c r="D84" s="92">
        <f>C84/C83</f>
        <v>0.85</v>
      </c>
      <c r="E84" s="93">
        <f>ROUND(C84,0)+1</f>
        <v>9713903</v>
      </c>
      <c r="F84" s="436">
        <f>E84/E83</f>
        <v>0.85000001312551732</v>
      </c>
      <c r="G84" s="435">
        <f t="shared" si="2"/>
        <v>711978</v>
      </c>
      <c r="H84" s="5"/>
    </row>
    <row r="85" spans="1:9" x14ac:dyDescent="0.3">
      <c r="A85" s="34" t="s">
        <v>1</v>
      </c>
      <c r="B85" s="34">
        <v>1588575</v>
      </c>
      <c r="C85" s="93">
        <f>B85+C8+C13+D22</f>
        <v>1714218</v>
      </c>
      <c r="D85" s="92">
        <f>C85/C83</f>
        <v>0.15</v>
      </c>
      <c r="E85" s="93">
        <f>ROUND(C85,0)</f>
        <v>1714218</v>
      </c>
      <c r="F85" s="436">
        <f>E85/E83</f>
        <v>0.14999998687448268</v>
      </c>
      <c r="G85" s="435">
        <f t="shared" si="2"/>
        <v>125643</v>
      </c>
      <c r="H85" s="5"/>
    </row>
    <row r="86" spans="1:9" x14ac:dyDescent="0.3">
      <c r="A86" s="34"/>
      <c r="B86" s="34"/>
      <c r="C86" s="88"/>
      <c r="D86" s="89"/>
      <c r="E86" s="93"/>
      <c r="F86" s="93"/>
      <c r="G86" s="435"/>
      <c r="H86" s="5"/>
    </row>
    <row r="87" spans="1:9" x14ac:dyDescent="0.3">
      <c r="A87" s="431" t="s">
        <v>109</v>
      </c>
      <c r="B87" s="34" t="s">
        <v>101</v>
      </c>
      <c r="C87" s="96" t="s">
        <v>113</v>
      </c>
      <c r="D87" s="96" t="s">
        <v>114</v>
      </c>
      <c r="E87" s="83" t="s">
        <v>112</v>
      </c>
      <c r="F87" s="83"/>
      <c r="G87" s="435"/>
      <c r="H87" s="5"/>
    </row>
    <row r="88" spans="1:9" x14ac:dyDescent="0.3">
      <c r="A88" s="34" t="s">
        <v>4</v>
      </c>
      <c r="B88" s="34">
        <v>4857300</v>
      </c>
      <c r="C88" s="300">
        <f>SUM(C89:C90)</f>
        <v>5694920</v>
      </c>
      <c r="D88" s="437"/>
      <c r="E88" s="300">
        <f>E89+E90</f>
        <v>5694920</v>
      </c>
      <c r="F88" s="300"/>
      <c r="G88" s="435">
        <f t="shared" si="2"/>
        <v>837620</v>
      </c>
      <c r="H88" s="5"/>
    </row>
    <row r="89" spans="1:9" x14ac:dyDescent="0.3">
      <c r="A89" s="87" t="s">
        <v>76</v>
      </c>
      <c r="B89">
        <v>4128705</v>
      </c>
      <c r="C89" s="300">
        <f>B89+B10+B12+C22</f>
        <v>4840682</v>
      </c>
      <c r="D89" s="439"/>
      <c r="E89" s="300">
        <f>ROUND(C89,0)</f>
        <v>4840682</v>
      </c>
      <c r="F89" s="300"/>
      <c r="G89" s="193">
        <f t="shared" si="2"/>
        <v>711977</v>
      </c>
      <c r="H89" s="5"/>
    </row>
    <row r="90" spans="1:9" x14ac:dyDescent="0.3">
      <c r="A90" t="s">
        <v>1</v>
      </c>
      <c r="B90">
        <v>728595</v>
      </c>
      <c r="C90" s="300">
        <f>B90+C8+C13+D22</f>
        <v>854238</v>
      </c>
      <c r="D90" s="439"/>
      <c r="E90" s="300">
        <f>ROUND(C90,0)</f>
        <v>854238</v>
      </c>
      <c r="F90" s="300"/>
      <c r="G90" s="193">
        <f t="shared" si="2"/>
        <v>125643</v>
      </c>
      <c r="H90" s="5"/>
    </row>
    <row r="91" spans="1:9" x14ac:dyDescent="0.3">
      <c r="C91" s="440"/>
      <c r="D91" s="440"/>
      <c r="E91" s="440"/>
      <c r="F91" s="91"/>
      <c r="G91" s="193"/>
    </row>
    <row r="92" spans="1:9" x14ac:dyDescent="0.3">
      <c r="A92" s="364" t="s">
        <v>111</v>
      </c>
      <c r="B92" s="365">
        <f>2500000+D33</f>
        <v>3337620</v>
      </c>
      <c r="C92" s="34"/>
      <c r="D92" s="34"/>
      <c r="E92" s="34"/>
      <c r="G92" s="193"/>
    </row>
    <row r="93" spans="1:9" x14ac:dyDescent="0.3">
      <c r="G93" s="193"/>
    </row>
    <row r="94" spans="1:9" x14ac:dyDescent="0.3">
      <c r="A94" s="32" t="s">
        <v>106</v>
      </c>
      <c r="B94" s="34"/>
      <c r="C94" s="82"/>
      <c r="D94" s="85"/>
      <c r="E94" s="84"/>
      <c r="F94" s="84"/>
      <c r="G94" s="193"/>
    </row>
    <row r="95" spans="1:9" x14ac:dyDescent="0.3">
      <c r="B95" s="34" t="s">
        <v>101</v>
      </c>
      <c r="C95" s="96" t="s">
        <v>113</v>
      </c>
      <c r="D95" s="96" t="s">
        <v>114</v>
      </c>
      <c r="E95" s="83" t="s">
        <v>112</v>
      </c>
      <c r="F95" s="83"/>
      <c r="G95" s="193"/>
    </row>
    <row r="96" spans="1:9" x14ac:dyDescent="0.3">
      <c r="A96" t="s">
        <v>4</v>
      </c>
      <c r="B96" s="34">
        <v>10678517</v>
      </c>
      <c r="C96" s="367">
        <f>SUM(C97:C98)</f>
        <v>10384941</v>
      </c>
      <c r="D96" s="89"/>
      <c r="E96" s="93">
        <f>E97+E98</f>
        <v>10384941</v>
      </c>
      <c r="F96" s="93"/>
      <c r="G96" s="193">
        <f t="shared" si="2"/>
        <v>-293576</v>
      </c>
      <c r="H96" s="11"/>
      <c r="I96" s="5"/>
    </row>
    <row r="97" spans="1:11" x14ac:dyDescent="0.3">
      <c r="A97" s="87" t="s">
        <v>76</v>
      </c>
      <c r="B97" s="34">
        <v>9076739</v>
      </c>
      <c r="C97" s="367">
        <f>B97-C24-B12</f>
        <v>8827199</v>
      </c>
      <c r="D97" s="92">
        <f>C97/C96</f>
        <v>0.84999991815071463</v>
      </c>
      <c r="E97" s="93">
        <f>ROUND(C97,0)</f>
        <v>8827199</v>
      </c>
      <c r="F97" s="93"/>
      <c r="G97" s="193">
        <f t="shared" si="2"/>
        <v>-249540</v>
      </c>
      <c r="H97" s="11"/>
      <c r="K97" s="5"/>
    </row>
    <row r="98" spans="1:11" x14ac:dyDescent="0.3">
      <c r="A98" t="s">
        <v>1</v>
      </c>
      <c r="B98" s="34">
        <v>1601778</v>
      </c>
      <c r="C98" s="367">
        <f>B98-C15-D24-C13</f>
        <v>1557742</v>
      </c>
      <c r="D98" s="92">
        <f>C98/C96</f>
        <v>0.15000008184928543</v>
      </c>
      <c r="E98" s="93">
        <f>ROUND(C98,0)</f>
        <v>1557742</v>
      </c>
      <c r="F98" s="93"/>
      <c r="G98" s="193">
        <f t="shared" si="2"/>
        <v>-44036</v>
      </c>
      <c r="K98" s="5"/>
    </row>
    <row r="99" spans="1:11" x14ac:dyDescent="0.3">
      <c r="C99" s="82"/>
      <c r="D99" s="89"/>
      <c r="E99" s="93"/>
      <c r="F99" s="93"/>
      <c r="G99" s="193"/>
    </row>
    <row r="100" spans="1:11" x14ac:dyDescent="0.3">
      <c r="A100" s="26"/>
      <c r="B100" s="26"/>
      <c r="C100" s="201"/>
      <c r="D100" s="442"/>
      <c r="E100" s="443"/>
      <c r="F100" s="443"/>
      <c r="G100" s="444"/>
    </row>
    <row r="101" spans="1:11" x14ac:dyDescent="0.3">
      <c r="A101" s="445">
        <v>1113</v>
      </c>
      <c r="B101" s="446"/>
      <c r="C101" s="446"/>
      <c r="D101" s="446"/>
      <c r="E101" s="446"/>
      <c r="F101" s="446"/>
      <c r="G101" s="447"/>
    </row>
    <row r="102" spans="1:11" x14ac:dyDescent="0.3">
      <c r="A102" s="443"/>
      <c r="B102" s="163" t="s">
        <v>101</v>
      </c>
      <c r="C102" s="448" t="s">
        <v>113</v>
      </c>
      <c r="D102" s="448" t="s">
        <v>114</v>
      </c>
      <c r="E102" s="449" t="s">
        <v>112</v>
      </c>
      <c r="F102" s="449"/>
      <c r="G102" s="450"/>
    </row>
    <row r="103" spans="1:11" x14ac:dyDescent="0.3">
      <c r="A103" s="443" t="s">
        <v>4</v>
      </c>
      <c r="B103" s="163">
        <v>18180211</v>
      </c>
      <c r="C103" s="163"/>
      <c r="D103" s="49"/>
      <c r="E103" s="24">
        <f>E104+E105</f>
        <v>19593203</v>
      </c>
      <c r="F103" s="24"/>
      <c r="G103" s="450">
        <f t="shared" si="2"/>
        <v>1412992</v>
      </c>
    </row>
    <row r="104" spans="1:11" x14ac:dyDescent="0.3">
      <c r="A104" s="443" t="s">
        <v>76</v>
      </c>
      <c r="B104" s="163">
        <v>14169355</v>
      </c>
      <c r="C104" s="451">
        <f>B104/B103</f>
        <v>0.77938341859728688</v>
      </c>
      <c r="D104" s="49"/>
      <c r="E104" s="24">
        <f>E111+E118</f>
        <v>15370399</v>
      </c>
      <c r="F104" s="452">
        <f>E104/E103</f>
        <v>0.78447607570849953</v>
      </c>
      <c r="G104" s="450">
        <f t="shared" si="2"/>
        <v>1201044</v>
      </c>
    </row>
    <row r="105" spans="1:11" x14ac:dyDescent="0.3">
      <c r="A105" s="443" t="s">
        <v>115</v>
      </c>
      <c r="B105" s="163">
        <v>4010856</v>
      </c>
      <c r="C105" s="451">
        <f>B105/B103</f>
        <v>0.22061658140271309</v>
      </c>
      <c r="D105" s="49"/>
      <c r="E105" s="24">
        <f>E112+E119</f>
        <v>4222804</v>
      </c>
      <c r="F105" s="452">
        <f>E105/E103</f>
        <v>0.21552392429150047</v>
      </c>
      <c r="G105" s="450">
        <f t="shared" si="2"/>
        <v>211948</v>
      </c>
    </row>
    <row r="106" spans="1:11" x14ac:dyDescent="0.3">
      <c r="A106" s="443"/>
      <c r="B106" s="163"/>
      <c r="C106" s="163"/>
      <c r="D106" s="49"/>
      <c r="E106" s="49"/>
      <c r="F106" s="49"/>
      <c r="G106" s="450"/>
    </row>
    <row r="107" spans="1:11" x14ac:dyDescent="0.3">
      <c r="A107" s="443"/>
      <c r="B107" s="163"/>
      <c r="C107" s="163"/>
      <c r="D107" s="49"/>
      <c r="E107" s="49"/>
      <c r="F107" s="49"/>
      <c r="G107" s="450"/>
    </row>
    <row r="108" spans="1:11" x14ac:dyDescent="0.3">
      <c r="A108" s="443" t="s">
        <v>107</v>
      </c>
      <c r="B108" s="163"/>
      <c r="C108" s="163"/>
      <c r="D108" s="49"/>
      <c r="E108" s="49"/>
      <c r="F108" s="49"/>
      <c r="G108" s="450"/>
    </row>
    <row r="109" spans="1:11" x14ac:dyDescent="0.3">
      <c r="A109" s="443"/>
      <c r="B109" s="163" t="s">
        <v>101</v>
      </c>
      <c r="C109" s="448" t="s">
        <v>113</v>
      </c>
      <c r="D109" s="448" t="s">
        <v>114</v>
      </c>
      <c r="E109" s="449" t="s">
        <v>112</v>
      </c>
      <c r="F109" s="449"/>
      <c r="G109" s="450"/>
    </row>
    <row r="110" spans="1:11" x14ac:dyDescent="0.3">
      <c r="A110" s="443" t="s">
        <v>4</v>
      </c>
      <c r="B110" s="163">
        <v>12838229</v>
      </c>
      <c r="C110" s="163"/>
      <c r="D110" s="49"/>
      <c r="E110" s="24">
        <f>B110</f>
        <v>12838229</v>
      </c>
      <c r="F110" s="24"/>
      <c r="G110" s="450"/>
    </row>
    <row r="111" spans="1:11" x14ac:dyDescent="0.3">
      <c r="A111" s="443" t="s">
        <v>76</v>
      </c>
      <c r="B111" s="163">
        <v>9628671</v>
      </c>
      <c r="C111" s="451">
        <f>B111/B110</f>
        <v>0.74999994158072736</v>
      </c>
      <c r="D111" s="49"/>
      <c r="E111" s="24">
        <f t="shared" ref="E111:E112" si="3">B111</f>
        <v>9628671</v>
      </c>
      <c r="F111" s="24"/>
      <c r="G111" s="450"/>
    </row>
    <row r="112" spans="1:11" x14ac:dyDescent="0.3">
      <c r="A112" s="443" t="s">
        <v>115</v>
      </c>
      <c r="B112" s="163">
        <v>3209558</v>
      </c>
      <c r="C112" s="451">
        <f>B112/B110</f>
        <v>0.25000005841927264</v>
      </c>
      <c r="D112" s="49"/>
      <c r="E112" s="24">
        <f t="shared" si="3"/>
        <v>3209558</v>
      </c>
      <c r="F112" s="24"/>
      <c r="G112" s="450"/>
    </row>
    <row r="113" spans="1:7" x14ac:dyDescent="0.3">
      <c r="A113" s="443"/>
      <c r="B113" s="163"/>
      <c r="C113" s="163"/>
      <c r="D113" s="49"/>
      <c r="E113" s="49"/>
      <c r="F113" s="49"/>
      <c r="G113" s="450"/>
    </row>
    <row r="114" spans="1:7" x14ac:dyDescent="0.3">
      <c r="A114" s="443"/>
      <c r="B114" s="163"/>
      <c r="C114" s="163"/>
      <c r="D114" s="49"/>
      <c r="E114" s="49"/>
      <c r="F114" s="49"/>
      <c r="G114" s="450"/>
    </row>
    <row r="115" spans="1:7" x14ac:dyDescent="0.3">
      <c r="A115" s="443" t="s">
        <v>116</v>
      </c>
      <c r="B115" s="163"/>
      <c r="C115" s="163"/>
      <c r="D115" s="49"/>
      <c r="E115" s="49"/>
      <c r="F115" s="49"/>
      <c r="G115" s="450"/>
    </row>
    <row r="116" spans="1:7" x14ac:dyDescent="0.3">
      <c r="A116" s="443"/>
      <c r="B116" s="163" t="s">
        <v>101</v>
      </c>
      <c r="C116" s="448" t="s">
        <v>113</v>
      </c>
      <c r="D116" s="448" t="s">
        <v>114</v>
      </c>
      <c r="E116" s="449" t="s">
        <v>112</v>
      </c>
      <c r="F116" s="449"/>
      <c r="G116" s="450"/>
    </row>
    <row r="117" spans="1:7" x14ac:dyDescent="0.3">
      <c r="A117" s="443" t="s">
        <v>4</v>
      </c>
      <c r="B117" s="163">
        <v>5341982</v>
      </c>
      <c r="C117" s="163"/>
      <c r="D117" s="49"/>
      <c r="E117" s="24">
        <f>E118+E119</f>
        <v>6754974</v>
      </c>
      <c r="F117" s="24"/>
      <c r="G117" s="450"/>
    </row>
    <row r="118" spans="1:7" x14ac:dyDescent="0.3">
      <c r="A118" s="443" t="s">
        <v>76</v>
      </c>
      <c r="B118" s="163">
        <v>4540684</v>
      </c>
      <c r="C118" s="24">
        <f>B118+B28</f>
        <v>5741728</v>
      </c>
      <c r="D118" s="64">
        <f>B118/B117</f>
        <v>0.84999986896249369</v>
      </c>
      <c r="E118" s="24">
        <v>5741728</v>
      </c>
      <c r="F118" s="453">
        <f>E118/E117</f>
        <v>0.85000001480390597</v>
      </c>
      <c r="G118" s="450"/>
    </row>
    <row r="119" spans="1:7" x14ac:dyDescent="0.3">
      <c r="A119" s="443" t="s">
        <v>115</v>
      </c>
      <c r="B119" s="163">
        <v>801298</v>
      </c>
      <c r="C119" s="163">
        <v>1013246.1176470588</v>
      </c>
      <c r="D119" s="64">
        <f>B119/B117</f>
        <v>0.15000013103750631</v>
      </c>
      <c r="E119" s="24">
        <v>1013246</v>
      </c>
      <c r="F119" s="453">
        <f>E119/E117</f>
        <v>0.14999998519609403</v>
      </c>
      <c r="G119" s="450"/>
    </row>
    <row r="120" spans="1:7" x14ac:dyDescent="0.3">
      <c r="A120" s="26"/>
      <c r="B120" s="26"/>
      <c r="C120" s="26"/>
      <c r="D120" s="26"/>
      <c r="E120" s="26"/>
      <c r="F120" s="26"/>
      <c r="G120" s="3"/>
    </row>
    <row r="121" spans="1:7" x14ac:dyDescent="0.3">
      <c r="A121" s="454" t="s">
        <v>117</v>
      </c>
      <c r="B121" s="26"/>
      <c r="C121" s="26"/>
      <c r="D121" s="26"/>
      <c r="E121" s="26"/>
      <c r="F121" s="26"/>
      <c r="G121" s="3"/>
    </row>
    <row r="122" spans="1:7" x14ac:dyDescent="0.3">
      <c r="A122" s="455">
        <v>5741728</v>
      </c>
      <c r="B122" s="3">
        <v>85</v>
      </c>
      <c r="C122" s="26"/>
      <c r="D122" s="26"/>
      <c r="E122" s="26"/>
      <c r="F122" s="26"/>
      <c r="G122" s="3"/>
    </row>
    <row r="123" spans="1:7" x14ac:dyDescent="0.3">
      <c r="A123" s="455">
        <f>A122*B123/B122</f>
        <v>1013246.1176470588</v>
      </c>
      <c r="B123" s="3">
        <v>15</v>
      </c>
      <c r="C123" s="26"/>
      <c r="D123" s="26"/>
      <c r="E123" s="26"/>
      <c r="F123" s="26"/>
      <c r="G123" s="3"/>
    </row>
    <row r="124" spans="1:7" x14ac:dyDescent="0.3">
      <c r="A124" s="26"/>
      <c r="B124" s="26"/>
      <c r="C124" s="26"/>
      <c r="D124" s="26"/>
      <c r="E124" s="26"/>
      <c r="F124" s="26"/>
      <c r="G124" s="3"/>
    </row>
    <row r="125" spans="1:7" x14ac:dyDescent="0.3">
      <c r="G125" s="30"/>
    </row>
    <row r="126" spans="1:7" x14ac:dyDescent="0.3">
      <c r="G126" s="30"/>
    </row>
    <row r="127" spans="1:7" x14ac:dyDescent="0.3">
      <c r="G127" s="30"/>
    </row>
    <row r="128" spans="1:7" x14ac:dyDescent="0.3">
      <c r="G128" s="30"/>
    </row>
    <row r="129" spans="7:7" x14ac:dyDescent="0.3">
      <c r="G129" s="30"/>
    </row>
    <row r="130" spans="7:7" x14ac:dyDescent="0.3">
      <c r="G130" s="30"/>
    </row>
    <row r="131" spans="7:7" x14ac:dyDescent="0.3">
      <c r="G131" s="30"/>
    </row>
    <row r="132" spans="7:7" x14ac:dyDescent="0.3">
      <c r="G132" s="30"/>
    </row>
    <row r="133" spans="7:7" x14ac:dyDescent="0.3">
      <c r="G133" s="30"/>
    </row>
    <row r="134" spans="7:7" x14ac:dyDescent="0.3">
      <c r="G134" s="30"/>
    </row>
    <row r="135" spans="7:7" x14ac:dyDescent="0.3">
      <c r="G135" s="30"/>
    </row>
    <row r="136" spans="7:7" x14ac:dyDescent="0.3">
      <c r="G136" s="30"/>
    </row>
    <row r="137" spans="7:7" x14ac:dyDescent="0.3">
      <c r="G137" s="30"/>
    </row>
    <row r="138" spans="7:7" x14ac:dyDescent="0.3">
      <c r="G138" s="30"/>
    </row>
    <row r="139" spans="7:7" x14ac:dyDescent="0.3">
      <c r="G139" s="30"/>
    </row>
    <row r="140" spans="7:7" x14ac:dyDescent="0.3">
      <c r="G140" s="30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6"/>
  <sheetViews>
    <sheetView topLeftCell="A34" workbookViewId="0">
      <selection activeCell="E8" sqref="E8"/>
    </sheetView>
  </sheetViews>
  <sheetFormatPr defaultRowHeight="14.4" x14ac:dyDescent="0.3"/>
  <cols>
    <col min="1" max="1" width="11.33203125" customWidth="1"/>
    <col min="2" max="2" width="13.109375" customWidth="1"/>
    <col min="3" max="3" width="15.44140625" customWidth="1"/>
    <col min="4" max="4" width="13.88671875" customWidth="1"/>
    <col min="5" max="5" width="12.6640625" customWidth="1"/>
    <col min="6" max="6" width="10.44140625" customWidth="1"/>
    <col min="9" max="9" width="13.6640625" customWidth="1"/>
    <col min="10" max="10" width="13.5546875" customWidth="1"/>
    <col min="11" max="11" width="11.88671875" customWidth="1"/>
    <col min="12" max="12" width="12.6640625" customWidth="1"/>
  </cols>
  <sheetData>
    <row r="2" spans="1:9" x14ac:dyDescent="0.3">
      <c r="A2" s="32" t="s">
        <v>278</v>
      </c>
    </row>
    <row r="3" spans="1:9" x14ac:dyDescent="0.3">
      <c r="A3" s="1"/>
      <c r="B3" s="380" t="s">
        <v>285</v>
      </c>
      <c r="C3" s="380"/>
      <c r="D3" s="380" t="s">
        <v>286</v>
      </c>
      <c r="E3" s="380"/>
    </row>
    <row r="4" spans="1:9" x14ac:dyDescent="0.3">
      <c r="A4" s="340"/>
      <c r="B4" s="340" t="s">
        <v>0</v>
      </c>
      <c r="C4" s="340" t="s">
        <v>1</v>
      </c>
      <c r="D4" s="340" t="s">
        <v>0</v>
      </c>
      <c r="E4" s="340" t="s">
        <v>1</v>
      </c>
    </row>
    <row r="5" spans="1:9" x14ac:dyDescent="0.3">
      <c r="A5" s="340">
        <v>1111</v>
      </c>
      <c r="B5" s="361">
        <f>E29</f>
        <v>34272</v>
      </c>
      <c r="C5" s="340">
        <f>F27+F28</f>
        <v>37338</v>
      </c>
      <c r="D5" s="340">
        <f>E14</f>
        <v>856858</v>
      </c>
      <c r="E5" s="340"/>
      <c r="I5" s="5"/>
    </row>
    <row r="6" spans="1:9" x14ac:dyDescent="0.3">
      <c r="A6" s="340">
        <v>1112</v>
      </c>
      <c r="B6" s="340"/>
      <c r="C6" s="340"/>
      <c r="D6" s="340">
        <f>E15+E19</f>
        <v>500895</v>
      </c>
      <c r="E6" s="340">
        <f>F19</f>
        <v>58945</v>
      </c>
    </row>
    <row r="7" spans="1:9" x14ac:dyDescent="0.3">
      <c r="A7" s="340">
        <v>1113</v>
      </c>
      <c r="B7" s="340">
        <f>E14+E15</f>
        <v>1201044</v>
      </c>
      <c r="C7" s="340"/>
      <c r="D7" s="340"/>
      <c r="E7" s="340"/>
    </row>
    <row r="8" spans="1:9" x14ac:dyDescent="0.3">
      <c r="A8" s="340">
        <v>1115</v>
      </c>
      <c r="B8" s="340">
        <f>E19</f>
        <v>156709</v>
      </c>
      <c r="C8" s="340">
        <f>F19</f>
        <v>58945</v>
      </c>
      <c r="D8" s="361">
        <f>E29</f>
        <v>34272</v>
      </c>
      <c r="E8" s="340">
        <f>F27+F28</f>
        <v>37338</v>
      </c>
    </row>
    <row r="9" spans="1:9" x14ac:dyDescent="0.3">
      <c r="A9" s="362" t="s">
        <v>287</v>
      </c>
      <c r="B9" s="363">
        <f>SUM(B5:B8)</f>
        <v>1392025</v>
      </c>
      <c r="C9" s="363">
        <f t="shared" ref="C9:E9" si="0">SUM(C5:C8)</f>
        <v>96283</v>
      </c>
      <c r="D9" s="363">
        <f t="shared" si="0"/>
        <v>1392025</v>
      </c>
      <c r="E9" s="363">
        <f t="shared" si="0"/>
        <v>96283</v>
      </c>
    </row>
    <row r="10" spans="1:9" x14ac:dyDescent="0.3">
      <c r="A10" s="32"/>
    </row>
    <row r="12" spans="1:9" x14ac:dyDescent="0.3">
      <c r="A12" s="338" t="s">
        <v>275</v>
      </c>
      <c r="E12">
        <f>E14+E15</f>
        <v>1201044</v>
      </c>
    </row>
    <row r="13" spans="1:9" x14ac:dyDescent="0.3">
      <c r="A13" s="339" t="s">
        <v>182</v>
      </c>
      <c r="B13" s="340" t="s">
        <v>183</v>
      </c>
      <c r="C13" s="1" t="s">
        <v>261</v>
      </c>
      <c r="D13" s="1" t="s">
        <v>283</v>
      </c>
      <c r="E13" s="340" t="s">
        <v>0</v>
      </c>
      <c r="F13" s="340" t="s">
        <v>1</v>
      </c>
    </row>
    <row r="14" spans="1:9" x14ac:dyDescent="0.3">
      <c r="A14" s="341" t="s">
        <v>263</v>
      </c>
      <c r="B14" s="341" t="s">
        <v>264</v>
      </c>
      <c r="C14" s="341" t="s">
        <v>265</v>
      </c>
      <c r="D14" s="341" t="s">
        <v>266</v>
      </c>
      <c r="E14" s="345">
        <v>856858</v>
      </c>
      <c r="F14" s="349">
        <v>0</v>
      </c>
    </row>
    <row r="15" spans="1:9" x14ac:dyDescent="0.3">
      <c r="A15" s="341">
        <v>1112</v>
      </c>
      <c r="B15" s="341" t="s">
        <v>264</v>
      </c>
      <c r="C15" s="356" t="s">
        <v>267</v>
      </c>
      <c r="D15" s="341" t="s">
        <v>266</v>
      </c>
      <c r="E15" s="345">
        <v>344186</v>
      </c>
      <c r="F15" s="349">
        <v>0</v>
      </c>
      <c r="I15" s="30"/>
    </row>
    <row r="16" spans="1:9" x14ac:dyDescent="0.3">
      <c r="E16" s="328"/>
      <c r="F16" s="328"/>
    </row>
    <row r="17" spans="1:8" x14ac:dyDescent="0.3">
      <c r="A17" s="342" t="s">
        <v>276</v>
      </c>
      <c r="E17" s="328">
        <f>E19</f>
        <v>156709</v>
      </c>
      <c r="F17" s="328"/>
    </row>
    <row r="18" spans="1:8" x14ac:dyDescent="0.3">
      <c r="A18" s="339" t="s">
        <v>182</v>
      </c>
      <c r="B18" s="340" t="s">
        <v>183</v>
      </c>
      <c r="C18" s="1" t="s">
        <v>261</v>
      </c>
      <c r="D18" s="1" t="s">
        <v>283</v>
      </c>
      <c r="E18" s="350" t="s">
        <v>0</v>
      </c>
      <c r="F18" s="350" t="s">
        <v>1</v>
      </c>
    </row>
    <row r="19" spans="1:8" x14ac:dyDescent="0.3">
      <c r="A19" s="341">
        <v>1112</v>
      </c>
      <c r="B19" s="341" t="s">
        <v>268</v>
      </c>
      <c r="C19" s="356" t="s">
        <v>267</v>
      </c>
      <c r="D19" s="341" t="s">
        <v>266</v>
      </c>
      <c r="E19" s="346">
        <v>156709</v>
      </c>
      <c r="F19" s="346">
        <v>58945</v>
      </c>
    </row>
    <row r="20" spans="1:8" x14ac:dyDescent="0.3">
      <c r="A20" s="340" t="s">
        <v>269</v>
      </c>
      <c r="B20" s="340" t="s">
        <v>268</v>
      </c>
      <c r="C20" s="357" t="s">
        <v>267</v>
      </c>
      <c r="D20" s="340" t="s">
        <v>270</v>
      </c>
      <c r="E20" s="351">
        <v>340000</v>
      </c>
      <c r="F20" s="351">
        <v>60000</v>
      </c>
    </row>
    <row r="21" spans="1:8" x14ac:dyDescent="0.3">
      <c r="A21" s="340" t="s">
        <v>271</v>
      </c>
      <c r="B21" s="340" t="s">
        <v>268</v>
      </c>
      <c r="C21" s="340" t="s">
        <v>265</v>
      </c>
      <c r="D21" s="340" t="s">
        <v>270</v>
      </c>
      <c r="E21" s="351">
        <v>215268</v>
      </c>
      <c r="F21" s="351">
        <v>6698</v>
      </c>
    </row>
    <row r="22" spans="1:8" x14ac:dyDescent="0.3">
      <c r="E22" s="328"/>
      <c r="F22" s="328"/>
    </row>
    <row r="23" spans="1:8" x14ac:dyDescent="0.3">
      <c r="A23" s="343" t="s">
        <v>277</v>
      </c>
      <c r="E23" s="328"/>
      <c r="F23" s="328"/>
    </row>
    <row r="24" spans="1:8" x14ac:dyDescent="0.3">
      <c r="A24" s="339" t="s">
        <v>182</v>
      </c>
      <c r="B24" s="340" t="s">
        <v>183</v>
      </c>
      <c r="C24" s="1" t="s">
        <v>261</v>
      </c>
      <c r="D24" s="1" t="s">
        <v>283</v>
      </c>
      <c r="E24" s="350" t="s">
        <v>0</v>
      </c>
      <c r="F24" s="350" t="s">
        <v>1</v>
      </c>
    </row>
    <row r="25" spans="1:8" x14ac:dyDescent="0.3">
      <c r="A25" s="344" t="s">
        <v>272</v>
      </c>
      <c r="B25" s="344" t="s">
        <v>273</v>
      </c>
      <c r="C25" s="340" t="s">
        <v>265</v>
      </c>
      <c r="D25" s="340" t="s">
        <v>270</v>
      </c>
      <c r="E25" s="353">
        <v>80786.279999999795</v>
      </c>
      <c r="F25" s="353">
        <v>12472.79999999993</v>
      </c>
    </row>
    <row r="26" spans="1:8" x14ac:dyDescent="0.3">
      <c r="A26" s="344" t="s">
        <v>263</v>
      </c>
      <c r="B26" s="344" t="s">
        <v>273</v>
      </c>
      <c r="C26" s="340" t="s">
        <v>265</v>
      </c>
      <c r="D26" s="340" t="s">
        <v>270</v>
      </c>
      <c r="E26" s="349">
        <v>0</v>
      </c>
      <c r="F26" s="354">
        <v>45247.61</v>
      </c>
      <c r="H26" s="26"/>
    </row>
    <row r="27" spans="1:8" x14ac:dyDescent="0.3">
      <c r="A27" s="341" t="s">
        <v>220</v>
      </c>
      <c r="B27" s="341" t="s">
        <v>273</v>
      </c>
      <c r="C27" s="341" t="s">
        <v>265</v>
      </c>
      <c r="D27" s="341" t="s">
        <v>266</v>
      </c>
      <c r="E27" s="349"/>
      <c r="F27" s="355">
        <v>31290</v>
      </c>
      <c r="G27" s="465"/>
      <c r="H27" s="26"/>
    </row>
    <row r="28" spans="1:8" x14ac:dyDescent="0.3">
      <c r="A28" s="341" t="s">
        <v>220</v>
      </c>
      <c r="B28" s="341" t="s">
        <v>273</v>
      </c>
      <c r="C28" s="356" t="s">
        <v>267</v>
      </c>
      <c r="D28" s="341" t="s">
        <v>266</v>
      </c>
      <c r="E28" s="349"/>
      <c r="F28" s="355">
        <v>6048</v>
      </c>
      <c r="H28" s="26"/>
    </row>
    <row r="29" spans="1:8" x14ac:dyDescent="0.3">
      <c r="A29" s="341" t="s">
        <v>220</v>
      </c>
      <c r="B29" s="341" t="s">
        <v>274</v>
      </c>
      <c r="C29" s="356" t="s">
        <v>267</v>
      </c>
      <c r="D29" s="341" t="s">
        <v>266</v>
      </c>
      <c r="E29" s="464">
        <v>34272</v>
      </c>
      <c r="F29" s="349"/>
    </row>
    <row r="32" spans="1:8" x14ac:dyDescent="0.3">
      <c r="A32" s="32"/>
    </row>
    <row r="33" spans="1:9" x14ac:dyDescent="0.3">
      <c r="A33" t="s">
        <v>279</v>
      </c>
    </row>
    <row r="34" spans="1:9" x14ac:dyDescent="0.3">
      <c r="A34" s="344"/>
      <c r="B34" s="344"/>
      <c r="C34" s="55" t="s">
        <v>261</v>
      </c>
      <c r="D34" s="55" t="s">
        <v>283</v>
      </c>
      <c r="E34" s="344" t="s">
        <v>0</v>
      </c>
      <c r="F34" s="344" t="s">
        <v>1</v>
      </c>
      <c r="G34" s="34"/>
    </row>
    <row r="35" spans="1:9" x14ac:dyDescent="0.3">
      <c r="A35" s="341" t="s">
        <v>263</v>
      </c>
      <c r="B35" s="341" t="s">
        <v>284</v>
      </c>
      <c r="C35" s="341" t="s">
        <v>265</v>
      </c>
      <c r="D35" s="341" t="s">
        <v>266</v>
      </c>
      <c r="E35" s="360">
        <v>856858</v>
      </c>
      <c r="F35" s="360"/>
      <c r="G35" s="34"/>
    </row>
    <row r="36" spans="1:9" x14ac:dyDescent="0.3">
      <c r="A36" s="344" t="s">
        <v>272</v>
      </c>
      <c r="B36" s="344" t="s">
        <v>273</v>
      </c>
      <c r="C36" s="344" t="s">
        <v>265</v>
      </c>
      <c r="D36" s="344" t="s">
        <v>270</v>
      </c>
      <c r="E36" s="358">
        <v>80786.279999999795</v>
      </c>
      <c r="F36" s="358">
        <v>12472.79999999993</v>
      </c>
      <c r="G36" s="34"/>
    </row>
    <row r="37" spans="1:9" x14ac:dyDescent="0.3">
      <c r="A37" s="344" t="s">
        <v>263</v>
      </c>
      <c r="B37" s="344" t="s">
        <v>273</v>
      </c>
      <c r="C37" s="344" t="s">
        <v>265</v>
      </c>
      <c r="D37" s="344" t="s">
        <v>270</v>
      </c>
      <c r="E37" s="352">
        <v>0</v>
      </c>
      <c r="F37" s="359">
        <v>45247.61</v>
      </c>
      <c r="G37" s="34"/>
      <c r="I37" t="s">
        <v>33</v>
      </c>
    </row>
    <row r="38" spans="1:9" x14ac:dyDescent="0.3">
      <c r="A38" s="34"/>
      <c r="B38" s="34"/>
      <c r="C38" s="34"/>
      <c r="D38" s="34"/>
      <c r="E38" s="34"/>
      <c r="F38" s="34"/>
      <c r="G38" s="34"/>
    </row>
    <row r="39" spans="1:9" x14ac:dyDescent="0.3">
      <c r="A39" s="34" t="s">
        <v>280</v>
      </c>
      <c r="B39" s="34"/>
      <c r="C39" s="34"/>
      <c r="D39" s="34"/>
      <c r="E39" s="34"/>
      <c r="F39" s="34"/>
      <c r="G39" s="34"/>
    </row>
    <row r="40" spans="1:9" x14ac:dyDescent="0.3">
      <c r="A40" s="344"/>
      <c r="B40" s="344"/>
      <c r="C40" s="55" t="s">
        <v>261</v>
      </c>
      <c r="D40" s="55" t="s">
        <v>262</v>
      </c>
      <c r="E40" s="344" t="s">
        <v>0</v>
      </c>
      <c r="F40" s="344" t="s">
        <v>1</v>
      </c>
      <c r="G40" s="34"/>
    </row>
    <row r="41" spans="1:9" x14ac:dyDescent="0.3">
      <c r="A41" s="341">
        <v>1112</v>
      </c>
      <c r="B41" s="341" t="s">
        <v>264</v>
      </c>
      <c r="C41" s="356" t="s">
        <v>267</v>
      </c>
      <c r="D41" s="341" t="s">
        <v>266</v>
      </c>
      <c r="E41" s="360">
        <v>344186</v>
      </c>
      <c r="F41" s="360"/>
      <c r="G41" s="34"/>
    </row>
    <row r="42" spans="1:9" x14ac:dyDescent="0.3">
      <c r="A42" s="341">
        <v>1112</v>
      </c>
      <c r="B42" s="341" t="s">
        <v>268</v>
      </c>
      <c r="C42" s="356" t="s">
        <v>267</v>
      </c>
      <c r="D42" s="341" t="s">
        <v>266</v>
      </c>
      <c r="E42" s="360">
        <v>156709</v>
      </c>
      <c r="F42" s="360">
        <v>58945</v>
      </c>
      <c r="G42" s="34"/>
    </row>
    <row r="43" spans="1:9" x14ac:dyDescent="0.3">
      <c r="A43" s="34"/>
      <c r="B43" s="34"/>
      <c r="C43" s="34"/>
      <c r="D43" s="34"/>
      <c r="E43" s="34"/>
      <c r="F43" s="34"/>
      <c r="G43" s="34"/>
    </row>
    <row r="44" spans="1:9" x14ac:dyDescent="0.3">
      <c r="A44" s="34" t="s">
        <v>281</v>
      </c>
      <c r="B44" s="34"/>
      <c r="C44" s="34"/>
      <c r="D44" s="34"/>
      <c r="E44" s="34"/>
      <c r="F44" s="34"/>
      <c r="G44" s="34"/>
    </row>
    <row r="45" spans="1:9" x14ac:dyDescent="0.3">
      <c r="A45" s="344"/>
      <c r="B45" s="344"/>
      <c r="C45" s="55" t="s">
        <v>261</v>
      </c>
      <c r="D45" s="55" t="s">
        <v>262</v>
      </c>
      <c r="E45" s="344" t="s">
        <v>0</v>
      </c>
      <c r="F45" s="344" t="s">
        <v>1</v>
      </c>
      <c r="G45" s="34"/>
    </row>
    <row r="46" spans="1:9" x14ac:dyDescent="0.3">
      <c r="A46" s="344" t="s">
        <v>269</v>
      </c>
      <c r="B46" s="344" t="s">
        <v>268</v>
      </c>
      <c r="C46" s="8" t="s">
        <v>267</v>
      </c>
      <c r="D46" s="344" t="s">
        <v>270</v>
      </c>
      <c r="E46" s="352">
        <v>340000</v>
      </c>
      <c r="F46" s="352">
        <v>60000</v>
      </c>
      <c r="G46" s="34"/>
    </row>
    <row r="47" spans="1:9" x14ac:dyDescent="0.3">
      <c r="A47" s="344" t="s">
        <v>271</v>
      </c>
      <c r="B47" s="344" t="s">
        <v>268</v>
      </c>
      <c r="C47" s="344" t="s">
        <v>265</v>
      </c>
      <c r="D47" s="344" t="s">
        <v>270</v>
      </c>
      <c r="E47" s="352">
        <v>215268</v>
      </c>
      <c r="F47" s="352">
        <v>6698</v>
      </c>
      <c r="G47" s="34"/>
    </row>
    <row r="48" spans="1:9" x14ac:dyDescent="0.3">
      <c r="A48" s="341" t="s">
        <v>220</v>
      </c>
      <c r="B48" s="341" t="s">
        <v>273</v>
      </c>
      <c r="C48" s="341" t="s">
        <v>265</v>
      </c>
      <c r="D48" s="341" t="s">
        <v>266</v>
      </c>
      <c r="E48" s="360"/>
      <c r="F48" s="360">
        <v>31290</v>
      </c>
      <c r="G48" s="34"/>
    </row>
    <row r="49" spans="1:7" x14ac:dyDescent="0.3">
      <c r="A49" s="341" t="s">
        <v>220</v>
      </c>
      <c r="B49" s="341" t="s">
        <v>273</v>
      </c>
      <c r="C49" s="356" t="s">
        <v>267</v>
      </c>
      <c r="D49" s="341" t="s">
        <v>266</v>
      </c>
      <c r="E49" s="360"/>
      <c r="F49" s="360">
        <v>6048</v>
      </c>
      <c r="G49" s="34"/>
    </row>
    <row r="50" spans="1:7" x14ac:dyDescent="0.3">
      <c r="A50" s="341" t="s">
        <v>220</v>
      </c>
      <c r="B50" s="341" t="s">
        <v>274</v>
      </c>
      <c r="C50" s="356" t="s">
        <v>267</v>
      </c>
      <c r="D50" s="341" t="s">
        <v>266</v>
      </c>
      <c r="E50" s="471">
        <v>34272</v>
      </c>
      <c r="F50" s="360"/>
      <c r="G50" s="34"/>
    </row>
    <row r="51" spans="1:7" x14ac:dyDescent="0.3">
      <c r="A51" s="34"/>
      <c r="B51" s="34"/>
      <c r="C51" s="34"/>
      <c r="D51" s="34"/>
      <c r="E51" s="34"/>
      <c r="F51" s="34"/>
      <c r="G51" s="34"/>
    </row>
    <row r="52" spans="1:7" x14ac:dyDescent="0.3">
      <c r="A52" s="34"/>
      <c r="B52" s="34"/>
      <c r="C52" s="34"/>
      <c r="D52" s="34"/>
      <c r="E52" s="53"/>
      <c r="F52" s="34"/>
      <c r="G52" s="34"/>
    </row>
    <row r="53" spans="1:7" x14ac:dyDescent="0.3">
      <c r="A53" s="470" t="s">
        <v>296</v>
      </c>
      <c r="B53" s="470"/>
      <c r="C53" s="34"/>
      <c r="D53" s="34"/>
      <c r="E53" s="34"/>
      <c r="F53" s="34"/>
      <c r="G53" s="34"/>
    </row>
    <row r="54" spans="1:7" x14ac:dyDescent="0.3">
      <c r="A54" s="30">
        <v>1.1000000000000001</v>
      </c>
      <c r="B54">
        <f>(-856858+34272)+180146</f>
        <v>-642440</v>
      </c>
    </row>
    <row r="55" spans="1:7" x14ac:dyDescent="0.3">
      <c r="A55" s="30">
        <v>2</v>
      </c>
      <c r="B55">
        <f>(-642440)+(-142807)</f>
        <v>-785247</v>
      </c>
    </row>
    <row r="56" spans="1:7" x14ac:dyDescent="0.3">
      <c r="A56" s="30">
        <v>2.1</v>
      </c>
      <c r="B56">
        <f>(-642440)+(-142807)</f>
        <v>-785247</v>
      </c>
    </row>
    <row r="57" spans="1:7" x14ac:dyDescent="0.3">
      <c r="A57" s="30">
        <v>3</v>
      </c>
      <c r="B57">
        <f>(37338-180145)</f>
        <v>-142807</v>
      </c>
    </row>
    <row r="58" spans="1:7" x14ac:dyDescent="0.3">
      <c r="A58" s="30">
        <v>3.1</v>
      </c>
      <c r="B58">
        <f>(37338-180145)</f>
        <v>-142807</v>
      </c>
    </row>
    <row r="59" spans="1:7" x14ac:dyDescent="0.3">
      <c r="A59" s="30">
        <v>5</v>
      </c>
      <c r="B59">
        <f>(37338-180145)</f>
        <v>-142807</v>
      </c>
    </row>
    <row r="60" spans="1:7" x14ac:dyDescent="0.3">
      <c r="A60" s="30">
        <v>5.0999999999999996</v>
      </c>
      <c r="B60">
        <f>(37338-180145)</f>
        <v>-142807</v>
      </c>
    </row>
    <row r="64" spans="1:7" x14ac:dyDescent="0.3">
      <c r="B64">
        <f>156709-34272</f>
        <v>122437</v>
      </c>
    </row>
    <row r="65" spans="2:2" x14ac:dyDescent="0.3">
      <c r="B65">
        <f>58945-37338</f>
        <v>21607</v>
      </c>
    </row>
    <row r="66" spans="2:2" x14ac:dyDescent="0.3">
      <c r="B66">
        <f>B64+B65</f>
        <v>144044</v>
      </c>
    </row>
  </sheetData>
  <mergeCells count="2">
    <mergeCell ref="B3:C3"/>
    <mergeCell ref="D3:E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7"/>
  <sheetViews>
    <sheetView topLeftCell="B43" zoomScale="85" zoomScaleNormal="85" workbookViewId="0">
      <selection activeCell="I54" sqref="I54:J55"/>
    </sheetView>
  </sheetViews>
  <sheetFormatPr defaultRowHeight="14.4" x14ac:dyDescent="0.3"/>
  <cols>
    <col min="1" max="1" width="19.33203125" customWidth="1"/>
    <col min="2" max="2" width="35.6640625" customWidth="1"/>
    <col min="3" max="3" width="10.44140625" customWidth="1"/>
    <col min="4" max="4" width="19.33203125" customWidth="1"/>
    <col min="5" max="5" width="18.33203125" customWidth="1"/>
    <col min="6" max="6" width="15.6640625" customWidth="1"/>
    <col min="7" max="7" width="19.44140625" customWidth="1"/>
    <col min="8" max="8" width="27.44140625" customWidth="1"/>
    <col min="9" max="9" width="11.33203125" customWidth="1"/>
    <col min="10" max="10" width="12.6640625" customWidth="1"/>
    <col min="11" max="11" width="11.6640625" customWidth="1"/>
    <col min="13" max="13" width="15.33203125" customWidth="1"/>
  </cols>
  <sheetData>
    <row r="1" spans="1:13" x14ac:dyDescent="0.3">
      <c r="A1" t="s">
        <v>16</v>
      </c>
      <c r="F1" t="s">
        <v>50</v>
      </c>
    </row>
    <row r="2" spans="1:13" x14ac:dyDescent="0.3">
      <c r="A2" s="383" t="s">
        <v>82</v>
      </c>
      <c r="B2" s="383"/>
      <c r="C2" s="383"/>
      <c r="D2" s="383"/>
      <c r="E2" s="383"/>
      <c r="F2" s="383"/>
    </row>
    <row r="3" spans="1:13" x14ac:dyDescent="0.3">
      <c r="A3" s="56" t="s">
        <v>9</v>
      </c>
      <c r="B3" s="15"/>
      <c r="C3" s="15"/>
      <c r="D3" s="16" t="s">
        <v>0</v>
      </c>
      <c r="E3" s="16" t="s">
        <v>1</v>
      </c>
      <c r="F3" s="17" t="s">
        <v>29</v>
      </c>
      <c r="H3" s="14"/>
    </row>
    <row r="4" spans="1:13" x14ac:dyDescent="0.3">
      <c r="A4" s="103" t="s">
        <v>31</v>
      </c>
      <c r="B4" s="104" t="s">
        <v>17</v>
      </c>
      <c r="C4" s="104"/>
      <c r="D4" s="61">
        <v>373596.94</v>
      </c>
      <c r="E4" s="61">
        <v>224287.44</v>
      </c>
      <c r="F4" s="101">
        <f>D4+E4</f>
        <v>597884.38</v>
      </c>
      <c r="H4" s="14"/>
    </row>
    <row r="5" spans="1:13" x14ac:dyDescent="0.3">
      <c r="A5" s="384" t="s">
        <v>31</v>
      </c>
      <c r="B5" s="104" t="s">
        <v>18</v>
      </c>
      <c r="C5" s="104"/>
      <c r="D5" s="61">
        <v>373125.04</v>
      </c>
      <c r="E5" s="61">
        <v>224004.12</v>
      </c>
      <c r="F5" s="101">
        <f>D5+E5</f>
        <v>597129.15999999992</v>
      </c>
      <c r="H5" s="105"/>
      <c r="I5" s="106"/>
      <c r="J5" s="106"/>
      <c r="K5" s="107"/>
      <c r="L5" s="107"/>
      <c r="M5" s="107"/>
    </row>
    <row r="6" spans="1:13" x14ac:dyDescent="0.3">
      <c r="A6" s="381"/>
      <c r="B6" s="104" t="s">
        <v>19</v>
      </c>
      <c r="C6" s="104"/>
      <c r="D6" s="61">
        <v>374918.54</v>
      </c>
      <c r="E6" s="61">
        <v>225080.85</v>
      </c>
      <c r="F6" s="101">
        <f t="shared" ref="F6" si="0">D6+E6</f>
        <v>599999.39</v>
      </c>
      <c r="H6" s="105"/>
      <c r="I6" s="107"/>
      <c r="J6" s="107"/>
      <c r="K6" s="107"/>
      <c r="L6" s="107"/>
      <c r="M6" s="107"/>
    </row>
    <row r="7" spans="1:13" x14ac:dyDescent="0.3">
      <c r="A7" s="381"/>
      <c r="B7" s="18" t="s">
        <v>120</v>
      </c>
      <c r="C7" s="18"/>
      <c r="D7" s="57">
        <f>D4+D5+D6</f>
        <v>1121640.52</v>
      </c>
      <c r="E7" s="57">
        <f>E4+E5+E6</f>
        <v>673372.41</v>
      </c>
      <c r="F7" s="57">
        <f>D7+E7</f>
        <v>1795012.9300000002</v>
      </c>
      <c r="G7" s="14"/>
      <c r="H7" s="108"/>
      <c r="I7" s="108"/>
      <c r="J7" s="108"/>
      <c r="K7" s="108"/>
      <c r="L7" s="108"/>
      <c r="M7" s="107"/>
    </row>
    <row r="8" spans="1:13" x14ac:dyDescent="0.3">
      <c r="A8" s="381"/>
      <c r="B8" s="60" t="s">
        <v>20</v>
      </c>
      <c r="C8" s="60"/>
      <c r="D8" s="61">
        <v>444810.36</v>
      </c>
      <c r="E8" s="61">
        <v>55189.13</v>
      </c>
      <c r="F8" s="101">
        <f>D8+E8</f>
        <v>499999.49</v>
      </c>
      <c r="H8" s="108"/>
      <c r="I8" s="108"/>
      <c r="J8" s="108"/>
      <c r="K8" s="108"/>
      <c r="L8" s="108"/>
      <c r="M8" s="107"/>
    </row>
    <row r="9" spans="1:13" x14ac:dyDescent="0.3">
      <c r="A9" s="381"/>
      <c r="B9" s="60" t="s">
        <v>21</v>
      </c>
      <c r="C9" s="60"/>
      <c r="D9" s="61">
        <v>410342.16</v>
      </c>
      <c r="E9" s="61">
        <v>50912.54</v>
      </c>
      <c r="F9" s="101">
        <f t="shared" ref="F9:F13" si="1">D9+E9</f>
        <v>461254.69999999995</v>
      </c>
      <c r="H9" s="165"/>
      <c r="I9" s="109"/>
      <c r="J9" s="108"/>
      <c r="K9" s="108"/>
      <c r="L9" s="108"/>
      <c r="M9" s="107"/>
    </row>
    <row r="10" spans="1:13" x14ac:dyDescent="0.3">
      <c r="A10" s="381"/>
      <c r="B10" s="60" t="s">
        <v>22</v>
      </c>
      <c r="C10" s="60"/>
      <c r="D10" s="61">
        <v>444810.36</v>
      </c>
      <c r="E10" s="61">
        <v>55189.13</v>
      </c>
      <c r="F10" s="101">
        <f t="shared" si="1"/>
        <v>499999.49</v>
      </c>
      <c r="H10" s="108"/>
      <c r="I10" s="156"/>
      <c r="J10" s="156"/>
      <c r="K10" s="108"/>
      <c r="L10" s="108"/>
      <c r="M10" s="107"/>
    </row>
    <row r="11" spans="1:13" x14ac:dyDescent="0.3">
      <c r="A11" s="381"/>
      <c r="B11" s="60" t="s">
        <v>23</v>
      </c>
      <c r="C11" s="60"/>
      <c r="D11" s="61">
        <v>444810.81</v>
      </c>
      <c r="E11" s="61">
        <v>55189.18</v>
      </c>
      <c r="F11" s="101">
        <f t="shared" si="1"/>
        <v>499999.99</v>
      </c>
      <c r="H11" s="108"/>
      <c r="I11" s="156"/>
      <c r="J11" s="156"/>
      <c r="K11" s="108"/>
      <c r="L11" s="108"/>
      <c r="M11" s="107"/>
    </row>
    <row r="12" spans="1:13" x14ac:dyDescent="0.3">
      <c r="A12" s="381"/>
      <c r="B12" s="60" t="s">
        <v>24</v>
      </c>
      <c r="C12" s="60"/>
      <c r="D12" s="61">
        <v>444810.36</v>
      </c>
      <c r="E12" s="61">
        <v>55189.13</v>
      </c>
      <c r="F12" s="101">
        <f t="shared" si="1"/>
        <v>499999.49</v>
      </c>
      <c r="H12" s="108"/>
      <c r="I12" s="108"/>
      <c r="J12" s="108"/>
      <c r="K12" s="108"/>
      <c r="L12" s="108"/>
      <c r="M12" s="107"/>
    </row>
    <row r="13" spans="1:13" x14ac:dyDescent="0.3">
      <c r="A13" s="381"/>
      <c r="B13" s="60" t="s">
        <v>26</v>
      </c>
      <c r="C13" s="60"/>
      <c r="D13" s="61">
        <v>444810.36</v>
      </c>
      <c r="E13" s="61">
        <v>55189</v>
      </c>
      <c r="F13" s="101">
        <f t="shared" si="1"/>
        <v>499999.36</v>
      </c>
      <c r="H13" s="108"/>
      <c r="I13" s="108"/>
      <c r="J13" s="108"/>
      <c r="K13" s="108"/>
      <c r="L13" s="108"/>
      <c r="M13" s="107"/>
    </row>
    <row r="14" spans="1:13" x14ac:dyDescent="0.3">
      <c r="A14" s="381"/>
      <c r="B14" s="60" t="s">
        <v>27</v>
      </c>
      <c r="C14" s="60"/>
      <c r="D14" s="61">
        <v>442308.75</v>
      </c>
      <c r="E14" s="61">
        <v>54878.75</v>
      </c>
      <c r="F14" s="101">
        <f>D14+E14</f>
        <v>497187.5</v>
      </c>
      <c r="H14" s="107"/>
      <c r="I14" s="107"/>
      <c r="J14" s="107"/>
      <c r="K14" s="107"/>
      <c r="L14" s="107"/>
      <c r="M14" s="107"/>
    </row>
    <row r="15" spans="1:13" x14ac:dyDescent="0.3">
      <c r="A15" s="381"/>
      <c r="B15" s="19" t="s">
        <v>121</v>
      </c>
      <c r="C15" s="19"/>
      <c r="D15" s="57">
        <f>SUM(D8:D14)</f>
        <v>3076703.1599999997</v>
      </c>
      <c r="E15" s="57">
        <f>SUM(E8:E14)</f>
        <v>381736.86</v>
      </c>
      <c r="F15" s="57">
        <f>D15+E15</f>
        <v>3458440.0199999996</v>
      </c>
      <c r="H15" s="107"/>
      <c r="I15" s="107"/>
      <c r="J15" s="107"/>
      <c r="K15" s="107"/>
      <c r="L15" s="107"/>
      <c r="M15" s="107"/>
    </row>
    <row r="16" spans="1:13" x14ac:dyDescent="0.3">
      <c r="A16" s="381"/>
      <c r="B16" s="55" t="s">
        <v>122</v>
      </c>
      <c r="C16" s="1" t="s">
        <v>123</v>
      </c>
      <c r="D16" s="110">
        <v>425000</v>
      </c>
      <c r="E16" s="110">
        <v>75000</v>
      </c>
      <c r="F16" s="110">
        <f t="shared" ref="F16:F21" si="2">SUM(D16:E16)</f>
        <v>500000</v>
      </c>
    </row>
    <row r="17" spans="1:13" x14ac:dyDescent="0.3">
      <c r="A17" s="381"/>
      <c r="B17" s="55" t="s">
        <v>124</v>
      </c>
      <c r="C17" s="1" t="s">
        <v>123</v>
      </c>
      <c r="D17" s="110">
        <v>390259.65</v>
      </c>
      <c r="E17" s="110">
        <v>68869.350000000006</v>
      </c>
      <c r="F17" s="110">
        <f t="shared" si="2"/>
        <v>459129</v>
      </c>
    </row>
    <row r="18" spans="1:13" x14ac:dyDescent="0.3">
      <c r="A18" s="381"/>
      <c r="B18" s="55" t="s">
        <v>125</v>
      </c>
      <c r="C18" s="1" t="s">
        <v>123</v>
      </c>
      <c r="D18" s="110">
        <v>425000</v>
      </c>
      <c r="E18" s="110">
        <v>75000</v>
      </c>
      <c r="F18" s="110">
        <f t="shared" si="2"/>
        <v>500000</v>
      </c>
    </row>
    <row r="19" spans="1:13" x14ac:dyDescent="0.3">
      <c r="A19" s="381"/>
      <c r="B19" s="55" t="s">
        <v>126</v>
      </c>
      <c r="C19" s="1" t="s">
        <v>127</v>
      </c>
      <c r="D19" s="110">
        <v>425000</v>
      </c>
      <c r="E19" s="110">
        <v>75000</v>
      </c>
      <c r="F19" s="110">
        <f t="shared" si="2"/>
        <v>500000</v>
      </c>
    </row>
    <row r="20" spans="1:13" x14ac:dyDescent="0.3">
      <c r="A20" s="381"/>
      <c r="B20" s="55" t="s">
        <v>128</v>
      </c>
      <c r="C20" s="1" t="s">
        <v>127</v>
      </c>
      <c r="D20" s="110">
        <v>434871</v>
      </c>
      <c r="E20" s="110">
        <v>53958.58</v>
      </c>
      <c r="F20" s="110">
        <f t="shared" si="2"/>
        <v>488829.58</v>
      </c>
      <c r="G20" s="53"/>
      <c r="J20" s="74"/>
      <c r="K20" s="62"/>
    </row>
    <row r="21" spans="1:13" x14ac:dyDescent="0.3">
      <c r="A21" s="381"/>
      <c r="B21" s="130" t="s">
        <v>129</v>
      </c>
      <c r="C21" s="111" t="s">
        <v>127</v>
      </c>
      <c r="D21" s="110">
        <v>442967.49</v>
      </c>
      <c r="E21" s="110">
        <v>56965.31</v>
      </c>
      <c r="F21" s="110">
        <f t="shared" si="2"/>
        <v>499932.8</v>
      </c>
      <c r="G21" s="53"/>
      <c r="K21" s="62"/>
    </row>
    <row r="22" spans="1:13" x14ac:dyDescent="0.3">
      <c r="A22" s="381"/>
      <c r="B22" s="20" t="s">
        <v>130</v>
      </c>
      <c r="C22" s="20"/>
      <c r="D22" s="57">
        <f>SUM(D16:D21)</f>
        <v>2543098.1399999997</v>
      </c>
      <c r="E22" s="57">
        <f>SUM(E16:E21)</f>
        <v>404793.24</v>
      </c>
      <c r="F22" s="57">
        <f>SUM(F16:F21)</f>
        <v>2947891.38</v>
      </c>
      <c r="G22" s="53"/>
      <c r="H22" s="34"/>
      <c r="I22" s="74"/>
      <c r="J22" s="5"/>
      <c r="K22" s="62"/>
    </row>
    <row r="23" spans="1:13" x14ac:dyDescent="0.3">
      <c r="A23" s="382"/>
      <c r="B23" s="58" t="s">
        <v>32</v>
      </c>
      <c r="C23" s="58"/>
      <c r="D23" s="59">
        <f>D7+D15+D22</f>
        <v>6741441.8199999994</v>
      </c>
      <c r="E23" s="59">
        <f>E7+E15+E22</f>
        <v>1459902.51</v>
      </c>
      <c r="F23" s="59">
        <f>F7+F15+F22</f>
        <v>8201344.3299999991</v>
      </c>
      <c r="G23" s="34"/>
      <c r="H23" s="112"/>
      <c r="I23" s="14"/>
      <c r="J23" s="14"/>
      <c r="K23" s="14"/>
    </row>
    <row r="24" spans="1:13" x14ac:dyDescent="0.3">
      <c r="B24" s="28"/>
      <c r="C24" s="28"/>
      <c r="D24" s="113">
        <f>D23*F24/F23</f>
        <v>82.199229159788246</v>
      </c>
      <c r="E24" s="113">
        <f>E23*F24/F23</f>
        <v>17.800770840211754</v>
      </c>
      <c r="F24" s="113">
        <v>100</v>
      </c>
      <c r="K24" s="14"/>
    </row>
    <row r="25" spans="1:13" x14ac:dyDescent="0.3">
      <c r="B25" s="201" t="s">
        <v>53</v>
      </c>
      <c r="C25" s="29"/>
      <c r="D25" s="114">
        <v>9266084</v>
      </c>
      <c r="E25" s="114">
        <v>1733917</v>
      </c>
      <c r="F25" s="114">
        <f>D25+E25</f>
        <v>11000001</v>
      </c>
    </row>
    <row r="26" spans="1:13" x14ac:dyDescent="0.3">
      <c r="B26" s="34" t="s">
        <v>131</v>
      </c>
      <c r="C26" s="34"/>
      <c r="D26" s="369">
        <f>D25-D23</f>
        <v>2524642.1800000006</v>
      </c>
      <c r="E26" s="369">
        <f>E25-E23</f>
        <v>274014.49</v>
      </c>
      <c r="F26" s="369">
        <f>F25-F23</f>
        <v>2798656.6700000009</v>
      </c>
      <c r="G26" s="115" t="s">
        <v>132</v>
      </c>
      <c r="H26" s="5"/>
    </row>
    <row r="27" spans="1:13" x14ac:dyDescent="0.3">
      <c r="B27" s="34"/>
      <c r="C27" s="34"/>
      <c r="D27" s="116"/>
      <c r="E27" s="116"/>
      <c r="F27" s="116"/>
      <c r="G27" s="5"/>
      <c r="H27" s="5"/>
    </row>
    <row r="28" spans="1:13" x14ac:dyDescent="0.3">
      <c r="A28" t="s">
        <v>83</v>
      </c>
      <c r="B28" s="34"/>
      <c r="C28" s="34"/>
      <c r="D28" s="116"/>
      <c r="E28" s="116"/>
      <c r="F28" s="116"/>
      <c r="G28" s="5"/>
      <c r="H28" s="5"/>
    </row>
    <row r="29" spans="1:13" x14ac:dyDescent="0.3">
      <c r="A29" s="383" t="s">
        <v>175</v>
      </c>
      <c r="B29" s="383"/>
      <c r="C29" s="383"/>
      <c r="D29" s="383"/>
      <c r="E29" s="383"/>
      <c r="F29" s="383"/>
      <c r="G29" s="5"/>
      <c r="H29" s="5"/>
    </row>
    <row r="30" spans="1:13" x14ac:dyDescent="0.3">
      <c r="A30" s="1"/>
      <c r="B30" s="15"/>
      <c r="C30" s="15"/>
      <c r="D30" s="16" t="s">
        <v>0</v>
      </c>
      <c r="E30" s="16" t="s">
        <v>1</v>
      </c>
      <c r="F30" s="17" t="s">
        <v>29</v>
      </c>
      <c r="G30" s="5"/>
      <c r="H30" s="5"/>
      <c r="I30" s="49"/>
      <c r="J30" s="49"/>
      <c r="K30" s="116"/>
      <c r="L30" s="116"/>
      <c r="M30" s="116"/>
    </row>
    <row r="31" spans="1:13" x14ac:dyDescent="0.3">
      <c r="A31" s="381"/>
      <c r="B31" s="198" t="s">
        <v>25</v>
      </c>
      <c r="C31" s="198"/>
      <c r="D31" s="199">
        <v>433722.07</v>
      </c>
      <c r="E31" s="199">
        <v>53813.37</v>
      </c>
      <c r="F31" s="199">
        <f>D31+E31</f>
        <v>487535.44</v>
      </c>
      <c r="G31" s="5"/>
      <c r="H31" s="5"/>
      <c r="I31" s="49"/>
      <c r="J31" s="49"/>
      <c r="K31" s="116"/>
      <c r="L31" s="116"/>
      <c r="M31" s="116"/>
    </row>
    <row r="32" spans="1:13" x14ac:dyDescent="0.3">
      <c r="A32" s="381"/>
      <c r="B32" s="198" t="s">
        <v>28</v>
      </c>
      <c r="C32" s="198"/>
      <c r="D32" s="199">
        <v>444018.2</v>
      </c>
      <c r="E32" s="199">
        <v>55090.84</v>
      </c>
      <c r="F32" s="199">
        <f t="shared" ref="F32:F33" si="3">D32+E32</f>
        <v>499109.04000000004</v>
      </c>
      <c r="G32" s="5"/>
      <c r="H32" s="5"/>
      <c r="I32" s="49"/>
      <c r="J32" s="49"/>
      <c r="K32" s="116"/>
      <c r="L32" s="116"/>
      <c r="M32" s="116"/>
    </row>
    <row r="33" spans="1:13" x14ac:dyDescent="0.3">
      <c r="A33" s="381"/>
      <c r="B33" s="19" t="s">
        <v>133</v>
      </c>
      <c r="C33" s="19"/>
      <c r="D33" s="117">
        <f>SUM(D31:D32)</f>
        <v>877740.27</v>
      </c>
      <c r="E33" s="117">
        <f>SUM(E31:E32)</f>
        <v>108904.20999999999</v>
      </c>
      <c r="F33" s="117">
        <f t="shared" si="3"/>
        <v>986644.47999999998</v>
      </c>
      <c r="G33" s="5"/>
      <c r="H33" s="5"/>
      <c r="I33" s="5"/>
      <c r="J33" s="5"/>
      <c r="K33" s="116"/>
      <c r="L33" s="116"/>
      <c r="M33" s="116"/>
    </row>
    <row r="34" spans="1:13" x14ac:dyDescent="0.3">
      <c r="A34" s="381"/>
      <c r="B34" s="198" t="s">
        <v>134</v>
      </c>
      <c r="C34" s="198" t="s">
        <v>123</v>
      </c>
      <c r="D34" s="199">
        <v>425000</v>
      </c>
      <c r="E34" s="199">
        <v>75000</v>
      </c>
      <c r="F34" s="199">
        <f>SUM(D34:E34)</f>
        <v>500000</v>
      </c>
      <c r="G34" s="5"/>
      <c r="H34" s="5"/>
      <c r="I34" s="49"/>
      <c r="J34" s="49"/>
      <c r="K34" s="116"/>
      <c r="L34" s="116"/>
      <c r="M34" s="116"/>
    </row>
    <row r="35" spans="1:13" x14ac:dyDescent="0.3">
      <c r="A35" s="381"/>
      <c r="B35" s="198" t="s">
        <v>135</v>
      </c>
      <c r="C35" s="198" t="s">
        <v>127</v>
      </c>
      <c r="D35" s="199">
        <v>425000</v>
      </c>
      <c r="E35" s="199">
        <v>75000</v>
      </c>
      <c r="F35" s="199">
        <f>SUM(D35:E35)</f>
        <v>500000</v>
      </c>
      <c r="G35" s="5"/>
      <c r="H35" s="463" t="s">
        <v>249</v>
      </c>
      <c r="I35" s="459"/>
      <c r="J35" s="459"/>
      <c r="K35" s="116"/>
      <c r="L35" s="116"/>
      <c r="M35" s="116"/>
    </row>
    <row r="36" spans="1:13" x14ac:dyDescent="0.3">
      <c r="A36" s="381"/>
      <c r="B36" s="198" t="s">
        <v>136</v>
      </c>
      <c r="C36" s="198" t="s">
        <v>127</v>
      </c>
      <c r="D36" s="199">
        <v>413813.9</v>
      </c>
      <c r="E36" s="199">
        <v>53216.18</v>
      </c>
      <c r="F36" s="199">
        <f>SUM(D36:E36)</f>
        <v>467030.08</v>
      </c>
      <c r="G36" s="5"/>
      <c r="H36" s="460">
        <f>D41-D33</f>
        <v>1646901.9100000006</v>
      </c>
      <c r="I36" s="460">
        <f t="shared" ref="I36:J36" si="4">E41-E33</f>
        <v>165110.28</v>
      </c>
      <c r="J36" s="460">
        <f t="shared" si="4"/>
        <v>1812012.1900000009</v>
      </c>
      <c r="K36" s="116"/>
      <c r="L36" s="116"/>
      <c r="M36" s="116"/>
    </row>
    <row r="37" spans="1:13" x14ac:dyDescent="0.3">
      <c r="A37" s="381"/>
      <c r="B37" s="200" t="s">
        <v>137</v>
      </c>
      <c r="C37" s="198" t="s">
        <v>127</v>
      </c>
      <c r="D37" s="199">
        <v>442472.19</v>
      </c>
      <c r="E37" s="199">
        <v>56901.62</v>
      </c>
      <c r="F37" s="199">
        <f>D37+E37</f>
        <v>499373.81</v>
      </c>
      <c r="G37" s="5"/>
      <c r="H37" s="461" t="s">
        <v>0</v>
      </c>
      <c r="I37" s="462" t="s">
        <v>1</v>
      </c>
      <c r="J37" s="462" t="s">
        <v>9</v>
      </c>
    </row>
    <row r="38" spans="1:13" x14ac:dyDescent="0.3">
      <c r="A38" s="381"/>
      <c r="B38" s="19" t="s">
        <v>177</v>
      </c>
      <c r="C38" s="20"/>
      <c r="D38" s="117">
        <f>SUM(D34:D37)</f>
        <v>1706286.0899999999</v>
      </c>
      <c r="E38" s="117">
        <f t="shared" ref="E38:F38" si="5">SUM(E34:E37)</f>
        <v>260117.8</v>
      </c>
      <c r="F38" s="117">
        <f t="shared" si="5"/>
        <v>1966403.8900000001</v>
      </c>
      <c r="G38" s="5"/>
      <c r="H38" s="5"/>
    </row>
    <row r="39" spans="1:13" x14ac:dyDescent="0.3">
      <c r="A39" s="382"/>
      <c r="B39" s="58"/>
      <c r="C39" s="58"/>
      <c r="D39" s="118">
        <f>D33+D38</f>
        <v>2584026.36</v>
      </c>
      <c r="E39" s="118">
        <f>E33+E38</f>
        <v>369022.01</v>
      </c>
      <c r="F39" s="118">
        <f>D39+E39</f>
        <v>2953048.37</v>
      </c>
      <c r="G39" s="115" t="s">
        <v>138</v>
      </c>
      <c r="H39" s="5"/>
    </row>
    <row r="40" spans="1:13" s="34" customFormat="1" x14ac:dyDescent="0.3">
      <c r="A40" s="119"/>
      <c r="B40" s="120"/>
      <c r="C40" s="120"/>
      <c r="D40" s="121"/>
      <c r="E40" s="121"/>
      <c r="F40" s="122"/>
      <c r="G40" s="53"/>
      <c r="H40" s="53"/>
      <c r="I40" s="123"/>
    </row>
    <row r="41" spans="1:13" s="34" customFormat="1" x14ac:dyDescent="0.3">
      <c r="A41" s="119"/>
      <c r="B41" s="124" t="s">
        <v>139</v>
      </c>
      <c r="C41" s="120"/>
      <c r="D41" s="122">
        <f>D26</f>
        <v>2524642.1800000006</v>
      </c>
      <c r="E41" s="122">
        <f>E26</f>
        <v>274014.49</v>
      </c>
      <c r="F41" s="122">
        <f>F26</f>
        <v>2798656.6700000009</v>
      </c>
      <c r="G41" s="53"/>
      <c r="H41" s="125" t="s">
        <v>140</v>
      </c>
      <c r="I41" t="s">
        <v>0</v>
      </c>
      <c r="J41" t="s">
        <v>1</v>
      </c>
    </row>
    <row r="42" spans="1:13" s="34" customFormat="1" x14ac:dyDescent="0.3">
      <c r="B42" s="120" t="s">
        <v>59</v>
      </c>
      <c r="D42" s="370">
        <f>D41-D39</f>
        <v>-59384.179999999236</v>
      </c>
      <c r="E42" s="370">
        <f t="shared" ref="E42:F42" si="6">E41-E39</f>
        <v>-95007.520000000019</v>
      </c>
      <c r="F42" s="370">
        <f t="shared" si="6"/>
        <v>-154391.69999999925</v>
      </c>
      <c r="G42" s="371"/>
      <c r="H42" t="s">
        <v>141</v>
      </c>
      <c r="I42" s="456" t="s">
        <v>142</v>
      </c>
      <c r="J42" s="457">
        <v>45247.61</v>
      </c>
      <c r="K42" s="318"/>
    </row>
    <row r="43" spans="1:13" s="34" customFormat="1" x14ac:dyDescent="0.3">
      <c r="B43" s="120" t="s">
        <v>232</v>
      </c>
      <c r="D43" s="370"/>
      <c r="E43" s="370">
        <f>J47</f>
        <v>49</v>
      </c>
      <c r="F43" s="370">
        <f>(-F42)+E43</f>
        <v>154440.69999999925</v>
      </c>
      <c r="G43" s="313"/>
      <c r="H43"/>
      <c r="I43" s="456"/>
      <c r="J43" s="457"/>
      <c r="K43" s="126"/>
    </row>
    <row r="44" spans="1:13" s="34" customFormat="1" x14ac:dyDescent="0.3">
      <c r="E44" s="112">
        <f>(-E42)+E43</f>
        <v>95056.520000000019</v>
      </c>
      <c r="G44" s="313"/>
      <c r="H44" t="s">
        <v>144</v>
      </c>
      <c r="I44" s="456" t="s">
        <v>145</v>
      </c>
      <c r="J44" s="457">
        <f>Pārdales!C15</f>
        <v>31290</v>
      </c>
      <c r="K44" s="318"/>
    </row>
    <row r="45" spans="1:13" s="34" customFormat="1" x14ac:dyDescent="0.3">
      <c r="B45" s="120" t="s">
        <v>143</v>
      </c>
      <c r="D45" s="112">
        <f>I45</f>
        <v>80786.279999999795</v>
      </c>
      <c r="E45" s="112">
        <f>J42+J44+J45</f>
        <v>89010.409999999931</v>
      </c>
      <c r="G45" s="313"/>
      <c r="H45" t="s">
        <v>147</v>
      </c>
      <c r="I45" s="457">
        <f>D64</f>
        <v>80786.279999999795</v>
      </c>
      <c r="J45" s="457">
        <f>E64</f>
        <v>12472.79999999993</v>
      </c>
      <c r="K45" s="310"/>
    </row>
    <row r="46" spans="1:13" s="34" customFormat="1" x14ac:dyDescent="0.3">
      <c r="B46" s="120" t="s">
        <v>146</v>
      </c>
      <c r="D46" s="123">
        <f>(-D42)-D45</f>
        <v>-21402.100000000559</v>
      </c>
      <c r="E46" s="123">
        <f>((-E42)+E43)-E45</f>
        <v>6046.1100000000879</v>
      </c>
      <c r="F46" s="112"/>
      <c r="G46" s="313"/>
      <c r="H46" s="53" t="s">
        <v>80</v>
      </c>
      <c r="I46" s="458">
        <v>34266</v>
      </c>
      <c r="J46" s="458">
        <f>E46+0.89</f>
        <v>6047.0000000000882</v>
      </c>
      <c r="K46" s="126" t="s">
        <v>221</v>
      </c>
      <c r="L46" s="313"/>
    </row>
    <row r="47" spans="1:13" s="34" customFormat="1" x14ac:dyDescent="0.3">
      <c r="B47" s="120" t="s">
        <v>148</v>
      </c>
      <c r="D47" s="112">
        <f>I46</f>
        <v>34266</v>
      </c>
      <c r="E47" s="112">
        <f>J46</f>
        <v>6047.0000000000882</v>
      </c>
      <c r="G47" s="313"/>
      <c r="H47" s="268" t="s">
        <v>233</v>
      </c>
      <c r="I47" s="293">
        <f>J47*85/15</f>
        <v>277.66666666666669</v>
      </c>
      <c r="J47" s="293">
        <f>'REACT pārrēķins'!D40</f>
        <v>49</v>
      </c>
      <c r="K47" s="126"/>
    </row>
    <row r="48" spans="1:13" s="34" customFormat="1" x14ac:dyDescent="0.3">
      <c r="B48" s="120" t="s">
        <v>149</v>
      </c>
      <c r="D48" s="112">
        <f>(D45+D47)-(-D42)</f>
        <v>55668.100000000559</v>
      </c>
      <c r="E48" s="112"/>
      <c r="G48" s="313"/>
      <c r="H48" s="268"/>
      <c r="I48" s="333"/>
      <c r="J48" s="333"/>
      <c r="K48" s="126"/>
    </row>
    <row r="49" spans="1:13" s="34" customFormat="1" x14ac:dyDescent="0.3">
      <c r="A49" s="335"/>
      <c r="B49" s="334"/>
      <c r="C49" s="88"/>
      <c r="D49" s="409"/>
      <c r="E49" s="112"/>
      <c r="G49" s="313"/>
      <c r="H49" s="268"/>
      <c r="I49" s="333"/>
      <c r="J49" s="333"/>
      <c r="K49" s="126"/>
    </row>
    <row r="50" spans="1:13" s="34" customFormat="1" x14ac:dyDescent="0.3">
      <c r="B50" s="334" t="s">
        <v>149</v>
      </c>
      <c r="C50" s="88"/>
      <c r="D50" s="409">
        <f>D48-D49</f>
        <v>55668.100000000559</v>
      </c>
      <c r="E50" s="112">
        <f>E45+E47-((-E42)+E43)</f>
        <v>0.88999999999941792</v>
      </c>
      <c r="G50" s="313"/>
      <c r="H50" s="129" t="s">
        <v>150</v>
      </c>
      <c r="I50" s="128"/>
      <c r="J50" s="128"/>
      <c r="K50" s="126"/>
      <c r="M50" s="112"/>
    </row>
    <row r="51" spans="1:13" s="34" customFormat="1" x14ac:dyDescent="0.3">
      <c r="B51" s="120"/>
      <c r="D51" s="112"/>
      <c r="E51" s="178"/>
      <c r="F51" s="112"/>
      <c r="G51" s="127"/>
      <c r="H51" s="129" t="s">
        <v>151</v>
      </c>
      <c r="I51" s="128"/>
      <c r="J51" s="128"/>
      <c r="K51" s="126"/>
      <c r="M51" s="375"/>
    </row>
    <row r="52" spans="1:13" ht="18" x14ac:dyDescent="0.35">
      <c r="A52" t="s">
        <v>48</v>
      </c>
      <c r="E52" s="301"/>
      <c r="F52" s="14"/>
      <c r="M52" s="376"/>
    </row>
    <row r="53" spans="1:13" x14ac:dyDescent="0.3">
      <c r="A53" s="383" t="s">
        <v>152</v>
      </c>
      <c r="B53" s="383"/>
      <c r="C53" s="383"/>
      <c r="D53" s="383"/>
      <c r="E53" s="383"/>
      <c r="F53" s="383"/>
      <c r="G53" s="53"/>
      <c r="I53" s="14"/>
    </row>
    <row r="54" spans="1:13" x14ac:dyDescent="0.3">
      <c r="A54" s="1"/>
      <c r="B54" s="15"/>
      <c r="C54" s="15"/>
      <c r="D54" s="16" t="s">
        <v>0</v>
      </c>
      <c r="E54" s="16" t="s">
        <v>1</v>
      </c>
      <c r="F54" s="17" t="s">
        <v>29</v>
      </c>
      <c r="G54" s="53"/>
      <c r="I54" s="14"/>
    </row>
    <row r="55" spans="1:13" x14ac:dyDescent="0.3">
      <c r="A55" s="381"/>
      <c r="B55" s="130" t="s">
        <v>153</v>
      </c>
      <c r="C55" s="111" t="s">
        <v>127</v>
      </c>
      <c r="D55" s="110">
        <v>353842.62</v>
      </c>
      <c r="E55" s="110">
        <v>45503.92</v>
      </c>
      <c r="F55" s="131">
        <f>D55+E55</f>
        <v>399346.54</v>
      </c>
      <c r="H55" s="14"/>
      <c r="I55" s="14"/>
    </row>
    <row r="56" spans="1:13" x14ac:dyDescent="0.3">
      <c r="A56" s="381"/>
      <c r="B56" s="55" t="s">
        <v>154</v>
      </c>
      <c r="C56" s="1" t="s">
        <v>127</v>
      </c>
      <c r="D56" s="110">
        <v>444810.81</v>
      </c>
      <c r="E56" s="110">
        <v>55189.19</v>
      </c>
      <c r="F56" s="131">
        <f t="shared" ref="F56:F61" si="7">D56+E56</f>
        <v>500000</v>
      </c>
      <c r="G56" s="53"/>
      <c r="J56" s="14"/>
    </row>
    <row r="57" spans="1:13" x14ac:dyDescent="0.3">
      <c r="A57" s="381"/>
      <c r="B57" s="55" t="s">
        <v>155</v>
      </c>
      <c r="C57" s="1" t="s">
        <v>127</v>
      </c>
      <c r="D57" s="110">
        <v>407289.55</v>
      </c>
      <c r="E57" s="110">
        <v>52377.16</v>
      </c>
      <c r="F57" s="131">
        <f t="shared" si="7"/>
        <v>459666.70999999996</v>
      </c>
      <c r="G57" s="53"/>
      <c r="H57" s="14"/>
      <c r="J57" s="5"/>
    </row>
    <row r="58" spans="1:13" x14ac:dyDescent="0.3">
      <c r="A58" s="381"/>
      <c r="B58" s="55" t="s">
        <v>156</v>
      </c>
      <c r="C58" s="1" t="s">
        <v>127</v>
      </c>
      <c r="D58" s="110">
        <v>397555.31</v>
      </c>
      <c r="E58" s="110">
        <v>51125.33</v>
      </c>
      <c r="F58" s="131">
        <f t="shared" si="7"/>
        <v>448680.64</v>
      </c>
      <c r="G58" s="53"/>
      <c r="H58" s="14"/>
    </row>
    <row r="59" spans="1:13" x14ac:dyDescent="0.3">
      <c r="A59" s="381"/>
      <c r="B59" s="1" t="s">
        <v>157</v>
      </c>
      <c r="C59" s="1" t="s">
        <v>123</v>
      </c>
      <c r="D59" s="110">
        <v>405319.27</v>
      </c>
      <c r="E59" s="110">
        <v>52123.78</v>
      </c>
      <c r="F59" s="131">
        <f t="shared" si="7"/>
        <v>457443.05000000005</v>
      </c>
      <c r="G59" s="53"/>
    </row>
    <row r="60" spans="1:13" x14ac:dyDescent="0.3">
      <c r="A60" s="381"/>
      <c r="B60" s="1" t="s">
        <v>158</v>
      </c>
      <c r="C60" s="1" t="s">
        <v>123</v>
      </c>
      <c r="D60" s="110">
        <v>443026.58</v>
      </c>
      <c r="E60" s="110">
        <v>56972.91</v>
      </c>
      <c r="F60" s="131">
        <f t="shared" si="7"/>
        <v>499999.49</v>
      </c>
      <c r="G60" s="53"/>
      <c r="I60" s="466"/>
    </row>
    <row r="61" spans="1:13" x14ac:dyDescent="0.3">
      <c r="A61" s="381"/>
      <c r="B61" s="1" t="s">
        <v>159</v>
      </c>
      <c r="C61" s="1" t="s">
        <v>123</v>
      </c>
      <c r="D61" s="110">
        <v>443026.58</v>
      </c>
      <c r="E61" s="110">
        <v>56972.91</v>
      </c>
      <c r="F61" s="131">
        <f t="shared" si="7"/>
        <v>499999.49</v>
      </c>
      <c r="G61" s="53"/>
      <c r="I61" s="133"/>
    </row>
    <row r="62" spans="1:13" x14ac:dyDescent="0.3">
      <c r="A62" s="381"/>
      <c r="B62" s="19" t="s">
        <v>160</v>
      </c>
      <c r="C62" s="20"/>
      <c r="D62" s="57">
        <f>SUM(D55:D61)</f>
        <v>2894870.72</v>
      </c>
      <c r="E62" s="57">
        <f t="shared" ref="E62:F62" si="8">SUM(E55:E61)</f>
        <v>370265.20000000007</v>
      </c>
      <c r="F62" s="57">
        <f t="shared" si="8"/>
        <v>3265135.9200000009</v>
      </c>
      <c r="G62" s="53"/>
    </row>
    <row r="63" spans="1:13" x14ac:dyDescent="0.3">
      <c r="A63" s="382"/>
      <c r="B63" s="58" t="s">
        <v>161</v>
      </c>
      <c r="C63" s="58"/>
      <c r="D63" s="59">
        <v>2975657</v>
      </c>
      <c r="E63" s="59">
        <v>382738</v>
      </c>
      <c r="F63" s="57">
        <f>SUM(D63:E63)</f>
        <v>3358395</v>
      </c>
      <c r="G63" s="5"/>
      <c r="H63" s="14"/>
    </row>
    <row r="64" spans="1:13" x14ac:dyDescent="0.3">
      <c r="B64" s="132" t="s">
        <v>162</v>
      </c>
      <c r="C64" s="34"/>
      <c r="D64" s="133">
        <f>D63-D62</f>
        <v>80786.279999999795</v>
      </c>
      <c r="E64" s="133">
        <f t="shared" ref="E64:F64" si="9">E63-E62</f>
        <v>12472.79999999993</v>
      </c>
      <c r="F64" s="134">
        <f t="shared" si="9"/>
        <v>93259.079999999143</v>
      </c>
      <c r="G64" s="135"/>
    </row>
    <row r="65" spans="2:7" x14ac:dyDescent="0.3">
      <c r="B65" s="132" t="s">
        <v>163</v>
      </c>
      <c r="D65" s="136">
        <f>D64-D45</f>
        <v>0</v>
      </c>
      <c r="E65" s="133">
        <v>0</v>
      </c>
      <c r="G65" s="24"/>
    </row>
    <row r="68" spans="2:7" x14ac:dyDescent="0.3">
      <c r="D68" s="14"/>
      <c r="E68" s="14"/>
      <c r="F68" s="14"/>
    </row>
    <row r="72" spans="2:7" x14ac:dyDescent="0.3">
      <c r="D72" s="5"/>
    </row>
    <row r="73" spans="2:7" x14ac:dyDescent="0.3">
      <c r="D73" s="5"/>
    </row>
    <row r="74" spans="2:7" x14ac:dyDescent="0.3">
      <c r="D74" s="5"/>
    </row>
    <row r="77" spans="2:7" x14ac:dyDescent="0.3">
      <c r="D77" s="5"/>
      <c r="E77" s="5"/>
      <c r="F77" s="5"/>
    </row>
  </sheetData>
  <mergeCells count="6">
    <mergeCell ref="A55:A63"/>
    <mergeCell ref="A2:F2"/>
    <mergeCell ref="A5:A23"/>
    <mergeCell ref="A29:F29"/>
    <mergeCell ref="A31:A39"/>
    <mergeCell ref="A53:F53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U109"/>
  <sheetViews>
    <sheetView zoomScale="70" zoomScaleNormal="70" workbookViewId="0">
      <selection activeCell="D90" sqref="D90"/>
    </sheetView>
  </sheetViews>
  <sheetFormatPr defaultRowHeight="14.4" x14ac:dyDescent="0.3"/>
  <cols>
    <col min="1" max="1" width="6.44140625" customWidth="1"/>
    <col min="2" max="2" width="22.33203125" customWidth="1"/>
    <col min="3" max="3" width="20.6640625" customWidth="1"/>
    <col min="4" max="4" width="17.6640625" customWidth="1"/>
    <col min="5" max="5" width="17.88671875" customWidth="1"/>
    <col min="6" max="6" width="16.5546875" style="34" customWidth="1"/>
    <col min="7" max="7" width="17.6640625" customWidth="1"/>
    <col min="8" max="8" width="14.88671875" hidden="1" customWidth="1"/>
    <col min="9" max="9" width="13.5546875" hidden="1" customWidth="1"/>
    <col min="10" max="11" width="12.44140625" hidden="1" customWidth="1"/>
    <col min="12" max="12" width="13.33203125" hidden="1" customWidth="1"/>
    <col min="13" max="13" width="16.44140625" customWidth="1"/>
    <col min="14" max="14" width="21.33203125" hidden="1" customWidth="1"/>
    <col min="15" max="15" width="16.44140625" style="34" customWidth="1"/>
    <col min="16" max="16" width="18.44140625" style="230" customWidth="1"/>
    <col min="17" max="17" width="12.5546875" style="157" hidden="1" customWidth="1"/>
    <col min="18" max="18" width="9.5546875" style="157" hidden="1" customWidth="1"/>
    <col min="19" max="19" width="6.5546875" customWidth="1"/>
    <col min="20" max="20" width="12.6640625" customWidth="1"/>
    <col min="21" max="21" width="16.109375" customWidth="1"/>
    <col min="22" max="22" width="15.6640625" customWidth="1"/>
    <col min="23" max="23" width="13" style="34" customWidth="1"/>
    <col min="24" max="25" width="12.6640625" customWidth="1"/>
    <col min="26" max="26" width="13" customWidth="1"/>
    <col min="27" max="27" width="13.44140625" customWidth="1"/>
    <col min="28" max="28" width="10.109375" customWidth="1"/>
    <col min="29" max="29" width="5.109375" customWidth="1"/>
    <col min="30" max="30" width="17.33203125" customWidth="1"/>
    <col min="33" max="33" width="15.6640625" customWidth="1"/>
  </cols>
  <sheetData>
    <row r="1" spans="1:30" s="202" customFormat="1" x14ac:dyDescent="0.3">
      <c r="B1" s="202" t="s">
        <v>49</v>
      </c>
      <c r="C1" s="202" t="s">
        <v>85</v>
      </c>
      <c r="F1" s="203"/>
      <c r="O1" s="203"/>
      <c r="P1" s="253"/>
      <c r="Q1" s="236"/>
      <c r="R1" s="236"/>
      <c r="W1" s="203"/>
    </row>
    <row r="2" spans="1:30" x14ac:dyDescent="0.3">
      <c r="B2" s="34"/>
      <c r="C2" s="34"/>
      <c r="D2" s="34"/>
      <c r="E2" s="34"/>
      <c r="AA2" s="49"/>
    </row>
    <row r="3" spans="1:30" x14ac:dyDescent="0.3">
      <c r="B3" s="410" t="s">
        <v>60</v>
      </c>
      <c r="C3" s="34"/>
      <c r="D3" s="34"/>
      <c r="E3" s="34"/>
      <c r="G3" s="34"/>
      <c r="H3" s="34"/>
      <c r="I3" s="34"/>
      <c r="J3" s="34"/>
      <c r="K3" s="34"/>
      <c r="L3" s="34"/>
      <c r="M3" s="49"/>
      <c r="N3" s="49"/>
      <c r="O3" s="49"/>
      <c r="P3" s="254"/>
      <c r="Q3" s="237"/>
      <c r="R3" s="237"/>
      <c r="AA3" s="49"/>
    </row>
    <row r="4" spans="1:30" ht="55.2" customHeight="1" x14ac:dyDescent="0.3">
      <c r="A4" s="55"/>
      <c r="B4" s="38" t="s">
        <v>57</v>
      </c>
      <c r="C4" s="39" t="s">
        <v>58</v>
      </c>
      <c r="D4" s="137" t="s">
        <v>164</v>
      </c>
      <c r="E4" s="208"/>
      <c r="F4" s="208"/>
      <c r="G4" s="166"/>
      <c r="H4" s="204" t="s">
        <v>81</v>
      </c>
      <c r="I4" s="141" t="s">
        <v>167</v>
      </c>
      <c r="J4" s="141" t="s">
        <v>173</v>
      </c>
      <c r="K4" s="141" t="s">
        <v>168</v>
      </c>
      <c r="L4" s="174" t="s">
        <v>172</v>
      </c>
      <c r="M4" s="166"/>
      <c r="N4" s="166"/>
      <c r="O4" s="166"/>
      <c r="P4" s="255"/>
      <c r="Q4" s="226"/>
      <c r="R4" s="226"/>
      <c r="AA4" s="179"/>
      <c r="AB4" s="26"/>
    </row>
    <row r="5" spans="1:30" x14ac:dyDescent="0.3">
      <c r="A5" s="55" t="s">
        <v>9</v>
      </c>
      <c r="B5" s="411">
        <v>112803734</v>
      </c>
      <c r="C5" s="412">
        <f>C6+C7</f>
        <v>11000000</v>
      </c>
      <c r="D5" s="413">
        <f>B5-C5</f>
        <v>101803734</v>
      </c>
      <c r="E5" s="321">
        <f t="shared" ref="E5" si="0">D5-X18</f>
        <v>785248</v>
      </c>
      <c r="F5" s="317"/>
      <c r="G5" s="24"/>
      <c r="H5" s="205"/>
      <c r="I5" s="52"/>
      <c r="J5" s="52"/>
      <c r="K5" s="52"/>
      <c r="L5" s="173"/>
      <c r="M5" s="24"/>
      <c r="N5" s="163"/>
      <c r="O5" s="24"/>
      <c r="P5" s="256"/>
      <c r="Q5" s="238"/>
      <c r="R5" s="238"/>
      <c r="T5" s="116"/>
      <c r="U5" s="116"/>
      <c r="V5" s="116"/>
      <c r="W5" s="116"/>
      <c r="X5" s="116"/>
    </row>
    <row r="6" spans="1:30" x14ac:dyDescent="0.3">
      <c r="A6" s="55" t="s">
        <v>0</v>
      </c>
      <c r="B6" s="411">
        <v>97236954</v>
      </c>
      <c r="C6" s="411">
        <v>9085938</v>
      </c>
      <c r="D6" s="413">
        <f t="shared" ref="D6:D7" si="1">B6-C6</f>
        <v>88151016</v>
      </c>
      <c r="E6" s="321">
        <f>D6-X19</f>
        <v>822586</v>
      </c>
      <c r="F6" s="317"/>
      <c r="G6" s="24"/>
      <c r="H6" s="206">
        <v>856859.52</v>
      </c>
      <c r="I6" s="70"/>
      <c r="J6" s="70"/>
      <c r="K6" s="160">
        <v>80786.279999999795</v>
      </c>
      <c r="L6" s="175">
        <v>50065.546666667084</v>
      </c>
      <c r="M6" s="24"/>
      <c r="N6" s="163"/>
      <c r="O6" s="24"/>
      <c r="P6" s="256"/>
      <c r="Q6" s="238"/>
      <c r="R6" s="238"/>
      <c r="T6" s="116"/>
      <c r="U6" s="116"/>
      <c r="V6" s="116"/>
      <c r="W6" s="116"/>
      <c r="X6" s="116"/>
      <c r="AB6" s="42"/>
      <c r="AC6" s="42"/>
    </row>
    <row r="7" spans="1:30" x14ac:dyDescent="0.3">
      <c r="A7" s="55" t="s">
        <v>1</v>
      </c>
      <c r="B7" s="411">
        <v>15566780</v>
      </c>
      <c r="C7" s="411">
        <v>1914062</v>
      </c>
      <c r="D7" s="413">
        <f t="shared" si="1"/>
        <v>13652718</v>
      </c>
      <c r="E7" s="321">
        <f>D7-X20</f>
        <v>-37338</v>
      </c>
      <c r="F7" s="317"/>
      <c r="G7" s="24"/>
      <c r="H7" s="207"/>
      <c r="I7" s="159">
        <v>45247.61</v>
      </c>
      <c r="J7" s="161">
        <v>28452.013529411779</v>
      </c>
      <c r="K7" s="160">
        <v>12472.79999999993</v>
      </c>
      <c r="L7" s="175">
        <v>8835.0964705883089</v>
      </c>
      <c r="M7" s="24"/>
      <c r="N7" s="163"/>
      <c r="O7" s="24"/>
      <c r="P7" s="256"/>
      <c r="Q7" s="238"/>
      <c r="R7" s="238"/>
      <c r="T7" s="116"/>
      <c r="U7" s="116"/>
      <c r="V7" s="116"/>
      <c r="W7" s="116"/>
      <c r="X7" s="116"/>
      <c r="AB7" s="42"/>
    </row>
    <row r="8" spans="1:30" s="34" customFormat="1" x14ac:dyDescent="0.3">
      <c r="A8" s="49"/>
      <c r="B8" s="45"/>
      <c r="C8" s="54"/>
      <c r="D8" s="153"/>
      <c r="E8" s="116"/>
      <c r="F8" s="116"/>
      <c r="G8" s="116"/>
      <c r="H8" s="73"/>
      <c r="I8" s="69" t="s">
        <v>169</v>
      </c>
      <c r="J8" s="73"/>
      <c r="K8" s="154"/>
      <c r="L8" s="73"/>
      <c r="M8" s="63"/>
      <c r="N8" s="24"/>
      <c r="O8" s="63"/>
      <c r="P8" s="257"/>
      <c r="Q8" s="239"/>
      <c r="R8" s="239"/>
    </row>
    <row r="9" spans="1:30" x14ac:dyDescent="0.3">
      <c r="B9" s="45"/>
      <c r="C9" s="54"/>
      <c r="D9" s="45"/>
      <c r="E9" s="63"/>
      <c r="F9" s="63"/>
      <c r="G9" s="152"/>
      <c r="H9" s="69"/>
      <c r="J9" s="69"/>
      <c r="K9" s="69"/>
      <c r="L9" s="69"/>
      <c r="M9" s="63"/>
      <c r="N9" s="64"/>
      <c r="O9" s="63"/>
      <c r="P9" s="258"/>
      <c r="Q9" s="240"/>
      <c r="R9" s="240"/>
      <c r="T9" s="42"/>
      <c r="U9" s="42"/>
      <c r="V9" s="42"/>
      <c r="W9" s="42"/>
    </row>
    <row r="10" spans="1:30" x14ac:dyDescent="0.3">
      <c r="A10" s="1"/>
      <c r="B10" s="35" t="s">
        <v>73</v>
      </c>
      <c r="C10" s="43"/>
      <c r="D10" s="35"/>
      <c r="E10" s="270"/>
      <c r="F10" s="71"/>
      <c r="G10" s="45"/>
      <c r="H10" s="69"/>
      <c r="I10" s="69"/>
      <c r="J10" s="69"/>
      <c r="K10" s="69"/>
      <c r="L10" s="69"/>
      <c r="M10" s="63"/>
      <c r="N10" s="49"/>
      <c r="O10" s="63"/>
      <c r="P10" s="254"/>
      <c r="Q10" s="237"/>
      <c r="R10" s="237"/>
      <c r="T10" s="42"/>
      <c r="U10" s="42"/>
      <c r="V10" s="42"/>
      <c r="W10" s="42"/>
    </row>
    <row r="11" spans="1:30" x14ac:dyDescent="0.3">
      <c r="A11" s="1" t="s">
        <v>9</v>
      </c>
      <c r="B11" s="55"/>
      <c r="C11" s="55"/>
      <c r="D11" s="35">
        <v>39304832</v>
      </c>
      <c r="E11" s="51"/>
      <c r="F11" s="51"/>
      <c r="G11" s="69"/>
      <c r="H11" s="69"/>
      <c r="I11" s="69"/>
      <c r="J11" s="69"/>
      <c r="K11" s="152"/>
      <c r="L11" s="49"/>
      <c r="M11" s="162"/>
      <c r="N11" s="162"/>
      <c r="O11" s="162"/>
      <c r="P11" s="259"/>
      <c r="Q11" s="241"/>
      <c r="R11" s="241"/>
      <c r="T11" s="42"/>
      <c r="U11" s="42"/>
      <c r="V11" s="42"/>
      <c r="W11" s="42"/>
    </row>
    <row r="12" spans="1:30" x14ac:dyDescent="0.3">
      <c r="A12" s="1" t="s">
        <v>0</v>
      </c>
      <c r="B12" s="55"/>
      <c r="C12" s="55"/>
      <c r="D12" s="35">
        <v>36343385</v>
      </c>
      <c r="E12" s="51"/>
      <c r="F12" s="138"/>
      <c r="G12" s="153"/>
      <c r="H12" s="53"/>
      <c r="I12" s="53"/>
      <c r="J12" s="53"/>
      <c r="K12" s="53"/>
      <c r="L12" s="34"/>
      <c r="M12" s="162"/>
      <c r="N12" s="90"/>
      <c r="O12" s="162"/>
      <c r="P12" s="260"/>
      <c r="Q12" s="242"/>
      <c r="R12" s="242"/>
    </row>
    <row r="13" spans="1:30" x14ac:dyDescent="0.3">
      <c r="A13" s="1" t="s">
        <v>1</v>
      </c>
      <c r="B13" s="55"/>
      <c r="C13" s="43"/>
      <c r="D13" s="35">
        <v>2961447</v>
      </c>
      <c r="E13" s="51"/>
      <c r="F13" s="139"/>
      <c r="G13" s="45"/>
      <c r="H13" s="69"/>
      <c r="I13" s="69"/>
      <c r="K13" s="152"/>
      <c r="L13" s="34"/>
      <c r="M13" s="162"/>
      <c r="N13" s="90"/>
      <c r="O13" s="162"/>
      <c r="P13" s="260"/>
      <c r="Q13" s="242"/>
      <c r="R13" s="242"/>
    </row>
    <row r="14" spans="1:30" x14ac:dyDescent="0.3">
      <c r="B14" s="34"/>
      <c r="C14" s="34"/>
      <c r="D14" s="34"/>
      <c r="E14" s="75"/>
      <c r="F14" s="75"/>
      <c r="G14" s="45"/>
      <c r="H14" s="69"/>
      <c r="I14" s="69"/>
      <c r="J14" s="69"/>
      <c r="K14" s="69"/>
      <c r="L14" s="34"/>
      <c r="M14" s="155"/>
      <c r="N14" s="5"/>
      <c r="O14" s="155"/>
      <c r="P14" s="261"/>
      <c r="Q14" s="243"/>
      <c r="R14" s="243"/>
    </row>
    <row r="15" spans="1:30" x14ac:dyDescent="0.3">
      <c r="A15" s="1"/>
      <c r="B15" s="35" t="s">
        <v>74</v>
      </c>
      <c r="C15" s="43"/>
      <c r="D15" s="35"/>
      <c r="E15" s="270"/>
      <c r="F15" s="45"/>
      <c r="G15" s="45"/>
      <c r="H15" s="69"/>
      <c r="I15" s="69"/>
      <c r="J15" s="69"/>
      <c r="K15" s="69"/>
      <c r="L15" s="34"/>
      <c r="M15" s="49"/>
      <c r="N15" s="5"/>
      <c r="O15" s="49"/>
      <c r="P15" s="261"/>
      <c r="Q15" s="243"/>
      <c r="R15" s="243"/>
      <c r="S15" s="50" t="s">
        <v>230</v>
      </c>
      <c r="T15" s="49"/>
      <c r="U15" s="49"/>
      <c r="V15" s="49"/>
      <c r="W15" s="49"/>
      <c r="X15" s="49"/>
      <c r="Y15" s="49"/>
      <c r="Z15" s="49"/>
    </row>
    <row r="16" spans="1:30" ht="15" thickBot="1" x14ac:dyDescent="0.35">
      <c r="A16" s="1" t="s">
        <v>9</v>
      </c>
      <c r="B16" s="55"/>
      <c r="C16" s="43"/>
      <c r="D16" s="35">
        <v>22836993</v>
      </c>
      <c r="E16" s="51"/>
      <c r="F16" s="45"/>
      <c r="G16" s="45"/>
      <c r="H16" s="69"/>
      <c r="I16" s="69"/>
      <c r="J16" s="69"/>
      <c r="K16" s="69"/>
      <c r="L16" s="34"/>
      <c r="M16" s="144"/>
      <c r="N16" s="73"/>
      <c r="O16" s="265"/>
      <c r="P16" s="261"/>
      <c r="Q16" s="244"/>
      <c r="R16" s="244"/>
      <c r="S16" s="176" t="s">
        <v>201</v>
      </c>
      <c r="T16" s="177"/>
      <c r="U16" s="49"/>
      <c r="V16" s="49"/>
      <c r="W16" s="49"/>
      <c r="X16" s="49"/>
      <c r="Y16" s="49"/>
      <c r="Z16" s="45"/>
      <c r="AB16" s="42"/>
      <c r="AD16" s="42"/>
    </row>
    <row r="17" spans="1:47" ht="57.6" x14ac:dyDescent="0.3">
      <c r="A17" s="1" t="s">
        <v>0</v>
      </c>
      <c r="B17" s="55"/>
      <c r="C17" s="43"/>
      <c r="D17" s="35">
        <v>17221032</v>
      </c>
      <c r="E17" s="51"/>
      <c r="F17" s="45"/>
      <c r="G17" s="45"/>
      <c r="H17" s="69"/>
      <c r="I17" s="69"/>
      <c r="J17" s="69"/>
      <c r="K17" s="69"/>
      <c r="L17" s="69"/>
      <c r="M17" s="63"/>
      <c r="N17" s="72"/>
      <c r="O17" s="63"/>
      <c r="P17" s="232"/>
      <c r="Q17" s="245"/>
      <c r="R17" s="245"/>
      <c r="S17" s="167"/>
      <c r="T17" s="191" t="s">
        <v>200</v>
      </c>
      <c r="U17" s="191" t="s">
        <v>248</v>
      </c>
      <c r="V17" s="190" t="s">
        <v>202</v>
      </c>
      <c r="W17" s="191" t="s">
        <v>207</v>
      </c>
      <c r="X17" s="180" t="s">
        <v>212</v>
      </c>
      <c r="Y17" s="180" t="s">
        <v>203</v>
      </c>
      <c r="Z17" s="181" t="s">
        <v>204</v>
      </c>
      <c r="AB17" s="42"/>
    </row>
    <row r="18" spans="1:47" x14ac:dyDescent="0.3">
      <c r="A18" s="1" t="s">
        <v>1</v>
      </c>
      <c r="B18" s="55"/>
      <c r="C18" s="43"/>
      <c r="D18" s="35">
        <v>5615961</v>
      </c>
      <c r="E18" s="51"/>
      <c r="F18" s="45"/>
      <c r="G18" s="45"/>
      <c r="H18" s="69"/>
      <c r="I18" s="69"/>
      <c r="J18" s="69"/>
      <c r="K18" s="69"/>
      <c r="L18" s="69"/>
      <c r="M18" s="63"/>
      <c r="N18" s="72"/>
      <c r="O18" s="63"/>
      <c r="P18" s="232"/>
      <c r="Q18" s="245"/>
      <c r="R18" s="245"/>
      <c r="S18" s="189" t="s">
        <v>9</v>
      </c>
      <c r="T18" s="320">
        <f>T19+T20</f>
        <v>112018487</v>
      </c>
      <c r="U18" s="320">
        <f>U19+U20</f>
        <v>103817142</v>
      </c>
      <c r="V18" s="320">
        <f>V19+V20</f>
        <v>2798656</v>
      </c>
      <c r="W18" s="320">
        <f>W19+W20</f>
        <v>8201345</v>
      </c>
      <c r="X18" s="182">
        <f>U18-V18</f>
        <v>101018486</v>
      </c>
      <c r="Y18" s="182"/>
      <c r="Z18" s="183"/>
      <c r="AB18" s="42">
        <f>V18+W18</f>
        <v>11000001</v>
      </c>
    </row>
    <row r="19" spans="1:47" x14ac:dyDescent="0.3">
      <c r="A19" s="26"/>
      <c r="C19" s="54"/>
      <c r="D19" s="45"/>
      <c r="E19" s="45"/>
      <c r="F19" s="45"/>
      <c r="G19" s="45"/>
      <c r="H19" s="69"/>
      <c r="I19" s="69"/>
      <c r="J19" s="69"/>
      <c r="K19" s="69"/>
      <c r="L19" s="69"/>
      <c r="M19" s="63"/>
      <c r="N19" s="72"/>
      <c r="O19" s="63"/>
      <c r="P19" s="232"/>
      <c r="Q19" s="245"/>
      <c r="R19" s="245"/>
      <c r="S19" s="169" t="s">
        <v>0</v>
      </c>
      <c r="T19" s="320">
        <f>ROUND(D12+D17+T23+T33+T50,0)</f>
        <v>96594514</v>
      </c>
      <c r="U19" s="320">
        <f>D12+D17+U23+U33+U50</f>
        <v>89853072</v>
      </c>
      <c r="V19" s="320">
        <f>V33+V50</f>
        <v>2524642</v>
      </c>
      <c r="W19" s="320">
        <f>ROUND(W23+W33+W50,1)</f>
        <v>6741442</v>
      </c>
      <c r="X19" s="182">
        <f>U19-V19</f>
        <v>87328430</v>
      </c>
      <c r="Y19" s="182">
        <f>ROUND('projektu saraksts'!D45,0)</f>
        <v>80786</v>
      </c>
      <c r="Z19" s="182">
        <f>ROUND('projektu saraksts'!D47,0)</f>
        <v>34266</v>
      </c>
    </row>
    <row r="20" spans="1:47" x14ac:dyDescent="0.3">
      <c r="B20" s="45"/>
      <c r="C20" s="54"/>
      <c r="D20" s="45"/>
      <c r="E20" s="50"/>
      <c r="F20" s="50"/>
      <c r="G20" s="45"/>
      <c r="H20" s="69"/>
      <c r="I20" s="69"/>
      <c r="J20" s="69"/>
      <c r="K20" s="69"/>
      <c r="L20" s="69"/>
      <c r="M20" s="63"/>
      <c r="N20" s="64"/>
      <c r="O20" s="63"/>
      <c r="P20" s="240" t="s">
        <v>238</v>
      </c>
      <c r="Q20" s="240"/>
      <c r="R20" s="240"/>
      <c r="S20" s="169" t="s">
        <v>1</v>
      </c>
      <c r="T20" s="320">
        <f>ROUND(D13+D18+T24+T34+T51,0)</f>
        <v>15423973</v>
      </c>
      <c r="U20" s="320">
        <f>D13+D18+U24+U34+U51</f>
        <v>13964070</v>
      </c>
      <c r="V20" s="320">
        <f>V34+V51</f>
        <v>274014</v>
      </c>
      <c r="W20" s="320">
        <f>ROUND(W24+W34+W51,1)</f>
        <v>1459903</v>
      </c>
      <c r="X20" s="182">
        <f>U20-V20</f>
        <v>13690056</v>
      </c>
      <c r="Y20" s="182">
        <f>ROUND('projektu saraksts'!E45,0)</f>
        <v>89010</v>
      </c>
      <c r="Z20" s="182">
        <f>ROUND('projektu saraksts'!E47,0)</f>
        <v>6047</v>
      </c>
      <c r="AA20" s="42"/>
      <c r="AB20" s="42"/>
    </row>
    <row r="21" spans="1:47" ht="43.2" customHeight="1" x14ac:dyDescent="0.3">
      <c r="A21" s="55"/>
      <c r="B21" s="40" t="s">
        <v>61</v>
      </c>
      <c r="C21" s="41" t="s">
        <v>165</v>
      </c>
      <c r="D21" s="137" t="s">
        <v>164</v>
      </c>
      <c r="E21" s="40" t="s">
        <v>75</v>
      </c>
      <c r="F21" s="40" t="s">
        <v>166</v>
      </c>
      <c r="G21" s="40" t="s">
        <v>56</v>
      </c>
      <c r="H21" s="33"/>
      <c r="I21" s="33"/>
      <c r="J21" s="33"/>
      <c r="K21" s="33"/>
      <c r="L21" s="33"/>
      <c r="M21" s="67"/>
      <c r="N21" s="34"/>
      <c r="O21" s="137" t="s">
        <v>225</v>
      </c>
      <c r="P21" s="230" t="s">
        <v>236</v>
      </c>
      <c r="S21" s="170" t="s">
        <v>191</v>
      </c>
      <c r="T21" s="49"/>
      <c r="U21" s="49"/>
      <c r="V21" s="49"/>
      <c r="W21" s="210"/>
      <c r="X21" s="182"/>
      <c r="Y21" s="34"/>
      <c r="Z21" s="140"/>
      <c r="AA21" s="140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</row>
    <row r="22" spans="1:47" x14ac:dyDescent="0.3">
      <c r="A22" s="55" t="s">
        <v>9</v>
      </c>
      <c r="B22" s="130">
        <v>19381696</v>
      </c>
      <c r="C22" s="130">
        <f>C23+C24</f>
        <v>1902739</v>
      </c>
      <c r="D22" s="130">
        <f>B22-C22</f>
        <v>17478957</v>
      </c>
      <c r="E22" s="131">
        <f>E23+E24</f>
        <v>1795012.9300000002</v>
      </c>
      <c r="F22" s="131">
        <v>0</v>
      </c>
      <c r="G22" s="131">
        <f>G23+G24</f>
        <v>19273969.93</v>
      </c>
      <c r="H22" s="212"/>
      <c r="I22" s="212"/>
      <c r="J22" s="212"/>
      <c r="K22" s="212"/>
      <c r="L22" s="212"/>
      <c r="M22" s="131">
        <f>G22</f>
        <v>19273969.93</v>
      </c>
      <c r="N22" s="34"/>
      <c r="O22" s="55"/>
      <c r="P22" s="184"/>
      <c r="Q22" s="246"/>
      <c r="R22" s="246"/>
      <c r="S22" s="169" t="s">
        <v>9</v>
      </c>
      <c r="T22" s="116">
        <f>T23+T24</f>
        <v>19381696</v>
      </c>
      <c r="U22" s="116">
        <f>T22-W22</f>
        <v>17586683</v>
      </c>
      <c r="V22" s="116"/>
      <c r="W22" s="209">
        <f>ROUND(E22,0)</f>
        <v>1795013</v>
      </c>
      <c r="X22" s="182"/>
      <c r="Y22" s="34"/>
      <c r="Z22" s="140"/>
      <c r="AA22" s="34"/>
    </row>
    <row r="23" spans="1:47" x14ac:dyDescent="0.3">
      <c r="A23" s="55" t="s">
        <v>0</v>
      </c>
      <c r="B23" s="130">
        <v>15044401</v>
      </c>
      <c r="C23" s="130">
        <v>1251704</v>
      </c>
      <c r="D23" s="130">
        <f>B23-C23</f>
        <v>13792697</v>
      </c>
      <c r="E23" s="131">
        <v>1121640.52</v>
      </c>
      <c r="F23" s="131">
        <v>0</v>
      </c>
      <c r="G23" s="131">
        <f>D23+E23</f>
        <v>14914337.52</v>
      </c>
      <c r="H23" s="212"/>
      <c r="I23" s="212"/>
      <c r="J23" s="212"/>
      <c r="K23" s="212"/>
      <c r="L23" s="212"/>
      <c r="M23" s="131">
        <f>G23</f>
        <v>14914337.52</v>
      </c>
      <c r="N23" s="34" t="s">
        <v>223</v>
      </c>
      <c r="O23" s="131">
        <v>15044401</v>
      </c>
      <c r="P23" s="234">
        <f>M23-O23</f>
        <v>-130063.48000000045</v>
      </c>
      <c r="Q23" s="235" t="s">
        <v>226</v>
      </c>
      <c r="R23" s="235"/>
      <c r="S23" s="169" t="s">
        <v>0</v>
      </c>
      <c r="T23" s="116">
        <f>M23+(-P23)</f>
        <v>15044401</v>
      </c>
      <c r="U23" s="116">
        <f>T23-W23</f>
        <v>13922760</v>
      </c>
      <c r="V23" s="116"/>
      <c r="W23" s="209">
        <f>ROUND(E23,0)</f>
        <v>1121641</v>
      </c>
      <c r="X23" s="182">
        <f t="shared" ref="X21:X52" si="2">U23-V23</f>
        <v>13922760</v>
      </c>
      <c r="Y23" s="34"/>
      <c r="Z23" s="34"/>
      <c r="AA23" s="112"/>
    </row>
    <row r="24" spans="1:47" x14ac:dyDescent="0.3">
      <c r="A24" s="55" t="s">
        <v>1</v>
      </c>
      <c r="B24" s="130">
        <v>4337295</v>
      </c>
      <c r="C24" s="130">
        <v>651035</v>
      </c>
      <c r="D24" s="130">
        <f>B24-C24</f>
        <v>3686260</v>
      </c>
      <c r="E24" s="131">
        <v>673372.41</v>
      </c>
      <c r="F24" s="131">
        <v>0</v>
      </c>
      <c r="G24" s="131">
        <f>D24+E24</f>
        <v>4359632.41</v>
      </c>
      <c r="H24" s="212"/>
      <c r="I24" s="212"/>
      <c r="J24" s="212"/>
      <c r="K24" s="212"/>
      <c r="L24" s="212"/>
      <c r="M24" s="131">
        <f>G24</f>
        <v>4359632.41</v>
      </c>
      <c r="N24" s="34" t="s">
        <v>224</v>
      </c>
      <c r="O24" s="131">
        <v>4337295</v>
      </c>
      <c r="P24" s="234">
        <f>M24-O24</f>
        <v>22337.410000000149</v>
      </c>
      <c r="Q24" s="235" t="s">
        <v>227</v>
      </c>
      <c r="R24" s="235"/>
      <c r="S24" s="169" t="s">
        <v>1</v>
      </c>
      <c r="T24" s="116">
        <f>M24-P24</f>
        <v>4337295</v>
      </c>
      <c r="U24" s="116">
        <f>T24-W24</f>
        <v>3663923</v>
      </c>
      <c r="V24" s="116"/>
      <c r="W24" s="209">
        <f>ROUND(E24,0)</f>
        <v>673372</v>
      </c>
      <c r="X24" s="182"/>
      <c r="Y24" s="34"/>
      <c r="AA24" s="53"/>
      <c r="AD24" s="133"/>
      <c r="AE24" s="5"/>
    </row>
    <row r="25" spans="1:47" x14ac:dyDescent="0.3">
      <c r="A25" s="34"/>
      <c r="B25" s="34"/>
      <c r="C25" s="34"/>
      <c r="D25" s="34"/>
      <c r="E25" s="112"/>
      <c r="F25" s="112"/>
      <c r="G25" s="112"/>
      <c r="H25" s="213"/>
      <c r="I25" s="213"/>
      <c r="J25" s="213"/>
      <c r="K25" s="213"/>
      <c r="L25" s="213"/>
      <c r="M25" s="112"/>
      <c r="N25" s="34"/>
      <c r="O25" s="112" t="s">
        <v>33</v>
      </c>
      <c r="S25" s="168"/>
      <c r="T25" s="116"/>
      <c r="U25" s="116"/>
      <c r="V25" s="116"/>
      <c r="W25" s="209"/>
      <c r="X25" s="182"/>
      <c r="Y25" s="34"/>
      <c r="Z25" s="164"/>
      <c r="AG25" s="42"/>
    </row>
    <row r="26" spans="1:47" ht="41.4" customHeight="1" x14ac:dyDescent="0.3">
      <c r="A26" s="55"/>
      <c r="B26" s="40" t="s">
        <v>66</v>
      </c>
      <c r="C26" s="41" t="s">
        <v>54</v>
      </c>
      <c r="D26" s="137" t="s">
        <v>164</v>
      </c>
      <c r="E26" s="214" t="s">
        <v>75</v>
      </c>
      <c r="F26" s="214" t="s">
        <v>166</v>
      </c>
      <c r="G26" s="214" t="s">
        <v>56</v>
      </c>
      <c r="H26" s="213"/>
      <c r="I26" s="213"/>
      <c r="J26" s="213"/>
      <c r="K26" s="213"/>
      <c r="L26" s="213"/>
      <c r="M26" s="112"/>
      <c r="N26" s="34"/>
      <c r="O26" s="137" t="s">
        <v>225</v>
      </c>
      <c r="P26" s="234"/>
      <c r="S26" s="168" t="s">
        <v>193</v>
      </c>
      <c r="T26" s="116"/>
      <c r="U26" s="116"/>
      <c r="V26" s="116"/>
      <c r="W26" s="209"/>
      <c r="X26" s="182"/>
      <c r="Y26" s="34"/>
      <c r="Z26" s="53"/>
      <c r="AA26" s="53"/>
    </row>
    <row r="27" spans="1:47" x14ac:dyDescent="0.3">
      <c r="A27" s="55" t="s">
        <v>9</v>
      </c>
      <c r="B27" s="130">
        <v>11561953</v>
      </c>
      <c r="C27" s="130">
        <f>C28+C29</f>
        <v>1902739</v>
      </c>
      <c r="D27" s="130">
        <f>B27-C27</f>
        <v>9659214</v>
      </c>
      <c r="E27" s="131">
        <f>E28+E29</f>
        <v>1795012.9300000002</v>
      </c>
      <c r="F27" s="131">
        <v>0</v>
      </c>
      <c r="G27" s="131">
        <f>G28+G29</f>
        <v>11454226.93</v>
      </c>
      <c r="H27" s="212"/>
      <c r="I27" s="212"/>
      <c r="J27" s="212"/>
      <c r="K27" s="212"/>
      <c r="L27" s="212"/>
      <c r="M27" s="131">
        <f>G27</f>
        <v>11454226.93</v>
      </c>
      <c r="N27" s="72"/>
      <c r="O27" s="52">
        <v>11561953</v>
      </c>
      <c r="P27" s="232"/>
      <c r="Q27" s="245"/>
      <c r="R27" s="245"/>
      <c r="S27" s="169" t="s">
        <v>9</v>
      </c>
      <c r="T27" s="116">
        <f>T28+T29</f>
        <v>11561953</v>
      </c>
      <c r="U27" s="116">
        <f>T27-W27</f>
        <v>9766940</v>
      </c>
      <c r="V27" s="116"/>
      <c r="W27" s="209">
        <f>ROUND(E27,0)</f>
        <v>1795013</v>
      </c>
      <c r="X27" s="182"/>
      <c r="Y27" s="34"/>
      <c r="Z27" s="53"/>
      <c r="AA27" s="34"/>
    </row>
    <row r="28" spans="1:47" x14ac:dyDescent="0.3">
      <c r="A28" s="55" t="s">
        <v>0</v>
      </c>
      <c r="B28" s="130">
        <v>7224658</v>
      </c>
      <c r="C28" s="130">
        <v>1251704</v>
      </c>
      <c r="D28" s="130">
        <f>B28-C28</f>
        <v>5972954</v>
      </c>
      <c r="E28" s="131">
        <v>1121640.52</v>
      </c>
      <c r="F28" s="131">
        <v>0</v>
      </c>
      <c r="G28" s="131">
        <f>D28+E28</f>
        <v>7094594.5199999996</v>
      </c>
      <c r="H28" s="212"/>
      <c r="I28" s="212"/>
      <c r="J28" s="212"/>
      <c r="K28" s="212"/>
      <c r="L28" s="212"/>
      <c r="M28" s="131">
        <f>G28</f>
        <v>7094594.5199999996</v>
      </c>
      <c r="N28" s="408"/>
      <c r="O28" s="52">
        <v>7224658</v>
      </c>
      <c r="P28" s="231">
        <f>M28-O28</f>
        <v>-130063.48000000045</v>
      </c>
      <c r="Q28" s="247"/>
      <c r="R28" s="247"/>
      <c r="S28" s="169" t="s">
        <v>0</v>
      </c>
      <c r="T28" s="116">
        <f>ROUND(M28+(-P23),0)</f>
        <v>7224658</v>
      </c>
      <c r="U28" s="116">
        <f>T28-W28</f>
        <v>6103017</v>
      </c>
      <c r="V28" s="297"/>
      <c r="W28" s="209">
        <f>ROUND(E28,0)</f>
        <v>1121641</v>
      </c>
      <c r="X28" s="182"/>
      <c r="Y28" s="34"/>
      <c r="Z28" s="53"/>
      <c r="AB28" s="42"/>
    </row>
    <row r="29" spans="1:47" x14ac:dyDescent="0.3">
      <c r="A29" s="55" t="s">
        <v>1</v>
      </c>
      <c r="B29" s="130">
        <v>4337295</v>
      </c>
      <c r="C29" s="130">
        <v>651035</v>
      </c>
      <c r="D29" s="130">
        <f>B29-C29</f>
        <v>3686260</v>
      </c>
      <c r="E29" s="131">
        <v>673372.41</v>
      </c>
      <c r="F29" s="131">
        <v>0</v>
      </c>
      <c r="G29" s="131">
        <f>D29+E29</f>
        <v>4359632.41</v>
      </c>
      <c r="H29" s="212"/>
      <c r="I29" s="212"/>
      <c r="J29" s="212"/>
      <c r="K29" s="212"/>
      <c r="L29" s="212"/>
      <c r="M29" s="131">
        <f>G29</f>
        <v>4359632.41</v>
      </c>
      <c r="N29" s="72"/>
      <c r="O29" s="52">
        <v>4337295</v>
      </c>
      <c r="P29" s="258">
        <f>M29-O29</f>
        <v>22337.410000000149</v>
      </c>
      <c r="Q29" s="245"/>
      <c r="R29" s="245"/>
      <c r="S29" s="169" t="s">
        <v>1</v>
      </c>
      <c r="T29" s="116">
        <f>ROUND(M29-P24,0)</f>
        <v>4337295</v>
      </c>
      <c r="U29" s="116">
        <f>T29-W29</f>
        <v>3663923</v>
      </c>
      <c r="V29" s="297"/>
      <c r="W29" s="209">
        <f>ROUND(E29,0)</f>
        <v>673372</v>
      </c>
      <c r="X29" s="182"/>
      <c r="Y29" s="34"/>
      <c r="Z29" s="34"/>
    </row>
    <row r="30" spans="1:47" x14ac:dyDescent="0.3">
      <c r="A30" s="49"/>
      <c r="B30" s="46"/>
      <c r="C30" s="54"/>
      <c r="D30" s="45"/>
      <c r="E30" s="215"/>
      <c r="F30" s="215"/>
      <c r="G30" s="134"/>
      <c r="H30" s="213"/>
      <c r="I30" s="213"/>
      <c r="J30" s="213"/>
      <c r="K30" s="213"/>
      <c r="L30" s="213"/>
      <c r="M30" s="134"/>
      <c r="N30" s="34"/>
      <c r="O30" s="134"/>
      <c r="S30" s="171"/>
      <c r="T30" s="116"/>
      <c r="U30" s="116"/>
      <c r="V30" s="116"/>
      <c r="W30" s="209"/>
      <c r="X30" s="182"/>
      <c r="Y30" s="34"/>
      <c r="Z30" s="34"/>
    </row>
    <row r="31" spans="1:47" ht="28.8" x14ac:dyDescent="0.3">
      <c r="A31" s="55"/>
      <c r="B31" s="40" t="s">
        <v>62</v>
      </c>
      <c r="C31" s="41" t="s">
        <v>54</v>
      </c>
      <c r="D31" s="137" t="s">
        <v>164</v>
      </c>
      <c r="E31" s="214" t="s">
        <v>75</v>
      </c>
      <c r="F31" s="214" t="s">
        <v>166</v>
      </c>
      <c r="G31" s="216" t="s">
        <v>176</v>
      </c>
      <c r="H31" s="133"/>
      <c r="I31" s="133"/>
      <c r="J31" s="133"/>
      <c r="K31" s="133"/>
      <c r="L31" s="133"/>
      <c r="M31" s="409" t="s">
        <v>222</v>
      </c>
      <c r="N31" s="34"/>
      <c r="O31" s="137" t="s">
        <v>225</v>
      </c>
      <c r="P31" s="230" t="s">
        <v>236</v>
      </c>
      <c r="S31" s="170" t="s">
        <v>192</v>
      </c>
      <c r="T31" s="116"/>
      <c r="U31" s="116"/>
      <c r="V31" s="116"/>
      <c r="W31" s="209"/>
      <c r="X31" s="182"/>
      <c r="Y31" s="34"/>
      <c r="Z31" s="34"/>
      <c r="AA31" s="34"/>
    </row>
    <row r="32" spans="1:47" x14ac:dyDescent="0.3">
      <c r="A32" s="55" t="s">
        <v>9</v>
      </c>
      <c r="B32" s="36">
        <v>22921818</v>
      </c>
      <c r="C32" s="43">
        <f>C33+C34</f>
        <v>4097261</v>
      </c>
      <c r="D32" s="35">
        <f>B32-C32</f>
        <v>18824557</v>
      </c>
      <c r="E32" s="131">
        <f>E33+E34</f>
        <v>3458440.0199999996</v>
      </c>
      <c r="F32" s="131">
        <f>F33+F34</f>
        <v>986644.47999999998</v>
      </c>
      <c r="G32" s="217">
        <f>G33+G34</f>
        <v>23269641.5</v>
      </c>
      <c r="H32" s="217"/>
      <c r="I32" s="217"/>
      <c r="J32" s="217"/>
      <c r="K32" s="217"/>
      <c r="L32" s="217"/>
      <c r="M32" s="217">
        <f>M33+M34</f>
        <v>22367535.890000001</v>
      </c>
      <c r="N32" s="140"/>
      <c r="O32" s="55"/>
      <c r="P32" s="184"/>
      <c r="Q32" s="246"/>
      <c r="R32" s="246"/>
      <c r="S32" s="169" t="s">
        <v>9</v>
      </c>
      <c r="T32" s="116">
        <f>T33+T34</f>
        <v>22315532</v>
      </c>
      <c r="U32" s="116">
        <f>T32-W32</f>
        <v>18857092</v>
      </c>
      <c r="V32" s="116">
        <f>ROUND(F32,0)</f>
        <v>986644</v>
      </c>
      <c r="W32" s="209">
        <f>ROUND(E32,0)</f>
        <v>3458440</v>
      </c>
      <c r="X32" s="182"/>
      <c r="Y32" s="229"/>
      <c r="Z32" s="34"/>
      <c r="AA32" s="34"/>
      <c r="AB32" s="34"/>
      <c r="AC32" s="34"/>
      <c r="AD32" s="34"/>
      <c r="AE32" s="34"/>
      <c r="AF32" s="34"/>
      <c r="AG32" s="34"/>
      <c r="AH32" s="34"/>
      <c r="AI32" s="34"/>
    </row>
    <row r="33" spans="1:47" x14ac:dyDescent="0.3">
      <c r="A33" s="55" t="s">
        <v>0</v>
      </c>
      <c r="B33" s="36">
        <v>21402479</v>
      </c>
      <c r="C33" s="43">
        <v>3584234</v>
      </c>
      <c r="D33" s="35">
        <f>B33-C33</f>
        <v>17818245</v>
      </c>
      <c r="E33" s="131">
        <v>3076703.1599999997</v>
      </c>
      <c r="F33" s="131">
        <v>877740.27</v>
      </c>
      <c r="G33" s="217">
        <f>D33+E33+F33</f>
        <v>21772688.43</v>
      </c>
      <c r="H33" s="217"/>
      <c r="I33" s="217"/>
      <c r="J33" s="217"/>
      <c r="K33" s="217"/>
      <c r="L33" s="217"/>
      <c r="M33" s="217">
        <f>M38+M44</f>
        <v>20915830.43</v>
      </c>
      <c r="N33" s="140" t="s">
        <v>224</v>
      </c>
      <c r="O33" s="131">
        <f>SUM(O38,M44)</f>
        <v>20545620.359999999</v>
      </c>
      <c r="P33" s="234">
        <f>M33-O33</f>
        <v>370210.0700000003</v>
      </c>
      <c r="Q33" s="246" t="s">
        <v>228</v>
      </c>
      <c r="R33" s="246"/>
      <c r="S33" s="169" t="s">
        <v>0</v>
      </c>
      <c r="T33" s="116">
        <f>ROUND(T38+T44,0)</f>
        <v>20841440</v>
      </c>
      <c r="U33" s="116">
        <f>T33-W33</f>
        <v>17764737</v>
      </c>
      <c r="V33" s="116">
        <f>ROUND(F33,0)</f>
        <v>877740</v>
      </c>
      <c r="W33" s="209">
        <f>ROUND(E33,0)</f>
        <v>3076703</v>
      </c>
      <c r="X33" s="182">
        <f t="shared" si="2"/>
        <v>16886997</v>
      </c>
      <c r="Y33" s="86"/>
      <c r="Z33" s="34"/>
      <c r="AA33" s="34"/>
      <c r="AB33" s="112"/>
      <c r="AC33" s="34"/>
      <c r="AD33" s="112"/>
      <c r="AE33" s="34"/>
      <c r="AF33" s="34"/>
      <c r="AG33" s="34"/>
      <c r="AH33" s="34"/>
      <c r="AI33" s="34"/>
    </row>
    <row r="34" spans="1:47" x14ac:dyDescent="0.3">
      <c r="A34" s="55" t="s">
        <v>1</v>
      </c>
      <c r="B34" s="36">
        <v>1519339</v>
      </c>
      <c r="C34" s="43">
        <v>513027</v>
      </c>
      <c r="D34" s="35">
        <f>B34-C34</f>
        <v>1006312</v>
      </c>
      <c r="E34" s="131">
        <v>381736.86</v>
      </c>
      <c r="F34" s="131">
        <v>108904.20999999999</v>
      </c>
      <c r="G34" s="217">
        <f>D34+E34+F34</f>
        <v>1496953.0699999998</v>
      </c>
      <c r="H34" s="217"/>
      <c r="I34" s="217">
        <v>45247.61</v>
      </c>
      <c r="J34" s="217"/>
      <c r="K34" s="217"/>
      <c r="L34" s="217"/>
      <c r="M34" s="217">
        <f>M39+M45</f>
        <v>1451705.4599999997</v>
      </c>
      <c r="N34" s="140" t="s">
        <v>223</v>
      </c>
      <c r="O34" s="131">
        <v>1474091.39</v>
      </c>
      <c r="P34" s="234">
        <f>M34-O34</f>
        <v>-22385.930000000168</v>
      </c>
      <c r="Q34" s="246" t="s">
        <v>229</v>
      </c>
      <c r="R34" s="246"/>
      <c r="S34" s="169" t="s">
        <v>1</v>
      </c>
      <c r="T34" s="116">
        <f>ROUND(M34+P24+D40,0)</f>
        <v>1474092</v>
      </c>
      <c r="U34" s="116">
        <f>T34-W34</f>
        <v>1092355</v>
      </c>
      <c r="V34" s="116">
        <f>ROUND(F34,0)</f>
        <v>108904</v>
      </c>
      <c r="W34" s="209">
        <f>ROUND(E34,0)</f>
        <v>381737</v>
      </c>
      <c r="X34" s="182"/>
      <c r="Y34" s="34"/>
      <c r="Z34" s="34"/>
      <c r="AA34" s="34"/>
      <c r="AB34" s="225"/>
      <c r="AC34" s="34"/>
      <c r="AD34" s="112"/>
      <c r="AE34" s="34"/>
      <c r="AF34" s="34"/>
      <c r="AG34" s="34"/>
      <c r="AH34" s="34"/>
      <c r="AI34" s="34"/>
    </row>
    <row r="35" spans="1:47" x14ac:dyDescent="0.3">
      <c r="A35" s="34"/>
      <c r="B35" s="33"/>
      <c r="C35" s="33"/>
      <c r="D35" s="33"/>
      <c r="E35" s="218"/>
      <c r="F35" s="218"/>
      <c r="G35" s="218"/>
      <c r="H35" s="133"/>
      <c r="I35" s="133"/>
      <c r="J35" s="133"/>
      <c r="K35" s="133"/>
      <c r="L35" s="133"/>
      <c r="M35" s="319"/>
      <c r="N35" s="34"/>
      <c r="O35" s="112"/>
      <c r="Q35" s="235"/>
      <c r="R35" s="235"/>
      <c r="S35" s="171"/>
      <c r="T35" s="116"/>
      <c r="U35" s="116"/>
      <c r="V35" s="116"/>
      <c r="W35" s="209"/>
      <c r="X35" s="182"/>
      <c r="Y35" s="34"/>
      <c r="Z35" s="34"/>
      <c r="AA35" s="34"/>
      <c r="AB35" s="112"/>
      <c r="AC35" s="34"/>
      <c r="AD35" s="112"/>
    </row>
    <row r="36" spans="1:47" ht="28.8" x14ac:dyDescent="0.3">
      <c r="A36" s="55"/>
      <c r="B36" s="40" t="s">
        <v>65</v>
      </c>
      <c r="C36" s="41" t="s">
        <v>54</v>
      </c>
      <c r="D36" s="137" t="s">
        <v>164</v>
      </c>
      <c r="E36" s="214" t="s">
        <v>75</v>
      </c>
      <c r="F36" s="214" t="s">
        <v>166</v>
      </c>
      <c r="G36" s="216" t="s">
        <v>176</v>
      </c>
      <c r="H36" s="133" t="s">
        <v>77</v>
      </c>
      <c r="I36" s="133"/>
      <c r="J36" s="133"/>
      <c r="K36" s="133"/>
      <c r="L36" s="133"/>
      <c r="M36" s="112"/>
      <c r="N36" s="34"/>
      <c r="O36" s="137" t="s">
        <v>225</v>
      </c>
      <c r="S36" s="168" t="s">
        <v>194</v>
      </c>
      <c r="T36" s="116"/>
      <c r="U36" s="116"/>
      <c r="V36" s="116"/>
      <c r="W36" s="209"/>
      <c r="X36" s="182"/>
      <c r="Y36" s="34"/>
      <c r="Z36" s="53"/>
      <c r="AA36" s="53"/>
      <c r="AB36" s="34"/>
      <c r="AC36" s="34"/>
      <c r="AD36" s="34"/>
    </row>
    <row r="37" spans="1:47" x14ac:dyDescent="0.3">
      <c r="A37" s="55" t="s">
        <v>9</v>
      </c>
      <c r="B37" s="36">
        <v>13764828</v>
      </c>
      <c r="C37" s="43">
        <f>C38+C39</f>
        <v>4097261</v>
      </c>
      <c r="D37" s="35">
        <f>B37-C37</f>
        <v>9667567</v>
      </c>
      <c r="E37" s="131">
        <f>E38+E39</f>
        <v>3458440.0199999996</v>
      </c>
      <c r="F37" s="131">
        <f>F38+F39</f>
        <v>986644.47999999998</v>
      </c>
      <c r="G37" s="212">
        <f>G38+G39</f>
        <v>14112651.5</v>
      </c>
      <c r="H37" s="212"/>
      <c r="I37" s="212"/>
      <c r="J37" s="212"/>
      <c r="K37" s="212"/>
      <c r="L37" s="212"/>
      <c r="M37" s="212">
        <f>M38+M39</f>
        <v>13702718.889999999</v>
      </c>
      <c r="N37" s="67"/>
      <c r="O37" s="55"/>
      <c r="P37" s="231"/>
      <c r="Q37" s="248"/>
      <c r="R37" s="248"/>
      <c r="S37" s="169" t="s">
        <v>9</v>
      </c>
      <c r="T37" s="116">
        <f>T38+T39</f>
        <v>13595042</v>
      </c>
      <c r="U37" s="116">
        <f>T37-W37</f>
        <v>10136602</v>
      </c>
      <c r="V37" s="116">
        <f>ROUND(F37,0)</f>
        <v>986644</v>
      </c>
      <c r="W37" s="209">
        <f>ROUND(E37,0)</f>
        <v>3458440</v>
      </c>
      <c r="X37" s="182"/>
      <c r="Y37" s="34"/>
      <c r="Z37" s="34"/>
      <c r="AA37" s="34"/>
      <c r="AB37" s="34"/>
      <c r="AC37" s="34"/>
      <c r="AD37" s="34"/>
    </row>
    <row r="38" spans="1:47" x14ac:dyDescent="0.3">
      <c r="A38" s="55" t="s">
        <v>0</v>
      </c>
      <c r="B38" s="36">
        <v>12245489</v>
      </c>
      <c r="C38" s="43">
        <v>3584234</v>
      </c>
      <c r="D38" s="35">
        <f>B38-C38</f>
        <v>8661255</v>
      </c>
      <c r="E38" s="131">
        <v>3076703.1599999997</v>
      </c>
      <c r="F38" s="131">
        <v>877740.27</v>
      </c>
      <c r="G38" s="212">
        <f>D38+E38+F38</f>
        <v>12615698.43</v>
      </c>
      <c r="H38" s="131">
        <v>364685.64</v>
      </c>
      <c r="I38" s="131"/>
      <c r="J38" s="131"/>
      <c r="K38" s="131"/>
      <c r="L38" s="131"/>
      <c r="M38" s="212">
        <f>G38-C67</f>
        <v>12251013.43</v>
      </c>
      <c r="N38" s="224" t="s">
        <v>224</v>
      </c>
      <c r="O38" s="131">
        <v>11880803.359999999</v>
      </c>
      <c r="P38" s="234">
        <f>M38-O38</f>
        <v>370210.0700000003</v>
      </c>
      <c r="Q38" s="246" t="s">
        <v>228</v>
      </c>
      <c r="R38" s="246"/>
      <c r="S38" s="169" t="s">
        <v>0</v>
      </c>
      <c r="T38" s="116">
        <f>ROUND(M38+P23,0)</f>
        <v>12120950</v>
      </c>
      <c r="U38" s="116">
        <f>T38-W38</f>
        <v>9044247</v>
      </c>
      <c r="V38" s="116">
        <f>ROUND(F38,0)</f>
        <v>877740</v>
      </c>
      <c r="W38" s="209">
        <f>ROUND(E38,0)</f>
        <v>3076703</v>
      </c>
      <c r="X38" s="182"/>
      <c r="Y38" s="34"/>
      <c r="Z38" s="34"/>
      <c r="AA38" s="34"/>
      <c r="AB38" s="34"/>
      <c r="AC38" s="34"/>
      <c r="AD38" s="34"/>
    </row>
    <row r="39" spans="1:47" x14ac:dyDescent="0.3">
      <c r="A39" s="55" t="s">
        <v>1</v>
      </c>
      <c r="B39" s="36">
        <v>1519339</v>
      </c>
      <c r="C39" s="43">
        <v>513027</v>
      </c>
      <c r="D39" s="35">
        <f>B39-C39</f>
        <v>1006312</v>
      </c>
      <c r="E39" s="131">
        <v>381736.86</v>
      </c>
      <c r="F39" s="131">
        <v>108904.20999999999</v>
      </c>
      <c r="G39" s="212">
        <f>D39+E39+F39</f>
        <v>1496953.0699999998</v>
      </c>
      <c r="H39" s="212"/>
      <c r="I39" s="212">
        <v>45247.61</v>
      </c>
      <c r="J39" s="212"/>
      <c r="K39" s="212"/>
      <c r="L39" s="212"/>
      <c r="M39" s="212">
        <f>G39-D67</f>
        <v>1451705.4599999997</v>
      </c>
      <c r="N39" s="224" t="s">
        <v>223</v>
      </c>
      <c r="O39" s="131">
        <v>1474091.39</v>
      </c>
      <c r="P39" s="234">
        <f>M39-O39</f>
        <v>-22385.930000000168</v>
      </c>
      <c r="Q39" s="246" t="s">
        <v>229</v>
      </c>
      <c r="R39" s="246"/>
      <c r="S39" s="169" t="s">
        <v>1</v>
      </c>
      <c r="T39" s="116">
        <f>ROUND(M39+P24+D40,0)</f>
        <v>1474092</v>
      </c>
      <c r="U39" s="116">
        <f>T39-W39</f>
        <v>1092355</v>
      </c>
      <c r="V39" s="116">
        <f>ROUND(F39,0)</f>
        <v>108904</v>
      </c>
      <c r="W39" s="209">
        <f>ROUND(E39,0)</f>
        <v>381737</v>
      </c>
      <c r="X39" s="182"/>
      <c r="Y39" s="34"/>
      <c r="Z39" s="34"/>
      <c r="AA39" s="53"/>
      <c r="AB39" s="112"/>
      <c r="AC39" s="34"/>
    </row>
    <row r="40" spans="1:47" x14ac:dyDescent="0.3">
      <c r="A40" s="49" t="s">
        <v>231</v>
      </c>
      <c r="B40" s="46"/>
      <c r="C40" s="54"/>
      <c r="D40" s="213">
        <f>ROUND(1474091.39-1474042.87,0)</f>
        <v>49</v>
      </c>
      <c r="E40" s="133"/>
      <c r="F40" s="133"/>
      <c r="G40" s="213"/>
      <c r="H40" s="213"/>
      <c r="I40" s="213"/>
      <c r="J40" s="213"/>
      <c r="K40" s="213"/>
      <c r="L40" s="213"/>
      <c r="M40" s="213"/>
      <c r="N40" s="140"/>
      <c r="O40" s="133"/>
      <c r="P40" s="184"/>
      <c r="Q40" s="246"/>
      <c r="R40" s="246"/>
      <c r="S40" s="168"/>
      <c r="T40" s="116"/>
      <c r="U40" s="116"/>
      <c r="V40" s="116"/>
      <c r="W40" s="209"/>
      <c r="X40" s="182"/>
      <c r="Y40" s="34"/>
      <c r="Z40" s="34"/>
      <c r="AA40" s="53"/>
      <c r="AB40" s="112"/>
      <c r="AC40" s="34"/>
    </row>
    <row r="41" spans="1:47" s="34" customFormat="1" x14ac:dyDescent="0.3">
      <c r="B41" s="46"/>
      <c r="C41" s="46"/>
      <c r="D41" s="45"/>
      <c r="E41" s="134"/>
      <c r="F41" s="134"/>
      <c r="G41" s="213"/>
      <c r="H41" s="213"/>
      <c r="I41" s="213"/>
      <c r="J41" s="213"/>
      <c r="K41" s="213"/>
      <c r="L41" s="213"/>
      <c r="M41" s="134"/>
      <c r="O41" s="134"/>
      <c r="P41" s="230"/>
      <c r="Q41" s="157"/>
      <c r="R41" s="157"/>
      <c r="S41" s="171"/>
      <c r="T41" s="116"/>
      <c r="U41" s="116"/>
      <c r="V41" s="116"/>
      <c r="W41" s="209"/>
      <c r="X41" s="182"/>
      <c r="AB41" s="112"/>
      <c r="AD41" s="14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</row>
    <row r="42" spans="1:47" s="34" customFormat="1" ht="28.8" x14ac:dyDescent="0.3">
      <c r="A42" s="55"/>
      <c r="B42" s="40" t="s">
        <v>71</v>
      </c>
      <c r="C42" s="41" t="s">
        <v>54</v>
      </c>
      <c r="D42" s="137" t="s">
        <v>164</v>
      </c>
      <c r="E42" s="214" t="s">
        <v>75</v>
      </c>
      <c r="F42" s="214" t="s">
        <v>166</v>
      </c>
      <c r="G42" s="214" t="s">
        <v>188</v>
      </c>
      <c r="H42" s="133"/>
      <c r="I42" s="133"/>
      <c r="J42" s="133"/>
      <c r="K42" s="133"/>
      <c r="L42" s="133"/>
      <c r="M42" s="112" t="s">
        <v>247</v>
      </c>
      <c r="O42" s="112"/>
      <c r="P42" s="234"/>
      <c r="Q42" s="157"/>
      <c r="R42" s="157"/>
      <c r="S42" s="168" t="s">
        <v>195</v>
      </c>
      <c r="T42" s="116"/>
      <c r="U42" s="116"/>
      <c r="V42" s="116"/>
      <c r="W42" s="209"/>
      <c r="X42" s="182"/>
      <c r="AA42" s="53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</row>
    <row r="43" spans="1:47" s="34" customFormat="1" x14ac:dyDescent="0.3">
      <c r="A43" s="55" t="s">
        <v>9</v>
      </c>
      <c r="B43" s="36"/>
      <c r="C43" s="35"/>
      <c r="D43" s="35"/>
      <c r="E43" s="219">
        <v>0</v>
      </c>
      <c r="F43" s="219">
        <v>0</v>
      </c>
      <c r="G43" s="212"/>
      <c r="H43" s="212"/>
      <c r="I43" s="212"/>
      <c r="J43" s="212"/>
      <c r="K43" s="212"/>
      <c r="L43" s="212"/>
      <c r="M43" s="212"/>
      <c r="N43" s="157"/>
      <c r="O43" s="213"/>
      <c r="P43" s="230"/>
      <c r="Q43" s="157"/>
      <c r="R43" s="157"/>
      <c r="S43" s="169" t="s">
        <v>9</v>
      </c>
      <c r="T43" s="116">
        <f>T44</f>
        <v>8720490</v>
      </c>
      <c r="U43" s="116">
        <f>T43-W43</f>
        <v>8720490</v>
      </c>
      <c r="V43" s="116"/>
      <c r="W43" s="209"/>
      <c r="X43" s="182"/>
      <c r="Y43" s="86"/>
      <c r="Z43" s="158"/>
      <c r="AA43" s="53"/>
      <c r="AB43" s="140"/>
      <c r="AD43" s="140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</row>
    <row r="44" spans="1:47" s="34" customFormat="1" x14ac:dyDescent="0.3">
      <c r="A44" s="55" t="s">
        <v>0</v>
      </c>
      <c r="B44" s="36">
        <v>9156990</v>
      </c>
      <c r="C44" s="36"/>
      <c r="D44" s="36">
        <v>9156990</v>
      </c>
      <c r="E44" s="219">
        <v>0</v>
      </c>
      <c r="F44" s="219">
        <v>0</v>
      </c>
      <c r="G44" s="212">
        <f>B44</f>
        <v>9156990</v>
      </c>
      <c r="H44" s="131">
        <v>492173.88</v>
      </c>
      <c r="I44" s="133">
        <v>71464.813333334401</v>
      </c>
      <c r="J44" s="133"/>
      <c r="K44" s="133"/>
      <c r="L44" s="133"/>
      <c r="M44" s="212">
        <f>G44-C68</f>
        <v>8664817</v>
      </c>
      <c r="N44" s="223" t="s">
        <v>218</v>
      </c>
      <c r="O44" s="323"/>
      <c r="P44" s="267"/>
      <c r="Q44" s="249"/>
      <c r="R44" s="249"/>
      <c r="S44" s="169" t="s">
        <v>0</v>
      </c>
      <c r="T44" s="116">
        <f>ROUND(M44+D79+D80+D81+D82,0)-1</f>
        <v>8720490</v>
      </c>
      <c r="U44" s="116">
        <f>T44-W44</f>
        <v>8720490</v>
      </c>
      <c r="V44" s="372"/>
      <c r="W44" s="209"/>
      <c r="X44" s="182"/>
      <c r="Y44" s="86"/>
      <c r="AA44" s="53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</row>
    <row r="45" spans="1:47" s="34" customFormat="1" x14ac:dyDescent="0.3">
      <c r="A45" s="55" t="s">
        <v>1</v>
      </c>
      <c r="B45" s="36"/>
      <c r="C45" s="36"/>
      <c r="D45" s="35"/>
      <c r="E45" s="219">
        <v>0</v>
      </c>
      <c r="F45" s="219">
        <v>0</v>
      </c>
      <c r="G45" s="212"/>
      <c r="H45" s="212"/>
      <c r="I45" s="212"/>
      <c r="J45" s="212"/>
      <c r="K45" s="212"/>
      <c r="L45" s="212"/>
      <c r="M45" s="212"/>
      <c r="N45" s="184"/>
      <c r="O45" s="213"/>
      <c r="P45" s="184"/>
      <c r="Q45" s="246"/>
      <c r="R45" s="246"/>
      <c r="S45" s="169" t="s">
        <v>1</v>
      </c>
      <c r="T45" s="116"/>
      <c r="U45" s="116"/>
      <c r="V45" s="116"/>
      <c r="W45" s="209"/>
      <c r="X45" s="182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</row>
    <row r="46" spans="1:47" s="34" customFormat="1" x14ac:dyDescent="0.3">
      <c r="A46" s="49" t="s">
        <v>237</v>
      </c>
      <c r="B46" s="46"/>
      <c r="C46" s="46"/>
      <c r="D46" s="213">
        <f>'projektu saraksts'!D50</f>
        <v>55668.100000000559</v>
      </c>
      <c r="E46" s="298"/>
      <c r="F46" s="298"/>
      <c r="G46" s="213"/>
      <c r="H46" s="213"/>
      <c r="I46" s="213"/>
      <c r="J46" s="213"/>
      <c r="K46" s="213"/>
      <c r="L46" s="213"/>
      <c r="M46" s="213"/>
      <c r="N46" s="184"/>
      <c r="O46" s="213"/>
      <c r="P46" s="184"/>
      <c r="Q46" s="246"/>
      <c r="R46" s="246"/>
      <c r="S46" s="168"/>
      <c r="T46" s="116"/>
      <c r="U46" s="116"/>
      <c r="V46" s="116"/>
      <c r="W46" s="209"/>
      <c r="X46" s="182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</row>
    <row r="47" spans="1:47" x14ac:dyDescent="0.3">
      <c r="A47" s="34"/>
      <c r="B47" s="34"/>
      <c r="C47" s="34" t="s">
        <v>33</v>
      </c>
      <c r="D47" s="34"/>
      <c r="E47" s="112"/>
      <c r="F47" s="112"/>
      <c r="G47" s="112"/>
      <c r="H47" s="112"/>
      <c r="I47" s="112" t="s">
        <v>179</v>
      </c>
      <c r="J47" s="112"/>
      <c r="K47" s="112"/>
      <c r="L47" s="112"/>
      <c r="M47" s="112"/>
      <c r="N47" s="34"/>
      <c r="O47" s="112"/>
      <c r="S47" s="168"/>
      <c r="T47" s="116"/>
      <c r="U47" s="116"/>
      <c r="V47" s="116"/>
      <c r="W47" s="209"/>
      <c r="X47" s="182"/>
      <c r="Y47" s="34"/>
      <c r="Z47" s="34"/>
      <c r="AA47" s="34"/>
    </row>
    <row r="48" spans="1:47" ht="28.8" x14ac:dyDescent="0.3">
      <c r="A48" s="55"/>
      <c r="B48" s="40" t="s">
        <v>63</v>
      </c>
      <c r="C48" s="41" t="s">
        <v>54</v>
      </c>
      <c r="D48" s="137" t="s">
        <v>164</v>
      </c>
      <c r="E48" s="214" t="s">
        <v>75</v>
      </c>
      <c r="F48" s="214" t="s">
        <v>166</v>
      </c>
      <c r="G48" s="216" t="s">
        <v>176</v>
      </c>
      <c r="H48" s="112" t="s">
        <v>33</v>
      </c>
      <c r="I48" s="112"/>
      <c r="J48" s="112"/>
      <c r="K48" s="112"/>
      <c r="L48" s="112"/>
      <c r="M48" s="112"/>
      <c r="N48" s="34"/>
      <c r="O48" s="137"/>
      <c r="S48" s="170" t="s">
        <v>196</v>
      </c>
      <c r="T48" s="116"/>
      <c r="U48" s="116"/>
      <c r="V48" s="116"/>
      <c r="W48" s="209"/>
      <c r="X48" s="182"/>
      <c r="Y48" s="34"/>
      <c r="Z48" s="34"/>
      <c r="AA48" s="140"/>
    </row>
    <row r="49" spans="1:47" x14ac:dyDescent="0.3">
      <c r="A49" s="55" t="s">
        <v>9</v>
      </c>
      <c r="B49" s="406">
        <v>8358395</v>
      </c>
      <c r="C49" s="406">
        <f>C50+C51</f>
        <v>5000000</v>
      </c>
      <c r="D49" s="130">
        <f>B49-C49</f>
        <v>3358395</v>
      </c>
      <c r="E49" s="131">
        <f>E50+E51</f>
        <v>2947891.38</v>
      </c>
      <c r="F49" s="131">
        <f>F50+F51</f>
        <v>1812012.1900000009</v>
      </c>
      <c r="G49" s="212">
        <f>G50+G51</f>
        <v>8118298.5700000003</v>
      </c>
      <c r="H49" s="131"/>
      <c r="I49" s="131"/>
      <c r="J49" s="131"/>
      <c r="K49" s="131"/>
      <c r="L49" s="131"/>
      <c r="M49" s="212">
        <f>M50+M51</f>
        <v>8025039.4900000012</v>
      </c>
      <c r="O49" s="55"/>
      <c r="S49" s="169" t="s">
        <v>9</v>
      </c>
      <c r="T49" s="116">
        <f>T50+T51</f>
        <v>8179434</v>
      </c>
      <c r="U49" s="116">
        <f>T49-W49</f>
        <v>5231542</v>
      </c>
      <c r="V49" s="116">
        <f>ROUND(F49,0)</f>
        <v>1812012</v>
      </c>
      <c r="W49" s="209">
        <f>ROUND(E49,0)+1</f>
        <v>2947892</v>
      </c>
      <c r="X49" s="182"/>
      <c r="Y49" s="53"/>
      <c r="Z49" s="34"/>
      <c r="AA49" s="34"/>
    </row>
    <row r="50" spans="1:47" ht="15.6" x14ac:dyDescent="0.3">
      <c r="A50" s="55" t="s">
        <v>0</v>
      </c>
      <c r="B50" s="406">
        <v>7225657</v>
      </c>
      <c r="C50" s="406">
        <v>4250000</v>
      </c>
      <c r="D50" s="130">
        <f>(B50-C50)</f>
        <v>2975657</v>
      </c>
      <c r="E50" s="131">
        <f>E55</f>
        <v>2543098.1399999997</v>
      </c>
      <c r="F50" s="131">
        <f>F55</f>
        <v>1646901.9100000008</v>
      </c>
      <c r="G50" s="212">
        <f>D50+E50+F50</f>
        <v>7165657.0500000007</v>
      </c>
      <c r="H50" s="407"/>
      <c r="I50" s="407"/>
      <c r="J50" s="407"/>
      <c r="K50" s="407"/>
      <c r="L50" s="407"/>
      <c r="M50" s="212">
        <f>M55+M61</f>
        <v>7084870.7700000014</v>
      </c>
      <c r="N50" s="86"/>
      <c r="O50" s="131"/>
      <c r="P50" s="262"/>
      <c r="Q50" s="250"/>
      <c r="R50" s="250"/>
      <c r="S50" s="169" t="s">
        <v>0</v>
      </c>
      <c r="T50" s="116">
        <f>ROUND(T55+T61,0)</f>
        <v>7144256</v>
      </c>
      <c r="U50" s="116">
        <f>T50-W50</f>
        <v>4601158</v>
      </c>
      <c r="V50" s="116">
        <f>ROUND(F50,0)</f>
        <v>1646902</v>
      </c>
      <c r="W50" s="209">
        <f>ROUND(E50,0)</f>
        <v>2543098</v>
      </c>
      <c r="X50" s="182">
        <f t="shared" si="2"/>
        <v>2954256</v>
      </c>
      <c r="Y50" s="53"/>
      <c r="Z50" s="34"/>
      <c r="AA50" s="34"/>
    </row>
    <row r="51" spans="1:47" x14ac:dyDescent="0.3">
      <c r="A51" s="55" t="s">
        <v>1</v>
      </c>
      <c r="B51" s="406">
        <v>1132738</v>
      </c>
      <c r="C51" s="406">
        <v>750000</v>
      </c>
      <c r="D51" s="130">
        <f>(B51-C51)</f>
        <v>382738</v>
      </c>
      <c r="E51" s="131">
        <f>E56</f>
        <v>404793.24</v>
      </c>
      <c r="F51" s="131">
        <f>F56</f>
        <v>165110.27999999997</v>
      </c>
      <c r="G51" s="212">
        <f>D51+E51+F51</f>
        <v>952641.52</v>
      </c>
      <c r="H51" s="131"/>
      <c r="I51" s="131"/>
      <c r="J51" s="131"/>
      <c r="K51" s="131"/>
      <c r="L51" s="131"/>
      <c r="M51" s="212">
        <f>M56+M62</f>
        <v>940168.72000000009</v>
      </c>
      <c r="N51" s="86"/>
      <c r="O51" s="131"/>
      <c r="P51" s="262"/>
      <c r="Q51" s="250"/>
      <c r="R51" s="250"/>
      <c r="S51" s="169" t="s">
        <v>1</v>
      </c>
      <c r="T51" s="116">
        <f>ROUND(T56+T62,0)</f>
        <v>1035178</v>
      </c>
      <c r="U51" s="116">
        <f>T51-W51</f>
        <v>630384</v>
      </c>
      <c r="V51" s="116">
        <f>ROUND(F51,0)</f>
        <v>165110</v>
      </c>
      <c r="W51" s="209">
        <f>ROUND(E51,0)+1</f>
        <v>404794</v>
      </c>
      <c r="X51" s="182"/>
      <c r="Y51" s="53"/>
      <c r="Z51" s="34"/>
      <c r="AA51" s="34"/>
    </row>
    <row r="52" spans="1:47" x14ac:dyDescent="0.3">
      <c r="A52" s="34"/>
      <c r="B52" s="33"/>
      <c r="C52" s="33"/>
      <c r="D52" s="130"/>
      <c r="E52" s="218"/>
      <c r="F52" s="218"/>
      <c r="G52" s="218"/>
      <c r="H52" s="112"/>
      <c r="I52" s="112"/>
      <c r="J52" s="112"/>
      <c r="K52" s="112"/>
      <c r="L52" s="112"/>
      <c r="M52" s="112"/>
      <c r="N52" s="34"/>
      <c r="O52" s="112"/>
      <c r="S52" s="168"/>
      <c r="T52" s="374"/>
      <c r="U52" s="24"/>
      <c r="V52" s="163"/>
      <c r="W52" s="209"/>
      <c r="X52" s="182"/>
      <c r="Y52" s="53"/>
      <c r="Z52" s="34"/>
      <c r="AA52" s="34"/>
    </row>
    <row r="53" spans="1:47" ht="43.2" x14ac:dyDescent="0.3">
      <c r="A53" s="55"/>
      <c r="B53" s="40" t="s">
        <v>69</v>
      </c>
      <c r="C53" s="41" t="s">
        <v>54</v>
      </c>
      <c r="D53" s="137" t="s">
        <v>178</v>
      </c>
      <c r="E53" s="214" t="s">
        <v>55</v>
      </c>
      <c r="F53" s="214" t="s">
        <v>166</v>
      </c>
      <c r="G53" s="216" t="s">
        <v>199</v>
      </c>
      <c r="H53" s="112"/>
      <c r="I53" s="112"/>
      <c r="J53" s="112"/>
      <c r="K53" s="112"/>
      <c r="L53" s="112"/>
      <c r="M53" s="216" t="s">
        <v>199</v>
      </c>
      <c r="N53" s="34"/>
      <c r="O53" s="137"/>
      <c r="S53" s="168" t="s">
        <v>197</v>
      </c>
      <c r="T53" s="24"/>
      <c r="U53" s="24"/>
      <c r="V53" s="163"/>
      <c r="W53" s="209"/>
      <c r="X53" s="34"/>
      <c r="Y53" s="53"/>
      <c r="Z53" s="34"/>
      <c r="AA53" s="34"/>
    </row>
    <row r="54" spans="1:47" x14ac:dyDescent="0.3">
      <c r="A54" s="55" t="s">
        <v>9</v>
      </c>
      <c r="B54" s="406">
        <v>5000000</v>
      </c>
      <c r="C54" s="406">
        <f>C55+C56</f>
        <v>5000000</v>
      </c>
      <c r="D54" s="131">
        <f>D55+D56</f>
        <v>154392.58999999915</v>
      </c>
      <c r="E54" s="131">
        <f>E55+E56</f>
        <v>2947891.38</v>
      </c>
      <c r="F54" s="131">
        <f>F55+F56</f>
        <v>1812012.1900000009</v>
      </c>
      <c r="G54" s="212">
        <f>G55+G56</f>
        <v>4759903.57</v>
      </c>
      <c r="H54" s="131"/>
      <c r="I54" s="131"/>
      <c r="J54" s="131"/>
      <c r="K54" s="131"/>
      <c r="L54" s="131"/>
      <c r="M54" s="212">
        <f>M55+M56</f>
        <v>4759903.57</v>
      </c>
      <c r="N54" s="53"/>
      <c r="O54" s="55"/>
      <c r="P54" s="261"/>
      <c r="Q54" s="243"/>
      <c r="R54" s="243"/>
      <c r="S54" s="169" t="s">
        <v>9</v>
      </c>
      <c r="T54" s="116">
        <f>T55+T56</f>
        <v>4914297</v>
      </c>
      <c r="U54" s="116">
        <f>T54-W54</f>
        <v>1966405</v>
      </c>
      <c r="V54" s="116">
        <f>ROUND(F54,0)</f>
        <v>1812012</v>
      </c>
      <c r="W54" s="209">
        <f>ROUND(E54,0)+1</f>
        <v>2947892</v>
      </c>
      <c r="X54" s="34"/>
      <c r="Y54" s="86"/>
      <c r="Z54" s="158"/>
      <c r="AA54" s="34"/>
    </row>
    <row r="55" spans="1:47" x14ac:dyDescent="0.3">
      <c r="A55" s="55" t="s">
        <v>0</v>
      </c>
      <c r="B55" s="406">
        <v>4250000</v>
      </c>
      <c r="C55" s="406">
        <v>4250000</v>
      </c>
      <c r="D55" s="131">
        <f>D78</f>
        <v>59384.179999999236</v>
      </c>
      <c r="E55" s="131">
        <v>2543098.1399999997</v>
      </c>
      <c r="F55" s="131">
        <f>1706286.09-D78</f>
        <v>1646901.9100000008</v>
      </c>
      <c r="G55" s="212">
        <f>E55+F55</f>
        <v>4190000.0500000007</v>
      </c>
      <c r="H55" s="131"/>
      <c r="I55" s="131"/>
      <c r="J55" s="131"/>
      <c r="K55" s="131"/>
      <c r="L55" s="131"/>
      <c r="M55" s="212">
        <f>G55</f>
        <v>4190000.0500000007</v>
      </c>
      <c r="N55" s="221">
        <f>SUM(D55,E55,F55)</f>
        <v>4249384.2299999995</v>
      </c>
      <c r="O55" s="131"/>
      <c r="P55" s="263"/>
      <c r="Q55" s="251"/>
      <c r="R55" s="251"/>
      <c r="S55" s="169" t="s">
        <v>0</v>
      </c>
      <c r="T55" s="116">
        <f>ROUND(M55+D55,0)+1</f>
        <v>4249385</v>
      </c>
      <c r="U55" s="116">
        <f>T55-W55</f>
        <v>1706287</v>
      </c>
      <c r="V55" s="116">
        <f>ROUND(F55,0)</f>
        <v>1646902</v>
      </c>
      <c r="W55" s="209">
        <f>ROUND(E55,0)</f>
        <v>2543098</v>
      </c>
      <c r="X55" s="34"/>
      <c r="Y55" s="86"/>
      <c r="Z55" s="158"/>
      <c r="AA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</row>
    <row r="56" spans="1:47" x14ac:dyDescent="0.3">
      <c r="A56" s="55" t="s">
        <v>1</v>
      </c>
      <c r="B56" s="406">
        <v>750000</v>
      </c>
      <c r="C56" s="406">
        <v>750000</v>
      </c>
      <c r="D56" s="131">
        <f>E78+E80</f>
        <v>95008.409999999931</v>
      </c>
      <c r="E56" s="131">
        <v>404793.24</v>
      </c>
      <c r="F56" s="131">
        <f>(260117.8-(E78+E80-E76))</f>
        <v>165110.27999999997</v>
      </c>
      <c r="G56" s="212">
        <f>E56+F56</f>
        <v>569903.52</v>
      </c>
      <c r="H56" s="131"/>
      <c r="I56" s="131"/>
      <c r="J56" s="131"/>
      <c r="K56" s="131"/>
      <c r="L56" s="131"/>
      <c r="M56" s="212">
        <f>G56</f>
        <v>569903.52</v>
      </c>
      <c r="N56" s="221">
        <f>SUM(D56,E56,F56)</f>
        <v>664911.92999999993</v>
      </c>
      <c r="O56" s="131"/>
      <c r="P56" s="263"/>
      <c r="Q56" s="251"/>
      <c r="R56" s="251"/>
      <c r="S56" s="169" t="s">
        <v>1</v>
      </c>
      <c r="T56" s="116">
        <f>ROUND(M56+D56,0)</f>
        <v>664912</v>
      </c>
      <c r="U56" s="116">
        <f>T56-W56</f>
        <v>260118</v>
      </c>
      <c r="V56" s="116">
        <f>ROUND(F56,0)</f>
        <v>165110</v>
      </c>
      <c r="W56" s="209">
        <f>ROUND(E56,0)+1</f>
        <v>404794</v>
      </c>
      <c r="X56" s="34"/>
      <c r="Y56" s="86"/>
      <c r="Z56" s="158"/>
      <c r="AA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</row>
    <row r="57" spans="1:47" s="34" customFormat="1" x14ac:dyDescent="0.3">
      <c r="A57" s="49"/>
      <c r="B57" s="211"/>
      <c r="C57" s="211"/>
      <c r="D57" s="377"/>
      <c r="E57" s="133"/>
      <c r="F57" s="377"/>
      <c r="G57" s="227"/>
      <c r="H57" s="133"/>
      <c r="I57" s="133"/>
      <c r="J57" s="133"/>
      <c r="K57" s="133"/>
      <c r="L57" s="133"/>
      <c r="M57" s="377"/>
      <c r="N57" s="221"/>
      <c r="O57" s="133"/>
      <c r="P57" s="263"/>
      <c r="Q57" s="251"/>
      <c r="R57" s="251"/>
      <c r="S57" s="171"/>
      <c r="T57" s="372"/>
      <c r="U57" s="116"/>
      <c r="V57" s="116"/>
      <c r="W57" s="209"/>
      <c r="Y57" s="86"/>
      <c r="Z57" s="158"/>
    </row>
    <row r="58" spans="1:47" s="49" customFormat="1" x14ac:dyDescent="0.3">
      <c r="B58" s="211"/>
      <c r="C58" s="211"/>
      <c r="D58" s="45"/>
      <c r="E58" s="213"/>
      <c r="F58" s="213"/>
      <c r="G58" s="213"/>
      <c r="H58" s="220"/>
      <c r="I58" s="220"/>
      <c r="J58" s="220"/>
      <c r="K58" s="220"/>
      <c r="L58" s="220"/>
      <c r="M58" s="133"/>
      <c r="O58" s="133"/>
      <c r="P58" s="254"/>
      <c r="Q58" s="237"/>
      <c r="R58" s="237"/>
      <c r="S58" s="171"/>
      <c r="T58" s="116"/>
      <c r="U58" s="116"/>
      <c r="V58" s="116"/>
      <c r="W58" s="209"/>
      <c r="X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</row>
    <row r="59" spans="1:47" ht="28.8" x14ac:dyDescent="0.3">
      <c r="A59" s="55"/>
      <c r="B59" s="47" t="s">
        <v>70</v>
      </c>
      <c r="C59" s="48" t="s">
        <v>54</v>
      </c>
      <c r="D59" s="137" t="s">
        <v>164</v>
      </c>
      <c r="E59" s="214" t="s">
        <v>170</v>
      </c>
      <c r="F59" s="214" t="s">
        <v>166</v>
      </c>
      <c r="G59" s="214" t="s">
        <v>171</v>
      </c>
      <c r="H59" s="131"/>
      <c r="I59" s="131"/>
      <c r="J59" s="131"/>
      <c r="K59" s="131"/>
      <c r="L59" s="131"/>
      <c r="M59" s="131"/>
      <c r="N59" s="34"/>
      <c r="O59" s="137"/>
      <c r="S59" s="168" t="s">
        <v>198</v>
      </c>
      <c r="T59" s="116"/>
      <c r="U59" s="116"/>
      <c r="V59" s="116"/>
      <c r="W59" s="209"/>
      <c r="X59" s="34"/>
      <c r="Y59" s="34"/>
      <c r="Z59" s="34"/>
      <c r="AA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</row>
    <row r="60" spans="1:47" x14ac:dyDescent="0.3">
      <c r="A60" s="55" t="s">
        <v>9</v>
      </c>
      <c r="B60" s="406">
        <v>3358395</v>
      </c>
      <c r="C60" s="406"/>
      <c r="D60" s="130">
        <f>D61+D62</f>
        <v>3358395</v>
      </c>
      <c r="E60" s="131">
        <f>E61+E62</f>
        <v>3265135.9200000004</v>
      </c>
      <c r="F60" s="131">
        <v>0</v>
      </c>
      <c r="G60" s="212">
        <f>E60</f>
        <v>3265135.9200000004</v>
      </c>
      <c r="H60" s="131"/>
      <c r="I60" s="131"/>
      <c r="J60" s="131"/>
      <c r="K60" s="131"/>
      <c r="L60" s="131"/>
      <c r="M60" s="130">
        <f>G60</f>
        <v>3265135.9200000004</v>
      </c>
      <c r="N60" s="24"/>
      <c r="O60" s="55"/>
      <c r="P60" s="257"/>
      <c r="Q60" s="239"/>
      <c r="R60" s="239"/>
      <c r="S60" s="169" t="s">
        <v>9</v>
      </c>
      <c r="T60" s="116">
        <f>T61+T62</f>
        <v>3265137</v>
      </c>
      <c r="U60" s="116">
        <f>T60-W60</f>
        <v>3265137</v>
      </c>
      <c r="V60" s="116"/>
      <c r="W60" s="210"/>
      <c r="X60" s="34"/>
      <c r="Y60" s="34"/>
      <c r="Z60" s="34"/>
      <c r="AA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</row>
    <row r="61" spans="1:47" x14ac:dyDescent="0.3">
      <c r="A61" s="55" t="s">
        <v>0</v>
      </c>
      <c r="B61" s="406">
        <v>2975657</v>
      </c>
      <c r="C61" s="406"/>
      <c r="D61" s="130">
        <v>2975657</v>
      </c>
      <c r="E61" s="131">
        <v>2894870.72</v>
      </c>
      <c r="F61" s="131">
        <v>0</v>
      </c>
      <c r="G61" s="212">
        <f>E61</f>
        <v>2894870.72</v>
      </c>
      <c r="H61" s="131"/>
      <c r="I61" s="131"/>
      <c r="J61" s="131"/>
      <c r="K61" s="131">
        <v>80786.279999999795</v>
      </c>
      <c r="L61" s="131"/>
      <c r="M61" s="130">
        <f>G61</f>
        <v>2894870.72</v>
      </c>
      <c r="N61" s="24"/>
      <c r="O61" s="131"/>
      <c r="P61" s="257"/>
      <c r="Q61" s="239"/>
      <c r="R61" s="239"/>
      <c r="S61" s="169" t="s">
        <v>0</v>
      </c>
      <c r="T61" s="116">
        <f>ROUND(M61,0)</f>
        <v>2894871</v>
      </c>
      <c r="U61" s="116">
        <f>T61-W61</f>
        <v>2894871</v>
      </c>
      <c r="V61" s="116"/>
      <c r="W61" s="210"/>
      <c r="X61" s="34"/>
      <c r="Y61" s="34"/>
      <c r="Z61" s="34"/>
      <c r="AA61" s="34"/>
    </row>
    <row r="62" spans="1:47" ht="15" thickBot="1" x14ac:dyDescent="0.35">
      <c r="A62" s="55" t="s">
        <v>1</v>
      </c>
      <c r="B62" s="406">
        <v>382738</v>
      </c>
      <c r="C62" s="406"/>
      <c r="D62" s="130">
        <v>382738</v>
      </c>
      <c r="E62" s="131">
        <v>370265.20000000007</v>
      </c>
      <c r="F62" s="131">
        <v>0</v>
      </c>
      <c r="G62" s="212">
        <f>E62</f>
        <v>370265.20000000007</v>
      </c>
      <c r="H62" s="131"/>
      <c r="I62" s="131"/>
      <c r="J62" s="131"/>
      <c r="K62" s="131">
        <v>12472.79999999993</v>
      </c>
      <c r="L62" s="131"/>
      <c r="M62" s="131">
        <f>G62</f>
        <v>370265.20000000007</v>
      </c>
      <c r="N62" s="222">
        <v>370266</v>
      </c>
      <c r="O62" s="131"/>
      <c r="P62" s="264"/>
      <c r="Q62" s="252"/>
      <c r="R62" s="252"/>
      <c r="S62" s="172" t="s">
        <v>1</v>
      </c>
      <c r="T62" s="295">
        <f>ROUND(M62,0)+1</f>
        <v>370266</v>
      </c>
      <c r="U62" s="295">
        <f>T62-W62</f>
        <v>370266</v>
      </c>
      <c r="V62" s="295"/>
      <c r="W62" s="296"/>
      <c r="X62" s="34"/>
      <c r="Y62" s="34"/>
      <c r="Z62" s="34"/>
      <c r="AA62" s="34"/>
    </row>
    <row r="63" spans="1:47" x14ac:dyDescent="0.3">
      <c r="A63" s="26"/>
      <c r="B63" s="46"/>
      <c r="C63" s="46"/>
      <c r="D63" s="45"/>
      <c r="E63" s="45"/>
      <c r="F63" s="45"/>
      <c r="G63" s="45"/>
      <c r="H63" s="49"/>
      <c r="I63" s="49"/>
      <c r="J63" s="49"/>
      <c r="K63" s="49"/>
      <c r="L63" s="49"/>
      <c r="M63" s="63"/>
      <c r="N63" s="34"/>
      <c r="O63" s="63"/>
      <c r="T63" s="227"/>
      <c r="U63" s="34"/>
      <c r="V63" s="34"/>
      <c r="W63" s="53"/>
      <c r="X63" s="88"/>
      <c r="Y63" s="34"/>
      <c r="Z63" s="34"/>
      <c r="AA63" s="34"/>
    </row>
    <row r="64" spans="1:47" x14ac:dyDescent="0.3">
      <c r="B64" t="s">
        <v>209</v>
      </c>
      <c r="E64" s="14"/>
      <c r="M64" s="11"/>
      <c r="O64" s="67"/>
      <c r="X64" s="34"/>
      <c r="Y64" s="34"/>
      <c r="Z64" s="34"/>
      <c r="AA64" s="34"/>
    </row>
    <row r="65" spans="2:47" s="49" customFormat="1" x14ac:dyDescent="0.3">
      <c r="B65" s="50"/>
      <c r="E65" s="133"/>
      <c r="F65" s="53"/>
      <c r="P65" s="254"/>
      <c r="Q65" s="237"/>
      <c r="R65" s="237"/>
      <c r="S65"/>
      <c r="T65" s="42"/>
      <c r="U65"/>
      <c r="V65"/>
      <c r="W65" s="34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</row>
    <row r="66" spans="2:47" s="49" customFormat="1" x14ac:dyDescent="0.3">
      <c r="B66" s="195" t="s">
        <v>140</v>
      </c>
      <c r="C66" s="55" t="s">
        <v>0</v>
      </c>
      <c r="D66" s="55" t="s">
        <v>1</v>
      </c>
      <c r="E66" s="34"/>
      <c r="P66" s="254"/>
      <c r="Q66" s="237"/>
      <c r="R66" s="237"/>
      <c r="S66"/>
      <c r="T66"/>
      <c r="U66"/>
      <c r="V66"/>
      <c r="W66" s="34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</row>
    <row r="67" spans="2:47" s="49" customFormat="1" ht="28.8" x14ac:dyDescent="0.3">
      <c r="B67" s="66" t="s">
        <v>78</v>
      </c>
      <c r="C67" s="403">
        <v>364685</v>
      </c>
      <c r="D67" s="403">
        <v>45247.61</v>
      </c>
      <c r="E67" s="310"/>
      <c r="P67" s="254"/>
      <c r="Q67" s="237"/>
      <c r="R67" s="237"/>
      <c r="S67"/>
      <c r="T67"/>
      <c r="U67"/>
      <c r="V67"/>
      <c r="W67" s="34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</row>
    <row r="68" spans="2:47" s="49" customFormat="1" ht="28.8" x14ac:dyDescent="0.3">
      <c r="B68" s="66" t="s">
        <v>79</v>
      </c>
      <c r="C68" s="403">
        <v>492173</v>
      </c>
      <c r="D68" s="403"/>
      <c r="E68" s="310"/>
      <c r="G68" s="64"/>
      <c r="M68" s="64"/>
      <c r="P68" s="254"/>
      <c r="Q68" s="237"/>
      <c r="R68" s="237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</row>
    <row r="69" spans="2:47" s="49" customFormat="1" ht="28.8" x14ac:dyDescent="0.3">
      <c r="B69" s="404" t="s">
        <v>144</v>
      </c>
      <c r="C69" s="7" t="s">
        <v>142</v>
      </c>
      <c r="D69" s="403">
        <f>Pārdales!C15</f>
        <v>31290</v>
      </c>
      <c r="E69" s="315"/>
      <c r="I69" s="142"/>
      <c r="J69" s="142"/>
      <c r="K69" s="142"/>
      <c r="L69" s="142"/>
      <c r="P69" s="254"/>
      <c r="Q69" s="237"/>
      <c r="R69" s="237"/>
      <c r="V69" s="24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</row>
    <row r="70" spans="2:47" s="49" customFormat="1" ht="18" x14ac:dyDescent="0.35">
      <c r="B70" s="404" t="s">
        <v>147</v>
      </c>
      <c r="C70" s="403">
        <v>80786.279999999795</v>
      </c>
      <c r="D70" s="403">
        <v>12472.79999999993</v>
      </c>
      <c r="E70" s="314"/>
      <c r="I70" s="142"/>
      <c r="J70" s="142"/>
      <c r="K70" s="142"/>
      <c r="L70" s="142"/>
      <c r="P70" s="254"/>
      <c r="Q70" s="237"/>
      <c r="R70" s="237"/>
      <c r="U70" s="133"/>
      <c r="V70" s="299"/>
      <c r="W70" s="133"/>
      <c r="X70" s="133"/>
      <c r="Y70" s="133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</row>
    <row r="71" spans="2:47" s="49" customFormat="1" x14ac:dyDescent="0.3">
      <c r="B71" s="146" t="s">
        <v>80</v>
      </c>
      <c r="C71" s="403">
        <f>('projektu saraksts'!D47)-'projektu saraksts'!D49</f>
        <v>34266</v>
      </c>
      <c r="D71" s="403">
        <v>6047</v>
      </c>
      <c r="E71" s="315"/>
      <c r="F71" s="133"/>
      <c r="I71" s="142"/>
      <c r="J71" s="142"/>
      <c r="K71" s="142"/>
      <c r="L71" s="142"/>
      <c r="P71" s="254"/>
      <c r="Q71" s="237"/>
      <c r="R71" s="237"/>
    </row>
    <row r="72" spans="2:47" s="49" customFormat="1" x14ac:dyDescent="0.3">
      <c r="B72" s="126" t="s">
        <v>174</v>
      </c>
      <c r="C72" s="405"/>
      <c r="D72" s="405"/>
      <c r="E72" s="126"/>
      <c r="F72" s="34"/>
      <c r="H72" s="142"/>
      <c r="I72" s="142"/>
      <c r="J72" s="142"/>
      <c r="K72" s="142"/>
      <c r="L72" s="142"/>
      <c r="P72" s="254"/>
      <c r="Q72" s="237"/>
      <c r="R72" s="237"/>
      <c r="W72" s="228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</row>
    <row r="73" spans="2:47" s="49" customFormat="1" x14ac:dyDescent="0.3">
      <c r="B73" s="143"/>
      <c r="C73" s="142"/>
      <c r="D73" s="145"/>
      <c r="E73" s="64"/>
      <c r="F73" s="64"/>
      <c r="G73" s="24"/>
      <c r="M73" s="24"/>
      <c r="O73" s="24"/>
      <c r="P73" s="254"/>
      <c r="Q73" s="237"/>
      <c r="R73" s="237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</row>
    <row r="74" spans="2:47" s="49" customFormat="1" x14ac:dyDescent="0.3">
      <c r="B74" s="66"/>
      <c r="C74" s="185"/>
      <c r="D74" s="186" t="s">
        <v>0</v>
      </c>
      <c r="E74" s="186" t="s">
        <v>1</v>
      </c>
      <c r="F74" s="64"/>
      <c r="G74" s="24"/>
      <c r="M74" s="24"/>
      <c r="O74" s="24"/>
      <c r="P74" s="254"/>
      <c r="Q74" s="237"/>
      <c r="R74" s="237"/>
    </row>
    <row r="75" spans="2:47" s="49" customFormat="1" x14ac:dyDescent="0.3">
      <c r="B75" s="66" t="s">
        <v>189</v>
      </c>
      <c r="C75" s="55" t="s">
        <v>205</v>
      </c>
      <c r="D75" s="397">
        <f>-('projektu saraksts'!D42)</f>
        <v>59384.179999999236</v>
      </c>
      <c r="E75" s="186">
        <f>'projektu saraksts'!E44</f>
        <v>95056.520000000019</v>
      </c>
      <c r="F75" s="316"/>
      <c r="G75" s="323"/>
      <c r="M75" s="133"/>
      <c r="P75" s="254"/>
      <c r="Q75" s="237"/>
      <c r="R75" s="237"/>
    </row>
    <row r="76" spans="2:47" s="49" customFormat="1" x14ac:dyDescent="0.3">
      <c r="B76" s="66" t="s">
        <v>190</v>
      </c>
      <c r="C76" s="55"/>
      <c r="D76" s="468">
        <f>C70+C71-D75</f>
        <v>55668.100000000559</v>
      </c>
      <c r="E76" s="468">
        <f>D67+D69+D70+D71-E75</f>
        <v>0.88999999991210643</v>
      </c>
      <c r="F76" s="393" t="s">
        <v>294</v>
      </c>
      <c r="H76" s="24"/>
      <c r="I76" s="24"/>
      <c r="J76" s="24"/>
      <c r="K76" s="24"/>
      <c r="L76" s="24"/>
      <c r="P76" s="254"/>
      <c r="Q76" s="237"/>
      <c r="R76" s="237"/>
    </row>
    <row r="77" spans="2:47" s="49" customFormat="1" x14ac:dyDescent="0.3">
      <c r="B77" s="187"/>
      <c r="C77" s="131"/>
      <c r="D77" s="55"/>
      <c r="E77" s="68"/>
      <c r="F77" s="393"/>
      <c r="P77" s="254"/>
      <c r="Q77" s="237"/>
      <c r="R77" s="237"/>
    </row>
    <row r="78" spans="2:47" s="49" customFormat="1" x14ac:dyDescent="0.3">
      <c r="B78" s="187"/>
      <c r="C78" s="131" t="s">
        <v>206</v>
      </c>
      <c r="D78" s="398">
        <f>D75</f>
        <v>59384.179999999236</v>
      </c>
      <c r="E78" s="398">
        <f>(D67+D69+D70)</f>
        <v>89010.409999999931</v>
      </c>
      <c r="F78" s="469" t="s">
        <v>289</v>
      </c>
      <c r="P78" s="254"/>
      <c r="Q78" s="237"/>
      <c r="R78" s="237"/>
    </row>
    <row r="79" spans="2:47" s="49" customFormat="1" x14ac:dyDescent="0.3">
      <c r="B79" s="188" t="s">
        <v>260</v>
      </c>
      <c r="C79" s="131" t="s">
        <v>206</v>
      </c>
      <c r="D79" s="398">
        <f>C70-D78</f>
        <v>21402.100000000559</v>
      </c>
      <c r="E79" s="68"/>
      <c r="F79" s="469" t="s">
        <v>290</v>
      </c>
      <c r="P79" s="254"/>
      <c r="Q79" s="237"/>
      <c r="R79" s="237"/>
    </row>
    <row r="80" spans="2:47" s="49" customFormat="1" x14ac:dyDescent="0.3">
      <c r="B80" s="188"/>
      <c r="C80" s="131" t="s">
        <v>208</v>
      </c>
      <c r="D80" s="398">
        <f>C71-D81</f>
        <v>33988.333333333336</v>
      </c>
      <c r="E80" s="398">
        <f>(D67+D69+D70+D71)-E78-E81</f>
        <v>5998</v>
      </c>
      <c r="F80" s="469" t="s">
        <v>291</v>
      </c>
      <c r="G80" s="24"/>
      <c r="M80" s="72"/>
      <c r="P80" s="254"/>
      <c r="Q80" s="237"/>
      <c r="R80" s="237"/>
    </row>
    <row r="81" spans="2:33" s="49" customFormat="1" ht="18" x14ac:dyDescent="0.35">
      <c r="B81" s="144"/>
      <c r="C81" s="131" t="s">
        <v>208</v>
      </c>
      <c r="D81" s="398">
        <v>277.66666666666669</v>
      </c>
      <c r="E81" s="398">
        <v>49</v>
      </c>
      <c r="F81" s="393" t="s">
        <v>246</v>
      </c>
      <c r="G81" s="399"/>
      <c r="M81" s="72"/>
      <c r="P81" s="254"/>
      <c r="Q81" s="237"/>
      <c r="R81" s="237"/>
    </row>
    <row r="82" spans="2:33" s="49" customFormat="1" x14ac:dyDescent="0.3">
      <c r="B82" s="144"/>
      <c r="C82" s="133" t="s">
        <v>239</v>
      </c>
      <c r="D82" s="294">
        <v>6</v>
      </c>
      <c r="E82" s="294">
        <v>1</v>
      </c>
      <c r="F82" s="394"/>
      <c r="G82" s="24"/>
      <c r="M82" s="72"/>
      <c r="P82" s="254"/>
      <c r="Q82" s="237"/>
      <c r="R82" s="237"/>
    </row>
    <row r="83" spans="2:33" s="49" customFormat="1" x14ac:dyDescent="0.3">
      <c r="B83" s="391"/>
      <c r="D83" s="64"/>
      <c r="F83" s="395"/>
      <c r="G83" s="24"/>
      <c r="M83" s="72"/>
      <c r="P83" s="254"/>
      <c r="Q83" s="237"/>
      <c r="R83" s="237"/>
    </row>
    <row r="84" spans="2:33" s="302" customFormat="1" x14ac:dyDescent="0.3">
      <c r="B84" s="392"/>
      <c r="C84" s="402" t="s">
        <v>240</v>
      </c>
      <c r="D84" s="373">
        <f>D78+D79+D80+D81+D82</f>
        <v>115058.27999999981</v>
      </c>
      <c r="E84" s="373">
        <f>E78+E80+E81+E82</f>
        <v>95058.409999999931</v>
      </c>
      <c r="F84" s="396">
        <f>D84+E84</f>
        <v>210116.68999999974</v>
      </c>
      <c r="G84" s="304"/>
      <c r="P84" s="305"/>
      <c r="Q84" s="306"/>
      <c r="R84" s="306"/>
    </row>
    <row r="85" spans="2:33" s="302" customFormat="1" x14ac:dyDescent="0.3">
      <c r="C85" s="400" t="s">
        <v>241</v>
      </c>
      <c r="D85" s="401">
        <f>(D80+D81+D82)</f>
        <v>34272</v>
      </c>
      <c r="E85" s="401">
        <f>E80+E81+E82</f>
        <v>6048</v>
      </c>
      <c r="F85" s="396">
        <f>D85+E85</f>
        <v>40320</v>
      </c>
      <c r="G85" s="303" t="s">
        <v>242</v>
      </c>
      <c r="P85" s="305"/>
      <c r="Q85" s="306"/>
      <c r="R85" s="306"/>
    </row>
    <row r="86" spans="2:33" s="302" customFormat="1" x14ac:dyDescent="0.3">
      <c r="C86" s="400" t="s">
        <v>241</v>
      </c>
      <c r="D86" s="467"/>
      <c r="E86" s="401">
        <f>D69</f>
        <v>31290</v>
      </c>
      <c r="F86" s="294"/>
      <c r="G86" s="304"/>
      <c r="P86" s="305"/>
      <c r="Q86" s="306"/>
      <c r="R86" s="306"/>
    </row>
    <row r="87" spans="2:33" s="49" customFormat="1" x14ac:dyDescent="0.3">
      <c r="D87" s="64"/>
      <c r="E87" s="64">
        <f>E85+E86</f>
        <v>37338</v>
      </c>
      <c r="F87" s="155"/>
      <c r="G87" s="322"/>
      <c r="P87" s="254"/>
      <c r="Q87" s="237"/>
      <c r="R87" s="237"/>
    </row>
    <row r="88" spans="2:33" s="49" customFormat="1" x14ac:dyDescent="0.3">
      <c r="C88" s="49" t="s">
        <v>295</v>
      </c>
      <c r="D88" s="294">
        <f>D84-D75</f>
        <v>55674.100000000573</v>
      </c>
      <c r="E88" s="64"/>
      <c r="F88" s="64"/>
      <c r="M88" s="72"/>
      <c r="O88" s="133"/>
      <c r="P88" s="254"/>
      <c r="Q88" s="237"/>
      <c r="R88" s="237"/>
    </row>
    <row r="89" spans="2:33" s="34" customFormat="1" x14ac:dyDescent="0.3">
      <c r="B89" s="269"/>
      <c r="C89" s="266"/>
      <c r="D89" s="294">
        <f>D79+D80+D81+D82</f>
        <v>55674.100000000559</v>
      </c>
      <c r="E89" s="378"/>
      <c r="O89" s="133"/>
      <c r="P89" s="230"/>
      <c r="Q89" s="157"/>
      <c r="R89" s="157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</row>
    <row r="90" spans="2:33" x14ac:dyDescent="0.3">
      <c r="B90" s="71" t="s">
        <v>52</v>
      </c>
      <c r="D90" s="62"/>
      <c r="E90" s="379"/>
      <c r="O90" s="112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</row>
    <row r="91" spans="2:33" x14ac:dyDescent="0.3">
      <c r="B91" s="37" t="s">
        <v>217</v>
      </c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</row>
    <row r="92" spans="2:33" x14ac:dyDescent="0.3">
      <c r="B92" s="32" t="s">
        <v>87</v>
      </c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</row>
    <row r="93" spans="2:33" x14ac:dyDescent="0.3">
      <c r="B93" s="282"/>
      <c r="C93" s="283" t="s">
        <v>0</v>
      </c>
      <c r="D93" s="147" t="s">
        <v>84</v>
      </c>
      <c r="E93" s="283" t="s">
        <v>1</v>
      </c>
      <c r="F93" s="7"/>
      <c r="G93" s="283" t="s">
        <v>4</v>
      </c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</row>
    <row r="94" spans="2:33" x14ac:dyDescent="0.3">
      <c r="B94" s="287" t="s">
        <v>84</v>
      </c>
      <c r="C94" s="288">
        <v>84.237119614807312</v>
      </c>
      <c r="D94" s="289"/>
      <c r="E94" s="288">
        <v>15.762880385192693</v>
      </c>
      <c r="F94" s="290"/>
      <c r="G94" s="288"/>
    </row>
    <row r="95" spans="2:33" x14ac:dyDescent="0.3">
      <c r="B95" s="282" t="s">
        <v>119</v>
      </c>
      <c r="C95" s="283">
        <v>8608292</v>
      </c>
      <c r="D95" s="284">
        <f>C95*D97/C97</f>
        <v>92.901078816034911</v>
      </c>
      <c r="E95" s="283">
        <f>C95*E94/C94</f>
        <v>1610827.598774628</v>
      </c>
      <c r="F95" s="291">
        <f>E95*F97/E97</f>
        <v>92.901078816034911</v>
      </c>
      <c r="G95" s="283">
        <f>C95+E95</f>
        <v>10219119.598774629</v>
      </c>
    </row>
    <row r="96" spans="2:33" x14ac:dyDescent="0.3">
      <c r="B96" s="282" t="s">
        <v>119</v>
      </c>
      <c r="C96" s="283">
        <v>657792</v>
      </c>
      <c r="D96" s="12">
        <f>C96*D97/C97</f>
        <v>7.0989211839650928</v>
      </c>
      <c r="E96" s="283">
        <f>C96*E94/C94</f>
        <v>123089.401225372</v>
      </c>
      <c r="F96" s="13">
        <f>E96*F97/E97</f>
        <v>7.098921183965091</v>
      </c>
      <c r="G96" s="283">
        <f>C96+E96</f>
        <v>780881.40122537198</v>
      </c>
    </row>
    <row r="97" spans="2:18" x14ac:dyDescent="0.3">
      <c r="B97" t="s">
        <v>4</v>
      </c>
      <c r="C97" s="285">
        <f>C95+C96</f>
        <v>9266084</v>
      </c>
      <c r="D97" s="286">
        <v>100</v>
      </c>
      <c r="E97" s="285">
        <f>E95+E96</f>
        <v>1733917</v>
      </c>
      <c r="F97" s="157">
        <v>100</v>
      </c>
      <c r="G97" s="285">
        <f>C97+E97</f>
        <v>11000001</v>
      </c>
      <c r="M97" s="49"/>
      <c r="N97" s="72"/>
      <c r="O97" s="49"/>
      <c r="P97" s="232"/>
      <c r="Q97" s="245"/>
      <c r="R97" s="245"/>
    </row>
    <row r="98" spans="2:18" x14ac:dyDescent="0.3">
      <c r="M98" s="100"/>
      <c r="N98" s="72"/>
      <c r="O98" s="100"/>
      <c r="P98" s="232"/>
      <c r="Q98" s="245"/>
      <c r="R98" s="245"/>
    </row>
    <row r="99" spans="2:18" x14ac:dyDescent="0.3">
      <c r="B99" s="32" t="s">
        <v>64</v>
      </c>
      <c r="M99" s="5"/>
      <c r="N99" s="62" t="s">
        <v>33</v>
      </c>
      <c r="O99" s="53"/>
      <c r="P99" s="233"/>
      <c r="Q99" s="247"/>
      <c r="R99" s="247"/>
    </row>
    <row r="100" spans="2:18" x14ac:dyDescent="0.3">
      <c r="B100" s="281" t="s">
        <v>118</v>
      </c>
      <c r="C100" s="283" t="s">
        <v>0</v>
      </c>
      <c r="D100" s="147" t="s">
        <v>84</v>
      </c>
      <c r="E100" s="283" t="s">
        <v>1</v>
      </c>
      <c r="F100" s="7" t="s">
        <v>84</v>
      </c>
      <c r="G100" s="283" t="s">
        <v>9</v>
      </c>
      <c r="N100" s="62"/>
      <c r="P100" s="233"/>
      <c r="Q100" s="247"/>
      <c r="R100" s="247"/>
    </row>
    <row r="101" spans="2:18" x14ac:dyDescent="0.3">
      <c r="B101" s="282" t="s">
        <v>119</v>
      </c>
      <c r="C101" s="283">
        <f>C103*D101/D103</f>
        <v>6262872.3457572805</v>
      </c>
      <c r="D101" s="12">
        <v>92.901078816034911</v>
      </c>
      <c r="E101" s="283">
        <f>E103*F101/F103</f>
        <v>1356265.6366676581</v>
      </c>
      <c r="F101" s="12">
        <v>92.901078816034911</v>
      </c>
      <c r="G101" s="283">
        <f>C101+E101</f>
        <v>7619137.9824249391</v>
      </c>
      <c r="N101" s="62"/>
      <c r="P101" s="233"/>
      <c r="Q101" s="247"/>
      <c r="R101" s="247"/>
    </row>
    <row r="102" spans="2:18" x14ac:dyDescent="0.3">
      <c r="B102" s="282" t="s">
        <v>119</v>
      </c>
      <c r="C102" s="283">
        <f>C103*D102/D103</f>
        <v>478569.65424271999</v>
      </c>
      <c r="D102" s="12">
        <v>7.0989211839650928</v>
      </c>
      <c r="E102" s="283">
        <f>E103*F102/F103</f>
        <v>103637.36333234191</v>
      </c>
      <c r="F102" s="12">
        <v>7.0989211839650928</v>
      </c>
      <c r="G102" s="283">
        <f>W18-G101</f>
        <v>582207.01757506095</v>
      </c>
    </row>
    <row r="103" spans="2:18" x14ac:dyDescent="0.3">
      <c r="C103">
        <v>6741442</v>
      </c>
      <c r="D103" s="292">
        <v>100</v>
      </c>
      <c r="E103">
        <v>1459903</v>
      </c>
      <c r="F103" s="292">
        <v>100</v>
      </c>
      <c r="G103" s="42">
        <f>C103+E103</f>
        <v>8201345</v>
      </c>
    </row>
    <row r="104" spans="2:18" ht="15" thickBot="1" x14ac:dyDescent="0.35"/>
    <row r="105" spans="2:18" ht="15" thickBot="1" x14ac:dyDescent="0.35">
      <c r="C105" s="42"/>
      <c r="E105">
        <f>E106+E107</f>
        <v>11000001</v>
      </c>
      <c r="G105" s="99">
        <v>100</v>
      </c>
    </row>
    <row r="106" spans="2:18" ht="15" thickBot="1" x14ac:dyDescent="0.35">
      <c r="E106">
        <v>9266084</v>
      </c>
      <c r="G106" s="99">
        <f>E106*G105/E105</f>
        <v>84.237119614807312</v>
      </c>
    </row>
    <row r="107" spans="2:18" ht="15" thickBot="1" x14ac:dyDescent="0.35">
      <c r="E107">
        <v>1733917</v>
      </c>
      <c r="G107" s="99">
        <f>E107*G105/E105</f>
        <v>15.762880385192693</v>
      </c>
    </row>
    <row r="109" spans="2:18" x14ac:dyDescent="0.3">
      <c r="D109" s="42"/>
    </row>
  </sheetData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8"/>
  <sheetViews>
    <sheetView topLeftCell="A13" zoomScale="85" zoomScaleNormal="85" workbookViewId="0">
      <selection activeCell="F31" sqref="F31"/>
    </sheetView>
  </sheetViews>
  <sheetFormatPr defaultRowHeight="14.4" x14ac:dyDescent="0.3"/>
  <cols>
    <col min="1" max="1" width="9.6640625" customWidth="1"/>
    <col min="2" max="2" width="13.6640625" customWidth="1"/>
    <col min="3" max="5" width="14.6640625" customWidth="1"/>
    <col min="6" max="6" width="17.6640625" customWidth="1"/>
    <col min="7" max="7" width="17" customWidth="1"/>
    <col min="8" max="8" width="13.5546875" customWidth="1"/>
  </cols>
  <sheetData>
    <row r="2" spans="1:8" x14ac:dyDescent="0.3">
      <c r="G2" t="s">
        <v>210</v>
      </c>
    </row>
    <row r="3" spans="1:8" ht="61.2" customHeight="1" x14ac:dyDescent="0.3">
      <c r="A3" s="386" t="s">
        <v>34</v>
      </c>
      <c r="B3" s="386" t="s">
        <v>35</v>
      </c>
      <c r="C3" s="386" t="s">
        <v>30</v>
      </c>
      <c r="D3" s="22"/>
      <c r="E3" s="388" t="s">
        <v>44</v>
      </c>
      <c r="F3" s="389"/>
      <c r="G3" s="390"/>
    </row>
    <row r="4" spans="1:8" ht="28.95" customHeight="1" x14ac:dyDescent="0.3">
      <c r="A4" s="387"/>
      <c r="B4" s="387"/>
      <c r="C4" s="387"/>
      <c r="D4" s="23"/>
      <c r="E4" s="1" t="s">
        <v>36</v>
      </c>
      <c r="F4" s="1"/>
      <c r="G4" s="1"/>
    </row>
    <row r="5" spans="1:8" x14ac:dyDescent="0.3">
      <c r="A5" s="1"/>
      <c r="B5" s="1"/>
      <c r="C5" s="1"/>
      <c r="D5" s="1"/>
      <c r="E5" s="1" t="s">
        <v>9</v>
      </c>
      <c r="F5" s="1" t="s">
        <v>37</v>
      </c>
      <c r="G5" s="1" t="s">
        <v>38</v>
      </c>
    </row>
    <row r="6" spans="1:8" x14ac:dyDescent="0.3">
      <c r="A6" s="1">
        <v>1</v>
      </c>
      <c r="B6" s="21">
        <v>0.8982</v>
      </c>
      <c r="C6" s="4" t="s">
        <v>39</v>
      </c>
      <c r="D6" s="4"/>
      <c r="E6" s="4">
        <v>36343385</v>
      </c>
      <c r="F6" s="4">
        <f>B6*E6</f>
        <v>32643628.407000002</v>
      </c>
      <c r="G6" s="4">
        <f>E6-F6</f>
        <v>3699756.5929999985</v>
      </c>
    </row>
    <row r="7" spans="1:8" x14ac:dyDescent="0.3">
      <c r="A7" s="1">
        <v>2</v>
      </c>
      <c r="B7" s="21">
        <v>0.78520000000000001</v>
      </c>
      <c r="C7" s="4" t="s">
        <v>40</v>
      </c>
      <c r="D7" s="4"/>
      <c r="E7" s="4">
        <v>17221032</v>
      </c>
      <c r="F7" s="4">
        <f>B7*E7</f>
        <v>13521954.326400001</v>
      </c>
      <c r="G7" s="4">
        <f t="shared" ref="G7:G10" si="0">E7-F7</f>
        <v>3699077.6735999994</v>
      </c>
    </row>
    <row r="8" spans="1:8" x14ac:dyDescent="0.3">
      <c r="A8" s="1">
        <v>3</v>
      </c>
      <c r="B8" s="21">
        <v>0.76939999999999997</v>
      </c>
      <c r="C8" s="4" t="s">
        <v>41</v>
      </c>
      <c r="D8" s="4"/>
      <c r="E8" s="4">
        <v>15044401</v>
      </c>
      <c r="F8" s="4">
        <f>B8*E8</f>
        <v>11575162.1294</v>
      </c>
      <c r="G8" s="4">
        <f t="shared" si="0"/>
        <v>3469238.8706</v>
      </c>
    </row>
    <row r="9" spans="1:8" x14ac:dyDescent="0.3">
      <c r="A9" s="1">
        <v>4</v>
      </c>
      <c r="B9" s="21">
        <v>0.84160000000000001</v>
      </c>
      <c r="C9" s="4" t="s">
        <v>42</v>
      </c>
      <c r="D9" s="4"/>
      <c r="E9" s="4">
        <v>21402479</v>
      </c>
      <c r="F9" s="4">
        <f>B9*E9</f>
        <v>18012326.326400001</v>
      </c>
      <c r="G9" s="4">
        <f t="shared" si="0"/>
        <v>3390152.6735999994</v>
      </c>
    </row>
    <row r="10" spans="1:8" x14ac:dyDescent="0.3">
      <c r="A10" s="1">
        <v>5</v>
      </c>
      <c r="B10" s="21">
        <v>0.84160000000000001</v>
      </c>
      <c r="C10" s="4" t="s">
        <v>43</v>
      </c>
      <c r="D10" s="4"/>
      <c r="E10" s="4">
        <v>7225657</v>
      </c>
      <c r="F10" s="4">
        <f>B10*E10</f>
        <v>6081112.9312000005</v>
      </c>
      <c r="G10" s="4">
        <f t="shared" si="0"/>
        <v>1144544.0687999995</v>
      </c>
    </row>
    <row r="11" spans="1:8" x14ac:dyDescent="0.3">
      <c r="A11" s="26"/>
      <c r="B11" s="27"/>
      <c r="C11" s="25"/>
      <c r="D11" s="25"/>
      <c r="E11" s="25"/>
      <c r="F11" s="25"/>
      <c r="G11" s="25"/>
    </row>
    <row r="12" spans="1:8" x14ac:dyDescent="0.3">
      <c r="A12" s="26"/>
      <c r="B12" s="27"/>
      <c r="C12" s="25"/>
      <c r="D12" s="25" t="s">
        <v>86</v>
      </c>
      <c r="E12" s="25"/>
      <c r="F12" s="25"/>
      <c r="G12" s="25"/>
    </row>
    <row r="13" spans="1:8" x14ac:dyDescent="0.3">
      <c r="A13" t="s">
        <v>243</v>
      </c>
      <c r="E13" s="25"/>
      <c r="F13" s="25"/>
      <c r="G13" s="25"/>
    </row>
    <row r="14" spans="1:8" x14ac:dyDescent="0.3">
      <c r="A14" s="4"/>
      <c r="B14" s="4" t="s">
        <v>46</v>
      </c>
      <c r="C14" s="4" t="s">
        <v>47</v>
      </c>
      <c r="E14" s="25"/>
      <c r="F14" s="25"/>
      <c r="G14" s="25"/>
    </row>
    <row r="15" spans="1:8" x14ac:dyDescent="0.3">
      <c r="A15" s="52" t="s">
        <v>39</v>
      </c>
      <c r="B15" s="52">
        <v>36343385</v>
      </c>
      <c r="C15" s="52"/>
      <c r="E15" s="25"/>
      <c r="F15" s="25"/>
      <c r="G15" s="25"/>
    </row>
    <row r="16" spans="1:8" x14ac:dyDescent="0.3">
      <c r="A16" s="52" t="s">
        <v>40</v>
      </c>
      <c r="B16" s="52">
        <v>17221032</v>
      </c>
      <c r="C16" s="52"/>
      <c r="E16" s="25"/>
      <c r="F16" s="25"/>
      <c r="G16" s="25"/>
      <c r="H16" s="5"/>
    </row>
    <row r="17" spans="1:8" x14ac:dyDescent="0.3">
      <c r="A17" s="52" t="s">
        <v>41</v>
      </c>
      <c r="B17" s="52">
        <v>13922760</v>
      </c>
      <c r="C17" s="52">
        <v>1121641</v>
      </c>
      <c r="E17" s="25"/>
      <c r="F17" s="49"/>
      <c r="H17" s="49"/>
    </row>
    <row r="18" spans="1:8" x14ac:dyDescent="0.3">
      <c r="A18" s="52" t="s">
        <v>42</v>
      </c>
      <c r="B18" s="52">
        <v>16886997</v>
      </c>
      <c r="C18" s="52">
        <v>3076703</v>
      </c>
      <c r="E18" s="25"/>
      <c r="F18" s="24"/>
      <c r="G18" s="5"/>
      <c r="H18" s="24"/>
    </row>
    <row r="19" spans="1:8" x14ac:dyDescent="0.3">
      <c r="A19" s="52" t="s">
        <v>43</v>
      </c>
      <c r="B19" s="52">
        <v>2954256</v>
      </c>
      <c r="C19" s="52">
        <v>2543098</v>
      </c>
      <c r="E19" s="25"/>
      <c r="F19" s="24"/>
      <c r="G19" s="5"/>
      <c r="H19" s="24"/>
    </row>
    <row r="20" spans="1:8" x14ac:dyDescent="0.3">
      <c r="A20" s="307" t="s">
        <v>4</v>
      </c>
      <c r="B20" s="307">
        <f>SUM(B15:B19)</f>
        <v>87328430</v>
      </c>
      <c r="C20" s="307">
        <f>SUM(C17:C19)</f>
        <v>6741442</v>
      </c>
      <c r="E20" s="25"/>
      <c r="F20" s="24"/>
      <c r="G20" s="5"/>
      <c r="H20" s="24"/>
    </row>
    <row r="21" spans="1:8" x14ac:dyDescent="0.3">
      <c r="A21" s="24"/>
      <c r="B21" s="53"/>
      <c r="C21" s="53"/>
      <c r="D21" s="53"/>
      <c r="E21" s="25"/>
      <c r="F21" s="25"/>
      <c r="G21" s="25"/>
    </row>
    <row r="22" spans="1:8" x14ac:dyDescent="0.3">
      <c r="A22" s="26" t="s">
        <v>51</v>
      </c>
      <c r="B22" s="27"/>
      <c r="C22" s="25"/>
      <c r="D22" s="25"/>
      <c r="E22" s="25"/>
      <c r="F22" s="25"/>
      <c r="G22" s="25"/>
    </row>
    <row r="23" spans="1:8" x14ac:dyDescent="0.3">
      <c r="G23" t="s">
        <v>211</v>
      </c>
    </row>
    <row r="24" spans="1:8" ht="40.950000000000003" customHeight="1" x14ac:dyDescent="0.3">
      <c r="A24" s="385" t="s">
        <v>34</v>
      </c>
      <c r="B24" s="385" t="s">
        <v>35</v>
      </c>
      <c r="C24" s="385" t="s">
        <v>30</v>
      </c>
      <c r="D24" s="386" t="s">
        <v>31</v>
      </c>
      <c r="E24" s="385" t="s">
        <v>45</v>
      </c>
      <c r="F24" s="385"/>
      <c r="G24" s="385"/>
    </row>
    <row r="25" spans="1:8" ht="28.95" customHeight="1" x14ac:dyDescent="0.3">
      <c r="A25" s="385"/>
      <c r="B25" s="385"/>
      <c r="C25" s="385"/>
      <c r="D25" s="387"/>
      <c r="E25" s="1" t="s">
        <v>36</v>
      </c>
      <c r="F25" s="1"/>
      <c r="G25" s="1"/>
    </row>
    <row r="26" spans="1:8" x14ac:dyDescent="0.3">
      <c r="A26" s="1"/>
      <c r="B26" s="1"/>
      <c r="C26" s="1"/>
      <c r="D26" s="1"/>
      <c r="E26" s="1" t="s">
        <v>0</v>
      </c>
      <c r="F26" s="1" t="s">
        <v>37</v>
      </c>
      <c r="G26" s="1" t="s">
        <v>38</v>
      </c>
    </row>
    <row r="27" spans="1:8" x14ac:dyDescent="0.3">
      <c r="A27" s="1">
        <v>1</v>
      </c>
      <c r="B27" s="21">
        <v>0.8982</v>
      </c>
      <c r="C27" s="4" t="s">
        <v>39</v>
      </c>
      <c r="D27" s="4"/>
      <c r="E27" s="4">
        <f>B15</f>
        <v>36343385</v>
      </c>
      <c r="F27" s="4">
        <f>B27*E27</f>
        <v>32643628.407000002</v>
      </c>
      <c r="G27" s="4">
        <f>E27-F27</f>
        <v>3699756.5929999985</v>
      </c>
    </row>
    <row r="28" spans="1:8" x14ac:dyDescent="0.3">
      <c r="A28" s="1">
        <v>2</v>
      </c>
      <c r="B28" s="21">
        <v>0.78520000000000001</v>
      </c>
      <c r="C28" s="4" t="s">
        <v>40</v>
      </c>
      <c r="D28" s="4"/>
      <c r="E28" s="4">
        <f>B16</f>
        <v>17221032</v>
      </c>
      <c r="F28" s="4">
        <f>B28*E28</f>
        <v>13521954.326400001</v>
      </c>
      <c r="G28" s="4">
        <f t="shared" ref="G28:G34" si="1">E28-F28</f>
        <v>3699077.6735999994</v>
      </c>
    </row>
    <row r="29" spans="1:8" x14ac:dyDescent="0.3">
      <c r="A29" s="1">
        <v>3</v>
      </c>
      <c r="B29" s="21">
        <v>0.76939999999999997</v>
      </c>
      <c r="C29" s="4" t="s">
        <v>41</v>
      </c>
      <c r="D29" s="4"/>
      <c r="E29" s="4">
        <f>B17</f>
        <v>13922760</v>
      </c>
      <c r="F29" s="4">
        <f>B29*E29</f>
        <v>10712171.544</v>
      </c>
      <c r="G29" s="4">
        <f t="shared" si="1"/>
        <v>3210588.4560000002</v>
      </c>
    </row>
    <row r="30" spans="1:8" x14ac:dyDescent="0.3">
      <c r="A30" s="1">
        <v>3</v>
      </c>
      <c r="B30" s="21">
        <v>0.76939999999999997</v>
      </c>
      <c r="C30" s="4"/>
      <c r="D30" s="4" t="s">
        <v>41</v>
      </c>
      <c r="E30" s="4">
        <f>C17</f>
        <v>1121641</v>
      </c>
      <c r="F30" s="4">
        <f t="shared" ref="F30:F34" si="2">B30*E30</f>
        <v>862990.58539999998</v>
      </c>
      <c r="G30" s="4">
        <f t="shared" si="1"/>
        <v>258650.41460000002</v>
      </c>
    </row>
    <row r="31" spans="1:8" x14ac:dyDescent="0.3">
      <c r="A31" s="1">
        <v>4</v>
      </c>
      <c r="B31" s="21">
        <v>0.84160000000000001</v>
      </c>
      <c r="C31" s="4" t="s">
        <v>42</v>
      </c>
      <c r="D31" s="4"/>
      <c r="E31" s="4">
        <f>B18</f>
        <v>16886997</v>
      </c>
      <c r="F31" s="4">
        <f t="shared" si="2"/>
        <v>14212096.6752</v>
      </c>
      <c r="G31" s="4">
        <f t="shared" si="1"/>
        <v>2674900.3247999996</v>
      </c>
    </row>
    <row r="32" spans="1:8" x14ac:dyDescent="0.3">
      <c r="A32" s="1">
        <v>4</v>
      </c>
      <c r="B32" s="21">
        <v>0.84160000000000001</v>
      </c>
      <c r="C32" s="4"/>
      <c r="D32" s="4" t="s">
        <v>42</v>
      </c>
      <c r="E32" s="4">
        <f>C18</f>
        <v>3076703</v>
      </c>
      <c r="F32" s="4">
        <f t="shared" si="2"/>
        <v>2589353.2448</v>
      </c>
      <c r="G32" s="4">
        <f t="shared" si="1"/>
        <v>487349.75520000001</v>
      </c>
    </row>
    <row r="33" spans="1:7" x14ac:dyDescent="0.3">
      <c r="A33" s="1">
        <v>5</v>
      </c>
      <c r="B33" s="21">
        <v>0.84160000000000001</v>
      </c>
      <c r="C33" s="4" t="s">
        <v>43</v>
      </c>
      <c r="D33" s="4"/>
      <c r="E33" s="4">
        <f>B19</f>
        <v>2954256</v>
      </c>
      <c r="F33" s="4">
        <f>B33*E33</f>
        <v>2486301.8495999998</v>
      </c>
      <c r="G33" s="4">
        <f t="shared" si="1"/>
        <v>467954.15040000016</v>
      </c>
    </row>
    <row r="34" spans="1:7" x14ac:dyDescent="0.3">
      <c r="A34" s="1">
        <v>5</v>
      </c>
      <c r="B34" s="21">
        <v>0.84160000000000001</v>
      </c>
      <c r="C34" s="4"/>
      <c r="D34" s="4" t="s">
        <v>43</v>
      </c>
      <c r="E34" s="4">
        <f>C19</f>
        <v>2543098</v>
      </c>
      <c r="F34" s="4">
        <f t="shared" si="2"/>
        <v>2140271.2768000001</v>
      </c>
      <c r="G34" s="4">
        <f t="shared" si="1"/>
        <v>402826.72319999989</v>
      </c>
    </row>
    <row r="35" spans="1:7" x14ac:dyDescent="0.3">
      <c r="E35" s="5"/>
    </row>
    <row r="38" spans="1:7" x14ac:dyDescent="0.3">
      <c r="E38" s="5"/>
      <c r="F38" t="s">
        <v>33</v>
      </c>
    </row>
  </sheetData>
  <mergeCells count="9">
    <mergeCell ref="A24:A25"/>
    <mergeCell ref="A3:A4"/>
    <mergeCell ref="C24:C25"/>
    <mergeCell ref="C3:C4"/>
    <mergeCell ref="E3:G3"/>
    <mergeCell ref="E24:G24"/>
    <mergeCell ref="B3:B4"/>
    <mergeCell ref="B24:B25"/>
    <mergeCell ref="D24:D2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D16" sqref="D16"/>
    </sheetView>
  </sheetViews>
  <sheetFormatPr defaultRowHeight="14.4" x14ac:dyDescent="0.3"/>
  <cols>
    <col min="1" max="1" width="11.6640625" customWidth="1"/>
    <col min="5" max="5" width="9.6640625" customWidth="1"/>
  </cols>
  <sheetData>
    <row r="1" spans="1:4" x14ac:dyDescent="0.3">
      <c r="A1" s="192" t="s">
        <v>216</v>
      </c>
      <c r="B1" s="31"/>
      <c r="C1" s="31"/>
    </row>
    <row r="2" spans="1:4" x14ac:dyDescent="0.3">
      <c r="A2" s="32" t="s">
        <v>93</v>
      </c>
    </row>
    <row r="3" spans="1:4" x14ac:dyDescent="0.3">
      <c r="A3" s="30">
        <v>750000</v>
      </c>
      <c r="B3" s="30">
        <v>12</v>
      </c>
      <c r="C3" s="79">
        <f>A3/B3</f>
        <v>62500</v>
      </c>
      <c r="D3" s="37" t="s">
        <v>94</v>
      </c>
    </row>
    <row r="5" spans="1:4" x14ac:dyDescent="0.3">
      <c r="A5" s="32" t="s">
        <v>96</v>
      </c>
    </row>
    <row r="6" spans="1:4" x14ac:dyDescent="0.3">
      <c r="A6" s="78">
        <v>856548.97647058812</v>
      </c>
      <c r="B6" s="78" t="s">
        <v>95</v>
      </c>
    </row>
    <row r="7" spans="1:4" x14ac:dyDescent="0.3">
      <c r="A7" s="78">
        <v>62500</v>
      </c>
      <c r="B7" s="78" t="s">
        <v>98</v>
      </c>
    </row>
    <row r="8" spans="1:4" x14ac:dyDescent="0.3">
      <c r="A8" s="194">
        <f>A6/A7</f>
        <v>13.70478362352941</v>
      </c>
      <c r="B8" t="s">
        <v>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Pārdales</vt:lpstr>
      <vt:lpstr>pārdales pārb.</vt:lpstr>
      <vt:lpstr>projektu saraksts</vt:lpstr>
      <vt:lpstr>REACT pārrēķins</vt:lpstr>
      <vt:lpstr>sadalījums pa teritorijām</vt:lpstr>
      <vt:lpstr>Rādītāji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Kašurina</dc:creator>
  <cp:lastModifiedBy>Inese Kašurina</cp:lastModifiedBy>
  <dcterms:created xsi:type="dcterms:W3CDTF">2021-11-29T10:14:12Z</dcterms:created>
  <dcterms:modified xsi:type="dcterms:W3CDTF">2022-04-04T12:21:01Z</dcterms:modified>
</cp:coreProperties>
</file>