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SKĀBEKLIS\prec_fm\"/>
    </mc:Choice>
  </mc:AlternateContent>
  <xr:revisionPtr revIDLastSave="0" documentId="13_ncr:1_{BDCBFE43-2CDE-4434-8FE2-EAB083DBEA6A}" xr6:coauthVersionLast="47" xr6:coauthVersionMax="47" xr10:uidLastSave="{00000000-0000-0000-0000-000000000000}"/>
  <bookViews>
    <workbookView xWindow="-120" yWindow="-120" windowWidth="29040" windowHeight="15840" tabRatio="992" xr2:uid="{B0509B64-BB2E-4F54-A025-ACC4C60B9DA2}"/>
  </bookViews>
  <sheets>
    <sheet name="Kopsavilkums" sheetId="2" r:id="rId1"/>
    <sheet name="Liepaja" sheetId="30" r:id="rId2"/>
    <sheet name="Ziemeļkurzeme" sheetId="31" r:id="rId3"/>
    <sheet name="Jelgava" sheetId="22" r:id="rId4"/>
    <sheet name="Jūrmala" sheetId="29" r:id="rId5"/>
    <sheet name="Dobele" sheetId="12" r:id="rId6"/>
    <sheet name="Preiļu slimnīca" sheetId="16" r:id="rId7"/>
    <sheet name="Tukums" sheetId="17" r:id="rId8"/>
    <sheet name="Bauska" sheetId="19" r:id="rId9"/>
    <sheet name="Aizkraukle" sheetId="15" r:id="rId10"/>
    <sheet name="Ludza" sheetId="24" r:id="rId11"/>
    <sheet name="Saldus" sheetId="8" r:id="rId12"/>
    <sheet name="Rīgas 1.slimnīca" sheetId="11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C5" i="2"/>
  <c r="B9" i="11" l="1"/>
  <c r="C16" i="2" s="1"/>
  <c r="B18" i="8"/>
  <c r="B9" i="24"/>
  <c r="B15" i="15"/>
  <c r="C12" i="2" s="1"/>
  <c r="B12" i="17"/>
  <c r="B9" i="16"/>
  <c r="B12" i="12"/>
  <c r="C9" i="2" s="1"/>
  <c r="B8" i="29"/>
  <c r="C8" i="2" s="1"/>
  <c r="D6" i="2"/>
  <c r="C6" i="2"/>
  <c r="B7" i="11"/>
  <c r="C15" i="2" l="1"/>
  <c r="B16" i="8"/>
  <c r="C14" i="2"/>
  <c r="B6" i="24"/>
  <c r="B5" i="24"/>
  <c r="B7" i="24"/>
  <c r="B13" i="15" l="1"/>
  <c r="D13" i="2" l="1"/>
  <c r="C13" i="2"/>
  <c r="B11" i="19"/>
  <c r="H8" i="19"/>
  <c r="B9" i="19"/>
  <c r="B5" i="19"/>
  <c r="C11" i="2" l="1"/>
  <c r="B10" i="17"/>
  <c r="B7" i="16" l="1"/>
  <c r="B10" i="12"/>
  <c r="L22" i="30"/>
  <c r="E24" i="30" s="1"/>
  <c r="H7" i="22"/>
  <c r="D7" i="2" s="1"/>
  <c r="E7" i="2" s="1"/>
  <c r="B12" i="22" l="1"/>
  <c r="H12" i="31"/>
  <c r="B5" i="31"/>
  <c r="F5" i="31"/>
  <c r="B9" i="31"/>
  <c r="E6" i="2" l="1"/>
  <c r="B12" i="31"/>
  <c r="B14" i="31" s="1"/>
  <c r="E5" i="2"/>
  <c r="E22" i="30"/>
  <c r="C22" i="30"/>
  <c r="F6" i="30"/>
  <c r="F22" i="30" s="1"/>
  <c r="E13" i="2" l="1"/>
  <c r="E16" i="2"/>
  <c r="E15" i="2"/>
  <c r="E12" i="2"/>
  <c r="E11" i="2"/>
  <c r="C10" i="2"/>
  <c r="E10" i="2" s="1"/>
  <c r="E9" i="2"/>
  <c r="E8" i="2"/>
  <c r="E17" i="2" l="1"/>
  <c r="E14" i="2"/>
  <c r="B10" i="22"/>
  <c r="D17" i="2" l="1"/>
  <c r="B6" i="29"/>
  <c r="C17" i="2" l="1"/>
  <c r="C22" i="2"/>
</calcChain>
</file>

<file path=xl/sharedStrings.xml><?xml version="1.0" encoding="utf-8"?>
<sst xmlns="http://schemas.openxmlformats.org/spreadsheetml/2006/main" count="457" uniqueCount="236">
  <si>
    <t>Summa ar PVN</t>
  </si>
  <si>
    <t>Gāzu tīkla izbūve skābekļa nodrošināšanai Covid-19 pacientiem</t>
  </si>
  <si>
    <t>Ārstniecības iestāde</t>
  </si>
  <si>
    <t>N.p.k.</t>
  </si>
  <si>
    <t>Liepājas reģionālā slimnīca</t>
  </si>
  <si>
    <t>Ziemeļkurzemes reģionālā slimnīca Talsu filiāle</t>
  </si>
  <si>
    <t>Jelgavas pilsētas slimnīca</t>
  </si>
  <si>
    <t>Jūrmalas slimnīca</t>
  </si>
  <si>
    <t>Dobeles un apkārtnes slimnīca</t>
  </si>
  <si>
    <t>Preiļu slimnīca</t>
  </si>
  <si>
    <t>Tukuma slimnīca</t>
  </si>
  <si>
    <t>Aizkraukles slimnīca</t>
  </si>
  <si>
    <t>Bauskas slimnīca</t>
  </si>
  <si>
    <t>Ludzas medicīnas centrs</t>
  </si>
  <si>
    <t>Saldus medicīnas centrs</t>
  </si>
  <si>
    <t>KOPĀ</t>
  </si>
  <si>
    <t xml:space="preserve">Gāzu tīkla izbūve skābekļa nodrošināšanai Covid-19 pacientiem  </t>
  </si>
  <si>
    <t>092-27991</t>
  </si>
  <si>
    <t>Skābekļa ģeneratoru izbūve</t>
  </si>
  <si>
    <t>Skābekļu koncentrācijas mērītāju izbūve ITN</t>
  </si>
  <si>
    <t>Sašķidrinātā medicīniskā skābekļa cisternas pieslēgšana</t>
  </si>
  <si>
    <t xml:space="preserve"> Skābekļa rezerves sistēmas pārvietošana</t>
  </si>
  <si>
    <t>Medicīnas gāzu tīkla izbūve magnētiskās rezonanses kabinetā</t>
  </si>
  <si>
    <t>Sašķidrinātā medicīniskā skābekļa cisternas noma</t>
  </si>
  <si>
    <t>Medicīnas konsoles BP 2.kārta, 4.kārta, ITN</t>
  </si>
  <si>
    <t>PN akts 2021/0107, rēķins</t>
  </si>
  <si>
    <t>PN akts 2021/0243, rēķins</t>
  </si>
  <si>
    <t>UMT tāme. Izmaksas tāmē bez PVN 21%</t>
  </si>
  <si>
    <t>PN akts 2020/0516, rēķins</t>
  </si>
  <si>
    <t>Līguma Nr. 2021/0529 nosacījumi</t>
  </si>
  <si>
    <t>Līguma 2021/0365 vienošanās Nr.1 pielikums</t>
  </si>
  <si>
    <t xml:space="preserve">17.korpusa COVID-19 nodaļas palātās no vienas skābekļa ligzdas izveidotas divas un ievilkta saspiestā gaisa līnija </t>
  </si>
  <si>
    <t>Ievilktas jaunas maģistrāles uz 17. korpusu un 3.,4.,5.,6. korpusu un centrālē uzstādīti jauni reduktori, lai nodrošinātu nepieciešamo skābekļa plūsmu COVID-19 nodaļās</t>
  </si>
  <si>
    <t>Laikā no 2021.gada janvāra līdz maijam veikto darbi, tai skaitā medicīniskā skābekļa padeves līniju izbūve, reduktoru mezgla izbūve, tai skaitā  skābekļa ēkā.</t>
  </si>
  <si>
    <t>3 skābekļa plūsmas mērītāju iegāde</t>
  </si>
  <si>
    <t>Ārējā pieslēguma rekonstrukcija:  sašķidrinātā medicīniskā skābekļa cisternas uzstādīšana</t>
  </si>
  <si>
    <t>Ārējā pieslēguma rekonstrukcija: elektrības pievades uzstādīšana</t>
  </si>
  <si>
    <t>Slimnīcas iekšējo konsoles pieslēgumu palielināšana: iegādāti 10 O2 caurplūdes dozatori ar mitrinātāju</t>
  </si>
  <si>
    <t>Centralizētas skābekļa sistēmas paplašināšana un 7 papildu pieslēguma vietu izveide terapijas nodaļā</t>
  </si>
  <si>
    <t xml:space="preserve">Izveidotas papildus 6 skābekļa ligzdas Covid-19 palātās </t>
  </si>
  <si>
    <t xml:space="preserve">Izbūvēta vieta skābekļa konteineru novietošanai un renovēts savienojums ar esošo skābekļa sistēmu </t>
  </si>
  <si>
    <t>Skābekļa apgādes sistēmas izbūve, kā arī papildus nomainīta skābekļa tvertne no 3 t uz 6 t, kā arī skābekļa iztvaikotājs no 50 m^3 uz 200m^3 caurplūdi</t>
  </si>
  <si>
    <t>Pavasarī (01.03.2021) bija veikti slimnīcas ārējā pieslēguma rekonstrukcijas darbi – centrālas plūsmas
palielināšana</t>
  </si>
  <si>
    <t>12.11.21. veikti iekšējie rekonstrukcijas darbi - jaunas medicīniskā skābekļa centralizēto pieslēgumu izveides (četras pieslēguma vietās slimnīcas vecajā korpusā)</t>
  </si>
  <si>
    <t>Rīgas 1. slimnīca</t>
  </si>
  <si>
    <t xml:space="preserve">Slimnīcas Stacionāra ēkas 4. un 5.stāva maģistrālo O2 cauruļvadu pārbūves darbi </t>
  </si>
  <si>
    <t>Slimnīcas iekšējo konsoles pieslēgumu palielināšana: no “Elme Meeser L” pasūtīti 5 konsoles sadalītāji</t>
  </si>
  <si>
    <t>skābekļa maģistrālās līnijas pārbūve ar lietošanas punktu nomaiņu, 2.kārta</t>
  </si>
  <si>
    <t>Kriogēnās tvertnes 6m3, iztvaikotājs100m3/h, pamata betona plāksne, žogs noma uz Covid-19 pandēmijas laiku no SIA “EME MESSER L”. 1815 eur/mēn.</t>
  </si>
  <si>
    <t>Mediciniskā skābekļa automātiskas pārslēgšanas stacija. Darba jauda 180 m3/h</t>
  </si>
  <si>
    <t>Skābekļa koncentrācijas portatīvai mērītājs</t>
  </si>
  <si>
    <t>Skābekļa iekšējo maģistrāļu nomaiņa</t>
  </si>
  <si>
    <t>Sienas konsoļu papildināšana ar skābekļa ligzdām</t>
  </si>
  <si>
    <t>Rēķins Nr.23/11/2021</t>
  </si>
  <si>
    <t>Tāme MG-06/10/2021-TPSC_MG Kolektora izbūve, jauna dubultā reduktora un jaunu maģistrāļu montāža.</t>
  </si>
  <si>
    <t>darbi skābekļa caurplūdes palielināšanai intensīvai terapijai</t>
  </si>
  <si>
    <t>1.pielikums</t>
  </si>
  <si>
    <t>1.1. pielikums</t>
  </si>
  <si>
    <t>1.2. pielikums</t>
  </si>
  <si>
    <t>1.3. pielikums</t>
  </si>
  <si>
    <t>1.4. pielikums</t>
  </si>
  <si>
    <t>1.5. pielikums</t>
  </si>
  <si>
    <t>1.6. pielikums</t>
  </si>
  <si>
    <t>1.7. pielikums</t>
  </si>
  <si>
    <t>1.8. pielikums</t>
  </si>
  <si>
    <t>1.9. pielikums</t>
  </si>
  <si>
    <t>1.10. pielikums</t>
  </si>
  <si>
    <t>Kopā</t>
  </si>
  <si>
    <r>
      <rPr>
        <sz val="7"/>
        <color theme="1"/>
        <rFont val="Times New Roman"/>
        <family val="1"/>
        <charset val="186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Mega Pack 4 pieslēgumu pie esošai sistēmai </t>
    </r>
    <r>
      <rPr>
        <sz val="11"/>
        <color theme="1"/>
        <rFont val="Calibri"/>
        <family val="1"/>
        <charset val="186"/>
        <scheme val="minor"/>
      </rPr>
      <t>(Gāzes aprīkojuma iegāde un montāžas darbi Nr.365)</t>
    </r>
  </si>
  <si>
    <t xml:space="preserve">jaunas medicīniskā skābekļa centralizēto pieslēgumu izveides aprūpes nodaļā </t>
  </si>
  <si>
    <t>jaunas medicīniskā skābekļa centralizēto pieslēgumu izveides traumpunktā (uzņemšanas nodaļa)</t>
  </si>
  <si>
    <t>jaunas medicīniskā skābekļa centralizēto pieslēgumu izveides aprupes nodaļā</t>
  </si>
  <si>
    <t xml:space="preserve">Slimnīcas iekšējie rekonstrukcijas darbi (jaunas medicīniskā skābekļa centralizēto pieslēgumu izveides, ar visiem nepieciešamajiem izejmateriāliem: kapara caurules, ventīļi, reduktori, kanāli, konsoles, ligzdas utt.)veikti iekšējie sistēmas atjaunošanas darbi </t>
  </si>
  <si>
    <t>skābekļa sistēmas izbūve</t>
  </si>
  <si>
    <t>Pavisam kopā nepieciešams, euro</t>
  </si>
  <si>
    <t>Pavisam kopā nepieciešams</t>
  </si>
  <si>
    <t>15.03.2022.</t>
  </si>
  <si>
    <t>Nr.</t>
  </si>
  <si>
    <t>Pavadzīme vai rēķina Nr.</t>
  </si>
  <si>
    <t>ERAF/NVD finansējums</t>
  </si>
  <si>
    <t>Informācija par finanšu līdzekļu izlietojumu</t>
  </si>
  <si>
    <t>Pavadzīmes Nr.</t>
  </si>
  <si>
    <t>Pavadzīmes datums</t>
  </si>
  <si>
    <t>Piegādātājs / Izpildītājs</t>
  </si>
  <si>
    <t>Maksājumu uzdevuma Nr.</t>
  </si>
  <si>
    <t>Maksājuma uzdevuma datums</t>
  </si>
  <si>
    <t>Summa EUR ar PVN</t>
  </si>
  <si>
    <t>Statuss, riski, piezīmes</t>
  </si>
  <si>
    <t>-</t>
  </si>
  <si>
    <t>Iegādāts NVD piešķirto līdzekļu ietvaros (Covid 19 gultu izveide, aprīkošana).
Tiks iegādāts otrs ģeneratora komplekts NVD līguma Nr. NVD-9/203-2021 ietvaros</t>
  </si>
  <si>
    <t>Iegādāts NVD piešķirto līdzekļu ietvaros (Covid 19 gultu izveide, aprīkošana)</t>
  </si>
  <si>
    <t>R210115-2</t>
  </si>
  <si>
    <t>15.01.2021.</t>
  </si>
  <si>
    <t>SIA "UMT"</t>
  </si>
  <si>
    <t>01617</t>
  </si>
  <si>
    <t>11.02.2021.</t>
  </si>
  <si>
    <t>07-158852</t>
  </si>
  <si>
    <t>31.10.2021.</t>
  </si>
  <si>
    <t>17.11.2021.</t>
  </si>
  <si>
    <t>Medicīnas skābekļa uzglabāšanas sistēmas noma (oktobris 2021). Līgums 2021/0529</t>
  </si>
  <si>
    <t>07-162402</t>
  </si>
  <si>
    <t>25.11.2021.</t>
  </si>
  <si>
    <t>02.12.2021.</t>
  </si>
  <si>
    <t>Medicīnas skābekļa uzglabāšanas sistēmas noma (novembris 2021). Līgums 2021/0529</t>
  </si>
  <si>
    <t>07-166105</t>
  </si>
  <si>
    <t>27.12.2021.</t>
  </si>
  <si>
    <t>30.12.2021.</t>
  </si>
  <si>
    <t>Medicīnas skābekļa uzglabāšanas sistēmas noma (decembris 2021). Līgums 2021/0529</t>
  </si>
  <si>
    <t>07-169761</t>
  </si>
  <si>
    <t>26.01.2022.</t>
  </si>
  <si>
    <t>02091</t>
  </si>
  <si>
    <t>28.02.2022.</t>
  </si>
  <si>
    <t>Medicīnas skābekļa uzglabāšanas sistēmas noma (janvāris 2022). Līgums Nr. 2021/0612</t>
  </si>
  <si>
    <t>07-173420</t>
  </si>
  <si>
    <t>25.02.2022.</t>
  </si>
  <si>
    <t>Medicīnas skābekļa uzglabāšanas sistēmas noma (februāris 2022)</t>
  </si>
  <si>
    <t>R211227-1A</t>
  </si>
  <si>
    <t>00319</t>
  </si>
  <si>
    <t>Medicīnas konsoļu piegāde saskaņā ar līguma Nr. 2021/0365 nosacījumiem: Rēķins 85% apmērā no iekārtu vērtības.</t>
  </si>
  <si>
    <t>R220201-1A</t>
  </si>
  <si>
    <t>01.02.2022.</t>
  </si>
  <si>
    <t>01182</t>
  </si>
  <si>
    <t>07.02.2022.</t>
  </si>
  <si>
    <t>R220211-4A</t>
  </si>
  <si>
    <t>11.02.2022.</t>
  </si>
  <si>
    <t>02214</t>
  </si>
  <si>
    <t>10.03.2022.</t>
  </si>
  <si>
    <t>R220301-1A</t>
  </si>
  <si>
    <t>01.03.2022.</t>
  </si>
  <si>
    <t>02215</t>
  </si>
  <si>
    <t>Faktiski apmaksātie izdevumi</t>
  </si>
  <si>
    <t xml:space="preserve">Kopā nepieciešamais finansējums </t>
  </si>
  <si>
    <t xml:space="preserve">LRS finansējums </t>
  </si>
  <si>
    <t xml:space="preserve">UMT tāme. </t>
  </si>
  <si>
    <t>(SIA Aicers)</t>
  </si>
  <si>
    <t>(SIA Volts-1)</t>
  </si>
  <si>
    <t>R-01/2022</t>
  </si>
  <si>
    <t>07-169764</t>
  </si>
  <si>
    <t>2021/636</t>
  </si>
  <si>
    <t>07-173424</t>
  </si>
  <si>
    <t xml:space="preserve"> (SIA Elme Messer L)</t>
  </si>
  <si>
    <t>092-25017</t>
  </si>
  <si>
    <t>92-24378</t>
  </si>
  <si>
    <t>092-27984</t>
  </si>
  <si>
    <t>11.01.2022.</t>
  </si>
  <si>
    <t>17.01.2022.</t>
  </si>
  <si>
    <t>04.01.2021.</t>
  </si>
  <si>
    <t>18.01.2021.</t>
  </si>
  <si>
    <t>19.10.2021.</t>
  </si>
  <si>
    <t>27.10.2021.</t>
  </si>
  <si>
    <t>26.02.2021.</t>
  </si>
  <si>
    <t>02.03.2021.</t>
  </si>
  <si>
    <t>Plāns</t>
  </si>
  <si>
    <t>02.03.2022.</t>
  </si>
  <si>
    <t>SIA LINDE GAS</t>
  </si>
  <si>
    <t>Kopā nepieciešamais finansējums</t>
  </si>
  <si>
    <t>23.11.2021.</t>
  </si>
  <si>
    <t>SIA "BRGD"</t>
  </si>
  <si>
    <t>23.12.2021.</t>
  </si>
  <si>
    <t>31.05.2021.</t>
  </si>
  <si>
    <t>26.05.2021.</t>
  </si>
  <si>
    <t>SIA Linde Gas</t>
  </si>
  <si>
    <t>10.12.2021.</t>
  </si>
  <si>
    <t>17.12.2021.</t>
  </si>
  <si>
    <t>22.12.2021.</t>
  </si>
  <si>
    <t>28.12.2021.</t>
  </si>
  <si>
    <t>16.06.2021.</t>
  </si>
  <si>
    <t>SAL002337</t>
  </si>
  <si>
    <t>14.10.2021.</t>
  </si>
  <si>
    <t>21-08243</t>
  </si>
  <si>
    <t>05.11.2021.</t>
  </si>
  <si>
    <t>07.10.2021.</t>
  </si>
  <si>
    <t>SIA "Salang-P"</t>
  </si>
  <si>
    <t>MMS ELPA</t>
  </si>
  <si>
    <t>958/2021</t>
  </si>
  <si>
    <t>959/2021</t>
  </si>
  <si>
    <t>09.12.2021.</t>
  </si>
  <si>
    <t>918/2021</t>
  </si>
  <si>
    <t>15.11.2021.</t>
  </si>
  <si>
    <t>091-21673</t>
  </si>
  <si>
    <t>02.11.2021.</t>
  </si>
  <si>
    <t>09.11.2021.</t>
  </si>
  <si>
    <t>15.12.2021.</t>
  </si>
  <si>
    <t>24.02.2022.</t>
  </si>
  <si>
    <t>SIA "Hanza-elektro"</t>
  </si>
  <si>
    <t>25/12/2021</t>
  </si>
  <si>
    <t>091-21638</t>
  </si>
  <si>
    <t>091-21639</t>
  </si>
  <si>
    <t>091-21666</t>
  </si>
  <si>
    <t>ELME MESSER GAAS</t>
  </si>
  <si>
    <t>091-20919</t>
  </si>
  <si>
    <t>01.03.2021.</t>
  </si>
  <si>
    <t>091-21686</t>
  </si>
  <si>
    <t>22.11.2021.</t>
  </si>
  <si>
    <t>ft21078252kc</t>
  </si>
  <si>
    <t>19.03.2021.</t>
  </si>
  <si>
    <t>ft21334dqlx3</t>
  </si>
  <si>
    <t>30.11.2021.</t>
  </si>
  <si>
    <t>1.11. pielikums</t>
  </si>
  <si>
    <t>091-20882</t>
  </si>
  <si>
    <t>16.02.2021.</t>
  </si>
  <si>
    <t>6674, 6279</t>
  </si>
  <si>
    <t>16.03.2021., 16.02.2021.</t>
  </si>
  <si>
    <t>21-04202</t>
  </si>
  <si>
    <t>092-24724</t>
  </si>
  <si>
    <t>03.02.2021.</t>
  </si>
  <si>
    <t>08.03.2021.</t>
  </si>
  <si>
    <t>DRS210148</t>
  </si>
  <si>
    <t>SIA DRUSSA</t>
  </si>
  <si>
    <t>16.03.2021.</t>
  </si>
  <si>
    <t>DRS210175</t>
  </si>
  <si>
    <t>31.03.2021.</t>
  </si>
  <si>
    <t>14.04.2021.</t>
  </si>
  <si>
    <t>DRS210267</t>
  </si>
  <si>
    <t>30.04.2021.</t>
  </si>
  <si>
    <t>17.05.2021.</t>
  </si>
  <si>
    <t>DRS210803</t>
  </si>
  <si>
    <t>30.03.2021.</t>
  </si>
  <si>
    <t>21-03985</t>
  </si>
  <si>
    <t>11.10.2021.</t>
  </si>
  <si>
    <t>DRS210885</t>
  </si>
  <si>
    <t>29.10.2021.</t>
  </si>
  <si>
    <t>21-04172</t>
  </si>
  <si>
    <t>10.11.2021.</t>
  </si>
  <si>
    <t>SIA "PROSALE"</t>
  </si>
  <si>
    <t>835/2021</t>
  </si>
  <si>
    <t>NMS ELPA</t>
  </si>
  <si>
    <t>146/2021</t>
  </si>
  <si>
    <t>04.02.2021.</t>
  </si>
  <si>
    <t>03.03.2021.</t>
  </si>
  <si>
    <t>1.12. pielikums</t>
  </si>
  <si>
    <t>Par finanšu līdzekļu piešķiršanu no valsts budžeta programmas “Līdzekļi neparedzētiem gadījumiem”</t>
  </si>
  <si>
    <t>05.01.2022.</t>
  </si>
  <si>
    <t>2021.gadā faktiski veiktie pasākumi (summa, euro)</t>
  </si>
  <si>
    <t>2022.gadā faktiski veiktie pasākumi (summa, euro)</t>
  </si>
  <si>
    <t>13.01.2022.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</si>
</sst>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€&quot;\ * #,##0.00_-;\-&quot;€&quot;\ * #,##0.00_-;_-&quot;€&quot;\ * &quot;-&quot;??_-;_-@_-"/>
    <numFmt numFmtId="164" formatCode="_-* #,##0.00\ &quot;€&quot;_-;\-* #,##0.00\ &quot;€&quot;_-;_-* &quot;-&quot;??\ &quot;€&quot;_-;_-@_-"/>
    <numFmt numFmtId="165" formatCode="#,##0.00_ ;\-#,##0.00\ "/>
  </numFmts>
  <fonts count="2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9"/>
      <color rgb="FF000000"/>
      <name val="Calibri"/>
      <family val="2"/>
      <charset val="186"/>
    </font>
    <font>
      <sz val="7"/>
      <color theme="1"/>
      <name val="Times New Roman"/>
      <family val="1"/>
      <charset val="186"/>
    </font>
    <font>
      <sz val="11"/>
      <color theme="1"/>
      <name val="Calibri"/>
      <family val="1"/>
      <charset val="186"/>
      <scheme val="minor"/>
    </font>
    <font>
      <i/>
      <sz val="10"/>
      <name val="Calibri"/>
      <family val="2"/>
      <charset val="186"/>
      <scheme val="minor"/>
    </font>
    <font>
      <b/>
      <sz val="11"/>
      <name val="Calibri"/>
      <family val="2"/>
      <scheme val="minor"/>
    </font>
    <font>
      <sz val="11"/>
      <color rgb="FF0000CC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wrapText="1"/>
    </xf>
    <xf numFmtId="44" fontId="0" fillId="0" borderId="0" xfId="0" applyNumberFormat="1"/>
    <xf numFmtId="0" fontId="0" fillId="0" borderId="0" xfId="0" applyAlignment="1">
      <alignment vertical="top"/>
    </xf>
    <xf numFmtId="44" fontId="0" fillId="0" borderId="0" xfId="0" applyNumberFormat="1" applyAlignment="1">
      <alignment vertical="top"/>
    </xf>
    <xf numFmtId="0" fontId="4" fillId="0" borderId="0" xfId="0" applyFont="1"/>
    <xf numFmtId="0" fontId="7" fillId="0" borderId="4" xfId="0" applyFont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44" fontId="0" fillId="0" borderId="2" xfId="1" applyNumberFormat="1" applyFont="1" applyFill="1" applyBorder="1" applyAlignment="1">
      <alignment vertical="top"/>
    </xf>
    <xf numFmtId="0" fontId="10" fillId="0" borderId="0" xfId="2" applyAlignment="1">
      <alignment wrapText="1"/>
    </xf>
    <xf numFmtId="0" fontId="11" fillId="0" borderId="0" xfId="2" applyFont="1" applyAlignment="1">
      <alignment horizontal="right" vertical="center" wrapText="1"/>
    </xf>
    <xf numFmtId="44" fontId="0" fillId="0" borderId="5" xfId="1" applyNumberFormat="1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44" fontId="0" fillId="0" borderId="0" xfId="1" applyNumberFormat="1" applyFont="1" applyFill="1" applyBorder="1" applyAlignment="1">
      <alignment vertical="top"/>
    </xf>
    <xf numFmtId="0" fontId="0" fillId="0" borderId="0" xfId="0" applyFill="1" applyBorder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5" fillId="0" borderId="0" xfId="0" applyFont="1"/>
    <xf numFmtId="0" fontId="0" fillId="0" borderId="0" xfId="0" applyFill="1"/>
    <xf numFmtId="0" fontId="2" fillId="2" borderId="4" xfId="0" applyFont="1" applyFill="1" applyBorder="1"/>
    <xf numFmtId="0" fontId="0" fillId="0" borderId="4" xfId="0" applyBorder="1"/>
    <xf numFmtId="0" fontId="0" fillId="0" borderId="4" xfId="0" applyBorder="1" applyAlignment="1">
      <alignment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17" fillId="5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top" wrapText="1"/>
    </xf>
    <xf numFmtId="0" fontId="0" fillId="4" borderId="4" xfId="0" applyFill="1" applyBorder="1" applyAlignment="1">
      <alignment vertical="top" wrapText="1"/>
    </xf>
    <xf numFmtId="0" fontId="0" fillId="4" borderId="4" xfId="0" applyFill="1" applyBorder="1" applyAlignment="1">
      <alignment vertical="top"/>
    </xf>
    <xf numFmtId="44" fontId="0" fillId="4" borderId="4" xfId="1" applyFont="1" applyFill="1" applyBorder="1" applyAlignment="1">
      <alignment vertical="top"/>
    </xf>
    <xf numFmtId="0" fontId="6" fillId="4" borderId="4" xfId="0" applyFont="1" applyFill="1" applyBorder="1"/>
    <xf numFmtId="0" fontId="0" fillId="4" borderId="4" xfId="0" applyFill="1" applyBorder="1" applyAlignment="1">
      <alignment horizontal="center" vertical="top" wrapText="1"/>
    </xf>
    <xf numFmtId="4" fontId="6" fillId="4" borderId="4" xfId="0" applyNumberFormat="1" applyFont="1" applyFill="1" applyBorder="1"/>
    <xf numFmtId="0" fontId="0" fillId="6" borderId="4" xfId="0" applyFill="1" applyBorder="1" applyAlignment="1">
      <alignment horizontal="center" vertical="top"/>
    </xf>
    <xf numFmtId="1" fontId="6" fillId="4" borderId="4" xfId="0" applyNumberFormat="1" applyFont="1" applyFill="1" applyBorder="1"/>
    <xf numFmtId="4" fontId="6" fillId="4" borderId="6" xfId="0" applyNumberFormat="1" applyFont="1" applyFill="1" applyBorder="1"/>
    <xf numFmtId="49" fontId="6" fillId="4" borderId="4" xfId="0" applyNumberFormat="1" applyFont="1" applyFill="1" applyBorder="1" applyAlignment="1">
      <alignment horizontal="right"/>
    </xf>
    <xf numFmtId="4" fontId="6" fillId="4" borderId="7" xfId="0" applyNumberFormat="1" applyFont="1" applyFill="1" applyBorder="1"/>
    <xf numFmtId="0" fontId="4" fillId="4" borderId="4" xfId="0" applyFont="1" applyFill="1" applyBorder="1"/>
    <xf numFmtId="4" fontId="0" fillId="0" borderId="0" xfId="0" applyNumberFormat="1"/>
    <xf numFmtId="0" fontId="18" fillId="4" borderId="4" xfId="0" applyFont="1" applyFill="1" applyBorder="1" applyAlignment="1">
      <alignment vertical="top" wrapText="1"/>
    </xf>
    <xf numFmtId="0" fontId="18" fillId="4" borderId="4" xfId="0" applyFont="1" applyFill="1" applyBorder="1"/>
    <xf numFmtId="1" fontId="6" fillId="4" borderId="4" xfId="0" applyNumberFormat="1" applyFont="1" applyFill="1" applyBorder="1" applyAlignment="1">
      <alignment horizontal="right"/>
    </xf>
    <xf numFmtId="44" fontId="0" fillId="0" borderId="0" xfId="3" applyFont="1" applyAlignment="1">
      <alignment vertical="top"/>
    </xf>
    <xf numFmtId="164" fontId="0" fillId="0" borderId="0" xfId="0" applyNumberFormat="1"/>
    <xf numFmtId="0" fontId="9" fillId="0" borderId="0" xfId="0" applyFont="1" applyAlignment="1">
      <alignment vertical="top" wrapText="1"/>
    </xf>
    <xf numFmtId="0" fontId="18" fillId="4" borderId="0" xfId="0" applyFont="1" applyFill="1" applyBorder="1"/>
    <xf numFmtId="14" fontId="6" fillId="4" borderId="4" xfId="0" applyNumberFormat="1" applyFont="1" applyFill="1" applyBorder="1"/>
    <xf numFmtId="2" fontId="6" fillId="4" borderId="4" xfId="0" applyNumberFormat="1" applyFont="1" applyFill="1" applyBorder="1"/>
    <xf numFmtId="0" fontId="19" fillId="5" borderId="4" xfId="0" applyFont="1" applyFill="1" applyBorder="1" applyAlignment="1">
      <alignment horizontal="center" vertical="center" wrapText="1"/>
    </xf>
    <xf numFmtId="3" fontId="6" fillId="4" borderId="4" xfId="0" applyNumberFormat="1" applyFont="1" applyFill="1" applyBorder="1"/>
    <xf numFmtId="4" fontId="5" fillId="0" borderId="0" xfId="0" applyNumberFormat="1" applyFont="1"/>
    <xf numFmtId="3" fontId="6" fillId="4" borderId="4" xfId="0" applyNumberFormat="1" applyFont="1" applyFill="1" applyBorder="1" applyAlignment="1">
      <alignment wrapText="1"/>
    </xf>
    <xf numFmtId="4" fontId="6" fillId="3" borderId="4" xfId="0" applyNumberFormat="1" applyFont="1" applyFill="1" applyBorder="1"/>
    <xf numFmtId="4" fontId="0" fillId="0" borderId="0" xfId="0" applyNumberFormat="1" applyFont="1"/>
    <xf numFmtId="4" fontId="0" fillId="0" borderId="0" xfId="0" applyNumberFormat="1" applyFill="1"/>
    <xf numFmtId="4" fontId="6" fillId="4" borderId="4" xfId="0" applyNumberFormat="1" applyFont="1" applyFill="1" applyBorder="1" applyAlignment="1">
      <alignment wrapText="1"/>
    </xf>
    <xf numFmtId="4" fontId="5" fillId="4" borderId="4" xfId="0" applyNumberFormat="1" applyFont="1" applyFill="1" applyBorder="1" applyAlignment="1">
      <alignment vertical="top"/>
    </xf>
    <xf numFmtId="4" fontId="5" fillId="4" borderId="4" xfId="0" applyNumberFormat="1" applyFont="1" applyFill="1" applyBorder="1"/>
    <xf numFmtId="4" fontId="8" fillId="4" borderId="4" xfId="0" applyNumberFormat="1" applyFont="1" applyFill="1" applyBorder="1" applyAlignment="1">
      <alignment vertical="top"/>
    </xf>
    <xf numFmtId="4" fontId="6" fillId="4" borderId="4" xfId="0" applyNumberFormat="1" applyFont="1" applyFill="1" applyBorder="1" applyAlignment="1">
      <alignment vertical="top"/>
    </xf>
    <xf numFmtId="4" fontId="6" fillId="4" borderId="7" xfId="0" applyNumberFormat="1" applyFont="1" applyFill="1" applyBorder="1" applyAlignment="1">
      <alignment vertical="top"/>
    </xf>
    <xf numFmtId="4" fontId="8" fillId="4" borderId="11" xfId="0" applyNumberFormat="1" applyFont="1" applyFill="1" applyBorder="1" applyAlignment="1">
      <alignment vertical="top"/>
    </xf>
    <xf numFmtId="4" fontId="10" fillId="0" borderId="0" xfId="2" applyNumberFormat="1" applyAlignment="1">
      <alignment wrapText="1"/>
    </xf>
    <xf numFmtId="4" fontId="5" fillId="0" borderId="0" xfId="0" applyNumberFormat="1" applyFont="1" applyAlignment="1">
      <alignment horizontal="center" vertical="center"/>
    </xf>
    <xf numFmtId="0" fontId="0" fillId="0" borderId="4" xfId="0" applyFill="1" applyBorder="1"/>
    <xf numFmtId="4" fontId="8" fillId="4" borderId="10" xfId="0" applyNumberFormat="1" applyFont="1" applyFill="1" applyBorder="1"/>
    <xf numFmtId="4" fontId="5" fillId="0" borderId="0" xfId="0" applyNumberFormat="1" applyFont="1" applyFill="1" applyBorder="1"/>
    <xf numFmtId="0" fontId="4" fillId="4" borderId="0" xfId="0" applyFont="1" applyFill="1" applyBorder="1"/>
    <xf numFmtId="0" fontId="0" fillId="4" borderId="0" xfId="0" applyFill="1" applyBorder="1" applyAlignment="1">
      <alignment vertical="top"/>
    </xf>
    <xf numFmtId="4" fontId="5" fillId="4" borderId="0" xfId="0" applyNumberFormat="1" applyFont="1" applyFill="1" applyBorder="1" applyAlignment="1">
      <alignment vertical="top"/>
    </xf>
    <xf numFmtId="4" fontId="5" fillId="4" borderId="0" xfId="0" applyNumberFormat="1" applyFont="1" applyFill="1" applyBorder="1"/>
    <xf numFmtId="4" fontId="8" fillId="4" borderId="0" xfId="0" applyNumberFormat="1" applyFont="1" applyFill="1" applyBorder="1" applyAlignment="1">
      <alignment vertical="top"/>
    </xf>
    <xf numFmtId="4" fontId="6" fillId="4" borderId="0" xfId="0" applyNumberFormat="1" applyFont="1" applyFill="1" applyBorder="1" applyAlignment="1">
      <alignment vertical="top"/>
    </xf>
    <xf numFmtId="49" fontId="6" fillId="4" borderId="4" xfId="0" applyNumberFormat="1" applyFont="1" applyFill="1" applyBorder="1"/>
    <xf numFmtId="3" fontId="6" fillId="4" borderId="4" xfId="0" applyNumberFormat="1" applyFont="1" applyFill="1" applyBorder="1" applyAlignment="1">
      <alignment horizontal="right"/>
    </xf>
    <xf numFmtId="165" fontId="0" fillId="0" borderId="4" xfId="1" applyNumberFormat="1" applyFont="1" applyBorder="1" applyAlignment="1">
      <alignment vertical="top"/>
    </xf>
    <xf numFmtId="0" fontId="0" fillId="4" borderId="4" xfId="0" applyFill="1" applyBorder="1"/>
    <xf numFmtId="0" fontId="0" fillId="6" borderId="4" xfId="0" applyFont="1" applyFill="1" applyBorder="1" applyAlignment="1">
      <alignment vertical="top" wrapText="1"/>
    </xf>
    <xf numFmtId="0" fontId="0" fillId="4" borderId="4" xfId="0" applyFont="1" applyFill="1" applyBorder="1" applyAlignment="1">
      <alignment vertical="top" wrapText="1"/>
    </xf>
    <xf numFmtId="165" fontId="0" fillId="6" borderId="4" xfId="1" applyNumberFormat="1" applyFont="1" applyFill="1" applyBorder="1" applyAlignment="1">
      <alignment vertical="top"/>
    </xf>
    <xf numFmtId="165" fontId="0" fillId="4" borderId="4" xfId="1" applyNumberFormat="1" applyFont="1" applyFill="1" applyBorder="1" applyAlignment="1">
      <alignment vertical="top"/>
    </xf>
    <xf numFmtId="2" fontId="0" fillId="0" borderId="4" xfId="0" applyNumberFormat="1" applyBorder="1"/>
    <xf numFmtId="1" fontId="6" fillId="4" borderId="4" xfId="0" applyNumberFormat="1" applyFont="1" applyFill="1" applyBorder="1" applyAlignment="1">
      <alignment wrapText="1"/>
    </xf>
    <xf numFmtId="1" fontId="6" fillId="4" borderId="6" xfId="0" applyNumberFormat="1" applyFont="1" applyFill="1" applyBorder="1" applyAlignment="1"/>
    <xf numFmtId="1" fontId="6" fillId="4" borderId="10" xfId="0" applyNumberFormat="1" applyFont="1" applyFill="1" applyBorder="1" applyAlignment="1"/>
    <xf numFmtId="3" fontId="6" fillId="4" borderId="6" xfId="0" applyNumberFormat="1" applyFont="1" applyFill="1" applyBorder="1" applyAlignment="1"/>
    <xf numFmtId="3" fontId="6" fillId="4" borderId="10" xfId="0" applyNumberFormat="1" applyFont="1" applyFill="1" applyBorder="1" applyAlignment="1"/>
    <xf numFmtId="4" fontId="6" fillId="4" borderId="6" xfId="0" applyNumberFormat="1" applyFont="1" applyFill="1" applyBorder="1" applyAlignment="1"/>
    <xf numFmtId="4" fontId="6" fillId="4" borderId="10" xfId="0" applyNumberFormat="1" applyFont="1" applyFill="1" applyBorder="1" applyAlignment="1"/>
    <xf numFmtId="1" fontId="6" fillId="4" borderId="6" xfId="0" applyNumberFormat="1" applyFont="1" applyFill="1" applyBorder="1"/>
    <xf numFmtId="3" fontId="6" fillId="4" borderId="6" xfId="0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left" wrapText="1"/>
    </xf>
    <xf numFmtId="0" fontId="17" fillId="5" borderId="6" xfId="0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</cellXfs>
  <cellStyles count="5">
    <cellStyle name="Currency" xfId="1" builtinId="4"/>
    <cellStyle name="Currency 2" xfId="3" xr:uid="{478E0444-963C-4679-9C67-F2EAAF22E338}"/>
    <cellStyle name="Currency 3" xfId="4" xr:uid="{184D51CF-6491-4E92-90F3-5F968EF41553}"/>
    <cellStyle name="Normal" xfId="0" builtinId="0"/>
    <cellStyle name="Normal 2" xfId="2" xr:uid="{0DF45738-807C-4B96-93DC-8B4149B4A1C1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</dxf>
    <dxf>
      <numFmt numFmtId="34" formatCode="_-&quot;€&quot;\ * #,##0.00_-;\-&quot;€&quot;\ * #,##0.00_-;_-&quot;€&quot;\ * &quot;-&quot;??_-;_-@_-"/>
      <alignment horizontal="general" vertical="top" textRotation="0" wrapText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B72AA7-9FB1-4F94-979C-E6D9FD0AB68C}" name="Table14" displayName="Table14" ref="C4:E17" totalsRowCount="1" headerRowDxfId="12" dataDxfId="11">
  <autoFilter ref="C4:E16" xr:uid="{C84B95A9-1642-43C2-B617-96DDBC846D94}"/>
  <tableColumns count="3">
    <tableColumn id="2" xr3:uid="{3D72F18C-521B-4C29-9F82-9533FAD8BEB7}" name="2021.gadā faktiski veiktie pasākumi (summa, euro)" totalsRowFunction="sum" dataDxfId="10" totalsRowDxfId="2">
      <calculatedColumnFormula>#REF!</calculatedColumnFormula>
    </tableColumn>
    <tableColumn id="4" xr3:uid="{D6B821EE-88EB-437E-B775-89243982558D}" name="2022.gadā faktiski veiktie pasākumi (summa, euro)" totalsRowFunction="sum" dataDxfId="9" totalsRowDxfId="1">
      <calculatedColumnFormula>#REF!+#REF!</calculatedColumnFormula>
    </tableColumn>
    <tableColumn id="3" xr3:uid="{234E64EB-B724-4818-99B0-1C5F81CC0C33}" name="Pavisam kopā nepieciešams, euro" totalsRowFunction="sum" dataDxfId="8" totalsRowDxfId="0">
      <calculatedColumnFormula>ROUNDUP(Table14[[#This Row],[2021.gadā faktiski veiktie pasākumi (summa, euro)]]+Table14[[#This Row],[2022.gadā faktiski veiktie pasākumi (summa, euro)]],0)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C03247-BAF1-4109-86E6-53A7AA42BAA6}" name="Table1320102" displayName="Table1320102" ref="A4:B12" totalsRowCount="1" headerRowDxfId="7">
  <autoFilter ref="A4:B11" xr:uid="{00000000-0009-0000-0100-000009000000}"/>
  <tableColumns count="2">
    <tableColumn id="1" xr3:uid="{E7B1334D-077D-4835-AEF1-38CAD3968BF6}" name="Gāzu tīkla izbūve skābekļa nodrošināšanai Covid-19 pacientiem" totalsRowLabel="Kopā" dataDxfId="6" totalsRowDxfId="5"/>
    <tableColumn id="3" xr3:uid="{F2B613EE-5C5B-4EFB-B81D-CCF0B2C55A73}" name="Summa ar PVN" totalsRowFunction="custom" dataDxfId="4" totalsRowDxfId="3">
      <totalsRowFormula>ROUNDUP(SUBTOTAL(109,Table1320102[Summa ar PVN]),0)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E7DF-8F8E-4549-A615-BC0B60274128}">
  <dimension ref="A1:I23"/>
  <sheetViews>
    <sheetView tabSelected="1" workbookViewId="0">
      <selection activeCell="D6" sqref="D6"/>
    </sheetView>
  </sheetViews>
  <sheetFormatPr defaultRowHeight="15" x14ac:dyDescent="0.25"/>
  <cols>
    <col min="2" max="2" width="28.42578125" customWidth="1"/>
    <col min="3" max="3" width="18.5703125" customWidth="1"/>
    <col min="4" max="4" width="17.42578125" customWidth="1"/>
    <col min="5" max="5" width="16.7109375" customWidth="1"/>
  </cols>
  <sheetData>
    <row r="1" spans="1:9" x14ac:dyDescent="0.25">
      <c r="D1" s="99" t="s">
        <v>56</v>
      </c>
      <c r="E1" s="99"/>
    </row>
    <row r="2" spans="1:9" ht="44.25" customHeight="1" x14ac:dyDescent="0.25">
      <c r="D2" s="100" t="s">
        <v>231</v>
      </c>
      <c r="E2" s="100"/>
    </row>
    <row r="3" spans="1:9" ht="15.75" customHeight="1" x14ac:dyDescent="0.25">
      <c r="D3" s="1"/>
    </row>
    <row r="4" spans="1:9" ht="48" customHeight="1" x14ac:dyDescent="0.25">
      <c r="A4" s="20" t="s">
        <v>3</v>
      </c>
      <c r="B4" s="20" t="s">
        <v>2</v>
      </c>
      <c r="C4" s="22" t="s">
        <v>233</v>
      </c>
      <c r="D4" s="22" t="s">
        <v>234</v>
      </c>
      <c r="E4" s="22" t="s">
        <v>74</v>
      </c>
    </row>
    <row r="5" spans="1:9" x14ac:dyDescent="0.25">
      <c r="A5" s="23">
        <v>1</v>
      </c>
      <c r="B5" s="24" t="s">
        <v>4</v>
      </c>
      <c r="C5" s="39">
        <f>Liepaja!L9+Liepaja!L12+Liepaja!L13+Liepaja!L14</f>
        <v>28544.51</v>
      </c>
      <c r="D5" s="39">
        <f>Liepaja!L15+Liepaja!L16+Liepaja!L19+Liepaja!L20+Liepaja!L21+Liepaja!L18</f>
        <v>749924.73</v>
      </c>
      <c r="E5" s="39">
        <f>ROUNDUP(Table14[[#This Row],[2021.gadā faktiski veiktie pasākumi (summa, euro)]]+Table14[[#This Row],[2022.gadā faktiski veiktie pasākumi (summa, euro)]],0)</f>
        <v>778470</v>
      </c>
    </row>
    <row r="6" spans="1:9" ht="30" x14ac:dyDescent="0.25">
      <c r="A6" s="26">
        <v>2</v>
      </c>
      <c r="B6" s="27" t="s">
        <v>5</v>
      </c>
      <c r="C6" s="60">
        <f>Ziemeļkurzeme!H9+Ziemeļkurzeme!H10+Ziemeļkurzeme!H11</f>
        <v>1244.74</v>
      </c>
      <c r="D6" s="60">
        <f>Ziemeļkurzeme!H5+Ziemeļkurzeme!H6+Ziemeļkurzeme!H7+Ziemeļkurzeme!H8-362.65</f>
        <v>4393.26</v>
      </c>
      <c r="E6" s="60">
        <f>ROUNDUP(Table14[[#This Row],[2021.gadā faktiski veiktie pasākumi (summa, euro)]]+Table14[[#This Row],[2022.gadā faktiski veiktie pasākumi (summa, euro)]],0)</f>
        <v>5638</v>
      </c>
    </row>
    <row r="7" spans="1:9" x14ac:dyDescent="0.25">
      <c r="A7" s="23">
        <v>3</v>
      </c>
      <c r="B7" s="25" t="s">
        <v>6</v>
      </c>
      <c r="C7" s="39"/>
      <c r="D7" s="39">
        <f>Jelgava!H7</f>
        <v>1477</v>
      </c>
      <c r="E7" s="39">
        <f>ROUNDUP(Table14[[#This Row],[2021.gadā faktiski veiktie pasākumi (summa, euro)]]+Table14[[#This Row],[2022.gadā faktiski veiktie pasākumi (summa, euro)]],0)</f>
        <v>1477</v>
      </c>
    </row>
    <row r="8" spans="1:9" x14ac:dyDescent="0.25">
      <c r="A8" s="26">
        <v>4</v>
      </c>
      <c r="B8" s="27" t="s">
        <v>7</v>
      </c>
      <c r="C8" s="60">
        <f>Jūrmala!B8</f>
        <v>11481.12</v>
      </c>
      <c r="D8" s="60"/>
      <c r="E8" s="60">
        <f>ROUNDUP(Table14[[#This Row],[2021.gadā faktiski veiktie pasākumi (summa, euro)]]+Table14[[#This Row],[2022.gadā faktiski veiktie pasākumi (summa, euro)]],0)</f>
        <v>11482</v>
      </c>
    </row>
    <row r="9" spans="1:9" x14ac:dyDescent="0.25">
      <c r="A9" s="23">
        <v>5</v>
      </c>
      <c r="B9" s="25" t="s">
        <v>8</v>
      </c>
      <c r="C9" s="39">
        <f>Dobele!B12</f>
        <v>11410.01</v>
      </c>
      <c r="D9" s="39"/>
      <c r="E9" s="39">
        <f>ROUNDUP(Table14[[#This Row],[2021.gadā faktiski veiktie pasākumi (summa, euro)]]+Table14[[#This Row],[2022.gadā faktiski veiktie pasākumi (summa, euro)]],0)</f>
        <v>11411</v>
      </c>
    </row>
    <row r="10" spans="1:9" x14ac:dyDescent="0.25">
      <c r="A10" s="26">
        <v>6</v>
      </c>
      <c r="B10" s="27" t="s">
        <v>9</v>
      </c>
      <c r="C10" s="60">
        <f>'Preiļu slimnīca'!B9</f>
        <v>1783.81</v>
      </c>
      <c r="D10" s="60"/>
      <c r="E10" s="60">
        <f>ROUNDUP(Table14[[#This Row],[2021.gadā faktiski veiktie pasākumi (summa, euro)]]+Table14[[#This Row],[2022.gadā faktiski veiktie pasākumi (summa, euro)]],0)</f>
        <v>1784</v>
      </c>
      <c r="I10" s="19"/>
    </row>
    <row r="11" spans="1:9" x14ac:dyDescent="0.25">
      <c r="A11" s="23">
        <v>7</v>
      </c>
      <c r="B11" s="25" t="s">
        <v>10</v>
      </c>
      <c r="C11" s="39">
        <f>Tukums!B12</f>
        <v>22500.809999999998</v>
      </c>
      <c r="D11" s="39"/>
      <c r="E11" s="39">
        <f>ROUNDUP(Table14[[#This Row],[2021.gadā faktiski veiktie pasākumi (summa, euro)]]+Table14[[#This Row],[2022.gadā faktiski veiktie pasākumi (summa, euro)]],0)</f>
        <v>22501</v>
      </c>
    </row>
    <row r="12" spans="1:9" x14ac:dyDescent="0.25">
      <c r="A12" s="26">
        <v>8</v>
      </c>
      <c r="B12" s="27" t="s">
        <v>11</v>
      </c>
      <c r="C12" s="60">
        <f>Aizkraukle!B15</f>
        <v>9239.51</v>
      </c>
      <c r="D12" s="60"/>
      <c r="E12" s="60">
        <f>ROUNDUP(Table14[[#This Row],[2021.gadā faktiski veiktie pasākumi (summa, euro)]]+Table14[[#This Row],[2022.gadā faktiski veiktie pasākumi (summa, euro)]],0)</f>
        <v>9240</v>
      </c>
    </row>
    <row r="13" spans="1:9" x14ac:dyDescent="0.25">
      <c r="A13" s="23">
        <v>9</v>
      </c>
      <c r="B13" s="25" t="s">
        <v>12</v>
      </c>
      <c r="C13" s="39">
        <f>Bauska!H6+Bauska!H7</f>
        <v>5077.57</v>
      </c>
      <c r="D13" s="39">
        <f>Bauska!H8</f>
        <v>404.42999999999984</v>
      </c>
      <c r="E13" s="39">
        <f>ROUNDUP(Table14[[#This Row],[2021.gadā faktiski veiktie pasākumi (summa, euro)]]+Table14[[#This Row],[2022.gadā faktiski veiktie pasākumi (summa, euro)]],0)</f>
        <v>5482</v>
      </c>
    </row>
    <row r="14" spans="1:9" x14ac:dyDescent="0.25">
      <c r="A14" s="26">
        <v>10</v>
      </c>
      <c r="B14" s="27" t="s">
        <v>13</v>
      </c>
      <c r="C14" s="60">
        <f>Ludza!H5+Ludza!H6</f>
        <v>2443.31</v>
      </c>
      <c r="D14" s="60"/>
      <c r="E14" s="60">
        <f>ROUNDUP(Table14[[#This Row],[2021.gadā faktiski veiktie pasākumi (summa, euro)]]+Table14[[#This Row],[2022.gadā faktiski veiktie pasākumi (summa, euro)]],0)</f>
        <v>2444</v>
      </c>
    </row>
    <row r="15" spans="1:9" x14ac:dyDescent="0.25">
      <c r="A15" s="23">
        <v>11</v>
      </c>
      <c r="B15" s="25" t="s">
        <v>14</v>
      </c>
      <c r="C15" s="39">
        <f>Saldus!B18</f>
        <v>7369.2999999999993</v>
      </c>
      <c r="D15" s="39"/>
      <c r="E15" s="39">
        <f>ROUNDUP(Table14[[#This Row],[2021.gadā faktiski veiktie pasākumi (summa, euro)]]+Table14[[#This Row],[2022.gadā faktiski veiktie pasākumi (summa, euro)]],0)</f>
        <v>7370</v>
      </c>
    </row>
    <row r="16" spans="1:9" ht="15.75" thickBot="1" x14ac:dyDescent="0.3">
      <c r="A16" s="23">
        <v>13</v>
      </c>
      <c r="B16" s="25" t="s">
        <v>44</v>
      </c>
      <c r="C16" s="39">
        <f>'Rīgas 1.slimnīca'!B9</f>
        <v>52394.27</v>
      </c>
      <c r="D16" s="39"/>
      <c r="E16" s="39">
        <f>ROUNDUP(Table14[[#This Row],[2021.gadā faktiski veiktie pasākumi (summa, euro)]]+Table14[[#This Row],[2022.gadā faktiski veiktie pasākumi (summa, euro)]],0)</f>
        <v>52395</v>
      </c>
    </row>
    <row r="17" spans="2:5" ht="15.75" thickTop="1" x14ac:dyDescent="0.25">
      <c r="B17" s="28" t="s">
        <v>15</v>
      </c>
      <c r="C17" s="61">
        <f>SUBTOTAL(109,Table14[2021.gadā faktiski veiktie pasākumi (summa, euro)])</f>
        <v>153488.95999999999</v>
      </c>
      <c r="D17" s="61">
        <f>SUBTOTAL(109,Table14[2022.gadā faktiski veiktie pasākumi (summa, euro)])</f>
        <v>756199.42</v>
      </c>
      <c r="E17" s="61">
        <f>SUBTOTAL(109,Table14[Pavisam kopā nepieciešams, euro])</f>
        <v>909694</v>
      </c>
    </row>
    <row r="18" spans="2:5" x14ac:dyDescent="0.25">
      <c r="C18" s="46"/>
      <c r="D18" s="46"/>
      <c r="E18" s="46"/>
    </row>
    <row r="19" spans="2:5" x14ac:dyDescent="0.25">
      <c r="C19" s="62"/>
      <c r="D19" s="62"/>
      <c r="E19" s="46"/>
    </row>
    <row r="20" spans="2:5" x14ac:dyDescent="0.25">
      <c r="C20" s="46"/>
      <c r="D20" s="46"/>
      <c r="E20" s="46"/>
    </row>
    <row r="21" spans="2:5" x14ac:dyDescent="0.25">
      <c r="C21" s="46"/>
      <c r="D21" s="46"/>
      <c r="E21" s="46"/>
    </row>
    <row r="22" spans="2:5" x14ac:dyDescent="0.25">
      <c r="B22" s="18" t="s">
        <v>75</v>
      </c>
      <c r="C22" s="46">
        <f>Table14[[#Totals],[Pavisam kopā nepieciešams, euro]]</f>
        <v>909694</v>
      </c>
      <c r="D22" s="46"/>
      <c r="E22" s="46"/>
    </row>
    <row r="23" spans="2:5" x14ac:dyDescent="0.25">
      <c r="C23" s="46"/>
      <c r="D23" s="46"/>
      <c r="E23" s="46"/>
    </row>
  </sheetData>
  <mergeCells count="1">
    <mergeCell ref="D2:E2"/>
  </mergeCells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1E47-B23B-442F-AE1A-896D651383D8}">
  <dimension ref="A1:M27"/>
  <sheetViews>
    <sheetView workbookViewId="0">
      <pane xSplit="1" ySplit="5" topLeftCell="B12" activePane="bottomRight" state="frozen"/>
      <selection pane="topRight" activeCell="B1" sqref="B1"/>
      <selection pane="bottomLeft" activeCell="A6" sqref="A6"/>
      <selection pane="bottomRight" activeCell="L18" sqref="L18"/>
    </sheetView>
  </sheetViews>
  <sheetFormatPr defaultRowHeight="15" x14ac:dyDescent="0.25"/>
  <cols>
    <col min="1" max="1" width="5.5703125" customWidth="1"/>
    <col min="2" max="2" width="45.7109375" customWidth="1"/>
    <col min="3" max="3" width="12.7109375" customWidth="1"/>
    <col min="4" max="4" width="21.28515625" customWidth="1"/>
    <col min="5" max="5" width="13.85546875" customWidth="1"/>
    <col min="6" max="6" width="15" customWidth="1"/>
    <col min="7" max="7" width="11.7109375" customWidth="1"/>
    <col min="8" max="8" width="14.28515625" customWidth="1"/>
    <col min="9" max="9" width="15.140625" customWidth="1"/>
    <col min="10" max="10" width="10.42578125" customWidth="1"/>
    <col min="11" max="12" width="11.28515625" customWidth="1"/>
    <col min="13" max="13" width="36.42578125" customWidth="1"/>
  </cols>
  <sheetData>
    <row r="1" spans="1:13" x14ac:dyDescent="0.25">
      <c r="A1" s="29"/>
      <c r="M1" s="10" t="s">
        <v>57</v>
      </c>
    </row>
    <row r="3" spans="1:13" x14ac:dyDescent="0.25">
      <c r="A3" s="30"/>
      <c r="M3" s="31"/>
    </row>
    <row r="4" spans="1:13" s="18" customFormat="1" ht="14.25" customHeight="1" x14ac:dyDescent="0.25">
      <c r="A4" s="101" t="s">
        <v>77</v>
      </c>
      <c r="B4" s="101" t="s">
        <v>16</v>
      </c>
      <c r="C4" s="101" t="s">
        <v>0</v>
      </c>
      <c r="D4" s="101" t="s">
        <v>78</v>
      </c>
      <c r="E4" s="101" t="s">
        <v>132</v>
      </c>
      <c r="F4" s="101" t="s">
        <v>79</v>
      </c>
      <c r="G4" s="103" t="s">
        <v>80</v>
      </c>
      <c r="H4" s="104"/>
      <c r="I4" s="104"/>
      <c r="J4" s="104"/>
      <c r="K4" s="104"/>
      <c r="L4" s="104"/>
      <c r="M4" s="105"/>
    </row>
    <row r="5" spans="1:13" s="18" customFormat="1" ht="38.25" x14ac:dyDescent="0.25">
      <c r="A5" s="102"/>
      <c r="B5" s="102"/>
      <c r="C5" s="102"/>
      <c r="D5" s="102"/>
      <c r="E5" s="102"/>
      <c r="F5" s="102"/>
      <c r="G5" s="32" t="s">
        <v>81</v>
      </c>
      <c r="H5" s="32" t="s">
        <v>82</v>
      </c>
      <c r="I5" s="32" t="s">
        <v>83</v>
      </c>
      <c r="J5" s="32" t="s">
        <v>84</v>
      </c>
      <c r="K5" s="32" t="s">
        <v>85</v>
      </c>
      <c r="L5" s="32" t="s">
        <v>86</v>
      </c>
      <c r="M5" s="32" t="s">
        <v>87</v>
      </c>
    </row>
    <row r="6" spans="1:13" ht="51" customHeight="1" x14ac:dyDescent="0.25">
      <c r="A6" s="33">
        <v>1</v>
      </c>
      <c r="B6" s="34" t="s">
        <v>18</v>
      </c>
      <c r="C6" s="36">
        <v>130971.61</v>
      </c>
      <c r="D6" s="34" t="s">
        <v>25</v>
      </c>
      <c r="E6" s="37">
        <v>0</v>
      </c>
      <c r="F6" s="39">
        <f>130971.61+(169988*1.21)</f>
        <v>336657.08999999997</v>
      </c>
      <c r="G6" s="37" t="s">
        <v>88</v>
      </c>
      <c r="H6" s="37" t="s">
        <v>88</v>
      </c>
      <c r="I6" s="37" t="s">
        <v>88</v>
      </c>
      <c r="J6" s="37" t="s">
        <v>88</v>
      </c>
      <c r="K6" s="37" t="s">
        <v>88</v>
      </c>
      <c r="L6" s="37" t="s">
        <v>88</v>
      </c>
      <c r="M6" s="47" t="s">
        <v>89</v>
      </c>
    </row>
    <row r="7" spans="1:13" ht="32.25" customHeight="1" x14ac:dyDescent="0.25">
      <c r="A7" s="38">
        <v>2</v>
      </c>
      <c r="B7" s="34" t="s">
        <v>19</v>
      </c>
      <c r="C7" s="36">
        <v>34131.68</v>
      </c>
      <c r="D7" s="34" t="s">
        <v>26</v>
      </c>
      <c r="E7" s="37">
        <v>0</v>
      </c>
      <c r="F7" s="39">
        <v>34131.68</v>
      </c>
      <c r="G7" s="37" t="s">
        <v>88</v>
      </c>
      <c r="H7" s="37" t="s">
        <v>88</v>
      </c>
      <c r="I7" s="37" t="s">
        <v>88</v>
      </c>
      <c r="J7" s="37" t="s">
        <v>88</v>
      </c>
      <c r="K7" s="37" t="s">
        <v>88</v>
      </c>
      <c r="L7" s="37" t="s">
        <v>88</v>
      </c>
      <c r="M7" s="47" t="s">
        <v>90</v>
      </c>
    </row>
    <row r="8" spans="1:13" ht="30" x14ac:dyDescent="0.25">
      <c r="A8" s="33">
        <v>3</v>
      </c>
      <c r="B8" s="34" t="s">
        <v>20</v>
      </c>
      <c r="C8" s="36">
        <v>11009.79</v>
      </c>
      <c r="D8" s="34" t="s">
        <v>133</v>
      </c>
      <c r="E8" s="39">
        <v>11009.79</v>
      </c>
      <c r="F8" s="37">
        <v>0</v>
      </c>
      <c r="G8" s="39" t="s">
        <v>88</v>
      </c>
      <c r="H8" s="39" t="s">
        <v>88</v>
      </c>
      <c r="I8" s="39" t="s">
        <v>88</v>
      </c>
      <c r="J8" s="39" t="s">
        <v>88</v>
      </c>
      <c r="K8" s="39" t="s">
        <v>88</v>
      </c>
      <c r="L8" s="39" t="s">
        <v>88</v>
      </c>
      <c r="M8" s="47"/>
    </row>
    <row r="9" spans="1:13" ht="30" x14ac:dyDescent="0.25">
      <c r="A9" s="38">
        <v>4</v>
      </c>
      <c r="B9" s="34" t="s">
        <v>21</v>
      </c>
      <c r="C9" s="36">
        <v>13352.96</v>
      </c>
      <c r="D9" s="34" t="s">
        <v>28</v>
      </c>
      <c r="E9" s="39">
        <v>13352.96</v>
      </c>
      <c r="F9" s="37">
        <v>0</v>
      </c>
      <c r="G9" s="39" t="s">
        <v>91</v>
      </c>
      <c r="H9" s="37" t="s">
        <v>92</v>
      </c>
      <c r="I9" s="39" t="s">
        <v>93</v>
      </c>
      <c r="J9" s="43" t="s">
        <v>94</v>
      </c>
      <c r="K9" s="39" t="s">
        <v>95</v>
      </c>
      <c r="L9" s="39">
        <v>13352.96</v>
      </c>
      <c r="M9" s="48"/>
    </row>
    <row r="10" spans="1:13" ht="30" x14ac:dyDescent="0.25">
      <c r="A10" s="33">
        <v>5</v>
      </c>
      <c r="B10" s="34" t="s">
        <v>22</v>
      </c>
      <c r="C10" s="36">
        <v>3507.79</v>
      </c>
      <c r="D10" s="34" t="s">
        <v>27</v>
      </c>
      <c r="E10" s="39">
        <v>3507.79</v>
      </c>
      <c r="F10" s="37">
        <v>0</v>
      </c>
      <c r="G10" s="39" t="s">
        <v>88</v>
      </c>
      <c r="H10" s="39" t="s">
        <v>88</v>
      </c>
      <c r="I10" s="39" t="s">
        <v>88</v>
      </c>
      <c r="J10" s="39" t="s">
        <v>88</v>
      </c>
      <c r="K10" s="39" t="s">
        <v>88</v>
      </c>
      <c r="L10" s="39"/>
      <c r="M10" s="47"/>
    </row>
    <row r="11" spans="1:13" ht="30" x14ac:dyDescent="0.25">
      <c r="A11" s="38">
        <v>6</v>
      </c>
      <c r="B11" s="34" t="s">
        <v>23</v>
      </c>
      <c r="C11" s="36">
        <v>22143</v>
      </c>
      <c r="D11" s="34" t="s">
        <v>29</v>
      </c>
      <c r="E11" s="39">
        <v>22143</v>
      </c>
      <c r="F11" s="37">
        <v>0</v>
      </c>
      <c r="G11" s="39"/>
      <c r="H11" s="37"/>
      <c r="I11" s="39"/>
      <c r="J11" s="41"/>
      <c r="K11" s="39"/>
      <c r="L11" s="39"/>
      <c r="M11" s="48"/>
    </row>
    <row r="12" spans="1:13" ht="25.5" x14ac:dyDescent="0.25">
      <c r="A12" s="38"/>
      <c r="B12" s="34"/>
      <c r="C12" s="36"/>
      <c r="D12" s="34"/>
      <c r="E12" s="39"/>
      <c r="F12" s="37"/>
      <c r="G12" s="39" t="s">
        <v>96</v>
      </c>
      <c r="H12" s="37" t="s">
        <v>97</v>
      </c>
      <c r="I12" s="57" t="s">
        <v>189</v>
      </c>
      <c r="J12" s="41">
        <v>17053</v>
      </c>
      <c r="K12" s="39" t="s">
        <v>98</v>
      </c>
      <c r="L12" s="42">
        <v>363</v>
      </c>
      <c r="M12" s="47" t="s">
        <v>99</v>
      </c>
    </row>
    <row r="13" spans="1:13" ht="25.5" x14ac:dyDescent="0.25">
      <c r="A13" s="38"/>
      <c r="B13" s="34"/>
      <c r="C13" s="36"/>
      <c r="D13" s="34"/>
      <c r="E13" s="39"/>
      <c r="F13" s="37"/>
      <c r="G13" s="39" t="s">
        <v>100</v>
      </c>
      <c r="H13" s="37" t="s">
        <v>101</v>
      </c>
      <c r="I13" s="57" t="s">
        <v>189</v>
      </c>
      <c r="J13" s="41">
        <v>17644</v>
      </c>
      <c r="K13" s="39" t="s">
        <v>102</v>
      </c>
      <c r="L13" s="42">
        <v>10890</v>
      </c>
      <c r="M13" s="47" t="s">
        <v>103</v>
      </c>
    </row>
    <row r="14" spans="1:13" ht="25.5" x14ac:dyDescent="0.25">
      <c r="A14" s="38"/>
      <c r="B14" s="34"/>
      <c r="C14" s="36"/>
      <c r="D14" s="34"/>
      <c r="E14" s="39"/>
      <c r="F14" s="37"/>
      <c r="G14" s="39" t="s">
        <v>104</v>
      </c>
      <c r="H14" s="37" t="s">
        <v>105</v>
      </c>
      <c r="I14" s="57" t="s">
        <v>189</v>
      </c>
      <c r="J14" s="41">
        <v>19267</v>
      </c>
      <c r="K14" s="39" t="s">
        <v>106</v>
      </c>
      <c r="L14" s="42">
        <v>3938.55</v>
      </c>
      <c r="M14" s="47" t="s">
        <v>107</v>
      </c>
    </row>
    <row r="15" spans="1:13" ht="27" customHeight="1" x14ac:dyDescent="0.25">
      <c r="A15" s="38"/>
      <c r="B15" s="34"/>
      <c r="C15" s="36"/>
      <c r="D15" s="34"/>
      <c r="E15" s="39"/>
      <c r="F15" s="37"/>
      <c r="G15" s="39" t="s">
        <v>108</v>
      </c>
      <c r="H15" s="37" t="s">
        <v>109</v>
      </c>
      <c r="I15" s="57" t="s">
        <v>189</v>
      </c>
      <c r="J15" s="49" t="s">
        <v>110</v>
      </c>
      <c r="K15" s="39" t="s">
        <v>111</v>
      </c>
      <c r="L15" s="42">
        <v>1969.28</v>
      </c>
      <c r="M15" s="47" t="s">
        <v>112</v>
      </c>
    </row>
    <row r="16" spans="1:13" ht="25.5" x14ac:dyDescent="0.25">
      <c r="A16" s="38"/>
      <c r="B16" s="34"/>
      <c r="C16" s="36"/>
      <c r="D16" s="34"/>
      <c r="E16" s="39"/>
      <c r="F16" s="37"/>
      <c r="G16" s="39" t="s">
        <v>113</v>
      </c>
      <c r="H16" s="37" t="s">
        <v>114</v>
      </c>
      <c r="I16" s="57" t="s">
        <v>189</v>
      </c>
      <c r="J16" s="49">
        <v>2616</v>
      </c>
      <c r="K16" s="39" t="s">
        <v>76</v>
      </c>
      <c r="L16" s="42">
        <v>1778.7</v>
      </c>
      <c r="M16" s="47" t="s">
        <v>115</v>
      </c>
    </row>
    <row r="17" spans="1:13" ht="45" x14ac:dyDescent="0.25">
      <c r="A17" s="40">
        <v>7</v>
      </c>
      <c r="B17" s="35" t="s">
        <v>24</v>
      </c>
      <c r="C17" s="36">
        <v>889906.6</v>
      </c>
      <c r="D17" s="34" t="s">
        <v>30</v>
      </c>
      <c r="E17" s="39">
        <v>757254.3</v>
      </c>
      <c r="F17" s="39">
        <v>132652.29999999999</v>
      </c>
      <c r="G17" s="39"/>
      <c r="H17" s="39"/>
      <c r="I17" s="39"/>
      <c r="J17" s="41"/>
      <c r="K17" s="39"/>
      <c r="L17" s="42"/>
      <c r="M17" s="48"/>
    </row>
    <row r="18" spans="1:13" ht="38.25" x14ac:dyDescent="0.25">
      <c r="A18" s="40"/>
      <c r="B18" s="35"/>
      <c r="C18" s="36"/>
      <c r="D18" s="34"/>
      <c r="E18" s="39"/>
      <c r="F18" s="39"/>
      <c r="G18" s="39" t="s">
        <v>116</v>
      </c>
      <c r="H18" s="39" t="s">
        <v>105</v>
      </c>
      <c r="I18" s="39" t="s">
        <v>93</v>
      </c>
      <c r="J18" s="43" t="s">
        <v>117</v>
      </c>
      <c r="K18" s="44" t="s">
        <v>235</v>
      </c>
      <c r="L18" s="42">
        <v>410438.35</v>
      </c>
      <c r="M18" s="47" t="s">
        <v>118</v>
      </c>
    </row>
    <row r="19" spans="1:13" ht="38.25" x14ac:dyDescent="0.25">
      <c r="A19" s="40"/>
      <c r="B19" s="35"/>
      <c r="C19" s="36"/>
      <c r="D19" s="34"/>
      <c r="E19" s="39"/>
      <c r="F19" s="39"/>
      <c r="G19" s="39" t="s">
        <v>119</v>
      </c>
      <c r="H19" s="39" t="s">
        <v>120</v>
      </c>
      <c r="I19" s="39" t="s">
        <v>93</v>
      </c>
      <c r="J19" s="43" t="s">
        <v>121</v>
      </c>
      <c r="K19" s="44" t="s">
        <v>122</v>
      </c>
      <c r="L19" s="42">
        <v>56418.37</v>
      </c>
      <c r="M19" s="47" t="s">
        <v>118</v>
      </c>
    </row>
    <row r="20" spans="1:13" ht="38.25" x14ac:dyDescent="0.25">
      <c r="A20" s="40"/>
      <c r="B20" s="35"/>
      <c r="C20" s="36"/>
      <c r="D20" s="34"/>
      <c r="E20" s="39"/>
      <c r="F20" s="39"/>
      <c r="G20" s="39" t="s">
        <v>123</v>
      </c>
      <c r="H20" s="39" t="s">
        <v>124</v>
      </c>
      <c r="I20" s="39" t="s">
        <v>93</v>
      </c>
      <c r="J20" s="43" t="s">
        <v>125</v>
      </c>
      <c r="K20" s="44" t="s">
        <v>126</v>
      </c>
      <c r="L20" s="42">
        <v>72118.42</v>
      </c>
      <c r="M20" s="47" t="s">
        <v>118</v>
      </c>
    </row>
    <row r="21" spans="1:13" ht="39" thickBot="1" x14ac:dyDescent="0.3">
      <c r="A21" s="40"/>
      <c r="B21" s="35"/>
      <c r="C21" s="36"/>
      <c r="D21" s="34"/>
      <c r="E21" s="39"/>
      <c r="F21" s="39"/>
      <c r="G21" s="39" t="s">
        <v>127</v>
      </c>
      <c r="H21" s="39" t="s">
        <v>128</v>
      </c>
      <c r="I21" s="39" t="s">
        <v>93</v>
      </c>
      <c r="J21" s="43" t="s">
        <v>129</v>
      </c>
      <c r="K21" s="44" t="s">
        <v>126</v>
      </c>
      <c r="L21" s="42">
        <v>207201.61</v>
      </c>
      <c r="M21" s="47" t="s">
        <v>118</v>
      </c>
    </row>
    <row r="22" spans="1:13" ht="15.75" thickBot="1" x14ac:dyDescent="0.3">
      <c r="A22" s="45"/>
      <c r="B22" s="35" t="s">
        <v>15</v>
      </c>
      <c r="C22" s="64">
        <f>SUM(C6:C17)</f>
        <v>1105023.43</v>
      </c>
      <c r="D22" s="65"/>
      <c r="E22" s="66">
        <f>SUM(E6:E17)</f>
        <v>807267.84000000008</v>
      </c>
      <c r="F22" s="66">
        <f>SUM(F6:F17)</f>
        <v>503441.06999999995</v>
      </c>
      <c r="G22" s="67"/>
      <c r="H22" s="67"/>
      <c r="I22" s="67"/>
      <c r="J22" s="67"/>
      <c r="K22" s="68"/>
      <c r="L22" s="69">
        <f>ROUNDUP(SUM(L6:L21),0)</f>
        <v>778470</v>
      </c>
      <c r="M22" s="48" t="s">
        <v>130</v>
      </c>
    </row>
    <row r="23" spans="1:13" x14ac:dyDescent="0.25">
      <c r="A23" s="75"/>
      <c r="B23" s="76"/>
      <c r="C23" s="77"/>
      <c r="D23" s="78"/>
      <c r="E23" s="79"/>
      <c r="F23" s="79"/>
      <c r="G23" s="80"/>
      <c r="H23" s="80"/>
      <c r="I23" s="80"/>
      <c r="J23" s="80"/>
      <c r="K23" s="80"/>
      <c r="L23" s="79"/>
      <c r="M23" s="53"/>
    </row>
    <row r="24" spans="1:13" ht="30" x14ac:dyDescent="0.25">
      <c r="A24" s="5"/>
      <c r="C24" s="46"/>
      <c r="D24" s="70" t="s">
        <v>131</v>
      </c>
      <c r="E24" s="71">
        <f>L22</f>
        <v>778470</v>
      </c>
      <c r="F24" s="46"/>
      <c r="G24" s="46"/>
      <c r="H24" s="46"/>
      <c r="I24" s="46"/>
      <c r="J24" s="46"/>
      <c r="K24" s="46"/>
      <c r="L24" s="46"/>
    </row>
    <row r="25" spans="1:13" x14ac:dyDescent="0.25">
      <c r="A25" s="5"/>
      <c r="D25" s="9"/>
      <c r="L25" s="46"/>
    </row>
    <row r="26" spans="1:13" x14ac:dyDescent="0.25">
      <c r="A26" s="5"/>
    </row>
    <row r="27" spans="1:13" x14ac:dyDescent="0.25">
      <c r="L27" s="46"/>
    </row>
  </sheetData>
  <mergeCells count="7">
    <mergeCell ref="F4:F5"/>
    <mergeCell ref="G4:M4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E268-AE4C-4FA7-A1D5-BC7674EC8E52}">
  <dimension ref="A1:J18"/>
  <sheetViews>
    <sheetView topLeftCell="A7" workbookViewId="0">
      <selection activeCell="G11" sqref="G11"/>
    </sheetView>
  </sheetViews>
  <sheetFormatPr defaultRowHeight="15" x14ac:dyDescent="0.25"/>
  <cols>
    <col min="1" max="1" width="27.140625" customWidth="1"/>
    <col min="2" max="2" width="17.5703125" customWidth="1"/>
    <col min="3" max="3" width="11.7109375" customWidth="1"/>
    <col min="4" max="4" width="14.28515625" customWidth="1"/>
    <col min="5" max="5" width="18.5703125" customWidth="1"/>
    <col min="6" max="6" width="10.42578125" customWidth="1"/>
    <col min="7" max="8" width="11.28515625" customWidth="1"/>
    <col min="9" max="9" width="36.42578125" customWidth="1"/>
    <col min="10" max="10" width="9.42578125" bestFit="1" customWidth="1"/>
  </cols>
  <sheetData>
    <row r="1" spans="1:10" x14ac:dyDescent="0.25">
      <c r="I1" s="10" t="s">
        <v>58</v>
      </c>
    </row>
    <row r="2" spans="1:10" x14ac:dyDescent="0.25">
      <c r="I2" s="10"/>
    </row>
    <row r="3" spans="1:10" ht="23.2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10" ht="51" customHeight="1" x14ac:dyDescent="0.25">
      <c r="A4" s="56" t="s">
        <v>1</v>
      </c>
      <c r="B4" s="56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10" ht="90" x14ac:dyDescent="0.25">
      <c r="A5" s="25" t="s">
        <v>48</v>
      </c>
      <c r="B5" s="37">
        <f>1815*2*1.21</f>
        <v>4392.3</v>
      </c>
      <c r="C5" s="37" t="s">
        <v>136</v>
      </c>
      <c r="D5" s="54" t="s">
        <v>144</v>
      </c>
      <c r="E5" s="37" t="s">
        <v>134</v>
      </c>
      <c r="F5" s="41">
        <f>54</f>
        <v>54</v>
      </c>
      <c r="G5" s="37" t="s">
        <v>145</v>
      </c>
      <c r="H5" s="37">
        <v>1206.99</v>
      </c>
      <c r="I5" s="47"/>
    </row>
    <row r="6" spans="1:10" x14ac:dyDescent="0.25">
      <c r="A6" s="37"/>
      <c r="B6" s="37"/>
      <c r="C6" s="37" t="s">
        <v>137</v>
      </c>
      <c r="D6" s="37" t="s">
        <v>109</v>
      </c>
      <c r="E6" s="57" t="s">
        <v>189</v>
      </c>
      <c r="F6" s="37">
        <v>364</v>
      </c>
      <c r="G6" s="37" t="s">
        <v>153</v>
      </c>
      <c r="H6" s="37">
        <v>1270.5</v>
      </c>
      <c r="I6" s="47"/>
    </row>
    <row r="7" spans="1:10" x14ac:dyDescent="0.25">
      <c r="A7" s="37"/>
      <c r="B7" s="37"/>
      <c r="C7" s="37" t="s">
        <v>138</v>
      </c>
      <c r="D7" s="37" t="s">
        <v>106</v>
      </c>
      <c r="E7" s="37" t="s">
        <v>135</v>
      </c>
      <c r="F7" s="37">
        <v>22</v>
      </c>
      <c r="G7" s="37" t="s">
        <v>232</v>
      </c>
      <c r="H7" s="37">
        <v>584.41999999999996</v>
      </c>
      <c r="I7" s="47"/>
    </row>
    <row r="8" spans="1:10" x14ac:dyDescent="0.25">
      <c r="A8" s="37"/>
      <c r="B8" s="37"/>
      <c r="C8" s="37" t="s">
        <v>139</v>
      </c>
      <c r="D8" s="37" t="s">
        <v>114</v>
      </c>
      <c r="E8" s="57" t="s">
        <v>189</v>
      </c>
      <c r="F8" s="37"/>
      <c r="G8" s="37"/>
      <c r="H8" s="37">
        <v>1694</v>
      </c>
      <c r="I8" s="47"/>
    </row>
    <row r="9" spans="1:10" ht="165" x14ac:dyDescent="0.25">
      <c r="A9" s="25" t="s">
        <v>72</v>
      </c>
      <c r="B9" s="37">
        <f>75+88.94</f>
        <v>163.94</v>
      </c>
      <c r="C9" s="37" t="s">
        <v>142</v>
      </c>
      <c r="D9" s="37" t="s">
        <v>146</v>
      </c>
      <c r="E9" s="57" t="s">
        <v>189</v>
      </c>
      <c r="F9" s="37">
        <v>92</v>
      </c>
      <c r="G9" s="37" t="s">
        <v>147</v>
      </c>
      <c r="H9" s="55">
        <v>75</v>
      </c>
      <c r="I9" s="47"/>
    </row>
    <row r="10" spans="1:10" x14ac:dyDescent="0.25">
      <c r="A10" s="52"/>
      <c r="B10" s="50"/>
      <c r="C10" s="37" t="s">
        <v>141</v>
      </c>
      <c r="D10" s="37" t="s">
        <v>150</v>
      </c>
      <c r="E10" s="57" t="s">
        <v>189</v>
      </c>
      <c r="F10" s="37">
        <v>462</v>
      </c>
      <c r="G10" s="37" t="s">
        <v>151</v>
      </c>
      <c r="H10" s="37">
        <v>88.94</v>
      </c>
      <c r="I10" s="47"/>
    </row>
    <row r="11" spans="1:10" ht="165" x14ac:dyDescent="0.25">
      <c r="A11" s="25" t="s">
        <v>72</v>
      </c>
      <c r="B11" s="39">
        <v>1080.8</v>
      </c>
      <c r="C11" s="39" t="s">
        <v>143</v>
      </c>
      <c r="D11" s="39" t="s">
        <v>148</v>
      </c>
      <c r="E11" s="37" t="s">
        <v>140</v>
      </c>
      <c r="F11" s="57">
        <v>1254</v>
      </c>
      <c r="G11" s="39" t="s">
        <v>149</v>
      </c>
      <c r="H11" s="39">
        <v>1080.8</v>
      </c>
      <c r="I11" s="47"/>
    </row>
    <row r="12" spans="1:10" x14ac:dyDescent="0.25">
      <c r="A12" s="3" t="s">
        <v>67</v>
      </c>
      <c r="B12" s="4">
        <f>ROUNDUP(SUBTOTAL(109,Table1320102[Summa ar PVN]),0)</f>
        <v>5638</v>
      </c>
      <c r="H12" s="58">
        <f>H11+H10+H9+H8+H7+H6+H5</f>
        <v>6000.65</v>
      </c>
      <c r="J12" s="2"/>
    </row>
    <row r="14" spans="1:10" x14ac:dyDescent="0.25">
      <c r="B14" s="2">
        <f>Table1320102[[#Totals],[Summa ar PVN]]</f>
        <v>5638</v>
      </c>
    </row>
    <row r="18" spans="2:2" x14ac:dyDescent="0.25">
      <c r="B18" s="51"/>
    </row>
  </sheetData>
  <mergeCells count="2">
    <mergeCell ref="C3:I3"/>
    <mergeCell ref="A3:B3"/>
  </mergeCells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971D-6A1A-46B6-892A-FEE62DB10FEA}">
  <dimension ref="A1:I13"/>
  <sheetViews>
    <sheetView zoomScale="90" zoomScaleNormal="90" workbookViewId="0">
      <selection activeCell="G7" sqref="G7"/>
    </sheetView>
  </sheetViews>
  <sheetFormatPr defaultRowHeight="15" x14ac:dyDescent="0.25"/>
  <cols>
    <col min="1" max="1" width="37.42578125" customWidth="1"/>
    <col min="2" max="2" width="12.5703125" customWidth="1"/>
    <col min="3" max="3" width="19.28515625" customWidth="1"/>
    <col min="4" max="4" width="14.28515625" customWidth="1"/>
    <col min="5" max="5" width="15.140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59</v>
      </c>
    </row>
    <row r="2" spans="1:9" x14ac:dyDescent="0.25">
      <c r="I2" s="10"/>
    </row>
    <row r="3" spans="1:9" ht="18.7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6" customHeight="1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60" x14ac:dyDescent="0.25">
      <c r="A5" s="59" t="s">
        <v>41</v>
      </c>
      <c r="B5" s="57">
        <v>2168.4499999999998</v>
      </c>
      <c r="C5" s="37"/>
      <c r="D5" s="37"/>
      <c r="E5" s="37"/>
      <c r="F5" s="37"/>
      <c r="G5" s="37"/>
      <c r="H5" s="37"/>
      <c r="I5" s="47"/>
    </row>
    <row r="6" spans="1:9" ht="45" x14ac:dyDescent="0.25">
      <c r="A6" s="59" t="s">
        <v>49</v>
      </c>
      <c r="B6" s="57">
        <v>23695.43</v>
      </c>
      <c r="C6" s="37"/>
      <c r="D6" s="37"/>
      <c r="E6" s="37"/>
      <c r="F6" s="37"/>
      <c r="G6" s="37"/>
      <c r="H6" s="37"/>
      <c r="I6" s="47"/>
    </row>
    <row r="7" spans="1:9" ht="30" x14ac:dyDescent="0.25">
      <c r="A7" s="59" t="s">
        <v>50</v>
      </c>
      <c r="B7" s="57">
        <v>7260</v>
      </c>
      <c r="C7" s="57">
        <v>6721938347</v>
      </c>
      <c r="D7" s="39" t="s">
        <v>111</v>
      </c>
      <c r="E7" s="39" t="s">
        <v>154</v>
      </c>
      <c r="F7" s="39"/>
      <c r="G7" s="39"/>
      <c r="H7" s="39">
        <f>ROUNDUP(1476.13,0)</f>
        <v>1477</v>
      </c>
      <c r="I7" s="47"/>
    </row>
    <row r="8" spans="1:9" x14ac:dyDescent="0.25">
      <c r="A8" s="59" t="s">
        <v>51</v>
      </c>
      <c r="B8" s="57">
        <v>21780</v>
      </c>
      <c r="C8" s="39"/>
      <c r="D8" s="37"/>
      <c r="E8" s="39"/>
      <c r="F8" s="43"/>
      <c r="G8" s="39"/>
      <c r="H8" s="39"/>
      <c r="I8" s="48"/>
    </row>
    <row r="9" spans="1:9" ht="30" x14ac:dyDescent="0.25">
      <c r="A9" s="59" t="s">
        <v>52</v>
      </c>
      <c r="B9" s="57">
        <v>9680</v>
      </c>
      <c r="C9" s="39"/>
      <c r="D9" s="39"/>
      <c r="E9" s="39"/>
      <c r="F9" s="39"/>
      <c r="G9" s="39"/>
      <c r="H9" s="39"/>
      <c r="I9" s="47"/>
    </row>
    <row r="10" spans="1:9" x14ac:dyDescent="0.25">
      <c r="B10" s="2">
        <f>SUM(B5:B9)</f>
        <v>64583.880000000005</v>
      </c>
    </row>
    <row r="12" spans="1:9" x14ac:dyDescent="0.25">
      <c r="A12" s="9" t="s">
        <v>155</v>
      </c>
      <c r="B12" s="2">
        <f>H7</f>
        <v>1477</v>
      </c>
    </row>
    <row r="13" spans="1:9" x14ac:dyDescent="0.25">
      <c r="A13" s="9"/>
      <c r="B13" s="2"/>
    </row>
  </sheetData>
  <mergeCells count="2">
    <mergeCell ref="C3:I3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8776-B585-43B7-9499-14F82B9BA469}">
  <dimension ref="A1:I18"/>
  <sheetViews>
    <sheetView workbookViewId="0">
      <selection activeCell="B9" sqref="B9"/>
    </sheetView>
  </sheetViews>
  <sheetFormatPr defaultRowHeight="15" x14ac:dyDescent="0.25"/>
  <cols>
    <col min="1" max="1" width="37.140625" customWidth="1"/>
    <col min="2" max="2" width="13.5703125" customWidth="1"/>
    <col min="3" max="3" width="19.28515625" customWidth="1"/>
    <col min="4" max="4" width="14.28515625" customWidth="1"/>
    <col min="5" max="5" width="15.140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60</v>
      </c>
    </row>
    <row r="2" spans="1:9" x14ac:dyDescent="0.25">
      <c r="I2" s="10"/>
    </row>
    <row r="3" spans="1:9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45" x14ac:dyDescent="0.25">
      <c r="A5" s="63" t="s">
        <v>54</v>
      </c>
      <c r="B5" s="39">
        <v>11481.12</v>
      </c>
      <c r="C5" s="39" t="s">
        <v>53</v>
      </c>
      <c r="D5" s="39" t="s">
        <v>156</v>
      </c>
      <c r="E5" s="39" t="s">
        <v>157</v>
      </c>
      <c r="F5" s="41">
        <v>2437</v>
      </c>
      <c r="G5" s="39" t="s">
        <v>158</v>
      </c>
      <c r="H5" s="39">
        <v>11481.12</v>
      </c>
      <c r="I5" s="47"/>
    </row>
    <row r="6" spans="1:9" x14ac:dyDescent="0.25">
      <c r="A6" s="7"/>
      <c r="B6" s="8">
        <f>SUM(B5)</f>
        <v>11481.12</v>
      </c>
      <c r="C6" s="13"/>
      <c r="D6" s="14"/>
      <c r="E6" s="13"/>
      <c r="F6" s="14"/>
      <c r="G6" s="13"/>
      <c r="H6" s="14"/>
      <c r="I6" s="13"/>
    </row>
    <row r="7" spans="1:9" x14ac:dyDescent="0.25">
      <c r="A7" s="7"/>
      <c r="B7" s="8"/>
      <c r="C7" s="13"/>
      <c r="D7" s="14"/>
      <c r="E7" s="13"/>
      <c r="F7" s="14"/>
      <c r="G7" s="13"/>
      <c r="H7" s="14"/>
      <c r="I7" s="13"/>
    </row>
    <row r="8" spans="1:9" x14ac:dyDescent="0.25">
      <c r="A8" s="9" t="s">
        <v>155</v>
      </c>
      <c r="B8" s="11">
        <f>B5</f>
        <v>11481.12</v>
      </c>
      <c r="C8" s="15"/>
      <c r="D8" s="15"/>
      <c r="E8" s="15"/>
      <c r="F8" s="15"/>
      <c r="G8" s="15"/>
      <c r="H8" s="15"/>
      <c r="I8" s="15"/>
    </row>
    <row r="9" spans="1:9" s="15" customFormat="1" x14ac:dyDescent="0.25">
      <c r="A9" s="9"/>
      <c r="B9" s="14"/>
    </row>
    <row r="10" spans="1:9" s="15" customFormat="1" x14ac:dyDescent="0.25">
      <c r="A10" s="16"/>
      <c r="B10" s="17"/>
    </row>
    <row r="11" spans="1:9" s="15" customFormat="1" x14ac:dyDescent="0.25">
      <c r="A11" s="12"/>
      <c r="B11" s="14"/>
      <c r="C11"/>
      <c r="D11"/>
      <c r="E11"/>
      <c r="F11"/>
      <c r="G11"/>
      <c r="H11"/>
      <c r="I11"/>
    </row>
    <row r="12" spans="1:9" s="15" customFormat="1" x14ac:dyDescent="0.25">
      <c r="A12" s="12"/>
      <c r="B12" s="14"/>
      <c r="C12"/>
      <c r="D12"/>
      <c r="E12"/>
      <c r="F12"/>
      <c r="G12"/>
      <c r="H12"/>
      <c r="I12"/>
    </row>
    <row r="13" spans="1:9" s="15" customFormat="1" x14ac:dyDescent="0.25">
      <c r="A13" s="12"/>
      <c r="B13" s="14"/>
      <c r="C13" s="13"/>
      <c r="D13" s="14"/>
      <c r="E13" s="13"/>
      <c r="F13" s="14"/>
      <c r="G13" s="13"/>
      <c r="H13" s="14"/>
      <c r="I13" s="13"/>
    </row>
    <row r="14" spans="1:9" s="15" customFormat="1" x14ac:dyDescent="0.25">
      <c r="A14" s="12"/>
      <c r="B14" s="14"/>
      <c r="C14"/>
      <c r="D14"/>
      <c r="E14"/>
      <c r="F14"/>
      <c r="G14"/>
      <c r="H14"/>
      <c r="I14"/>
    </row>
    <row r="15" spans="1:9" s="15" customFormat="1" x14ac:dyDescent="0.25">
      <c r="A15" s="12"/>
      <c r="B15" s="14"/>
      <c r="C15"/>
      <c r="D15"/>
      <c r="E15"/>
      <c r="F15"/>
      <c r="G15"/>
      <c r="H15"/>
      <c r="I15"/>
    </row>
    <row r="16" spans="1:9" s="15" customFormat="1" x14ac:dyDescent="0.25">
      <c r="C16"/>
      <c r="D16"/>
      <c r="E16"/>
      <c r="F16"/>
      <c r="G16"/>
      <c r="H16"/>
      <c r="I16"/>
    </row>
    <row r="17" spans="3:9" s="15" customFormat="1" x14ac:dyDescent="0.25">
      <c r="C17"/>
      <c r="D17"/>
      <c r="E17"/>
      <c r="F17"/>
      <c r="G17"/>
      <c r="H17"/>
      <c r="I17"/>
    </row>
    <row r="18" spans="3:9" s="15" customFormat="1" x14ac:dyDescent="0.25">
      <c r="C18"/>
      <c r="D18"/>
      <c r="E18"/>
      <c r="F18"/>
      <c r="G18"/>
      <c r="H18"/>
      <c r="I18"/>
    </row>
  </sheetData>
  <mergeCells count="2">
    <mergeCell ref="C3:I3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46C3-3109-46AE-A745-4CE11FE1C25F}">
  <dimension ref="A1:I17"/>
  <sheetViews>
    <sheetView workbookViewId="0">
      <selection activeCell="B13" sqref="B13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5.140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61</v>
      </c>
    </row>
    <row r="2" spans="1:9" x14ac:dyDescent="0.25">
      <c r="I2" s="10"/>
    </row>
    <row r="3" spans="1:9" ht="25.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46.5" customHeight="1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60" x14ac:dyDescent="0.25">
      <c r="A5" s="63" t="s">
        <v>33</v>
      </c>
      <c r="B5" s="39">
        <v>9976.3700000000008</v>
      </c>
      <c r="C5" s="57">
        <v>6721815699</v>
      </c>
      <c r="D5" s="39" t="s">
        <v>159</v>
      </c>
      <c r="E5" s="39" t="s">
        <v>161</v>
      </c>
      <c r="F5" s="41">
        <v>2330</v>
      </c>
      <c r="G5" s="39" t="s">
        <v>166</v>
      </c>
      <c r="H5" s="39">
        <v>9976.3700000000008</v>
      </c>
      <c r="I5" s="39"/>
    </row>
    <row r="6" spans="1:9" ht="30" x14ac:dyDescent="0.25">
      <c r="A6" s="63" t="s">
        <v>45</v>
      </c>
      <c r="B6" s="39">
        <v>1498.34</v>
      </c>
      <c r="C6" s="39"/>
      <c r="D6" s="39"/>
      <c r="E6" s="39"/>
      <c r="F6" s="39"/>
      <c r="G6" s="39"/>
      <c r="H6" s="39"/>
      <c r="I6" s="39"/>
    </row>
    <row r="7" spans="1:9" x14ac:dyDescent="0.25">
      <c r="A7" s="39"/>
      <c r="B7" s="39"/>
      <c r="C7" s="57">
        <v>6721814779</v>
      </c>
      <c r="D7" s="39" t="s">
        <v>160</v>
      </c>
      <c r="E7" s="39" t="s">
        <v>161</v>
      </c>
      <c r="F7" s="41">
        <v>2253</v>
      </c>
      <c r="G7" s="39" t="s">
        <v>159</v>
      </c>
      <c r="H7" s="39">
        <v>302.5</v>
      </c>
      <c r="I7" s="39"/>
    </row>
    <row r="8" spans="1:9" x14ac:dyDescent="0.25">
      <c r="A8" s="39"/>
      <c r="B8" s="39"/>
      <c r="C8" s="57">
        <v>6721909174</v>
      </c>
      <c r="D8" s="39" t="s">
        <v>162</v>
      </c>
      <c r="E8" s="39" t="s">
        <v>161</v>
      </c>
      <c r="F8" s="41">
        <v>3009</v>
      </c>
      <c r="G8" s="39" t="s">
        <v>163</v>
      </c>
      <c r="H8" s="39">
        <v>383</v>
      </c>
      <c r="I8" s="39"/>
    </row>
    <row r="9" spans="1:9" x14ac:dyDescent="0.25">
      <c r="A9" s="72"/>
      <c r="B9" s="72"/>
      <c r="C9" s="57">
        <v>6721911149</v>
      </c>
      <c r="D9" s="39" t="s">
        <v>164</v>
      </c>
      <c r="E9" s="39" t="s">
        <v>161</v>
      </c>
      <c r="F9" s="41">
        <v>3044</v>
      </c>
      <c r="G9" s="39" t="s">
        <v>165</v>
      </c>
      <c r="H9" s="39">
        <v>748.14</v>
      </c>
      <c r="I9" s="39"/>
    </row>
    <row r="10" spans="1:9" x14ac:dyDescent="0.25">
      <c r="A10" t="s">
        <v>67</v>
      </c>
      <c r="B10" s="73">
        <f>B5+B6</f>
        <v>11474.710000000001</v>
      </c>
      <c r="C10" s="13"/>
      <c r="D10" s="14"/>
      <c r="E10" s="13"/>
      <c r="F10" s="14"/>
      <c r="G10" s="13"/>
      <c r="H10" s="14"/>
      <c r="I10" s="13"/>
    </row>
    <row r="11" spans="1:9" x14ac:dyDescent="0.25">
      <c r="C11" s="13"/>
      <c r="D11" s="14"/>
      <c r="E11" s="13"/>
      <c r="F11" s="14"/>
      <c r="G11" s="13"/>
      <c r="H11" s="14"/>
      <c r="I11" s="13"/>
    </row>
    <row r="12" spans="1:9" x14ac:dyDescent="0.25">
      <c r="A12" s="13" t="s">
        <v>131</v>
      </c>
      <c r="B12" s="74">
        <f>H5+H7+H8+H9</f>
        <v>11410.01</v>
      </c>
      <c r="C12" s="15"/>
      <c r="D12" s="15"/>
      <c r="E12" s="15"/>
      <c r="F12" s="15"/>
      <c r="G12" s="15"/>
      <c r="H12" s="15"/>
      <c r="I12" s="15"/>
    </row>
    <row r="13" spans="1:9" x14ac:dyDescent="0.25"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C14" s="15"/>
      <c r="D14" s="15"/>
      <c r="E14" s="15"/>
      <c r="F14" s="15"/>
      <c r="G14" s="15"/>
      <c r="H14" s="15"/>
      <c r="I14" s="15"/>
    </row>
    <row r="17" spans="3:9" x14ac:dyDescent="0.25">
      <c r="C17" s="13"/>
      <c r="D17" s="14"/>
      <c r="E17" s="13"/>
      <c r="F17" s="14"/>
      <c r="G17" s="13"/>
      <c r="H17" s="14"/>
      <c r="I17" s="13"/>
    </row>
  </sheetData>
  <mergeCells count="2">
    <mergeCell ref="A3:B3"/>
    <mergeCell ref="C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7D94D-727F-4B65-87FD-922FF472549A}">
  <dimension ref="A1:I14"/>
  <sheetViews>
    <sheetView workbookViewId="0">
      <selection activeCell="H5" sqref="H5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5.140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62</v>
      </c>
    </row>
    <row r="2" spans="1:9" x14ac:dyDescent="0.25">
      <c r="I2" s="10"/>
    </row>
    <row r="3" spans="1:9" ht="25.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45" x14ac:dyDescent="0.25">
      <c r="A5" s="59" t="s">
        <v>38</v>
      </c>
      <c r="B5" s="39">
        <v>1783.81</v>
      </c>
      <c r="C5" s="82" t="s">
        <v>167</v>
      </c>
      <c r="D5" s="39" t="s">
        <v>168</v>
      </c>
      <c r="E5" s="39" t="s">
        <v>172</v>
      </c>
      <c r="F5" s="41" t="s">
        <v>169</v>
      </c>
      <c r="G5" s="39" t="s">
        <v>170</v>
      </c>
      <c r="H5" s="39">
        <v>1233.26</v>
      </c>
      <c r="I5" s="39"/>
    </row>
    <row r="6" spans="1:9" x14ac:dyDescent="0.25">
      <c r="A6" s="57"/>
      <c r="B6" s="57"/>
      <c r="C6" s="41">
        <v>6721881100</v>
      </c>
      <c r="D6" s="39" t="s">
        <v>171</v>
      </c>
      <c r="E6" s="39" t="s">
        <v>161</v>
      </c>
      <c r="F6" s="39"/>
      <c r="G6" s="39"/>
      <c r="H6" s="39">
        <v>550.54999999999995</v>
      </c>
      <c r="I6" s="39"/>
    </row>
    <row r="7" spans="1:9" x14ac:dyDescent="0.25">
      <c r="A7" t="s">
        <v>67</v>
      </c>
      <c r="B7" s="73">
        <f>B5+B6</f>
        <v>1783.81</v>
      </c>
      <c r="C7" s="13"/>
      <c r="D7" s="14"/>
      <c r="E7" s="13"/>
      <c r="F7" s="14"/>
      <c r="G7" s="13"/>
      <c r="H7" s="14"/>
      <c r="I7" s="13"/>
    </row>
    <row r="8" spans="1:9" x14ac:dyDescent="0.25">
      <c r="C8" s="13"/>
      <c r="D8" s="14"/>
      <c r="E8" s="13"/>
      <c r="F8" s="14"/>
      <c r="G8" s="13"/>
      <c r="H8" s="14"/>
      <c r="I8" s="13"/>
    </row>
    <row r="9" spans="1:9" x14ac:dyDescent="0.25">
      <c r="A9" s="13" t="s">
        <v>131</v>
      </c>
      <c r="B9" s="2">
        <f>H5+H6</f>
        <v>1783.81</v>
      </c>
      <c r="C9" s="15"/>
      <c r="D9" s="15"/>
      <c r="E9" s="15"/>
      <c r="F9" s="15"/>
      <c r="G9" s="15"/>
      <c r="H9" s="15"/>
      <c r="I9" s="15"/>
    </row>
    <row r="10" spans="1:9" x14ac:dyDescent="0.25"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C11" s="15"/>
      <c r="D11" s="15"/>
      <c r="E11" s="15"/>
      <c r="F11" s="15"/>
      <c r="G11" s="15"/>
      <c r="H11" s="15"/>
      <c r="I11" s="15"/>
    </row>
    <row r="14" spans="1:9" x14ac:dyDescent="0.25">
      <c r="C14" s="13"/>
      <c r="D14" s="14"/>
      <c r="E14" s="13"/>
      <c r="F14" s="14"/>
      <c r="G14" s="13"/>
      <c r="H14" s="14"/>
      <c r="I14" s="13"/>
    </row>
  </sheetData>
  <mergeCells count="2">
    <mergeCell ref="A3:B3"/>
    <mergeCell ref="C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5276-9CEF-46F2-AAF4-F23E90A4FE81}">
  <dimension ref="A1:I17"/>
  <sheetViews>
    <sheetView workbookViewId="0">
      <selection activeCell="B13" sqref="B13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9.28515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63</v>
      </c>
    </row>
    <row r="2" spans="1:9" x14ac:dyDescent="0.25">
      <c r="I2" s="10"/>
    </row>
    <row r="3" spans="1:9" ht="25.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30" x14ac:dyDescent="0.25">
      <c r="A5" s="59" t="s">
        <v>39</v>
      </c>
      <c r="B5" s="39">
        <v>2168.4499999999998</v>
      </c>
      <c r="C5" s="57"/>
      <c r="D5" s="57"/>
      <c r="E5" s="57"/>
      <c r="F5" s="57"/>
      <c r="G5" s="57"/>
      <c r="H5" s="39"/>
      <c r="I5" s="57"/>
    </row>
    <row r="6" spans="1:9" ht="45" x14ac:dyDescent="0.25">
      <c r="A6" s="59" t="s">
        <v>40</v>
      </c>
      <c r="B6" s="39">
        <v>6149.4</v>
      </c>
      <c r="C6" s="57" t="s">
        <v>179</v>
      </c>
      <c r="D6" s="57" t="s">
        <v>178</v>
      </c>
      <c r="E6" s="57" t="s">
        <v>189</v>
      </c>
      <c r="F6" s="57"/>
      <c r="G6" s="57"/>
      <c r="H6" s="39">
        <v>7440.77</v>
      </c>
      <c r="I6" s="57"/>
    </row>
    <row r="7" spans="1:9" ht="30" x14ac:dyDescent="0.25">
      <c r="A7" s="59" t="s">
        <v>55</v>
      </c>
      <c r="B7" s="39">
        <v>4699.9399999999996</v>
      </c>
      <c r="C7" s="81" t="s">
        <v>174</v>
      </c>
      <c r="D7" s="57" t="s">
        <v>106</v>
      </c>
      <c r="E7" s="57" t="s">
        <v>173</v>
      </c>
      <c r="F7" s="57"/>
      <c r="G7" s="57"/>
      <c r="H7" s="39">
        <v>4699.9399999999996</v>
      </c>
      <c r="I7" s="57"/>
    </row>
    <row r="8" spans="1:9" x14ac:dyDescent="0.25">
      <c r="A8" s="57" t="s">
        <v>73</v>
      </c>
      <c r="B8" s="39">
        <v>4819.68</v>
      </c>
      <c r="C8" s="81" t="s">
        <v>175</v>
      </c>
      <c r="D8" s="57" t="s">
        <v>106</v>
      </c>
      <c r="E8" s="57" t="s">
        <v>173</v>
      </c>
      <c r="F8" s="57"/>
      <c r="G8" s="57"/>
      <c r="H8" s="39">
        <v>4819.68</v>
      </c>
      <c r="I8" s="57"/>
    </row>
    <row r="9" spans="1:9" ht="30" x14ac:dyDescent="0.25">
      <c r="A9" s="59" t="s">
        <v>55</v>
      </c>
      <c r="B9" s="39">
        <v>5540.42</v>
      </c>
      <c r="C9" s="81" t="s">
        <v>177</v>
      </c>
      <c r="D9" s="57" t="s">
        <v>176</v>
      </c>
      <c r="E9" s="57" t="s">
        <v>173</v>
      </c>
      <c r="F9" s="57"/>
      <c r="G9" s="57"/>
      <c r="H9" s="39">
        <v>5540.42</v>
      </c>
      <c r="I9" s="57"/>
    </row>
    <row r="10" spans="1:9" x14ac:dyDescent="0.25">
      <c r="A10" t="s">
        <v>67</v>
      </c>
      <c r="B10" s="73">
        <f>B5+B6+B7+B8+B9</f>
        <v>23377.89</v>
      </c>
      <c r="C10" s="13"/>
      <c r="D10" s="14"/>
      <c r="E10" s="13"/>
      <c r="F10" s="14"/>
      <c r="G10" s="13"/>
      <c r="H10" s="14"/>
      <c r="I10" s="13"/>
    </row>
    <row r="11" spans="1:9" x14ac:dyDescent="0.25">
      <c r="C11" s="13"/>
      <c r="D11" s="14"/>
      <c r="E11" s="13"/>
      <c r="F11" s="14"/>
      <c r="G11" s="13"/>
      <c r="H11" s="14"/>
      <c r="I11" s="13"/>
    </row>
    <row r="12" spans="1:9" x14ac:dyDescent="0.25">
      <c r="A12" s="13" t="s">
        <v>131</v>
      </c>
      <c r="B12" s="74">
        <f>H6+H7+H8+H9</f>
        <v>22500.809999999998</v>
      </c>
      <c r="C12" s="15"/>
      <c r="D12" s="15"/>
      <c r="E12" s="15"/>
      <c r="F12" s="15"/>
      <c r="G12" s="15"/>
      <c r="H12" s="15"/>
      <c r="I12" s="15"/>
    </row>
    <row r="13" spans="1:9" x14ac:dyDescent="0.25"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C14" s="15"/>
      <c r="D14" s="15"/>
      <c r="E14" s="15"/>
      <c r="F14" s="15"/>
      <c r="G14" s="15"/>
      <c r="H14" s="15"/>
      <c r="I14" s="15"/>
    </row>
    <row r="17" spans="3:9" x14ac:dyDescent="0.25">
      <c r="C17" s="13"/>
      <c r="D17" s="14"/>
      <c r="E17" s="13"/>
      <c r="F17" s="14"/>
      <c r="G17" s="13"/>
      <c r="H17" s="14"/>
      <c r="I17" s="13"/>
    </row>
  </sheetData>
  <mergeCells count="2">
    <mergeCell ref="A3:B3"/>
    <mergeCell ref="C3:I3"/>
  </mergeCells>
  <pageMargins left="0.7" right="0.7" top="0.75" bottom="0.75" header="0.3" footer="0.3"/>
  <pageSetup paperSize="9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ABCC-3803-4A1E-B412-9BAEE131FC0B}">
  <dimension ref="A1:I16"/>
  <sheetViews>
    <sheetView workbookViewId="0">
      <selection activeCell="G12" sqref="G12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9.28515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64</v>
      </c>
    </row>
    <row r="2" spans="1:9" x14ac:dyDescent="0.25">
      <c r="I2" s="10"/>
    </row>
    <row r="3" spans="1:9" ht="46.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30" x14ac:dyDescent="0.25">
      <c r="A5" s="6" t="s">
        <v>47</v>
      </c>
      <c r="B5" s="83">
        <f>4530.2*1.21</f>
        <v>5481.5419999999995</v>
      </c>
      <c r="C5" s="21"/>
      <c r="D5" s="21"/>
      <c r="E5" s="21"/>
      <c r="F5" s="57"/>
      <c r="G5" s="57"/>
      <c r="H5" s="39"/>
      <c r="I5" s="57"/>
    </row>
    <row r="6" spans="1:9" x14ac:dyDescent="0.25">
      <c r="A6" s="59"/>
      <c r="B6" s="39"/>
      <c r="C6" s="41">
        <v>6721893818</v>
      </c>
      <c r="D6" s="57" t="s">
        <v>180</v>
      </c>
      <c r="E6" s="57" t="s">
        <v>154</v>
      </c>
      <c r="F6" s="41">
        <v>212176</v>
      </c>
      <c r="G6" s="57" t="s">
        <v>181</v>
      </c>
      <c r="H6" s="39">
        <v>3596.57</v>
      </c>
      <c r="I6" s="57"/>
    </row>
    <row r="7" spans="1:9" x14ac:dyDescent="0.25">
      <c r="A7" s="59"/>
      <c r="B7" s="39"/>
      <c r="C7" s="41">
        <v>6721909173</v>
      </c>
      <c r="D7" s="57" t="s">
        <v>162</v>
      </c>
      <c r="E7" s="57" t="s">
        <v>154</v>
      </c>
      <c r="F7" s="41">
        <v>212350</v>
      </c>
      <c r="G7" s="57" t="s">
        <v>182</v>
      </c>
      <c r="H7" s="39">
        <v>1481</v>
      </c>
      <c r="I7" s="57"/>
    </row>
    <row r="8" spans="1:9" x14ac:dyDescent="0.25">
      <c r="A8" s="57"/>
      <c r="B8" s="39"/>
      <c r="C8" s="41">
        <v>6721937768</v>
      </c>
      <c r="D8" s="57" t="s">
        <v>183</v>
      </c>
      <c r="E8" s="57" t="s">
        <v>154</v>
      </c>
      <c r="F8" s="41">
        <v>222694</v>
      </c>
      <c r="G8" s="57" t="s">
        <v>114</v>
      </c>
      <c r="H8" s="39">
        <f>B9-H6-H7</f>
        <v>404.42999999999984</v>
      </c>
      <c r="I8" s="57"/>
    </row>
    <row r="9" spans="1:9" x14ac:dyDescent="0.25">
      <c r="A9" t="s">
        <v>67</v>
      </c>
      <c r="B9" s="73">
        <f>ROUNDUP(B5,0)</f>
        <v>5482</v>
      </c>
      <c r="C9" s="13"/>
      <c r="D9" s="14"/>
      <c r="E9" s="13"/>
      <c r="F9" s="14"/>
      <c r="G9" s="13"/>
      <c r="H9" s="14"/>
      <c r="I9" s="13"/>
    </row>
    <row r="10" spans="1:9" x14ac:dyDescent="0.25">
      <c r="C10" s="13"/>
      <c r="D10" s="14"/>
      <c r="E10" s="13"/>
      <c r="F10" s="14"/>
      <c r="G10" s="13"/>
      <c r="H10" s="14"/>
      <c r="I10" s="13"/>
    </row>
    <row r="11" spans="1:9" x14ac:dyDescent="0.25">
      <c r="A11" s="13" t="s">
        <v>131</v>
      </c>
      <c r="B11" s="74">
        <f>H6+H7+H8</f>
        <v>5482</v>
      </c>
      <c r="C11" s="15"/>
      <c r="D11" s="15"/>
      <c r="E11" s="15"/>
      <c r="F11" s="15"/>
      <c r="G11" s="15"/>
      <c r="H11" s="15"/>
      <c r="I11" s="15"/>
    </row>
    <row r="12" spans="1:9" x14ac:dyDescent="0.25"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C13" s="15"/>
      <c r="D13" s="15"/>
      <c r="E13" s="15"/>
      <c r="F13" s="15"/>
      <c r="G13" s="15"/>
      <c r="H13" s="15"/>
      <c r="I13" s="15"/>
    </row>
    <row r="16" spans="1:9" x14ac:dyDescent="0.25">
      <c r="C16" s="13"/>
      <c r="D16" s="14"/>
      <c r="E16" s="13"/>
      <c r="F16" s="14"/>
      <c r="G16" s="13"/>
      <c r="H16" s="14"/>
      <c r="I16" s="13"/>
    </row>
  </sheetData>
  <mergeCells count="2">
    <mergeCell ref="A3:B3"/>
    <mergeCell ref="C3:I3"/>
  </mergeCells>
  <pageMargins left="0.7" right="0.7" top="0.75" bottom="0.75" header="0.3" footer="0.3"/>
  <pageSetup paperSize="9" orientation="portrait" horizontalDpi="90" verticalDpi="9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7ACF2-41BC-4403-9B57-DFD59A8B14D9}">
  <dimension ref="A1:I20"/>
  <sheetViews>
    <sheetView workbookViewId="0">
      <selection activeCell="D7" sqref="D7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9.28515625" customWidth="1"/>
    <col min="6" max="6" width="10.42578125" customWidth="1"/>
    <col min="7" max="8" width="11.28515625" customWidth="1"/>
    <col min="9" max="9" width="36.42578125" customWidth="1"/>
  </cols>
  <sheetData>
    <row r="1" spans="1:9" x14ac:dyDescent="0.25">
      <c r="I1" s="10" t="s">
        <v>65</v>
      </c>
    </row>
    <row r="2" spans="1:9" x14ac:dyDescent="0.25">
      <c r="I2" s="10"/>
    </row>
    <row r="3" spans="1:9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x14ac:dyDescent="0.25">
      <c r="A5" s="85" t="s">
        <v>34</v>
      </c>
      <c r="B5" s="87">
        <v>554.94000000000005</v>
      </c>
      <c r="C5" s="84"/>
      <c r="D5" s="84"/>
      <c r="E5" s="84"/>
      <c r="F5" s="57"/>
      <c r="G5" s="57"/>
      <c r="H5" s="39"/>
      <c r="I5" s="57"/>
    </row>
    <row r="6" spans="1:9" ht="45" x14ac:dyDescent="0.25">
      <c r="A6" s="86" t="s">
        <v>35</v>
      </c>
      <c r="B6" s="88">
        <v>6492.99</v>
      </c>
      <c r="C6" s="41"/>
      <c r="D6" s="57"/>
      <c r="F6" s="41"/>
      <c r="G6" s="57"/>
      <c r="H6" s="39"/>
      <c r="I6" s="57"/>
    </row>
    <row r="7" spans="1:9" x14ac:dyDescent="0.25">
      <c r="A7" s="86"/>
      <c r="B7" s="88"/>
      <c r="C7" s="41" t="s">
        <v>186</v>
      </c>
      <c r="D7" s="57" t="s">
        <v>170</v>
      </c>
      <c r="E7" s="57" t="s">
        <v>189</v>
      </c>
      <c r="F7" s="41"/>
      <c r="G7" s="57"/>
      <c r="H7" s="39">
        <v>1883.15</v>
      </c>
      <c r="I7" s="57"/>
    </row>
    <row r="8" spans="1:9" x14ac:dyDescent="0.25">
      <c r="A8" s="86"/>
      <c r="B8" s="88"/>
      <c r="C8" s="41" t="s">
        <v>187</v>
      </c>
      <c r="D8" s="57" t="s">
        <v>170</v>
      </c>
      <c r="E8" s="57" t="s">
        <v>189</v>
      </c>
      <c r="F8" s="41"/>
      <c r="G8" s="57"/>
      <c r="H8" s="39">
        <v>1761.16</v>
      </c>
      <c r="I8" s="57"/>
    </row>
    <row r="9" spans="1:9" x14ac:dyDescent="0.25">
      <c r="A9" s="86"/>
      <c r="B9" s="88"/>
      <c r="C9" s="41" t="s">
        <v>188</v>
      </c>
      <c r="D9" s="57" t="s">
        <v>170</v>
      </c>
      <c r="E9" s="57" t="s">
        <v>189</v>
      </c>
      <c r="F9" s="41"/>
      <c r="G9" s="57"/>
      <c r="H9" s="39">
        <v>2848.68</v>
      </c>
      <c r="I9" s="57"/>
    </row>
    <row r="10" spans="1:9" ht="30" x14ac:dyDescent="0.25">
      <c r="A10" s="85" t="s">
        <v>36</v>
      </c>
      <c r="B10" s="87">
        <v>2746.52</v>
      </c>
      <c r="C10" s="81" t="s">
        <v>185</v>
      </c>
      <c r="D10" s="57" t="s">
        <v>162</v>
      </c>
      <c r="E10" s="57" t="s">
        <v>184</v>
      </c>
      <c r="F10" s="41"/>
      <c r="G10" s="57"/>
      <c r="H10" s="39">
        <v>2746.52</v>
      </c>
      <c r="I10" s="57"/>
    </row>
    <row r="11" spans="1:9" ht="45" x14ac:dyDescent="0.25">
      <c r="A11" s="86" t="s">
        <v>37</v>
      </c>
      <c r="B11" s="88">
        <v>931.7</v>
      </c>
      <c r="C11" s="41"/>
      <c r="D11" s="57"/>
      <c r="E11" s="57"/>
      <c r="F11" s="41"/>
      <c r="G11" s="57"/>
      <c r="H11" s="39"/>
      <c r="I11" s="57"/>
    </row>
    <row r="12" spans="1:9" ht="45" x14ac:dyDescent="0.25">
      <c r="A12" s="86" t="s">
        <v>46</v>
      </c>
      <c r="B12" s="88">
        <v>1100</v>
      </c>
      <c r="C12" s="41"/>
      <c r="D12" s="57"/>
      <c r="E12" s="57"/>
      <c r="F12" s="41"/>
      <c r="G12" s="57"/>
      <c r="H12" s="39"/>
      <c r="I12" s="57"/>
    </row>
    <row r="13" spans="1:9" x14ac:dyDescent="0.25">
      <c r="A13" t="s">
        <v>67</v>
      </c>
      <c r="B13" s="73">
        <f>ROUNDUP(B5+B6+B10+B11+B12,0)</f>
        <v>11827</v>
      </c>
      <c r="C13" s="13"/>
      <c r="D13" s="14"/>
      <c r="E13" s="13"/>
      <c r="F13" s="14"/>
      <c r="G13" s="13"/>
      <c r="H13" s="14"/>
      <c r="I13" s="13"/>
    </row>
    <row r="14" spans="1:9" x14ac:dyDescent="0.25">
      <c r="C14" s="13"/>
      <c r="D14" s="14"/>
      <c r="E14" s="13"/>
      <c r="F14" s="14"/>
      <c r="G14" s="13"/>
      <c r="H14" s="14"/>
      <c r="I14" s="13"/>
    </row>
    <row r="15" spans="1:9" x14ac:dyDescent="0.25">
      <c r="A15" s="13" t="s">
        <v>131</v>
      </c>
      <c r="B15" s="74">
        <f>H7+H8+H9+H10</f>
        <v>9239.51</v>
      </c>
      <c r="C15" s="15"/>
      <c r="D15" s="15"/>
      <c r="E15" s="15"/>
      <c r="F15" s="15"/>
      <c r="G15" s="15"/>
      <c r="H15" s="15"/>
      <c r="I15" s="15"/>
    </row>
    <row r="16" spans="1:9" x14ac:dyDescent="0.25">
      <c r="B16" s="15"/>
      <c r="C16" s="15"/>
      <c r="D16" s="15"/>
      <c r="E16" s="15"/>
      <c r="F16" s="15"/>
      <c r="G16" s="15"/>
      <c r="H16" s="15"/>
      <c r="I16" s="15"/>
    </row>
    <row r="17" spans="3:9" x14ac:dyDescent="0.25">
      <c r="C17" s="15"/>
      <c r="D17" s="15"/>
      <c r="E17" s="15"/>
      <c r="F17" s="15"/>
      <c r="G17" s="15"/>
      <c r="H17" s="15"/>
      <c r="I17" s="15"/>
    </row>
    <row r="20" spans="3:9" x14ac:dyDescent="0.25">
      <c r="C20" s="13"/>
      <c r="D20" s="14"/>
      <c r="E20" s="13"/>
      <c r="F20" s="14"/>
      <c r="G20" s="13"/>
      <c r="H20" s="14"/>
      <c r="I20" s="13"/>
    </row>
  </sheetData>
  <mergeCells count="2">
    <mergeCell ref="A3:B3"/>
    <mergeCell ref="C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A69EB-CCEF-4DA6-B10B-7703F1582ABB}">
  <dimension ref="A1:I14"/>
  <sheetViews>
    <sheetView zoomScale="110" zoomScaleNormal="110" workbookViewId="0">
      <selection activeCell="B10" sqref="B10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9.28515625" customWidth="1"/>
    <col min="6" max="6" width="12.85546875" customWidth="1"/>
    <col min="7" max="8" width="11.28515625" customWidth="1"/>
    <col min="9" max="9" width="36.42578125" customWidth="1"/>
  </cols>
  <sheetData>
    <row r="1" spans="1:9" x14ac:dyDescent="0.25">
      <c r="I1" s="10" t="s">
        <v>66</v>
      </c>
    </row>
    <row r="2" spans="1:9" x14ac:dyDescent="0.25">
      <c r="I2" s="10"/>
    </row>
    <row r="3" spans="1:9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60" x14ac:dyDescent="0.25">
      <c r="A5" s="22" t="s">
        <v>42</v>
      </c>
      <c r="B5" s="89">
        <f>1172.76*1.21</f>
        <v>1419.0395999999998</v>
      </c>
      <c r="C5" s="22" t="s">
        <v>190</v>
      </c>
      <c r="D5" s="21" t="s">
        <v>191</v>
      </c>
      <c r="E5" s="57" t="s">
        <v>189</v>
      </c>
      <c r="F5" s="57" t="s">
        <v>194</v>
      </c>
      <c r="G5" s="57" t="s">
        <v>195</v>
      </c>
      <c r="H5" s="39">
        <v>1419.04</v>
      </c>
      <c r="I5" s="57"/>
    </row>
    <row r="6" spans="1:9" ht="60" x14ac:dyDescent="0.25">
      <c r="A6" s="59" t="s">
        <v>43</v>
      </c>
      <c r="B6" s="39">
        <f>8586.64*1.21</f>
        <v>10389.8344</v>
      </c>
      <c r="C6" s="22" t="s">
        <v>192</v>
      </c>
      <c r="D6" s="57" t="s">
        <v>193</v>
      </c>
      <c r="E6" s="57" t="s">
        <v>189</v>
      </c>
      <c r="F6" s="41" t="s">
        <v>196</v>
      </c>
      <c r="G6" s="57" t="s">
        <v>197</v>
      </c>
      <c r="H6" s="39">
        <v>1024.27</v>
      </c>
      <c r="I6" s="57"/>
    </row>
    <row r="7" spans="1:9" x14ac:dyDescent="0.25">
      <c r="A7" t="s">
        <v>67</v>
      </c>
      <c r="B7" s="73">
        <f>ROUNDUP(B5+B6,0)</f>
        <v>11809</v>
      </c>
      <c r="C7" s="13"/>
      <c r="D7" s="14"/>
      <c r="E7" s="13"/>
      <c r="F7" s="14"/>
      <c r="G7" s="13"/>
      <c r="H7" s="14"/>
      <c r="I7" s="13"/>
    </row>
    <row r="8" spans="1:9" x14ac:dyDescent="0.25">
      <c r="C8" s="13"/>
      <c r="D8" s="14"/>
      <c r="E8" s="13"/>
      <c r="F8" s="14"/>
      <c r="G8" s="13"/>
      <c r="H8" s="14"/>
      <c r="I8" s="13"/>
    </row>
    <row r="9" spans="1:9" x14ac:dyDescent="0.25">
      <c r="A9" s="13" t="s">
        <v>131</v>
      </c>
      <c r="B9" s="74">
        <f>H5+H6</f>
        <v>2443.31</v>
      </c>
      <c r="C9" s="15"/>
      <c r="D9" s="15"/>
      <c r="E9" s="15"/>
      <c r="F9" s="15"/>
      <c r="G9" s="15"/>
      <c r="H9" s="15"/>
      <c r="I9" s="15"/>
    </row>
    <row r="10" spans="1:9" x14ac:dyDescent="0.25"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C11" s="15"/>
      <c r="D11" s="15"/>
      <c r="E11" s="15"/>
      <c r="F11" s="15"/>
      <c r="G11" s="15"/>
      <c r="H11" s="15"/>
      <c r="I11" s="15"/>
    </row>
    <row r="14" spans="1:9" x14ac:dyDescent="0.25">
      <c r="C14" s="13"/>
      <c r="D14" s="14"/>
      <c r="E14" s="13"/>
      <c r="F14" s="14"/>
      <c r="G14" s="13"/>
      <c r="H14" s="14"/>
      <c r="I14" s="13"/>
    </row>
  </sheetData>
  <mergeCells count="2">
    <mergeCell ref="A3:B3"/>
    <mergeCell ref="C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C360-9614-4C98-AEA8-D9ACAC8AA3F4}">
  <dimension ref="A1:I23"/>
  <sheetViews>
    <sheetView workbookViewId="0">
      <selection activeCell="B19" sqref="B19"/>
    </sheetView>
  </sheetViews>
  <sheetFormatPr defaultRowHeight="15" x14ac:dyDescent="0.25"/>
  <cols>
    <col min="1" max="1" width="40.5703125" customWidth="1"/>
    <col min="2" max="2" width="16.5703125" customWidth="1"/>
    <col min="3" max="3" width="14" customWidth="1"/>
    <col min="4" max="4" width="14.28515625" customWidth="1"/>
    <col min="5" max="5" width="19.28515625" customWidth="1"/>
    <col min="6" max="6" width="10.42578125" customWidth="1"/>
    <col min="7" max="7" width="21.42578125" customWidth="1"/>
    <col min="8" max="8" width="11.28515625" customWidth="1"/>
    <col min="9" max="9" width="36.42578125" customWidth="1"/>
  </cols>
  <sheetData>
    <row r="1" spans="1:9" x14ac:dyDescent="0.25">
      <c r="I1" s="10" t="s">
        <v>198</v>
      </c>
    </row>
    <row r="2" spans="1:9" x14ac:dyDescent="0.25">
      <c r="I2" s="10"/>
    </row>
    <row r="3" spans="1:9" ht="49.5" customHeight="1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45.75" customHeight="1" x14ac:dyDescent="0.25">
      <c r="A5" s="90" t="s">
        <v>68</v>
      </c>
      <c r="B5" s="39">
        <v>5739.01</v>
      </c>
      <c r="C5" s="84" t="s">
        <v>199</v>
      </c>
      <c r="D5" s="84" t="s">
        <v>200</v>
      </c>
      <c r="E5" s="57" t="s">
        <v>189</v>
      </c>
      <c r="F5" s="57" t="s">
        <v>201</v>
      </c>
      <c r="G5" s="57" t="s">
        <v>202</v>
      </c>
      <c r="H5" s="39">
        <v>5739.01</v>
      </c>
      <c r="I5" s="57"/>
    </row>
    <row r="6" spans="1:9" ht="30" x14ac:dyDescent="0.25">
      <c r="A6" s="90" t="s">
        <v>69</v>
      </c>
      <c r="B6" s="39">
        <v>1096.68</v>
      </c>
      <c r="I6" s="57"/>
    </row>
    <row r="7" spans="1:9" x14ac:dyDescent="0.25">
      <c r="A7" s="90"/>
      <c r="B7" s="39"/>
      <c r="C7" s="41" t="s">
        <v>204</v>
      </c>
      <c r="D7" s="57" t="s">
        <v>205</v>
      </c>
      <c r="E7" s="57" t="s">
        <v>189</v>
      </c>
      <c r="F7" s="41">
        <v>6412</v>
      </c>
      <c r="G7" s="57" t="s">
        <v>206</v>
      </c>
      <c r="H7" s="39">
        <v>528.95000000000005</v>
      </c>
      <c r="I7" s="57"/>
    </row>
    <row r="8" spans="1:9" x14ac:dyDescent="0.25">
      <c r="A8" s="90"/>
      <c r="B8" s="39"/>
      <c r="C8" s="97" t="s">
        <v>207</v>
      </c>
      <c r="D8" s="98" t="s">
        <v>150</v>
      </c>
      <c r="E8" s="98" t="s">
        <v>208</v>
      </c>
      <c r="F8" s="97">
        <v>6672</v>
      </c>
      <c r="G8" s="98" t="s">
        <v>209</v>
      </c>
      <c r="H8" s="42">
        <v>72.599999999999994</v>
      </c>
      <c r="I8" s="57"/>
    </row>
    <row r="9" spans="1:9" x14ac:dyDescent="0.25">
      <c r="A9" s="90"/>
      <c r="B9" s="39"/>
      <c r="C9" s="97" t="s">
        <v>210</v>
      </c>
      <c r="D9" s="98" t="s">
        <v>211</v>
      </c>
      <c r="E9" s="98" t="s">
        <v>208</v>
      </c>
      <c r="F9" s="97">
        <v>7096</v>
      </c>
      <c r="G9" s="98" t="s">
        <v>212</v>
      </c>
      <c r="H9" s="42">
        <v>268.37</v>
      </c>
      <c r="I9" s="57"/>
    </row>
    <row r="10" spans="1:9" x14ac:dyDescent="0.25">
      <c r="A10" s="90"/>
      <c r="B10" s="39"/>
      <c r="C10" s="97" t="s">
        <v>213</v>
      </c>
      <c r="D10" s="98" t="s">
        <v>214</v>
      </c>
      <c r="E10" s="98" t="s">
        <v>208</v>
      </c>
      <c r="F10" s="97">
        <v>7542</v>
      </c>
      <c r="G10" s="98" t="s">
        <v>215</v>
      </c>
      <c r="H10" s="42">
        <v>28.47</v>
      </c>
      <c r="I10" s="57"/>
    </row>
    <row r="11" spans="1:9" x14ac:dyDescent="0.25">
      <c r="A11" s="90"/>
      <c r="B11" s="39"/>
      <c r="C11" s="97" t="s">
        <v>216</v>
      </c>
      <c r="D11" s="98" t="s">
        <v>217</v>
      </c>
      <c r="E11" s="98" t="s">
        <v>208</v>
      </c>
      <c r="F11" s="97" t="s">
        <v>218</v>
      </c>
      <c r="G11" s="98" t="s">
        <v>219</v>
      </c>
      <c r="H11" s="42">
        <v>7.61</v>
      </c>
      <c r="I11" s="57"/>
    </row>
    <row r="12" spans="1:9" x14ac:dyDescent="0.25">
      <c r="A12" s="90"/>
      <c r="B12" s="39"/>
      <c r="C12" s="97" t="s">
        <v>220</v>
      </c>
      <c r="D12" s="98" t="s">
        <v>221</v>
      </c>
      <c r="E12" s="98" t="s">
        <v>208</v>
      </c>
      <c r="F12" s="97" t="s">
        <v>222</v>
      </c>
      <c r="G12" s="98" t="s">
        <v>223</v>
      </c>
      <c r="H12" s="42">
        <v>81.78</v>
      </c>
      <c r="I12" s="57"/>
    </row>
    <row r="13" spans="1:9" x14ac:dyDescent="0.25">
      <c r="A13" s="90"/>
      <c r="B13" s="39"/>
      <c r="C13" s="97">
        <v>210224</v>
      </c>
      <c r="D13" s="98" t="s">
        <v>95</v>
      </c>
      <c r="E13" s="98" t="s">
        <v>224</v>
      </c>
      <c r="F13" s="97">
        <v>6679</v>
      </c>
      <c r="G13" s="98" t="s">
        <v>209</v>
      </c>
      <c r="H13" s="42">
        <v>108.9</v>
      </c>
      <c r="I13" s="57"/>
    </row>
    <row r="14" spans="1:9" ht="45" x14ac:dyDescent="0.25">
      <c r="A14" s="90" t="s">
        <v>70</v>
      </c>
      <c r="B14" s="39">
        <v>88.94</v>
      </c>
      <c r="C14" s="91" t="s">
        <v>17</v>
      </c>
      <c r="D14" s="93" t="s">
        <v>148</v>
      </c>
      <c r="E14" s="93" t="s">
        <v>189</v>
      </c>
      <c r="F14" s="91" t="s">
        <v>203</v>
      </c>
      <c r="G14" s="93" t="s">
        <v>178</v>
      </c>
      <c r="H14" s="95">
        <v>533.61</v>
      </c>
      <c r="I14" s="57"/>
    </row>
    <row r="15" spans="1:9" ht="30" x14ac:dyDescent="0.25">
      <c r="A15" s="90" t="s">
        <v>71</v>
      </c>
      <c r="B15" s="39">
        <v>444.68</v>
      </c>
      <c r="C15" s="92"/>
      <c r="D15" s="94"/>
      <c r="E15" s="94"/>
      <c r="F15" s="92"/>
      <c r="G15" s="94"/>
      <c r="H15" s="96"/>
      <c r="I15" s="57"/>
    </row>
    <row r="16" spans="1:9" x14ac:dyDescent="0.25">
      <c r="A16" t="s">
        <v>67</v>
      </c>
      <c r="B16" s="73">
        <f>ROUNDUP(B5+B6+B14+B15,0)</f>
        <v>7370</v>
      </c>
      <c r="C16" s="13"/>
      <c r="D16" s="14"/>
      <c r="E16" s="13"/>
      <c r="F16" s="14"/>
      <c r="G16" s="13"/>
      <c r="H16" s="14"/>
      <c r="I16" s="13"/>
    </row>
    <row r="17" spans="1:9" x14ac:dyDescent="0.25">
      <c r="C17" s="13"/>
      <c r="D17" s="14"/>
      <c r="E17" s="13"/>
      <c r="F17" s="14"/>
      <c r="G17" s="13"/>
      <c r="H17" s="14"/>
      <c r="I17" s="13"/>
    </row>
    <row r="18" spans="1:9" x14ac:dyDescent="0.25">
      <c r="A18" s="13" t="s">
        <v>131</v>
      </c>
      <c r="B18" s="74">
        <f>H5+H7+H8+H9+H10+H11+H12+H13+H14</f>
        <v>7369.2999999999993</v>
      </c>
      <c r="C18" s="15"/>
      <c r="D18" s="15"/>
      <c r="E18" s="15"/>
      <c r="F18" s="15"/>
      <c r="G18" s="15"/>
      <c r="H18" s="15"/>
      <c r="I18" s="15"/>
    </row>
    <row r="19" spans="1:9" x14ac:dyDescent="0.25"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C20" s="15"/>
      <c r="D20" s="15"/>
      <c r="E20" s="15"/>
      <c r="F20" s="15"/>
      <c r="G20" s="15"/>
      <c r="H20" s="15"/>
      <c r="I20" s="15"/>
    </row>
    <row r="23" spans="1:9" x14ac:dyDescent="0.25">
      <c r="C23" s="13"/>
      <c r="D23" s="14"/>
      <c r="E23" s="13"/>
      <c r="F23" s="14"/>
      <c r="G23" s="13"/>
      <c r="H23" s="14"/>
      <c r="I23" s="13"/>
    </row>
  </sheetData>
  <mergeCells count="2">
    <mergeCell ref="A3:B3"/>
    <mergeCell ref="C3:I3"/>
  </mergeCells>
  <pageMargins left="0.7" right="0.7" top="0.75" bottom="0.75" header="0.3" footer="0.3"/>
  <pageSetup paperSize="9" orientation="portrait" horizontalDpi="90" verticalDpi="9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CCB2-51B6-4A9E-9D4A-9DDC72A88DA4}">
  <dimension ref="A1:I14"/>
  <sheetViews>
    <sheetView workbookViewId="0">
      <selection activeCell="A5" sqref="A5"/>
    </sheetView>
  </sheetViews>
  <sheetFormatPr defaultRowHeight="15" x14ac:dyDescent="0.25"/>
  <cols>
    <col min="1" max="1" width="40.5703125" customWidth="1"/>
    <col min="2" max="2" width="16.5703125" customWidth="1"/>
    <col min="3" max="3" width="19.28515625" customWidth="1"/>
    <col min="4" max="4" width="14.28515625" customWidth="1"/>
    <col min="5" max="5" width="19.28515625" customWidth="1"/>
    <col min="6" max="6" width="12.85546875" customWidth="1"/>
    <col min="7" max="8" width="11.28515625" customWidth="1"/>
    <col min="9" max="9" width="36.42578125" customWidth="1"/>
  </cols>
  <sheetData>
    <row r="1" spans="1:9" x14ac:dyDescent="0.25">
      <c r="I1" s="10" t="s">
        <v>230</v>
      </c>
    </row>
    <row r="2" spans="1:9" x14ac:dyDescent="0.25">
      <c r="I2" s="10"/>
    </row>
    <row r="3" spans="1:9" x14ac:dyDescent="0.25">
      <c r="A3" s="103" t="s">
        <v>152</v>
      </c>
      <c r="B3" s="104"/>
      <c r="C3" s="103" t="s">
        <v>80</v>
      </c>
      <c r="D3" s="104"/>
      <c r="E3" s="104"/>
      <c r="F3" s="104"/>
      <c r="G3" s="104"/>
      <c r="H3" s="104"/>
      <c r="I3" s="105"/>
    </row>
    <row r="4" spans="1:9" ht="38.25" x14ac:dyDescent="0.25">
      <c r="A4" s="32" t="s">
        <v>16</v>
      </c>
      <c r="B4" s="32" t="s">
        <v>0</v>
      </c>
      <c r="C4" s="32" t="s">
        <v>81</v>
      </c>
      <c r="D4" s="32" t="s">
        <v>82</v>
      </c>
      <c r="E4" s="32" t="s">
        <v>83</v>
      </c>
      <c r="F4" s="32" t="s">
        <v>84</v>
      </c>
      <c r="G4" s="32" t="s">
        <v>85</v>
      </c>
      <c r="H4" s="32" t="s">
        <v>86</v>
      </c>
      <c r="I4" s="32" t="s">
        <v>87</v>
      </c>
    </row>
    <row r="5" spans="1:9" ht="45" x14ac:dyDescent="0.25">
      <c r="A5" s="22" t="s">
        <v>31</v>
      </c>
      <c r="B5" s="21">
        <v>13984.28</v>
      </c>
      <c r="C5" s="22" t="s">
        <v>227</v>
      </c>
      <c r="D5" s="21" t="s">
        <v>228</v>
      </c>
      <c r="E5" s="57" t="s">
        <v>226</v>
      </c>
      <c r="F5" s="57">
        <v>559</v>
      </c>
      <c r="G5" s="57" t="s">
        <v>229</v>
      </c>
      <c r="H5" s="39">
        <v>13984.28</v>
      </c>
      <c r="I5" s="57"/>
    </row>
    <row r="6" spans="1:9" ht="62.25" customHeight="1" x14ac:dyDescent="0.25">
      <c r="A6" s="22" t="s">
        <v>32</v>
      </c>
      <c r="B6" s="39">
        <v>38409.99</v>
      </c>
      <c r="C6" s="22" t="s">
        <v>225</v>
      </c>
      <c r="D6" s="57" t="s">
        <v>170</v>
      </c>
      <c r="E6" s="57" t="s">
        <v>226</v>
      </c>
      <c r="F6" s="41">
        <v>3547</v>
      </c>
      <c r="G6" s="57" t="s">
        <v>156</v>
      </c>
      <c r="H6" s="39">
        <v>38409.99</v>
      </c>
      <c r="I6" s="57"/>
    </row>
    <row r="7" spans="1:9" x14ac:dyDescent="0.25">
      <c r="A7" t="s">
        <v>67</v>
      </c>
      <c r="B7" s="73">
        <f>ROUNDUP(B5+B6,0)</f>
        <v>52395</v>
      </c>
      <c r="C7" s="13"/>
      <c r="D7" s="14"/>
      <c r="E7" s="13"/>
      <c r="F7" s="14"/>
      <c r="G7" s="13"/>
      <c r="H7" s="14"/>
      <c r="I7" s="13"/>
    </row>
    <row r="8" spans="1:9" x14ac:dyDescent="0.25">
      <c r="C8" s="13"/>
      <c r="D8" s="14"/>
      <c r="E8" s="13"/>
      <c r="F8" s="14"/>
      <c r="G8" s="13"/>
      <c r="H8" s="14"/>
      <c r="I8" s="13"/>
    </row>
    <row r="9" spans="1:9" x14ac:dyDescent="0.25">
      <c r="A9" s="13" t="s">
        <v>131</v>
      </c>
      <c r="B9" s="74">
        <f>H5+H6</f>
        <v>52394.27</v>
      </c>
      <c r="C9" s="15"/>
      <c r="D9" s="15"/>
      <c r="E9" s="15"/>
      <c r="F9" s="15"/>
      <c r="G9" s="15"/>
      <c r="H9" s="15"/>
      <c r="I9" s="15"/>
    </row>
    <row r="10" spans="1:9" x14ac:dyDescent="0.25"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C11" s="15"/>
      <c r="D11" s="15"/>
      <c r="E11" s="15"/>
      <c r="F11" s="15"/>
      <c r="G11" s="15"/>
      <c r="H11" s="15"/>
      <c r="I11" s="15"/>
    </row>
    <row r="14" spans="1:9" x14ac:dyDescent="0.25">
      <c r="C14" s="13"/>
      <c r="D14" s="14"/>
      <c r="E14" s="13"/>
      <c r="F14" s="14"/>
      <c r="G14" s="13"/>
      <c r="H14" s="14"/>
      <c r="I14" s="13"/>
    </row>
  </sheetData>
  <mergeCells count="2">
    <mergeCell ref="A3:B3"/>
    <mergeCell ref="C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Kopsavilkums</vt:lpstr>
      <vt:lpstr>Liepaja</vt:lpstr>
      <vt:lpstr>Ziemeļkurzeme</vt:lpstr>
      <vt:lpstr>Jelgava</vt:lpstr>
      <vt:lpstr>Jūrmala</vt:lpstr>
      <vt:lpstr>Dobele</vt:lpstr>
      <vt:lpstr>Preiļu slimnīca</vt:lpstr>
      <vt:lpstr>Tukums</vt:lpstr>
      <vt:lpstr>Bauska</vt:lpstr>
      <vt:lpstr>Aizkraukle</vt:lpstr>
      <vt:lpstr>Ludza</vt:lpstr>
      <vt:lpstr>Saldus</vt:lpstr>
      <vt:lpstr>Rīgas 1.slimnīca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Bredriha</dc:creator>
  <cp:lastModifiedBy>Lāsma Zandberga</cp:lastModifiedBy>
  <dcterms:created xsi:type="dcterms:W3CDTF">2021-11-12T09:58:55Z</dcterms:created>
  <dcterms:modified xsi:type="dcterms:W3CDTF">2022-04-06T14:15:35Z</dcterms:modified>
</cp:coreProperties>
</file>