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FPP\Home\Rozkin\2024-2026\Apro_74.progr_TAP\IeM_iesniegtais _TAP_sask_11.2024\TAP_saskaņošanai_IeM\Saskaņots_TAP_201124\PrecizētaisTAP_iesniegtais FM\"/>
    </mc:Choice>
  </mc:AlternateContent>
  <bookViews>
    <workbookView xWindow="0" yWindow="0" windowWidth="28800" windowHeight="12230"/>
  </bookViews>
  <sheets>
    <sheet name="1 tab Sp_transp_kont_ar_aprik " sheetId="8" r:id="rId1"/>
    <sheet name="2 tab Kopsavilkums"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8" i="8" l="1"/>
  <c r="R9" i="8" l="1"/>
  <c r="D18" i="8" l="1"/>
  <c r="J15" i="8"/>
  <c r="F15" i="8"/>
  <c r="D19" i="8" l="1"/>
  <c r="E15" i="2" l="1"/>
  <c r="D15" i="2"/>
  <c r="D9" i="8"/>
  <c r="F14" i="8" l="1"/>
  <c r="F18" i="8" l="1"/>
  <c r="S18" i="8"/>
  <c r="Q18" i="8"/>
  <c r="P18" i="8"/>
  <c r="F17" i="8"/>
  <c r="F16" i="8"/>
  <c r="U9" i="8"/>
  <c r="T9" i="8"/>
  <c r="R11" i="8"/>
  <c r="P9" i="8"/>
  <c r="P11" i="8" s="1"/>
  <c r="O9" i="8"/>
  <c r="O11" i="8" s="1"/>
  <c r="E9" i="8"/>
  <c r="T18" i="8"/>
  <c r="O18" i="8"/>
  <c r="I18" i="8"/>
  <c r="G18" i="8"/>
  <c r="E18" i="8"/>
  <c r="C18" i="8"/>
  <c r="M17" i="8"/>
  <c r="K17" i="8" s="1"/>
  <c r="L17" i="8"/>
  <c r="D17" i="8"/>
  <c r="J17" i="8" s="1"/>
  <c r="M16" i="8"/>
  <c r="L16" i="8"/>
  <c r="D16" i="8"/>
  <c r="M15" i="8"/>
  <c r="L15" i="8"/>
  <c r="K15" i="8" s="1"/>
  <c r="D15" i="8"/>
  <c r="M14" i="8"/>
  <c r="L14" i="8"/>
  <c r="D14" i="8"/>
  <c r="S11" i="8"/>
  <c r="Q11" i="8"/>
  <c r="J11" i="8"/>
  <c r="H11" i="8"/>
  <c r="F11" i="8"/>
  <c r="C11" i="8"/>
  <c r="M10" i="8"/>
  <c r="L10" i="8"/>
  <c r="D10" i="8"/>
  <c r="G10" i="8" s="1"/>
  <c r="U11" i="8"/>
  <c r="N9" i="8"/>
  <c r="E11" i="8"/>
  <c r="M9" i="8" l="1"/>
  <c r="N11" i="8"/>
  <c r="L9" i="8"/>
  <c r="L11" i="8" s="1"/>
  <c r="K10" i="8"/>
  <c r="K16" i="8"/>
  <c r="J16" i="8" s="1"/>
  <c r="D11" i="8"/>
  <c r="K14" i="8"/>
  <c r="J14" i="8" s="1"/>
  <c r="N18" i="8"/>
  <c r="N19" i="8" s="1"/>
  <c r="S19" i="8"/>
  <c r="F19" i="8"/>
  <c r="E20" i="8" s="1"/>
  <c r="G11" i="8"/>
  <c r="G19" i="8" s="1"/>
  <c r="O19" i="8"/>
  <c r="U18" i="8"/>
  <c r="U19" i="8" s="1"/>
  <c r="R18" i="8"/>
  <c r="R19" i="8" s="1"/>
  <c r="Q19" i="8"/>
  <c r="M11" i="8"/>
  <c r="M18" i="8"/>
  <c r="E19" i="8"/>
  <c r="P19" i="8"/>
  <c r="C19" i="8"/>
  <c r="T11" i="8"/>
  <c r="T19" i="8" s="1"/>
  <c r="I10" i="8"/>
  <c r="J19" i="8" l="1"/>
  <c r="I20" i="8" s="1"/>
  <c r="L18" i="8"/>
  <c r="L19" i="8" s="1"/>
  <c r="M19" i="8"/>
  <c r="K9" i="8"/>
  <c r="K11" i="8" s="1"/>
  <c r="K19" i="8" s="1"/>
  <c r="H18" i="8"/>
  <c r="H19" i="8" s="1"/>
  <c r="K18" i="8" l="1"/>
  <c r="I9" i="8"/>
  <c r="I11" i="8" s="1"/>
  <c r="I19" i="8" s="1"/>
  <c r="D16" i="2" l="1"/>
  <c r="C15" i="2" l="1"/>
</calcChain>
</file>

<file path=xl/sharedStrings.xml><?xml version="1.0" encoding="utf-8"?>
<sst xmlns="http://schemas.openxmlformats.org/spreadsheetml/2006/main" count="125" uniqueCount="72">
  <si>
    <t>Nr.p.k.</t>
  </si>
  <si>
    <t>1.</t>
  </si>
  <si>
    <t>2.</t>
  </si>
  <si>
    <t>4.</t>
  </si>
  <si>
    <t>5.</t>
  </si>
  <si>
    <t>6.</t>
  </si>
  <si>
    <t>x</t>
  </si>
  <si>
    <t>Pielikums Ministru kabineta rīkojuma projektam "Par apropriācijas pārdali no budžeta resora "74. Gadskārtējā valsts budžeta izpildes procesā pārdalāmais finansējums" programmas 18.00.00 "Finansējums valsts drošības stiprināšanas pasākumiem"" sākotnējās ietekmes novērtējuma ziņojumam (anotācijai)</t>
  </si>
  <si>
    <t>1.tabula</t>
  </si>
  <si>
    <t>Rezervēts finansējums</t>
  </si>
  <si>
    <t>Rādītājs</t>
  </si>
  <si>
    <t>Budžeta resora "74. Gadskārtējā valsts budžeta izpildes procesā pārdalāmais finansējums" programmā 18.00.00 "Finansējums valsts drošības stiprināšanas pasākumiem"  plānotais finansējums un tā pārdale uz Iekšlietu ministrijas budžeta programmu 07.00.00 "Ugunsdrošība, glābšana un civilā aizsardzība"</t>
  </si>
  <si>
    <t xml:space="preserve">3. </t>
  </si>
  <si>
    <r>
      <t>Ar valsts drošību saistītais prioritārais pasākums</t>
    </r>
    <r>
      <rPr>
        <b/>
        <sz val="10"/>
        <color theme="1"/>
        <rFont val="Times New Roman"/>
        <family val="1"/>
        <charset val="186"/>
      </rPr>
      <t xml:space="preserve"> 
"Speciālo ugunsdzēsības un glābšanas transportlīdzekļu iegāde" </t>
    </r>
  </si>
  <si>
    <t>2.tabula</t>
  </si>
  <si>
    <t xml:space="preserve">Atlikums budžeta resora "74. Gadskārtējā valsts budžeta izpildes procesā pārdalāmais finansējums" programmā 18.00.00 "Finansējums valsts drošības stiprināšanas pasākumiem" </t>
  </si>
  <si>
    <r>
      <t xml:space="preserve">Apgūts finansējums
(veikti avansa maksājumi par 88 ugunsdzēsības autocisternām 13 081 703 </t>
    </r>
    <r>
      <rPr>
        <i/>
        <sz val="10"/>
        <color theme="1"/>
        <rFont val="Times New Roman"/>
        <family val="1"/>
        <charset val="186"/>
      </rPr>
      <t>euro</t>
    </r>
    <r>
      <rPr>
        <sz val="10"/>
        <color theme="1"/>
        <rFont val="Times New Roman"/>
        <family val="1"/>
        <charset val="186"/>
      </rPr>
      <t>)</t>
    </r>
  </si>
  <si>
    <t>2023.</t>
  </si>
  <si>
    <t>2024.</t>
  </si>
  <si>
    <t>2025.</t>
  </si>
  <si>
    <r>
      <t xml:space="preserve">Piešķirts finansējums
MK 02.05.2023. rīkojums Nr.245 (23-TA-807)
(Ministru kabineta 02.05.2023. sēdē nolemtais (prot.Nr.24 10.§))
</t>
    </r>
    <r>
      <rPr>
        <b/>
        <i/>
        <sz val="10"/>
        <color theme="1"/>
        <rFont val="Times New Roman"/>
        <family val="1"/>
        <charset val="186"/>
      </rPr>
      <t>152 ugunsdzēsības autocisternu iegāde</t>
    </r>
  </si>
  <si>
    <r>
      <t xml:space="preserve">Piešķirts finansējums 
MK 10.04.2024. rīkojums Nr.260 (24-TA-548) 
(Ministru kabineta 10.04.2024. sēdē nolemtais (prot. Nr. 15 13. §))
</t>
    </r>
    <r>
      <rPr>
        <b/>
        <i/>
        <sz val="10"/>
        <color theme="1"/>
        <rFont val="Times New Roman"/>
        <family val="1"/>
        <charset val="186"/>
      </rPr>
      <t>259 speciālo transportlīdzekļu un 631 vienību aprīkojuma iegāde</t>
    </r>
  </si>
  <si>
    <r>
      <t xml:space="preserve">Piešķirts finansējums no budžeta programmas 01.00.00 "Apropriācijas rezerve" 2024. gadam 
FM 10.05.2024. rīkojums Nr.171 "Par apropriācijas pārdali" (64 ugunsdzēsības autocisternu iegādei (avansa un gala maksājumi) 9 989 120 </t>
    </r>
    <r>
      <rPr>
        <i/>
        <sz val="10"/>
        <color theme="1"/>
        <rFont val="Times New Roman"/>
        <family val="1"/>
        <charset val="186"/>
      </rPr>
      <t>euro</t>
    </r>
    <r>
      <rPr>
        <sz val="10"/>
        <color theme="1"/>
        <rFont val="Times New Roman"/>
        <family val="1"/>
        <charset val="186"/>
      </rPr>
      <t>))</t>
    </r>
  </si>
  <si>
    <r>
      <t xml:space="preserve">Piešķirts finansējums
MK 24.07.2024. rīkojums Nr.625 (24-TA-1654)
(Ministru kabineta 24.07.2024. sēdē nolemtais (prot. Nr. 30 42. §))
</t>
    </r>
    <r>
      <rPr>
        <b/>
        <i/>
        <sz val="10"/>
        <color theme="1"/>
        <rFont val="Times New Roman"/>
        <family val="1"/>
        <charset val="186"/>
      </rPr>
      <t>20 speciālo transportlīdzekļu un 218 vienību aprīkojuma iegāde</t>
    </r>
  </si>
  <si>
    <t>EKK 2312 Inventārs</t>
  </si>
  <si>
    <t>EKK 2389 
Pārējie specifiskas lietošanas materiāli un inventārs</t>
  </si>
  <si>
    <t>Transportlīdzekļa veids/rācijas</t>
  </si>
  <si>
    <t>Ugunsdzēsības autocisternas 4x4, ar aprīkojumu (61. gab.)</t>
  </si>
  <si>
    <t>Avansa maksājums par transportlīdzekļiem (EKK 5231)</t>
  </si>
  <si>
    <t xml:space="preserve"> Gala maksājums par transportlīdzekļiem (EKK 5231)</t>
  </si>
  <si>
    <r>
      <t xml:space="preserve">Plānotie izdevumi (ar PVN) - kopā, </t>
    </r>
    <r>
      <rPr>
        <i/>
        <sz val="10"/>
        <color theme="1"/>
        <rFont val="Times New Roman"/>
        <family val="1"/>
        <charset val="186"/>
      </rPr>
      <t>euro</t>
    </r>
  </si>
  <si>
    <t>tajā skaitā sadalījumā pa EKK:</t>
  </si>
  <si>
    <t>EKK 2350 Iestāžu uzturēšanas materiāli un preces</t>
  </si>
  <si>
    <t>EKK 5239 
Pārējie iepriekš neklasificētie pamatlīdzekļi un ieguldījuma īpašumi</t>
  </si>
  <si>
    <t xml:space="preserve"> tajā skaitā aprīkojums sadalījumā pa izdevumu ekonomiskās klasifikācijas kodiem:</t>
  </si>
  <si>
    <t>2.1.</t>
  </si>
  <si>
    <r>
      <t xml:space="preserve">Pārdalīts finansējums no ar valsts drošību saistītajam prioritārajam pasākumam "Speciālo ugunsdzēsības un glābšanas transportlīdzekļu iegāde" piešķirtiem līdzekļiem, palielinot finansējumu 1 499 985 </t>
    </r>
    <r>
      <rPr>
        <i/>
        <sz val="10"/>
        <rFont val="Times New Roman"/>
        <family val="1"/>
        <charset val="186"/>
      </rPr>
      <t>euro</t>
    </r>
    <r>
      <rPr>
        <sz val="10"/>
        <rFont val="Times New Roman"/>
        <family val="1"/>
        <charset val="186"/>
      </rPr>
      <t xml:space="preserve"> apmērā, lai nodrošinātu speciālo ugunsdzēsības un glābšanas transportlīdzekļu komplektācijā esošā speciālā aprīkojuma un inventāra iegādes izdevumu segšanu (preces un pakalpojumi) (24-TA-547)</t>
    </r>
  </si>
  <si>
    <t>Vieglais transportlīdzeklis ar 6 sēdvietām</t>
  </si>
  <si>
    <t>Glābšanas un ķīmijas transportlīdzeklis (6x6)</t>
  </si>
  <si>
    <r>
      <t xml:space="preserve">Piešķirts finansējums 
MK 23.10.2024.. rīkojumu Nr.850 (24-TA-2115)
(Ministru kabineta 23.10.2024. sēdē nolemtais (prot. Nr.45  11.§)) 
</t>
    </r>
    <r>
      <rPr>
        <b/>
        <i/>
        <sz val="10"/>
        <color theme="1"/>
        <rFont val="Times New Roman"/>
        <family val="1"/>
        <charset val="186"/>
      </rPr>
      <t>6 ugunsdzēsības autocisternu ar pacēlāju un to komplektācijā esošā aprīkojuma iegāde</t>
    </r>
  </si>
  <si>
    <t>7.</t>
  </si>
  <si>
    <t>8 
(1.-2.-3.-4.-5.-6.)</t>
  </si>
  <si>
    <t>9.</t>
  </si>
  <si>
    <t>EKK 2329 Pārējie enerģētiskie materiāli</t>
  </si>
  <si>
    <t>EKK 5238 
Datortehnika, sakaru un cita biroja tehnika</t>
  </si>
  <si>
    <t>EKK 2364 Formas tērpi un speciālais apģērbs</t>
  </si>
  <si>
    <t>EKK 5231
Datortehnika, sakaru un cita biroja tehnika</t>
  </si>
  <si>
    <t>EKK 2000 kopā</t>
  </si>
  <si>
    <t>EKK 5000 kopā</t>
  </si>
  <si>
    <t xml:space="preserve">Sūkņu stacijas modulis </t>
  </si>
  <si>
    <t xml:space="preserve">Spiedvadu modulis </t>
  </si>
  <si>
    <t xml:space="preserve">Plūdu modulis </t>
  </si>
  <si>
    <t xml:space="preserve">Konteinera platforma </t>
  </si>
  <si>
    <r>
      <t xml:space="preserve">Avansa maksājums </t>
    </r>
    <r>
      <rPr>
        <u/>
        <sz val="10"/>
        <color theme="1"/>
        <rFont val="Times New Roman"/>
        <family val="1"/>
        <charset val="186"/>
      </rPr>
      <t>bez PVN</t>
    </r>
    <r>
      <rPr>
        <sz val="10"/>
        <color theme="1"/>
        <rFont val="Times New Roman"/>
        <family val="1"/>
        <charset val="186"/>
      </rPr>
      <t xml:space="preserve">, </t>
    </r>
    <r>
      <rPr>
        <i/>
        <sz val="10"/>
        <color theme="1"/>
        <rFont val="Times New Roman"/>
        <family val="1"/>
        <charset val="186"/>
      </rPr>
      <t>euro</t>
    </r>
  </si>
  <si>
    <r>
      <t xml:space="preserve">Avansa maksājums </t>
    </r>
    <r>
      <rPr>
        <u/>
        <sz val="10"/>
        <color theme="1"/>
        <rFont val="Times New Roman"/>
        <family val="1"/>
        <charset val="186"/>
      </rPr>
      <t>ar PVN</t>
    </r>
    <r>
      <rPr>
        <sz val="10"/>
        <color theme="1"/>
        <rFont val="Times New Roman"/>
        <family val="1"/>
        <charset val="186"/>
      </rPr>
      <t xml:space="preserve">, </t>
    </r>
    <r>
      <rPr>
        <i/>
        <sz val="10"/>
        <color theme="1"/>
        <rFont val="Times New Roman"/>
        <family val="1"/>
        <charset val="186"/>
      </rPr>
      <t>euro</t>
    </r>
  </si>
  <si>
    <t>Kopā pa gadiem</t>
  </si>
  <si>
    <r>
      <t>Izdevumi</t>
    </r>
    <r>
      <rPr>
        <b/>
        <sz val="11"/>
        <color theme="1"/>
        <rFont val="Times New Roman"/>
        <family val="1"/>
        <charset val="186"/>
      </rPr>
      <t xml:space="preserve"> 2025. gadā </t>
    </r>
    <r>
      <rPr>
        <sz val="11"/>
        <color theme="1"/>
        <rFont val="Times New Roman"/>
        <family val="1"/>
        <charset val="186"/>
      </rPr>
      <t xml:space="preserve">(ar PVN), </t>
    </r>
    <r>
      <rPr>
        <i/>
        <sz val="11"/>
        <color theme="1"/>
        <rFont val="Times New Roman"/>
        <family val="1"/>
        <charset val="186"/>
      </rPr>
      <t>euro</t>
    </r>
  </si>
  <si>
    <r>
      <t xml:space="preserve">Izdevumi </t>
    </r>
    <r>
      <rPr>
        <b/>
        <sz val="11"/>
        <color theme="1"/>
        <rFont val="Times New Roman"/>
        <family val="1"/>
        <charset val="186"/>
      </rPr>
      <t>2024. gadā</t>
    </r>
    <r>
      <rPr>
        <sz val="11"/>
        <color theme="1"/>
        <rFont val="Times New Roman"/>
        <family val="1"/>
        <charset val="186"/>
      </rPr>
      <t xml:space="preserve">, </t>
    </r>
    <r>
      <rPr>
        <i/>
        <sz val="11"/>
        <color theme="1"/>
        <rFont val="Times New Roman"/>
        <family val="1"/>
        <charset val="186"/>
      </rPr>
      <t>euro</t>
    </r>
  </si>
  <si>
    <t>I. Speciālie transportlīdzekļi ar aprīkojumu</t>
  </si>
  <si>
    <t>Kopā I</t>
  </si>
  <si>
    <t>Kopā II</t>
  </si>
  <si>
    <t>Pavisam (I + II)</t>
  </si>
  <si>
    <t xml:space="preserve">Sūkņu un spiedvadu kontenera sistēma (komplekts), t.sk.:
</t>
  </si>
  <si>
    <t>Izdevumi par speciālo transportlīdzekļu un to komplektācijā esošā aprīkojuma, un specializētās konteinera sistēmas iegādi 
ar valsts drošību saistītā prioritārā pasākuma "Speciālo ugunsdzēsības un glābšanas transportlīdzekļu iegāde" ietvaros</t>
  </si>
  <si>
    <r>
      <t xml:space="preserve">Pieprasīts finansējums (24-TA-2891)
</t>
    </r>
    <r>
      <rPr>
        <b/>
        <sz val="10"/>
        <color theme="1"/>
        <rFont val="Times New Roman"/>
        <family val="1"/>
        <charset val="186"/>
      </rPr>
      <t xml:space="preserve">8 </t>
    </r>
    <r>
      <rPr>
        <b/>
        <i/>
        <sz val="10"/>
        <color theme="1"/>
        <rFont val="Times New Roman"/>
        <family val="1"/>
        <charset val="186"/>
      </rPr>
      <t>speciālo transportlīdzekļu un to komplektācijā esošā aprīkojuma, un specializētās konteinera sistēmas 29 vienību iegāde</t>
    </r>
  </si>
  <si>
    <t>Vienību skaits</t>
  </si>
  <si>
    <t>Transportlīdzekļa/specializētā konteinera veids</t>
  </si>
  <si>
    <t xml:space="preserve"> Norēķins par transportlīdzekļu komplektācijā esošo aprīkojumu -kopā</t>
  </si>
  <si>
    <t xml:space="preserve"> II. Specializētā konteinera sistēma </t>
  </si>
  <si>
    <t>Avansa maksājums par specializēto konteinera sistēmu (EKK 5239)</t>
  </si>
  <si>
    <t xml:space="preserve"> Gala maksājums par specializēto konteinera sistēmu  
(EKK 5239)</t>
  </si>
  <si>
    <t>Avansa maksājums par specializēto konteinera sistēmu 
(EKK 5239)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</si>
</sst>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0.00\ _€_-;\-* #,##0.00\ _€_-;_-* &quot;-&quot;??\ _€_-;_-@_-"/>
    <numFmt numFmtId="165" formatCode="_-* #,##0_-;\-* #,##0_-;_-* &quot;-&quot;??_-;_-@_-"/>
    <numFmt numFmtId="166" formatCode="_-* #,##0\ _€_-;\-* #,##0\ _€_-;_-* &quot;-&quot;??\ _€_-;_-@_-"/>
  </numFmts>
  <fonts count="21"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2"/>
      <color theme="1"/>
      <name val="Times New Roman"/>
      <family val="1"/>
      <charset val="186"/>
    </font>
    <font>
      <sz val="11"/>
      <color theme="1"/>
      <name val="Times New Roman"/>
      <family val="1"/>
      <charset val="186"/>
    </font>
    <font>
      <b/>
      <sz val="11"/>
      <color theme="1"/>
      <name val="Times New Roman"/>
      <family val="1"/>
      <charset val="186"/>
    </font>
    <font>
      <b/>
      <sz val="10"/>
      <color theme="1"/>
      <name val="Times New Roman"/>
      <family val="1"/>
      <charset val="186"/>
    </font>
    <font>
      <b/>
      <i/>
      <sz val="10"/>
      <color theme="1"/>
      <name val="Times New Roman"/>
      <family val="1"/>
      <charset val="186"/>
    </font>
    <font>
      <sz val="9"/>
      <color theme="1"/>
      <name val="Times New Roman"/>
      <family val="1"/>
      <charset val="186"/>
    </font>
    <font>
      <i/>
      <sz val="10"/>
      <color theme="1"/>
      <name val="Times New Roman"/>
      <family val="1"/>
      <charset val="186"/>
    </font>
    <font>
      <i/>
      <sz val="11"/>
      <color theme="1"/>
      <name val="Times New Roman"/>
      <family val="1"/>
      <charset val="186"/>
    </font>
    <font>
      <sz val="10"/>
      <name val="Times New Roman"/>
      <family val="1"/>
      <charset val="186"/>
    </font>
    <font>
      <i/>
      <sz val="10"/>
      <name val="Times New Roman"/>
      <family val="1"/>
      <charset val="186"/>
    </font>
    <font>
      <b/>
      <sz val="11"/>
      <color theme="1"/>
      <name val="Calibri"/>
      <family val="2"/>
      <charset val="186"/>
      <scheme val="minor"/>
    </font>
    <font>
      <b/>
      <i/>
      <sz val="11"/>
      <color theme="1"/>
      <name val="Times New Roman"/>
      <family val="1"/>
      <charset val="186"/>
    </font>
    <font>
      <u/>
      <sz val="10"/>
      <color theme="1"/>
      <name val="Times New Roman"/>
      <family val="1"/>
      <charset val="186"/>
    </font>
    <font>
      <b/>
      <u/>
      <sz val="10"/>
      <color theme="1"/>
      <name val="Times New Roman"/>
      <family val="1"/>
      <charset val="186"/>
    </font>
    <font>
      <u/>
      <sz val="11"/>
      <color theme="1"/>
      <name val="Calibri"/>
      <family val="2"/>
      <charset val="186"/>
      <scheme val="minor"/>
    </font>
    <font>
      <sz val="12"/>
      <color theme="1"/>
      <name val="Calibri"/>
      <family val="2"/>
      <charset val="186"/>
      <scheme val="minor"/>
    </font>
    <font>
      <b/>
      <sz val="12"/>
      <color theme="1"/>
      <name val="Times New Roman"/>
      <family val="1"/>
      <charset val="186"/>
    </font>
    <font>
      <b/>
      <i/>
      <sz val="1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1" tint="0.34998626667073579"/>
      </left>
      <right style="thin">
        <color theme="0" tint="-0.24994659260841701"/>
      </right>
      <top style="medium">
        <color theme="1" tint="0.34998626667073579"/>
      </top>
      <bottom style="medium">
        <color theme="1" tint="0.34998626667073579"/>
      </bottom>
      <diagonal/>
    </border>
    <border>
      <left style="thin">
        <color theme="0" tint="-0.24994659260841701"/>
      </left>
      <right style="thin">
        <color theme="0" tint="-0.24994659260841701"/>
      </right>
      <top style="medium">
        <color theme="1" tint="0.34998626667073579"/>
      </top>
      <bottom style="medium">
        <color theme="1" tint="0.34998626667073579"/>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s>
  <cellStyleXfs count="2">
    <xf numFmtId="0" fontId="0" fillId="0" borderId="0"/>
    <xf numFmtId="43" fontId="1" fillId="0" borderId="0" applyFont="0" applyFill="0" applyBorder="0" applyAlignment="0" applyProtection="0"/>
  </cellStyleXfs>
  <cellXfs count="92">
    <xf numFmtId="0" fontId="0" fillId="0" borderId="0" xfId="0"/>
    <xf numFmtId="0" fontId="4" fillId="0" borderId="0" xfId="0" applyFont="1"/>
    <xf numFmtId="0" fontId="4" fillId="0" borderId="0" xfId="0" applyFont="1" applyAlignment="1">
      <alignment wrapText="1"/>
    </xf>
    <xf numFmtId="0" fontId="2" fillId="0" borderId="0" xfId="0" applyFont="1" applyAlignment="1">
      <alignment wrapText="1"/>
    </xf>
    <xf numFmtId="0" fontId="2" fillId="0" borderId="0" xfId="0" applyFont="1" applyAlignment="1">
      <alignment vertical="center" wrapText="1"/>
    </xf>
    <xf numFmtId="3" fontId="2" fillId="0" borderId="0" xfId="0" applyNumberFormat="1" applyFont="1" applyAlignment="1">
      <alignment vertical="center" wrapText="1"/>
    </xf>
    <xf numFmtId="3" fontId="2" fillId="0" borderId="0" xfId="0" applyNumberFormat="1" applyFont="1" applyAlignment="1">
      <alignment wrapText="1"/>
    </xf>
    <xf numFmtId="3" fontId="4" fillId="0" borderId="0" xfId="0" applyNumberFormat="1" applyFont="1" applyAlignment="1">
      <alignment wrapText="1"/>
    </xf>
    <xf numFmtId="0" fontId="5" fillId="0" borderId="0" xfId="0" applyFont="1" applyAlignment="1">
      <alignment wrapText="1"/>
    </xf>
    <xf numFmtId="0" fontId="2" fillId="0" borderId="0" xfId="0" applyFont="1" applyAlignment="1">
      <alignment horizontal="center" vertical="center" wrapText="1"/>
    </xf>
    <xf numFmtId="3" fontId="6" fillId="0" borderId="0" xfId="0" applyNumberFormat="1" applyFont="1" applyAlignment="1">
      <alignment wrapText="1"/>
    </xf>
    <xf numFmtId="0" fontId="6" fillId="0" borderId="0" xfId="0" applyFont="1" applyAlignment="1">
      <alignment wrapText="1"/>
    </xf>
    <xf numFmtId="0" fontId="5"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vertical="center" wrapText="1"/>
    </xf>
    <xf numFmtId="3" fontId="2" fillId="0" borderId="8"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3" borderId="8" xfId="0" applyFont="1" applyFill="1" applyBorder="1" applyAlignment="1">
      <alignment vertical="center" wrapText="1"/>
    </xf>
    <xf numFmtId="3" fontId="6" fillId="3" borderId="8"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vertical="center" wrapText="1"/>
    </xf>
    <xf numFmtId="3" fontId="2" fillId="0" borderId="9"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0" xfId="0" applyFont="1" applyBorder="1" applyAlignment="1">
      <alignment vertical="center" wrapText="1"/>
    </xf>
    <xf numFmtId="3" fontId="2" fillId="0" borderId="10"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vertical="center" wrapText="1"/>
    </xf>
    <xf numFmtId="3" fontId="6" fillId="0" borderId="12" xfId="0" applyNumberFormat="1" applyFont="1" applyBorder="1" applyAlignment="1">
      <alignment horizontal="center" vertical="center" wrapText="1"/>
    </xf>
    <xf numFmtId="0" fontId="2" fillId="0" borderId="0" xfId="0" applyFont="1" applyAlignment="1">
      <alignment horizontal="right" vertical="center"/>
    </xf>
    <xf numFmtId="3" fontId="2" fillId="2" borderId="9" xfId="0" applyNumberFormat="1" applyFont="1" applyFill="1" applyBorder="1" applyAlignment="1">
      <alignment horizontal="center" vertical="center" wrapText="1"/>
    </xf>
    <xf numFmtId="0" fontId="2" fillId="2" borderId="9" xfId="0" applyFont="1" applyFill="1" applyBorder="1" applyAlignment="1">
      <alignment vertical="center" wrapText="1"/>
    </xf>
    <xf numFmtId="0" fontId="2" fillId="0" borderId="0" xfId="0" applyFont="1" applyBorder="1" applyAlignment="1">
      <alignment horizontal="left" wrapText="1"/>
    </xf>
    <xf numFmtId="0" fontId="8" fillId="2" borderId="3" xfId="0" applyFont="1" applyFill="1" applyBorder="1" applyAlignment="1">
      <alignment vertical="center" wrapText="1"/>
    </xf>
    <xf numFmtId="0" fontId="2" fillId="3" borderId="3"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165" fontId="2" fillId="2" borderId="3" xfId="1" applyNumberFormat="1" applyFont="1" applyFill="1" applyBorder="1" applyAlignment="1">
      <alignment horizontal="center" vertical="center" wrapText="1"/>
    </xf>
    <xf numFmtId="0" fontId="2" fillId="0" borderId="0" xfId="0" applyFont="1" applyBorder="1" applyAlignment="1">
      <alignment wrapText="1"/>
    </xf>
    <xf numFmtId="0" fontId="11" fillId="0" borderId="8" xfId="0" applyFont="1" applyBorder="1" applyAlignment="1">
      <alignment vertical="center" wrapText="1"/>
    </xf>
    <xf numFmtId="3" fontId="11" fillId="0" borderId="8" xfId="0" applyNumberFormat="1" applyFont="1" applyBorder="1" applyAlignment="1">
      <alignment horizontal="center" vertical="center" wrapText="1"/>
    </xf>
    <xf numFmtId="0" fontId="11" fillId="0" borderId="8" xfId="0" applyFont="1" applyBorder="1" applyAlignment="1">
      <alignment horizontal="right" vertical="center" wrapText="1"/>
    </xf>
    <xf numFmtId="43" fontId="2" fillId="2" borderId="3" xfId="1" applyNumberFormat="1" applyFont="1" applyFill="1" applyBorder="1" applyAlignment="1">
      <alignment horizontal="center" vertical="center" wrapText="1"/>
    </xf>
    <xf numFmtId="43" fontId="2" fillId="2" borderId="3" xfId="1" applyNumberFormat="1" applyFont="1" applyFill="1" applyBorder="1" applyAlignment="1">
      <alignment horizontal="center" vertical="center"/>
    </xf>
    <xf numFmtId="0" fontId="13" fillId="0" borderId="0" xfId="0" applyFont="1"/>
    <xf numFmtId="0" fontId="7" fillId="2" borderId="3" xfId="0" applyFont="1" applyFill="1" applyBorder="1" applyAlignment="1">
      <alignment horizontal="right" vertical="center" wrapText="1"/>
    </xf>
    <xf numFmtId="0" fontId="7" fillId="2" borderId="3" xfId="0" applyFont="1" applyFill="1" applyBorder="1" applyAlignment="1">
      <alignment horizontal="center" vertical="center" wrapText="1"/>
    </xf>
    <xf numFmtId="164" fontId="7" fillId="2" borderId="3" xfId="0" applyNumberFormat="1" applyFont="1" applyFill="1" applyBorder="1" applyAlignment="1">
      <alignment vertical="center" wrapText="1"/>
    </xf>
    <xf numFmtId="43" fontId="7" fillId="2" borderId="3" xfId="1" applyFont="1" applyFill="1" applyBorder="1" applyAlignment="1">
      <alignment horizontal="center" vertical="center" wrapText="1"/>
    </xf>
    <xf numFmtId="0" fontId="6" fillId="0" borderId="6" xfId="0" applyFont="1" applyBorder="1" applyAlignment="1">
      <alignment horizontal="center" vertical="center" wrapText="1"/>
    </xf>
    <xf numFmtId="0" fontId="2" fillId="2" borderId="3" xfId="0" applyFont="1" applyFill="1" applyBorder="1" applyAlignment="1">
      <alignment horizontal="right" vertical="center" wrapText="1"/>
    </xf>
    <xf numFmtId="165" fontId="2" fillId="2" borderId="3" xfId="1" applyNumberFormat="1" applyFont="1" applyFill="1" applyBorder="1" applyAlignment="1">
      <alignment horizontal="center" vertical="center"/>
    </xf>
    <xf numFmtId="166" fontId="7" fillId="2" borderId="3" xfId="0" applyNumberFormat="1" applyFont="1" applyFill="1" applyBorder="1" applyAlignment="1">
      <alignment vertical="center" wrapText="1"/>
    </xf>
    <xf numFmtId="165" fontId="7" fillId="2" borderId="3" xfId="1"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16" fillId="0" borderId="6" xfId="0" applyFont="1" applyBorder="1" applyAlignment="1">
      <alignment horizontal="center" vertical="center" wrapText="1"/>
    </xf>
    <xf numFmtId="0" fontId="17" fillId="0" borderId="0" xfId="0" applyFont="1"/>
    <xf numFmtId="165" fontId="14" fillId="2" borderId="2" xfId="1" applyNumberFormat="1" applyFont="1" applyFill="1" applyBorder="1" applyAlignment="1">
      <alignment horizontal="center" vertical="center" wrapText="1"/>
    </xf>
    <xf numFmtId="0" fontId="18" fillId="0" borderId="0" xfId="0" applyFont="1"/>
    <xf numFmtId="0" fontId="14" fillId="2" borderId="2" xfId="0" applyFont="1" applyFill="1" applyBorder="1" applyAlignment="1">
      <alignment horizontal="right" vertical="center" wrapText="1"/>
    </xf>
    <xf numFmtId="0" fontId="14" fillId="2" borderId="2" xfId="0" applyFont="1" applyFill="1" applyBorder="1" applyAlignment="1">
      <alignment horizontal="center" vertical="center" wrapText="1"/>
    </xf>
    <xf numFmtId="165" fontId="20" fillId="2" borderId="2" xfId="1" applyNumberFormat="1"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5" xfId="0" applyFont="1" applyFill="1" applyBorder="1" applyAlignment="1">
      <alignment horizontal="center" vertical="center" wrapText="1"/>
    </xf>
    <xf numFmtId="165" fontId="19" fillId="5" borderId="17" xfId="0" applyNumberFormat="1" applyFont="1" applyFill="1" applyBorder="1" applyAlignment="1">
      <alignment horizontal="center" vertical="center"/>
    </xf>
    <xf numFmtId="165" fontId="19" fillId="6" borderId="17" xfId="0" applyNumberFormat="1" applyFont="1" applyFill="1" applyBorder="1" applyAlignment="1">
      <alignment vertical="center"/>
    </xf>
    <xf numFmtId="0" fontId="19" fillId="6" borderId="17" xfId="0" applyFont="1" applyFill="1" applyBorder="1" applyAlignment="1">
      <alignment vertical="center"/>
    </xf>
    <xf numFmtId="0" fontId="19" fillId="0" borderId="17" xfId="0" applyFont="1" applyBorder="1" applyAlignment="1">
      <alignment horizontal="center" vertical="center"/>
    </xf>
    <xf numFmtId="0" fontId="2" fillId="0" borderId="0" xfId="0" applyFont="1" applyBorder="1" applyAlignment="1">
      <alignment horizontal="right" wrapText="1"/>
    </xf>
    <xf numFmtId="0" fontId="3"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4"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center" vertical="center" wrapText="1"/>
    </xf>
    <xf numFmtId="0" fontId="8" fillId="0" borderId="0" xfId="0" applyFont="1" applyAlignment="1">
      <alignment horizontal="right" wrapText="1"/>
    </xf>
  </cellXfs>
  <cellStyles count="2">
    <cellStyle name="Comma" xfId="1" builtinId="3"/>
    <cellStyle name="Normal" xfId="0" builtinId="0"/>
  </cellStyles>
  <dxfs count="0"/>
  <tableStyles count="0" defaultTableStyle="TableStyleMedium2" defaultPivotStyle="PivotStyleLight16"/>
  <colors>
    <mruColors>
      <color rgb="FFF9FBF7"/>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U20"/>
  <sheetViews>
    <sheetView tabSelected="1" topLeftCell="B1" zoomScale="80" zoomScaleNormal="80" workbookViewId="0">
      <selection activeCell="A3" sqref="A3:U3"/>
    </sheetView>
  </sheetViews>
  <sheetFormatPr defaultRowHeight="14.5" x14ac:dyDescent="0.35"/>
  <cols>
    <col min="1" max="1" width="5.54296875" hidden="1" customWidth="1"/>
    <col min="2" max="2" width="34.6328125" customWidth="1"/>
    <col min="3" max="3" width="8.453125" customWidth="1"/>
    <col min="4" max="4" width="19.26953125" customWidth="1"/>
    <col min="5" max="5" width="17.1796875" customWidth="1"/>
    <col min="6" max="6" width="14.453125" customWidth="1"/>
    <col min="7" max="7" width="17.1796875" customWidth="1"/>
    <col min="8" max="8" width="15.26953125" customWidth="1"/>
    <col min="9" max="10" width="15.54296875" customWidth="1"/>
    <col min="11" max="11" width="17.81640625" customWidth="1"/>
    <col min="12" max="12" width="11.7265625" customWidth="1"/>
    <col min="13" max="13" width="14.1796875" customWidth="1"/>
    <col min="14" max="14" width="11.81640625" customWidth="1"/>
    <col min="15" max="15" width="9.7265625" customWidth="1"/>
    <col min="16" max="17" width="10.54296875" customWidth="1"/>
    <col min="18" max="19" width="12.1796875" customWidth="1"/>
    <col min="20" max="20" width="11.453125" customWidth="1"/>
    <col min="21" max="21" width="13.54296875" customWidth="1"/>
  </cols>
  <sheetData>
    <row r="1" spans="1:21" ht="43.5" customHeight="1" x14ac:dyDescent="0.35">
      <c r="E1" s="37"/>
      <c r="F1" s="37"/>
      <c r="G1" s="37"/>
      <c r="H1" s="37"/>
      <c r="I1" s="37"/>
      <c r="J1" s="37"/>
      <c r="K1" s="37"/>
      <c r="L1" s="37"/>
      <c r="M1" s="37"/>
      <c r="N1" s="79" t="s">
        <v>7</v>
      </c>
      <c r="O1" s="79"/>
      <c r="P1" s="79"/>
      <c r="Q1" s="79"/>
      <c r="R1" s="79"/>
      <c r="S1" s="79"/>
      <c r="T1" s="79"/>
      <c r="U1" s="79"/>
    </row>
    <row r="2" spans="1:21" ht="16" customHeight="1" x14ac:dyDescent="0.35">
      <c r="E2" s="31"/>
      <c r="F2" s="31"/>
      <c r="G2" s="31"/>
      <c r="H2" s="31"/>
      <c r="I2" s="31"/>
      <c r="J2" s="31"/>
      <c r="K2" s="31"/>
      <c r="L2" s="31"/>
      <c r="M2" s="31"/>
      <c r="N2" s="31"/>
      <c r="O2" s="31"/>
      <c r="U2" s="28" t="s">
        <v>8</v>
      </c>
    </row>
    <row r="3" spans="1:21" ht="39" customHeight="1" x14ac:dyDescent="0.35">
      <c r="A3" s="80" t="s">
        <v>63</v>
      </c>
      <c r="B3" s="80"/>
      <c r="C3" s="80"/>
      <c r="D3" s="80"/>
      <c r="E3" s="80"/>
      <c r="F3" s="80"/>
      <c r="G3" s="80"/>
      <c r="H3" s="80"/>
      <c r="I3" s="80"/>
      <c r="J3" s="80"/>
      <c r="K3" s="80"/>
      <c r="L3" s="80"/>
      <c r="M3" s="80"/>
      <c r="N3" s="80"/>
      <c r="O3" s="80"/>
      <c r="P3" s="80"/>
      <c r="Q3" s="80"/>
      <c r="R3" s="80"/>
      <c r="S3" s="80"/>
      <c r="T3" s="80"/>
      <c r="U3" s="80"/>
    </row>
    <row r="4" spans="1:21" ht="39.65" customHeight="1" x14ac:dyDescent="0.35">
      <c r="A4" s="81" t="s">
        <v>26</v>
      </c>
      <c r="B4" s="66" t="s">
        <v>66</v>
      </c>
      <c r="C4" s="66" t="s">
        <v>65</v>
      </c>
      <c r="D4" s="66" t="s">
        <v>30</v>
      </c>
      <c r="E4" s="83" t="s">
        <v>57</v>
      </c>
      <c r="F4" s="84"/>
      <c r="G4" s="84"/>
      <c r="H4" s="85"/>
      <c r="I4" s="83" t="s">
        <v>56</v>
      </c>
      <c r="J4" s="84"/>
      <c r="K4" s="84"/>
      <c r="L4" s="84"/>
      <c r="M4" s="84"/>
      <c r="N4" s="84"/>
      <c r="O4" s="84"/>
      <c r="P4" s="84"/>
      <c r="Q4" s="84"/>
      <c r="R4" s="84"/>
      <c r="S4" s="84"/>
      <c r="T4" s="84"/>
      <c r="U4" s="85"/>
    </row>
    <row r="5" spans="1:21" ht="27.65" customHeight="1" x14ac:dyDescent="0.35">
      <c r="A5" s="82"/>
      <c r="B5" s="68"/>
      <c r="C5" s="68"/>
      <c r="D5" s="68"/>
      <c r="E5" s="64" t="s">
        <v>53</v>
      </c>
      <c r="F5" s="65"/>
      <c r="G5" s="64" t="s">
        <v>54</v>
      </c>
      <c r="H5" s="65"/>
      <c r="I5" s="66" t="s">
        <v>29</v>
      </c>
      <c r="J5" s="66" t="s">
        <v>70</v>
      </c>
      <c r="K5" s="66" t="s">
        <v>67</v>
      </c>
      <c r="L5" s="69" t="s">
        <v>34</v>
      </c>
      <c r="M5" s="70"/>
      <c r="N5" s="70"/>
      <c r="O5" s="70"/>
      <c r="P5" s="70"/>
      <c r="Q5" s="70"/>
      <c r="R5" s="70"/>
      <c r="S5" s="70"/>
      <c r="T5" s="70"/>
      <c r="U5" s="71"/>
    </row>
    <row r="6" spans="1:21" s="55" customFormat="1" ht="23.5" customHeight="1" x14ac:dyDescent="0.35">
      <c r="A6" s="54"/>
      <c r="B6" s="68"/>
      <c r="C6" s="68"/>
      <c r="D6" s="68"/>
      <c r="E6" s="66" t="s">
        <v>28</v>
      </c>
      <c r="F6" s="66" t="s">
        <v>69</v>
      </c>
      <c r="G6" s="66" t="s">
        <v>28</v>
      </c>
      <c r="H6" s="66" t="s">
        <v>71</v>
      </c>
      <c r="I6" s="68"/>
      <c r="J6" s="68"/>
      <c r="K6" s="68"/>
      <c r="L6" s="66" t="s">
        <v>47</v>
      </c>
      <c r="M6" s="66" t="s">
        <v>48</v>
      </c>
      <c r="N6" s="72" t="s">
        <v>31</v>
      </c>
      <c r="O6" s="73"/>
      <c r="P6" s="73"/>
      <c r="Q6" s="73"/>
      <c r="R6" s="73"/>
      <c r="S6" s="73"/>
      <c r="T6" s="73"/>
      <c r="U6" s="74"/>
    </row>
    <row r="7" spans="1:21" ht="94.5" customHeight="1" x14ac:dyDescent="0.35">
      <c r="A7" s="48"/>
      <c r="B7" s="67"/>
      <c r="C7" s="67"/>
      <c r="D7" s="67"/>
      <c r="E7" s="67"/>
      <c r="F7" s="67"/>
      <c r="G7" s="67"/>
      <c r="H7" s="67"/>
      <c r="I7" s="67"/>
      <c r="J7" s="67"/>
      <c r="K7" s="67"/>
      <c r="L7" s="67"/>
      <c r="M7" s="67"/>
      <c r="N7" s="33" t="s">
        <v>24</v>
      </c>
      <c r="O7" s="33" t="s">
        <v>43</v>
      </c>
      <c r="P7" s="33" t="s">
        <v>32</v>
      </c>
      <c r="Q7" s="33" t="s">
        <v>45</v>
      </c>
      <c r="R7" s="33" t="s">
        <v>25</v>
      </c>
      <c r="S7" s="33" t="s">
        <v>46</v>
      </c>
      <c r="T7" s="33" t="s">
        <v>44</v>
      </c>
      <c r="U7" s="33" t="s">
        <v>33</v>
      </c>
    </row>
    <row r="8" spans="1:21" ht="27" customHeight="1" x14ac:dyDescent="0.35">
      <c r="A8" s="48"/>
      <c r="B8" s="61" t="s">
        <v>58</v>
      </c>
      <c r="C8" s="62"/>
      <c r="D8" s="62"/>
      <c r="E8" s="62"/>
      <c r="F8" s="62"/>
      <c r="G8" s="62"/>
      <c r="H8" s="62"/>
      <c r="I8" s="62"/>
      <c r="J8" s="62"/>
      <c r="K8" s="62"/>
      <c r="L8" s="62"/>
      <c r="M8" s="62"/>
      <c r="N8" s="62"/>
      <c r="O8" s="62"/>
      <c r="P8" s="62"/>
      <c r="Q8" s="62"/>
      <c r="R8" s="62"/>
      <c r="S8" s="62"/>
      <c r="T8" s="62"/>
      <c r="U8" s="63"/>
    </row>
    <row r="9" spans="1:21" ht="35.25" customHeight="1" x14ac:dyDescent="0.35">
      <c r="B9" s="34" t="s">
        <v>38</v>
      </c>
      <c r="C9" s="35">
        <v>6</v>
      </c>
      <c r="D9" s="36">
        <f>ROUND(900000*6*1.21,2)</f>
        <v>6534000</v>
      </c>
      <c r="E9" s="36">
        <f>ROUND(900000*6*0.4,0)</f>
        <v>2160000</v>
      </c>
      <c r="F9" s="36" t="s">
        <v>6</v>
      </c>
      <c r="G9" s="36" t="s">
        <v>6</v>
      </c>
      <c r="H9" s="36" t="s">
        <v>6</v>
      </c>
      <c r="I9" s="36">
        <f>D9-E9-K9</f>
        <v>371259.93999999994</v>
      </c>
      <c r="J9" s="36" t="s">
        <v>6</v>
      </c>
      <c r="K9" s="36">
        <f>L9+M9</f>
        <v>4002740.06</v>
      </c>
      <c r="L9" s="36">
        <f>N9+O9+P9+R9+Q9</f>
        <v>217554.06</v>
      </c>
      <c r="M9" s="36">
        <f>U9+T9+S9</f>
        <v>3785186</v>
      </c>
      <c r="N9" s="50">
        <f>ROUND(17781.51*6,2)</f>
        <v>106689.06</v>
      </c>
      <c r="O9" s="50">
        <f>ROUND(33.27*6,0)</f>
        <v>200</v>
      </c>
      <c r="P9" s="50">
        <f>ROUND(5860.89*6,0)</f>
        <v>35165</v>
      </c>
      <c r="Q9" s="42">
        <v>0</v>
      </c>
      <c r="R9" s="50">
        <f>ROUND(12583.4*6,0)</f>
        <v>75500</v>
      </c>
      <c r="S9" s="42">
        <v>0</v>
      </c>
      <c r="T9" s="50">
        <f>ROUND(2964.5*6,0)</f>
        <v>17787</v>
      </c>
      <c r="U9" s="50">
        <f>ROUND(627899.77*6,0)</f>
        <v>3767399</v>
      </c>
    </row>
    <row r="10" spans="1:21" ht="30.75" customHeight="1" x14ac:dyDescent="0.35">
      <c r="B10" s="34" t="s">
        <v>37</v>
      </c>
      <c r="C10" s="35">
        <v>2</v>
      </c>
      <c r="D10" s="41">
        <f>ROUND(60385.12*2*1.21,2)</f>
        <v>146131.99</v>
      </c>
      <c r="E10" s="36" t="s">
        <v>6</v>
      </c>
      <c r="F10" s="36" t="s">
        <v>6</v>
      </c>
      <c r="G10" s="36">
        <f>ROUND(D10*0.4,0)</f>
        <v>58453</v>
      </c>
      <c r="H10" s="36" t="s">
        <v>6</v>
      </c>
      <c r="I10" s="36">
        <f>D10-G10</f>
        <v>87678.989999999991</v>
      </c>
      <c r="J10" s="36" t="s">
        <v>6</v>
      </c>
      <c r="K10" s="41">
        <f>L10+M10</f>
        <v>0</v>
      </c>
      <c r="L10" s="41">
        <f>N10+O10+P10+R10+Q10</f>
        <v>0</v>
      </c>
      <c r="M10" s="41">
        <f>U10+T10+S10</f>
        <v>0</v>
      </c>
      <c r="N10" s="42">
        <v>0</v>
      </c>
      <c r="O10" s="42">
        <v>0</v>
      </c>
      <c r="P10" s="42">
        <v>0</v>
      </c>
      <c r="Q10" s="42">
        <v>0</v>
      </c>
      <c r="R10" s="42">
        <v>0</v>
      </c>
      <c r="S10" s="42">
        <v>0</v>
      </c>
      <c r="T10" s="42">
        <v>0</v>
      </c>
      <c r="U10" s="42">
        <v>0</v>
      </c>
    </row>
    <row r="11" spans="1:21" s="43" customFormat="1" ht="18" customHeight="1" x14ac:dyDescent="0.35">
      <c r="B11" s="44" t="s">
        <v>59</v>
      </c>
      <c r="C11" s="45">
        <f>C9+C10</f>
        <v>8</v>
      </c>
      <c r="D11" s="51">
        <f>SUM(D9:D10)</f>
        <v>6680131.9900000002</v>
      </c>
      <c r="E11" s="51">
        <f t="shared" ref="E11:U11" si="0">SUM(E9:E10)</f>
        <v>2160000</v>
      </c>
      <c r="F11" s="46">
        <f t="shared" si="0"/>
        <v>0</v>
      </c>
      <c r="G11" s="51">
        <f t="shared" si="0"/>
        <v>58453</v>
      </c>
      <c r="H11" s="46">
        <f t="shared" si="0"/>
        <v>0</v>
      </c>
      <c r="I11" s="51">
        <f t="shared" si="0"/>
        <v>458938.92999999993</v>
      </c>
      <c r="J11" s="46">
        <f t="shared" si="0"/>
        <v>0</v>
      </c>
      <c r="K11" s="51">
        <f t="shared" si="0"/>
        <v>4002740.06</v>
      </c>
      <c r="L11" s="51">
        <f t="shared" si="0"/>
        <v>217554.06</v>
      </c>
      <c r="M11" s="51">
        <f t="shared" si="0"/>
        <v>3785186</v>
      </c>
      <c r="N11" s="51">
        <f t="shared" si="0"/>
        <v>106689.06</v>
      </c>
      <c r="O11" s="51">
        <f t="shared" si="0"/>
        <v>200</v>
      </c>
      <c r="P11" s="51">
        <f t="shared" si="0"/>
        <v>35165</v>
      </c>
      <c r="Q11" s="51">
        <f t="shared" si="0"/>
        <v>0</v>
      </c>
      <c r="R11" s="51">
        <f t="shared" si="0"/>
        <v>75500</v>
      </c>
      <c r="S11" s="51">
        <f t="shared" si="0"/>
        <v>0</v>
      </c>
      <c r="T11" s="51">
        <f t="shared" si="0"/>
        <v>17787</v>
      </c>
      <c r="U11" s="51">
        <f t="shared" si="0"/>
        <v>3767399</v>
      </c>
    </row>
    <row r="12" spans="1:21" ht="27" customHeight="1" x14ac:dyDescent="0.35">
      <c r="A12" s="48"/>
      <c r="B12" s="86" t="s">
        <v>68</v>
      </c>
      <c r="C12" s="87"/>
      <c r="D12" s="87"/>
      <c r="E12" s="87"/>
      <c r="F12" s="87"/>
      <c r="G12" s="87"/>
      <c r="H12" s="87"/>
      <c r="I12" s="87"/>
      <c r="J12" s="87"/>
      <c r="K12" s="87"/>
      <c r="L12" s="87"/>
      <c r="M12" s="87"/>
      <c r="N12" s="87"/>
      <c r="O12" s="87"/>
      <c r="P12" s="87"/>
      <c r="Q12" s="87"/>
      <c r="R12" s="87"/>
      <c r="S12" s="87"/>
      <c r="T12" s="87"/>
      <c r="U12" s="88"/>
    </row>
    <row r="13" spans="1:21" ht="43" customHeight="1" x14ac:dyDescent="0.35">
      <c r="A13" s="32" t="s">
        <v>27</v>
      </c>
      <c r="B13" s="34" t="s">
        <v>62</v>
      </c>
      <c r="C13" s="36" t="s">
        <v>6</v>
      </c>
      <c r="D13" s="36" t="s">
        <v>6</v>
      </c>
      <c r="E13" s="36" t="s">
        <v>6</v>
      </c>
      <c r="F13" s="36" t="s">
        <v>6</v>
      </c>
      <c r="G13" s="36" t="s">
        <v>6</v>
      </c>
      <c r="H13" s="36" t="s">
        <v>6</v>
      </c>
      <c r="I13" s="36" t="s">
        <v>6</v>
      </c>
      <c r="J13" s="36" t="s">
        <v>6</v>
      </c>
      <c r="K13" s="36" t="s">
        <v>6</v>
      </c>
      <c r="L13" s="36" t="s">
        <v>6</v>
      </c>
      <c r="M13" s="36" t="s">
        <v>6</v>
      </c>
      <c r="N13" s="36" t="s">
        <v>6</v>
      </c>
      <c r="O13" s="36" t="s">
        <v>6</v>
      </c>
      <c r="P13" s="36" t="s">
        <v>6</v>
      </c>
      <c r="Q13" s="36" t="s">
        <v>6</v>
      </c>
      <c r="R13" s="36" t="s">
        <v>6</v>
      </c>
      <c r="S13" s="36" t="s">
        <v>6</v>
      </c>
      <c r="T13" s="36" t="s">
        <v>6</v>
      </c>
      <c r="U13" s="36" t="s">
        <v>6</v>
      </c>
    </row>
    <row r="14" spans="1:21" ht="25" customHeight="1" x14ac:dyDescent="0.35">
      <c r="A14" s="32"/>
      <c r="B14" s="49" t="s">
        <v>52</v>
      </c>
      <c r="C14" s="35">
        <v>7</v>
      </c>
      <c r="D14" s="41">
        <f>ROUND(141138.8*7*1.21,2)</f>
        <v>1195445.6399999999</v>
      </c>
      <c r="E14" s="36" t="s">
        <v>6</v>
      </c>
      <c r="F14" s="36">
        <f>ROUND(141138.8*7*0.4,0)</f>
        <v>395189</v>
      </c>
      <c r="G14" s="36" t="s">
        <v>6</v>
      </c>
      <c r="H14" s="36" t="s">
        <v>6</v>
      </c>
      <c r="I14" s="36" t="s">
        <v>6</v>
      </c>
      <c r="J14" s="36">
        <f>D14-F14-K14</f>
        <v>800256.6399999999</v>
      </c>
      <c r="K14" s="41">
        <f t="shared" ref="K14:K17" si="1">L14+M14</f>
        <v>0</v>
      </c>
      <c r="L14" s="41">
        <f t="shared" ref="L14:L17" si="2">N14+O14+P14+R14+Q14</f>
        <v>0</v>
      </c>
      <c r="M14" s="41">
        <f t="shared" ref="M14:M17" si="3">U14+T14</f>
        <v>0</v>
      </c>
      <c r="N14" s="42">
        <v>0</v>
      </c>
      <c r="O14" s="42">
        <v>0</v>
      </c>
      <c r="P14" s="42">
        <v>0</v>
      </c>
      <c r="Q14" s="42">
        <v>0</v>
      </c>
      <c r="R14" s="42">
        <v>0</v>
      </c>
      <c r="S14" s="42">
        <v>0</v>
      </c>
      <c r="T14" s="42">
        <v>0</v>
      </c>
      <c r="U14" s="42">
        <v>0</v>
      </c>
    </row>
    <row r="15" spans="1:21" ht="25" customHeight="1" x14ac:dyDescent="0.35">
      <c r="A15" s="32"/>
      <c r="B15" s="49" t="s">
        <v>49</v>
      </c>
      <c r="C15" s="35">
        <v>7</v>
      </c>
      <c r="D15" s="41">
        <f>ROUND(185289.8*7*1.21,2)</f>
        <v>1569404.61</v>
      </c>
      <c r="E15" s="36" t="s">
        <v>6</v>
      </c>
      <c r="F15" s="36">
        <f>ROUND(185289.8*7*0.4+1,0)</f>
        <v>518812</v>
      </c>
      <c r="G15" s="36" t="s">
        <v>6</v>
      </c>
      <c r="H15" s="36" t="s">
        <v>6</v>
      </c>
      <c r="I15" s="36" t="s">
        <v>6</v>
      </c>
      <c r="J15" s="36">
        <f>D15-F15-K15</f>
        <v>1050592.6100000001</v>
      </c>
      <c r="K15" s="41">
        <f t="shared" si="1"/>
        <v>0</v>
      </c>
      <c r="L15" s="41">
        <f t="shared" si="2"/>
        <v>0</v>
      </c>
      <c r="M15" s="41">
        <f t="shared" si="3"/>
        <v>0</v>
      </c>
      <c r="N15" s="42">
        <v>0</v>
      </c>
      <c r="O15" s="42">
        <v>0</v>
      </c>
      <c r="P15" s="42">
        <v>0</v>
      </c>
      <c r="Q15" s="42">
        <v>0</v>
      </c>
      <c r="R15" s="42">
        <v>0</v>
      </c>
      <c r="S15" s="42">
        <v>0</v>
      </c>
      <c r="T15" s="42">
        <v>0</v>
      </c>
      <c r="U15" s="42">
        <v>0</v>
      </c>
    </row>
    <row r="16" spans="1:21" ht="25" customHeight="1" x14ac:dyDescent="0.35">
      <c r="A16" s="32"/>
      <c r="B16" s="49" t="s">
        <v>50</v>
      </c>
      <c r="C16" s="35">
        <v>12</v>
      </c>
      <c r="D16" s="41">
        <f>ROUND(54748.8*12*1.21,2)</f>
        <v>794952.58</v>
      </c>
      <c r="E16" s="36" t="s">
        <v>6</v>
      </c>
      <c r="F16" s="36">
        <f>ROUND(54748.8*12*0.4,0)</f>
        <v>262794</v>
      </c>
      <c r="G16" s="36" t="s">
        <v>6</v>
      </c>
      <c r="H16" s="36" t="s">
        <v>6</v>
      </c>
      <c r="I16" s="36" t="s">
        <v>6</v>
      </c>
      <c r="J16" s="36">
        <f>D16-F16-K16</f>
        <v>532158.57999999996</v>
      </c>
      <c r="K16" s="41">
        <f t="shared" si="1"/>
        <v>0</v>
      </c>
      <c r="L16" s="41">
        <f t="shared" si="2"/>
        <v>0</v>
      </c>
      <c r="M16" s="41">
        <f t="shared" si="3"/>
        <v>0</v>
      </c>
      <c r="N16" s="42">
        <v>0</v>
      </c>
      <c r="O16" s="42">
        <v>0</v>
      </c>
      <c r="P16" s="42">
        <v>0</v>
      </c>
      <c r="Q16" s="42">
        <v>0</v>
      </c>
      <c r="R16" s="42">
        <v>0</v>
      </c>
      <c r="S16" s="42">
        <v>0</v>
      </c>
      <c r="T16" s="42">
        <v>0</v>
      </c>
      <c r="U16" s="42">
        <v>0</v>
      </c>
    </row>
    <row r="17" spans="1:21" ht="25" customHeight="1" x14ac:dyDescent="0.35">
      <c r="A17" s="32"/>
      <c r="B17" s="49" t="s">
        <v>51</v>
      </c>
      <c r="C17" s="35">
        <v>3</v>
      </c>
      <c r="D17" s="41">
        <f>ROUND(203749.2*3*1.21,2)</f>
        <v>739609.59999999998</v>
      </c>
      <c r="E17" s="36" t="s">
        <v>6</v>
      </c>
      <c r="F17" s="36">
        <f>ROUND(203749.2*3*0.4,0)</f>
        <v>244499</v>
      </c>
      <c r="G17" s="36" t="s">
        <v>6</v>
      </c>
      <c r="H17" s="36" t="s">
        <v>6</v>
      </c>
      <c r="I17" s="36" t="s">
        <v>6</v>
      </c>
      <c r="J17" s="36">
        <f>D17-F17-K17</f>
        <v>495110.6</v>
      </c>
      <c r="K17" s="41">
        <f t="shared" si="1"/>
        <v>0</v>
      </c>
      <c r="L17" s="41">
        <f t="shared" si="2"/>
        <v>0</v>
      </c>
      <c r="M17" s="41">
        <f t="shared" si="3"/>
        <v>0</v>
      </c>
      <c r="N17" s="42">
        <v>0</v>
      </c>
      <c r="O17" s="42">
        <v>0</v>
      </c>
      <c r="P17" s="42">
        <v>0</v>
      </c>
      <c r="Q17" s="42">
        <v>0</v>
      </c>
      <c r="R17" s="42">
        <v>0</v>
      </c>
      <c r="S17" s="42">
        <v>0</v>
      </c>
      <c r="T17" s="42">
        <v>0</v>
      </c>
      <c r="U17" s="42">
        <v>0</v>
      </c>
    </row>
    <row r="18" spans="1:21" s="43" customFormat="1" ht="18" customHeight="1" x14ac:dyDescent="0.35">
      <c r="B18" s="44" t="s">
        <v>60</v>
      </c>
      <c r="C18" s="45">
        <f>SUM(C13:C17)</f>
        <v>29</v>
      </c>
      <c r="D18" s="52">
        <f>ROUND(D14+D15+D16+D17+1,0)</f>
        <v>4299413</v>
      </c>
      <c r="E18" s="47">
        <f>SUM(E13:E17)</f>
        <v>0</v>
      </c>
      <c r="F18" s="52">
        <f>SUM(F13:F17)</f>
        <v>1421294</v>
      </c>
      <c r="G18" s="52">
        <f>SUM(G13:G17)</f>
        <v>0</v>
      </c>
      <c r="H18" s="52">
        <f>SUM(H13:H17)</f>
        <v>0</v>
      </c>
      <c r="I18" s="52">
        <f>SUM(I13:I17)</f>
        <v>0</v>
      </c>
      <c r="J18" s="52">
        <f>SUM(J13:J17)+1</f>
        <v>2878119.43</v>
      </c>
      <c r="K18" s="52">
        <f t="shared" ref="K18:U18" si="4">SUM(K13:K17)</f>
        <v>0</v>
      </c>
      <c r="L18" s="52">
        <f t="shared" si="4"/>
        <v>0</v>
      </c>
      <c r="M18" s="52">
        <f t="shared" si="4"/>
        <v>0</v>
      </c>
      <c r="N18" s="52">
        <f t="shared" si="4"/>
        <v>0</v>
      </c>
      <c r="O18" s="52">
        <f t="shared" si="4"/>
        <v>0</v>
      </c>
      <c r="P18" s="52">
        <f t="shared" si="4"/>
        <v>0</v>
      </c>
      <c r="Q18" s="52">
        <f t="shared" si="4"/>
        <v>0</v>
      </c>
      <c r="R18" s="52">
        <f t="shared" si="4"/>
        <v>0</v>
      </c>
      <c r="S18" s="52">
        <f t="shared" si="4"/>
        <v>0</v>
      </c>
      <c r="T18" s="52">
        <f t="shared" si="4"/>
        <v>0</v>
      </c>
      <c r="U18" s="52">
        <f t="shared" si="4"/>
        <v>0</v>
      </c>
    </row>
    <row r="19" spans="1:21" s="43" customFormat="1" ht="18" customHeight="1" thickBot="1" x14ac:dyDescent="0.4">
      <c r="B19" s="58" t="s">
        <v>61</v>
      </c>
      <c r="C19" s="59">
        <f t="shared" ref="C19:U19" si="5">C11+C18</f>
        <v>37</v>
      </c>
      <c r="D19" s="60">
        <f t="shared" si="5"/>
        <v>10979544.99</v>
      </c>
      <c r="E19" s="56">
        <f t="shared" si="5"/>
        <v>2160000</v>
      </c>
      <c r="F19" s="56">
        <f t="shared" si="5"/>
        <v>1421294</v>
      </c>
      <c r="G19" s="56">
        <f t="shared" si="5"/>
        <v>58453</v>
      </c>
      <c r="H19" s="56">
        <f t="shared" si="5"/>
        <v>0</v>
      </c>
      <c r="I19" s="56">
        <f t="shared" si="5"/>
        <v>458938.92999999993</v>
      </c>
      <c r="J19" s="56">
        <f t="shared" si="5"/>
        <v>2878119.43</v>
      </c>
      <c r="K19" s="56">
        <f t="shared" si="5"/>
        <v>4002740.06</v>
      </c>
      <c r="L19" s="56">
        <f t="shared" si="5"/>
        <v>217554.06</v>
      </c>
      <c r="M19" s="56">
        <f t="shared" si="5"/>
        <v>3785186</v>
      </c>
      <c r="N19" s="56">
        <f t="shared" si="5"/>
        <v>106689.06</v>
      </c>
      <c r="O19" s="56">
        <f t="shared" si="5"/>
        <v>200</v>
      </c>
      <c r="P19" s="56">
        <f t="shared" si="5"/>
        <v>35165</v>
      </c>
      <c r="Q19" s="56">
        <f t="shared" si="5"/>
        <v>0</v>
      </c>
      <c r="R19" s="56">
        <f t="shared" si="5"/>
        <v>75500</v>
      </c>
      <c r="S19" s="56">
        <f t="shared" si="5"/>
        <v>0</v>
      </c>
      <c r="T19" s="56">
        <f t="shared" si="5"/>
        <v>17787</v>
      </c>
      <c r="U19" s="56">
        <f t="shared" si="5"/>
        <v>3767399</v>
      </c>
    </row>
    <row r="20" spans="1:21" s="57" customFormat="1" ht="34" customHeight="1" thickBot="1" x14ac:dyDescent="0.4">
      <c r="B20" s="78" t="s">
        <v>55</v>
      </c>
      <c r="C20" s="78"/>
      <c r="D20" s="78"/>
      <c r="E20" s="75">
        <f>E19+F19+G19+H19</f>
        <v>3639747</v>
      </c>
      <c r="F20" s="75"/>
      <c r="G20" s="75"/>
      <c r="H20" s="75"/>
      <c r="I20" s="76">
        <f>I19+J19+K19</f>
        <v>7339798.4199999999</v>
      </c>
      <c r="J20" s="77"/>
      <c r="K20" s="77"/>
      <c r="L20" s="77"/>
      <c r="M20" s="77"/>
      <c r="N20" s="77"/>
      <c r="O20" s="77"/>
      <c r="P20" s="77"/>
      <c r="Q20" s="77"/>
      <c r="R20" s="77"/>
      <c r="S20" s="77"/>
      <c r="T20" s="77"/>
      <c r="U20" s="77"/>
    </row>
  </sheetData>
  <mergeCells count="26">
    <mergeCell ref="E20:H20"/>
    <mergeCell ref="I20:U20"/>
    <mergeCell ref="B20:D20"/>
    <mergeCell ref="N1:U1"/>
    <mergeCell ref="A3:U3"/>
    <mergeCell ref="A4:A5"/>
    <mergeCell ref="B4:B7"/>
    <mergeCell ref="C4:C7"/>
    <mergeCell ref="D4:D7"/>
    <mergeCell ref="I4:U4"/>
    <mergeCell ref="E4:H4"/>
    <mergeCell ref="G6:G7"/>
    <mergeCell ref="H6:H7"/>
    <mergeCell ref="B12:U12"/>
    <mergeCell ref="I5:I7"/>
    <mergeCell ref="J5:J7"/>
    <mergeCell ref="B8:U8"/>
    <mergeCell ref="E5:F5"/>
    <mergeCell ref="G5:H5"/>
    <mergeCell ref="E6:E7"/>
    <mergeCell ref="F6:F7"/>
    <mergeCell ref="K5:K7"/>
    <mergeCell ref="L5:U5"/>
    <mergeCell ref="L6:L7"/>
    <mergeCell ref="M6:M7"/>
    <mergeCell ref="N6:U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topLeftCell="A10" zoomScale="90" zoomScaleNormal="90" workbookViewId="0">
      <selection activeCell="B14" sqref="B14"/>
    </sheetView>
  </sheetViews>
  <sheetFormatPr defaultColWidth="8.81640625" defaultRowHeight="14" x14ac:dyDescent="0.3"/>
  <cols>
    <col min="1" max="1" width="9.81640625" style="1" customWidth="1"/>
    <col min="2" max="2" width="71.1796875" style="1" customWidth="1"/>
    <col min="3" max="3" width="12.54296875" style="1" customWidth="1"/>
    <col min="4" max="4" width="14.1796875" style="1" customWidth="1"/>
    <col min="5" max="5" width="14.81640625" style="1" customWidth="1"/>
    <col min="6" max="16384" width="8.81640625" style="1"/>
  </cols>
  <sheetData>
    <row r="1" spans="1:6" ht="70.5" customHeight="1" x14ac:dyDescent="0.3">
      <c r="C1" s="91" t="s">
        <v>7</v>
      </c>
      <c r="D1" s="91"/>
      <c r="E1" s="91"/>
    </row>
    <row r="2" spans="1:6" ht="17.149999999999999" customHeight="1" x14ac:dyDescent="0.3">
      <c r="E2" s="28" t="s">
        <v>14</v>
      </c>
    </row>
    <row r="3" spans="1:6" ht="43" customHeight="1" x14ac:dyDescent="0.3">
      <c r="A3" s="90" t="s">
        <v>11</v>
      </c>
      <c r="B3" s="90"/>
      <c r="C3" s="90"/>
      <c r="D3" s="90"/>
      <c r="E3" s="90"/>
    </row>
    <row r="4" spans="1:6" ht="27" customHeight="1" x14ac:dyDescent="0.3">
      <c r="A4" s="89" t="s">
        <v>13</v>
      </c>
      <c r="B4" s="89"/>
      <c r="C4" s="89"/>
      <c r="D4" s="89"/>
      <c r="E4" s="89"/>
    </row>
    <row r="5" spans="1:6" s="2" customFormat="1" x14ac:dyDescent="0.3"/>
    <row r="6" spans="1:6" s="8" customFormat="1" ht="23.15" customHeight="1" x14ac:dyDescent="0.3">
      <c r="A6" s="12" t="s">
        <v>0</v>
      </c>
      <c r="B6" s="12" t="s">
        <v>10</v>
      </c>
      <c r="C6" s="12" t="s">
        <v>17</v>
      </c>
      <c r="D6" s="12" t="s">
        <v>18</v>
      </c>
      <c r="E6" s="12" t="s">
        <v>19</v>
      </c>
    </row>
    <row r="7" spans="1:6" s="11" customFormat="1" ht="22.5" customHeight="1" x14ac:dyDescent="0.3">
      <c r="A7" s="16" t="s">
        <v>1</v>
      </c>
      <c r="B7" s="17" t="s">
        <v>9</v>
      </c>
      <c r="C7" s="18">
        <v>23070823</v>
      </c>
      <c r="D7" s="18">
        <v>78188135</v>
      </c>
      <c r="E7" s="18">
        <v>65046151</v>
      </c>
      <c r="F7" s="10"/>
    </row>
    <row r="8" spans="1:6" s="3" customFormat="1" ht="61" customHeight="1" x14ac:dyDescent="0.3">
      <c r="A8" s="13" t="s">
        <v>2</v>
      </c>
      <c r="B8" s="14" t="s">
        <v>20</v>
      </c>
      <c r="C8" s="15">
        <v>23070823</v>
      </c>
      <c r="D8" s="15">
        <v>46790488</v>
      </c>
      <c r="E8" s="15" t="s">
        <v>6</v>
      </c>
      <c r="F8" s="6"/>
    </row>
    <row r="9" spans="1:6" s="3" customFormat="1" ht="67.5" customHeight="1" x14ac:dyDescent="0.3">
      <c r="A9" s="40" t="s">
        <v>35</v>
      </c>
      <c r="B9" s="38" t="s">
        <v>36</v>
      </c>
      <c r="C9" s="39"/>
      <c r="D9" s="39">
        <v>-1499985</v>
      </c>
      <c r="E9" s="39"/>
      <c r="F9" s="6"/>
    </row>
    <row r="10" spans="1:6" s="3" customFormat="1" ht="58" customHeight="1" x14ac:dyDescent="0.3">
      <c r="A10" s="13" t="s">
        <v>12</v>
      </c>
      <c r="B10" s="14" t="s">
        <v>21</v>
      </c>
      <c r="C10" s="15" t="s">
        <v>6</v>
      </c>
      <c r="D10" s="15">
        <v>5595218</v>
      </c>
      <c r="E10" s="15">
        <v>4562233</v>
      </c>
      <c r="F10" s="6"/>
    </row>
    <row r="11" spans="1:6" s="3" customFormat="1" ht="61" customHeight="1" x14ac:dyDescent="0.3">
      <c r="A11" s="19" t="s">
        <v>3</v>
      </c>
      <c r="B11" s="30" t="s">
        <v>23</v>
      </c>
      <c r="C11" s="21" t="s">
        <v>6</v>
      </c>
      <c r="D11" s="21">
        <v>2674773</v>
      </c>
      <c r="E11" s="29">
        <v>2262959</v>
      </c>
      <c r="F11" s="6"/>
    </row>
    <row r="12" spans="1:6" s="3" customFormat="1" ht="59.5" customHeight="1" x14ac:dyDescent="0.3">
      <c r="A12" s="19" t="s">
        <v>4</v>
      </c>
      <c r="B12" s="30" t="s">
        <v>39</v>
      </c>
      <c r="C12" s="21" t="s">
        <v>6</v>
      </c>
      <c r="D12" s="21">
        <v>2514720</v>
      </c>
      <c r="E12" s="29">
        <v>5092309</v>
      </c>
      <c r="F12" s="6"/>
    </row>
    <row r="13" spans="1:6" s="3" customFormat="1" ht="41.15" customHeight="1" x14ac:dyDescent="0.3">
      <c r="A13" s="53" t="s">
        <v>5</v>
      </c>
      <c r="B13" s="30" t="s">
        <v>64</v>
      </c>
      <c r="C13" s="29" t="s">
        <v>6</v>
      </c>
      <c r="D13" s="29">
        <v>3639747</v>
      </c>
      <c r="E13" s="29">
        <v>7339798</v>
      </c>
      <c r="F13" s="6"/>
    </row>
    <row r="14" spans="1:6" s="3" customFormat="1" ht="31.5" customHeight="1" thickBot="1" x14ac:dyDescent="0.35">
      <c r="A14" s="19" t="s">
        <v>40</v>
      </c>
      <c r="B14" s="20" t="s">
        <v>16</v>
      </c>
      <c r="C14" s="21">
        <v>13081703</v>
      </c>
      <c r="D14" s="21" t="s">
        <v>6</v>
      </c>
      <c r="E14" s="21" t="s">
        <v>6</v>
      </c>
      <c r="F14" s="6"/>
    </row>
    <row r="15" spans="1:6" s="3" customFormat="1" ht="45.65" customHeight="1" thickBot="1" x14ac:dyDescent="0.35">
      <c r="A15" s="25" t="s">
        <v>41</v>
      </c>
      <c r="B15" s="26" t="s">
        <v>15</v>
      </c>
      <c r="C15" s="27">
        <f>C7-C8</f>
        <v>0</v>
      </c>
      <c r="D15" s="27">
        <f>D7-D8-D10-D11-D12-D13</f>
        <v>16973189</v>
      </c>
      <c r="E15" s="27">
        <f>E7-E10-E11-E12-E13</f>
        <v>45788852</v>
      </c>
      <c r="F15" s="6"/>
    </row>
    <row r="16" spans="1:6" s="3" customFormat="1" ht="51" customHeight="1" x14ac:dyDescent="0.3">
      <c r="A16" s="22" t="s">
        <v>42</v>
      </c>
      <c r="B16" s="23" t="s">
        <v>22</v>
      </c>
      <c r="C16" s="24" t="s">
        <v>6</v>
      </c>
      <c r="D16" s="24">
        <f>C8-C14</f>
        <v>9989120</v>
      </c>
      <c r="E16" s="24" t="s">
        <v>6</v>
      </c>
      <c r="F16" s="6"/>
    </row>
    <row r="17" spans="1:6" s="3" customFormat="1" ht="13" x14ac:dyDescent="0.3">
      <c r="A17" s="9"/>
      <c r="B17" s="4"/>
      <c r="C17" s="5"/>
      <c r="D17" s="5"/>
      <c r="E17" s="5"/>
      <c r="F17" s="6"/>
    </row>
    <row r="18" spans="1:6" s="3" customFormat="1" ht="13" x14ac:dyDescent="0.3">
      <c r="A18" s="4"/>
      <c r="B18" s="4"/>
      <c r="C18" s="5"/>
      <c r="D18" s="5"/>
      <c r="E18" s="5"/>
      <c r="F18" s="6"/>
    </row>
    <row r="19" spans="1:6" s="3" customFormat="1" ht="13" x14ac:dyDescent="0.3">
      <c r="A19" s="4"/>
      <c r="B19" s="4"/>
      <c r="C19" s="5"/>
      <c r="D19" s="5"/>
      <c r="E19" s="5"/>
      <c r="F19" s="6"/>
    </row>
    <row r="20" spans="1:6" s="3" customFormat="1" ht="13" x14ac:dyDescent="0.3">
      <c r="A20" s="4"/>
      <c r="B20" s="4"/>
      <c r="C20" s="5"/>
      <c r="D20" s="5"/>
      <c r="E20" s="5"/>
      <c r="F20" s="6"/>
    </row>
    <row r="21" spans="1:6" s="3" customFormat="1" ht="13" x14ac:dyDescent="0.3">
      <c r="A21" s="4"/>
      <c r="B21" s="4"/>
      <c r="C21" s="5"/>
      <c r="D21" s="5"/>
      <c r="E21" s="5"/>
      <c r="F21" s="6"/>
    </row>
    <row r="22" spans="1:6" s="3" customFormat="1" ht="13" x14ac:dyDescent="0.3">
      <c r="A22" s="4"/>
      <c r="B22" s="4"/>
      <c r="C22" s="5"/>
      <c r="D22" s="5"/>
      <c r="E22" s="5"/>
      <c r="F22" s="6"/>
    </row>
    <row r="23" spans="1:6" s="3" customFormat="1" ht="13" x14ac:dyDescent="0.3">
      <c r="A23" s="4"/>
      <c r="B23" s="4"/>
      <c r="C23" s="5"/>
      <c r="D23" s="5"/>
      <c r="E23" s="5"/>
      <c r="F23" s="6"/>
    </row>
    <row r="24" spans="1:6" s="3" customFormat="1" ht="13" x14ac:dyDescent="0.3">
      <c r="C24" s="6"/>
      <c r="D24" s="6"/>
      <c r="E24" s="6"/>
      <c r="F24" s="6"/>
    </row>
    <row r="25" spans="1:6" s="2" customFormat="1" x14ac:dyDescent="0.3">
      <c r="C25" s="7"/>
      <c r="D25" s="7"/>
      <c r="E25" s="7"/>
      <c r="F25" s="7"/>
    </row>
    <row r="26" spans="1:6" s="2" customFormat="1" x14ac:dyDescent="0.3"/>
    <row r="27" spans="1:6" s="2" customFormat="1" x14ac:dyDescent="0.3"/>
    <row r="28" spans="1:6" s="2" customFormat="1" x14ac:dyDescent="0.3"/>
  </sheetData>
  <mergeCells count="3">
    <mergeCell ref="A4:E4"/>
    <mergeCell ref="A3:E3"/>
    <mergeCell ref="C1:E1"/>
  </mergeCells>
  <pageMargins left="0.7" right="0.7" top="0.75" bottom="0.75" header="0.3" footer="0.3"/>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tab Sp_transp_kont_ar_aprik </vt:lpstr>
      <vt:lpstr>2 tab Kopsavilkums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Apine</dc:creator>
  <cp:lastModifiedBy>Sandra Apine</cp:lastModifiedBy>
  <cp:lastPrinted>2024-09-23T10:25:40Z</cp:lastPrinted>
  <dcterms:created xsi:type="dcterms:W3CDTF">2024-02-23T08:57:23Z</dcterms:created>
  <dcterms:modified xsi:type="dcterms:W3CDTF">2024-11-27T10:06:30Z</dcterms:modified>
</cp:coreProperties>
</file>