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C:\Users\agnese.strautina\Desktop\1. Misija 2024\Misijas apvienotas 080124 Final\"/>
    </mc:Choice>
  </mc:AlternateContent>
  <xr:revisionPtr revIDLastSave="0" documentId="13_ncr:1_{FA5122A6-8891-453C-B8CB-88F9C08AA7D8}" xr6:coauthVersionLast="36" xr6:coauthVersionMax="36" xr10:uidLastSave="{00000000-0000-0000-0000-000000000000}"/>
  <bookViews>
    <workbookView xWindow="0" yWindow="0" windowWidth="23040" windowHeight="9108" tabRatio="752" activeTab="5" xr2:uid="{00000000-000D-0000-FFFF-FFFF00000000}"/>
  </bookViews>
  <sheets>
    <sheet name="K.Eiduka" sheetId="1" r:id="rId1"/>
    <sheet name="E.Liepa" sheetId="2" r:id="rId2"/>
    <sheet name="J.Zalais" sheetId="9" r:id="rId3"/>
    <sheet name="M.Stange" sheetId="10" r:id="rId4"/>
    <sheet name="D.Uļģis" sheetId="11" r:id="rId5"/>
    <sheet name="Kopsavilkums" sheetId="8" r:id="rId6"/>
  </sheets>
  <definedNames>
    <definedName name="PPP">#REF!</definedName>
    <definedName name="_xlnm.Print_Area" localSheetId="1">E.Liepa!$A$1:$C$25</definedName>
    <definedName name="_xlnm.Print_Area" localSheetId="2">J.Zalais!$A$1:$C$25</definedName>
    <definedName name="_xlnm.Print_Area" localSheetId="0">K.Eiduka!$A$1:$C$26</definedName>
    <definedName name="q" localSheetId="4">#REF!</definedName>
    <definedName name="q" localSheetId="1">#REF!</definedName>
    <definedName name="q" localSheetId="2">#REF!</definedName>
    <definedName name="q" localSheetId="0">#REF!</definedName>
    <definedName name="q" localSheetId="3">#REF!</definedName>
    <definedName name="q">#REF!</definedName>
    <definedName name="s">#REF!</definedName>
    <definedName name="ssss" localSheetId="4">#REF!</definedName>
    <definedName name="ssss" localSheetId="1">#REF!</definedName>
    <definedName name="ssss" localSheetId="2">#REF!</definedName>
    <definedName name="ssss" localSheetId="0">#REF!</definedName>
    <definedName name="ssss" localSheetId="3">#REF!</definedName>
    <definedName name="ssss">#REF!</definedName>
    <definedName name="Valsts_policijas_amatpersonas_ar_speciālo_dienesta_pakāpi_dalība_Eiropas_Savienības_policijas_misijā_Gruzijā__EUMM_GEORGIA_________M.Štange__līdz_2019.gada_28.februārim" localSheetId="4">#REF!</definedName>
    <definedName name="Valsts_policijas_amatpersonas_ar_speciālo_dienesta_pakāpi_dalība_Eiropas_Savienības_policijas_misijā_Gruzijā__EUMM_GEORGIA_________M.Štange__līdz_2019.gada_28.februārim" localSheetId="1">#REF!</definedName>
    <definedName name="Valsts_policijas_amatpersonas_ar_speciālo_dienesta_pakāpi_dalība_Eiropas_Savienības_policijas_misijā_Gruzijā__EUMM_GEORGIA_________M.Štange__līdz_2019.gada_28.februārim" localSheetId="2">#REF!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 localSheetId="3">#REF!</definedName>
    <definedName name="Valsts_policijas_amatpersonas_ar_speciālo_dienesta_pakāpi_dalība_Eiropas_Savienības_policijas_misijā_Gruzijā__EUMM_GEORGIA_________M.Štange__līdz_2019.gada_28.februārim">#REF!</definedName>
    <definedName name="z" localSheetId="4">#REF!</definedName>
    <definedName name="z" localSheetId="1">#REF!</definedName>
    <definedName name="z" localSheetId="2">#REF!</definedName>
    <definedName name="z" localSheetId="0">#REF!</definedName>
    <definedName name="z" localSheetId="3">#REF!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8" l="1"/>
  <c r="C28" i="8"/>
  <c r="C31" i="8"/>
  <c r="C33" i="8"/>
  <c r="C8" i="8"/>
  <c r="C10" i="8"/>
  <c r="C13" i="8"/>
  <c r="C15" i="8"/>
  <c r="C18" i="8"/>
  <c r="B38" i="11"/>
  <c r="B39" i="11" s="1"/>
  <c r="C12" i="11" s="1"/>
  <c r="C33" i="11"/>
  <c r="B33" i="11"/>
  <c r="C32" i="11"/>
  <c r="C30" i="11"/>
  <c r="B34" i="11" s="1"/>
  <c r="C35" i="11" s="1"/>
  <c r="C24" i="11"/>
  <c r="C21" i="11"/>
  <c r="C22" i="11" s="1"/>
  <c r="C15" i="11"/>
  <c r="C14" i="11"/>
  <c r="C11" i="11"/>
  <c r="C8" i="11"/>
  <c r="C9" i="11" s="1"/>
  <c r="C7" i="11" s="1"/>
  <c r="C6" i="11" l="1"/>
  <c r="C10" i="11"/>
  <c r="C20" i="11"/>
  <c r="C25" i="11"/>
  <c r="C23" i="11" s="1"/>
  <c r="C19" i="11" l="1"/>
  <c r="C23" i="1" l="1"/>
  <c r="C12" i="2" l="1"/>
  <c r="C12" i="9"/>
  <c r="C12" i="10"/>
  <c r="C12" i="1"/>
  <c r="C22" i="1" l="1"/>
  <c r="C8" i="1"/>
  <c r="C9" i="1" s="1"/>
  <c r="B39" i="10" l="1"/>
  <c r="B40" i="10" s="1"/>
  <c r="B34" i="10"/>
  <c r="C34" i="10" s="1"/>
  <c r="C33" i="10"/>
  <c r="C31" i="10"/>
  <c r="B35" i="10" s="1"/>
  <c r="C36" i="10" s="1"/>
  <c r="C25" i="10"/>
  <c r="C22" i="10"/>
  <c r="C23" i="10" s="1"/>
  <c r="C21" i="10" s="1"/>
  <c r="C15" i="10"/>
  <c r="C8" i="10"/>
  <c r="C9" i="10" s="1"/>
  <c r="C7" i="10" s="1"/>
  <c r="C13" i="10" l="1"/>
  <c r="C11" i="10" s="1"/>
  <c r="C6" i="10" s="1"/>
  <c r="C26" i="10"/>
  <c r="C24" i="10" s="1"/>
  <c r="C20" i="10" s="1"/>
  <c r="B36" i="1" l="1"/>
  <c r="C15" i="9" l="1"/>
  <c r="C15" i="1"/>
  <c r="C15" i="2"/>
  <c r="B39" i="9"/>
  <c r="B31" i="9"/>
  <c r="C25" i="9"/>
  <c r="B31" i="2"/>
  <c r="C31" i="9" l="1"/>
  <c r="C22" i="9"/>
  <c r="C8" i="9"/>
  <c r="C9" i="9" s="1"/>
  <c r="C22" i="2"/>
  <c r="C8" i="2"/>
  <c r="C9" i="2" s="1"/>
  <c r="C31" i="2"/>
  <c r="B40" i="9"/>
  <c r="C13" i="9" s="1"/>
  <c r="C23" i="2" l="1"/>
  <c r="C11" i="9"/>
  <c r="C26" i="9"/>
  <c r="C23" i="9"/>
  <c r="C21" i="9" l="1"/>
  <c r="C7" i="9"/>
  <c r="C6" i="9" s="1"/>
  <c r="C24" i="9"/>
  <c r="C16" i="8"/>
  <c r="C12" i="8"/>
  <c r="C20" i="9" l="1"/>
  <c r="C25" i="2"/>
  <c r="C25" i="8" l="1"/>
  <c r="C7" i="8"/>
  <c r="C27" i="8" l="1"/>
  <c r="C24" i="8" s="1"/>
  <c r="C9" i="8" l="1"/>
  <c r="C6" i="8" s="1"/>
  <c r="B39" i="2" l="1"/>
  <c r="C21" i="2"/>
  <c r="C7" i="2"/>
  <c r="C25" i="1"/>
  <c r="C30" i="8" l="1"/>
  <c r="B40" i="2"/>
  <c r="C13" i="2" s="1"/>
  <c r="C11" i="2" s="1"/>
  <c r="C6" i="2" s="1"/>
  <c r="C26" i="2" l="1"/>
  <c r="C24" i="2" s="1"/>
  <c r="C20" i="2" s="1"/>
  <c r="C13" i="1" l="1"/>
  <c r="C14" i="8" l="1"/>
  <c r="C11" i="8" s="1"/>
  <c r="C5" i="8" s="1"/>
  <c r="C26" i="1"/>
  <c r="C11" i="1"/>
  <c r="C21" i="1"/>
  <c r="C24" i="1" l="1"/>
  <c r="C20" i="1" s="1"/>
  <c r="C32" i="8"/>
  <c r="C29" i="8" s="1"/>
  <c r="C23" i="8" s="1"/>
  <c r="C7" i="1" l="1"/>
  <c r="C6" i="1" s="1"/>
</calcChain>
</file>

<file path=xl/sharedStrings.xml><?xml version="1.0" encoding="utf-8"?>
<sst xmlns="http://schemas.openxmlformats.org/spreadsheetml/2006/main" count="216" uniqueCount="81">
  <si>
    <t>IZDEVUMU APRĒĶINS</t>
  </si>
  <si>
    <t>euro</t>
  </si>
  <si>
    <t>Izdevumi kopā</t>
  </si>
  <si>
    <t>1000</t>
  </si>
  <si>
    <t>Atlīdzība</t>
  </si>
  <si>
    <t>2000</t>
  </si>
  <si>
    <t>Preces un pakalpojumi</t>
  </si>
  <si>
    <t>Taktiskais amata līmenis</t>
  </si>
  <si>
    <t>gadā</t>
  </si>
  <si>
    <t>mēnesī</t>
  </si>
  <si>
    <t>KOPSAVILKUMS</t>
  </si>
  <si>
    <t>Citas normatīvajos aktos noteiktās piemaksas, kas nav iepriekš klasificētas</t>
  </si>
  <si>
    <t>Darba devēja valsts sociālās apdrošināšanas obligātās iemaksas</t>
  </si>
  <si>
    <t>Pārējie komandējumu un darba braucienu izdevumi</t>
  </si>
  <si>
    <t>Ārvalstīs nodarbināto amatpersonu (darbinieku) kompensācijas</t>
  </si>
  <si>
    <t>Atalgojums</t>
  </si>
  <si>
    <t>Darba devēja valsts sociālās apdrošināšanas obligātās iemaksas, pabalsti un kompensācijas</t>
  </si>
  <si>
    <t>Mācību, darba un dienesta komandējumi, darba braucieni</t>
  </si>
  <si>
    <t>Pakalpojumi</t>
  </si>
  <si>
    <t>Krājumi, materiāli, energoresursi, preces, biroja preces un inventārs, kurus neuzskaita kodā 5000</t>
  </si>
  <si>
    <t>Inventārs</t>
  </si>
  <si>
    <t>Formas tērpi un speciālais apģērbs</t>
  </si>
  <si>
    <t>Pārējie specifiskas lietošanas materiāli un inventārs</t>
  </si>
  <si>
    <r>
      <t xml:space="preserve">Dienesta pienākumu izpildei nepieciešamā apģērba iegādes kompensācija
Kompensācijas apmērs gadā -  120,94 </t>
    </r>
    <r>
      <rPr>
        <i/>
        <sz val="10"/>
        <color theme="1"/>
        <rFont val="Times New Roman"/>
        <family val="1"/>
        <charset val="186"/>
      </rPr>
      <t>euro</t>
    </r>
  </si>
  <si>
    <t>2024.gads</t>
  </si>
  <si>
    <r>
      <t xml:space="preserve">Pārējie komandējumu un darba braucienu izdevumi
Ceļa izdevumi:
Vienam braucieniem un bagāžai 560 </t>
    </r>
    <r>
      <rPr>
        <i/>
        <sz val="10"/>
        <rFont val="Times New Roman"/>
        <family val="1"/>
        <charset val="186"/>
      </rPr>
      <t>euro;</t>
    </r>
    <r>
      <rPr>
        <sz val="10"/>
        <rFont val="Times New Roman"/>
        <family val="1"/>
        <charset val="186"/>
      </rPr>
      <t xml:space="preserve">
Apdrošināšana par ceļojuma dienām 2,00 </t>
    </r>
    <r>
      <rPr>
        <i/>
        <sz val="10"/>
        <rFont val="Times New Roman"/>
        <family val="1"/>
        <charset val="186"/>
      </rPr>
      <t>euro</t>
    </r>
    <r>
      <rPr>
        <sz val="10"/>
        <rFont val="Times New Roman"/>
        <family val="1"/>
        <charset val="186"/>
      </rPr>
      <t xml:space="preserve"> par 1 dienu
560 </t>
    </r>
    <r>
      <rPr>
        <i/>
        <sz val="10"/>
        <rFont val="Times New Roman"/>
        <family val="1"/>
        <charset val="186"/>
      </rPr>
      <t>euro</t>
    </r>
    <r>
      <rPr>
        <sz val="10"/>
        <rFont val="Times New Roman"/>
        <family val="1"/>
        <charset val="186"/>
      </rPr>
      <t xml:space="preserve"> + 2,00 </t>
    </r>
    <r>
      <rPr>
        <i/>
        <sz val="10"/>
        <rFont val="Times New Roman"/>
        <family val="1"/>
        <charset val="186"/>
      </rPr>
      <t>euro</t>
    </r>
    <r>
      <rPr>
        <sz val="10"/>
        <rFont val="Times New Roman"/>
        <family val="1"/>
        <charset val="186"/>
      </rPr>
      <t xml:space="preserve"> = 562,00 </t>
    </r>
    <r>
      <rPr>
        <i/>
        <sz val="10"/>
        <rFont val="Times New Roman"/>
        <family val="1"/>
        <charset val="186"/>
      </rPr>
      <t>euro.</t>
    </r>
  </si>
  <si>
    <r>
      <t xml:space="preserve">Valsts policijas amatpersonas ar speciālo dienesta pakāpi dalība Eiropas Savienības 
policijas misijā Gruzijā (EUMM GEORGIA)  </t>
    </r>
    <r>
      <rPr>
        <b/>
        <sz val="10"/>
        <color rgb="FF0070C0"/>
        <rFont val="Times New Roman"/>
        <family val="1"/>
        <charset val="186"/>
      </rPr>
      <t>Kristīne Eiduka</t>
    </r>
    <r>
      <rPr>
        <sz val="10"/>
        <rFont val="Times New Roman"/>
        <family val="1"/>
        <charset val="186"/>
      </rPr>
      <t xml:space="preserve"> (19.02.2024.-18.02.2025.)</t>
    </r>
  </si>
  <si>
    <t>EUMM GEORGIA   (19.02.2024.-31.12.2024.)</t>
  </si>
  <si>
    <t>EUMM GEORGIA   (01.01.2025.-18.02.2025.)</t>
  </si>
  <si>
    <t>2025.gads</t>
  </si>
  <si>
    <r>
      <t xml:space="preserve">Ārvalstīs nodarbināto amatpersonu (darbinieku) kompensācijas
Dzīvokļa (dzīvojamās telpas) īres un komunālo pakalpojumu izdevumi: 
15 793,88 </t>
    </r>
    <r>
      <rPr>
        <i/>
        <sz val="10"/>
        <rFont val="Times New Roman"/>
        <family val="1"/>
        <charset val="186"/>
      </rPr>
      <t>euro</t>
    </r>
    <r>
      <rPr>
        <sz val="10"/>
        <rFont val="Times New Roman"/>
        <family val="1"/>
        <charset val="186"/>
      </rPr>
      <t xml:space="preserve"> (gadā) : 12 mēn. × 1 mēn. + (1 316,16 </t>
    </r>
    <r>
      <rPr>
        <i/>
        <sz val="10"/>
        <rFont val="Times New Roman"/>
        <family val="1"/>
        <charset val="186"/>
      </rPr>
      <t>euro</t>
    </r>
    <r>
      <rPr>
        <sz val="10"/>
        <rFont val="Times New Roman"/>
        <family val="1"/>
        <charset val="186"/>
      </rPr>
      <t xml:space="preserve"> : 28 d. × 18 d.) = 2 162,26 </t>
    </r>
    <r>
      <rPr>
        <i/>
        <sz val="10"/>
        <rFont val="Times New Roman"/>
        <family val="1"/>
        <charset val="186"/>
      </rPr>
      <t>euro.</t>
    </r>
  </si>
  <si>
    <r>
      <t xml:space="preserve">Valsts policijas amatpersonas ar speciālo dienesta pakāpi dalība Eiropas Savienības 
policijas misijā Gruzijā (EUMM GEORGIA)  </t>
    </r>
    <r>
      <rPr>
        <b/>
        <sz val="10"/>
        <color rgb="FF0070C0"/>
        <rFont val="Times New Roman"/>
        <family val="1"/>
        <charset val="186"/>
      </rPr>
      <t>Edgars Liepa</t>
    </r>
    <r>
      <rPr>
        <sz val="10"/>
        <rFont val="Times New Roman"/>
        <family val="1"/>
        <charset val="186"/>
      </rPr>
      <t xml:space="preserve"> (19.02.2024.-18.02.2025.)</t>
    </r>
  </si>
  <si>
    <t>EUMM GEORGIA  (19.02.2024.-31.12.2024.)</t>
  </si>
  <si>
    <r>
      <t xml:space="preserve">Ārvalstīs nodarbināto amatpersonu (darbinieku) kompensācijas
Dzīvokļa (dzīvojamās telpas) īres un komunālo pakalpojumu izdevumi: 
11 895,21 </t>
    </r>
    <r>
      <rPr>
        <i/>
        <sz val="10"/>
        <rFont val="Times New Roman"/>
        <family val="1"/>
        <charset val="186"/>
      </rPr>
      <t>euro</t>
    </r>
    <r>
      <rPr>
        <sz val="10"/>
        <rFont val="Times New Roman"/>
        <family val="1"/>
        <charset val="186"/>
      </rPr>
      <t xml:space="preserve"> (gadā) : 12 mēn. × 10 mēn. + (991,27 </t>
    </r>
    <r>
      <rPr>
        <i/>
        <sz val="10"/>
        <rFont val="Times New Roman"/>
        <family val="1"/>
        <charset val="186"/>
      </rPr>
      <t>euro</t>
    </r>
    <r>
      <rPr>
        <sz val="10"/>
        <rFont val="Times New Roman"/>
        <family val="1"/>
        <charset val="186"/>
      </rPr>
      <t xml:space="preserve"> ((mēnesī) : 29 d. × 11 d.) = 10 288,68 </t>
    </r>
    <r>
      <rPr>
        <i/>
        <sz val="10"/>
        <rFont val="Times New Roman"/>
        <family val="1"/>
        <charset val="186"/>
      </rPr>
      <t>euro.</t>
    </r>
  </si>
  <si>
    <r>
      <t xml:space="preserve">Ārvalstīs nodarbināto amatpersonu (darbinieku) kompensācijas
Dzīvokļa (dzīvojamās telpas) īres un komunālo pakalpojumu izdevumi: 
11 895,21 </t>
    </r>
    <r>
      <rPr>
        <i/>
        <sz val="10"/>
        <rFont val="Times New Roman"/>
        <family val="1"/>
        <charset val="186"/>
      </rPr>
      <t>euro</t>
    </r>
    <r>
      <rPr>
        <sz val="10"/>
        <rFont val="Times New Roman"/>
        <family val="1"/>
        <charset val="186"/>
      </rPr>
      <t xml:space="preserve"> (gadā) : 12 mēn. × 1 mēn. + (991,27 </t>
    </r>
    <r>
      <rPr>
        <i/>
        <sz val="10"/>
        <rFont val="Times New Roman"/>
        <family val="1"/>
        <charset val="186"/>
      </rPr>
      <t>euro (mēnesī)</t>
    </r>
    <r>
      <rPr>
        <sz val="10"/>
        <rFont val="Times New Roman"/>
        <family val="1"/>
        <charset val="186"/>
      </rPr>
      <t xml:space="preserve">: 28 d. × 18 d.) = 1 628,52 </t>
    </r>
    <r>
      <rPr>
        <i/>
        <sz val="10"/>
        <rFont val="Times New Roman"/>
        <family val="1"/>
        <charset val="186"/>
      </rPr>
      <t>euro.</t>
    </r>
  </si>
  <si>
    <r>
      <t xml:space="preserve">Valsts policijas amatpersonas ar speciālo dienesta pakāpi dalība Eiropas Savienības 
policijas misijā Gruzijā (EUMM GEORGIA)  </t>
    </r>
    <r>
      <rPr>
        <b/>
        <sz val="10"/>
        <color theme="4" tint="-0.249977111117893"/>
        <rFont val="Times New Roman"/>
        <family val="1"/>
        <charset val="186"/>
      </rPr>
      <t>Jānis Zaļais</t>
    </r>
    <r>
      <rPr>
        <sz val="10"/>
        <rFont val="Times New Roman"/>
        <family val="1"/>
        <charset val="186"/>
      </rPr>
      <t xml:space="preserve"> (19.02.2024.-18.02.2025.)</t>
    </r>
  </si>
  <si>
    <r>
      <t xml:space="preserve">Formas tērpi un speciālais apģērbs
Saskaņā Valsts policijas 2022.gada 12.augusta iekšējiem noteikumiem Nr.16 "Noteikumi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rFont val="Times New Roman"/>
        <family val="1"/>
        <charset val="186"/>
      </rPr>
      <t xml:space="preserve">Formas tērpa atjaunošanas izdevumi sastāda 455,00 euro, tai skaitā:
</t>
    </r>
    <r>
      <rPr>
        <sz val="10"/>
        <rFont val="Times New Roman"/>
        <family val="1"/>
        <charset val="186"/>
      </rPr>
      <t>atjaunot pēc lietošanas termiņa beigām:
siltās apakšveļas (apakškrekls garām piedurknēm, garās apakšbikses (termoveļa)) komplekts - 
59,00 euro × 2 gab. = 118,00 euro;
bikses - 78,00 euro × 2 gab. = 156,00 euro;
krekls ar īsām piedurknēm - 57,00 euro;
krekls ar garām piedurknēm - 100,00 euro;
polo krekls - 24,00 euro.</t>
    </r>
    <r>
      <rPr>
        <i/>
        <sz val="10"/>
        <rFont val="Times New Roman"/>
        <family val="1"/>
        <charset val="186"/>
      </rPr>
      <t xml:space="preserve">
</t>
    </r>
  </si>
  <si>
    <r>
      <t xml:space="preserve">Formas tērpi un speciālais apģērbs
Saskaņā Valsts policijas 2022.gada 12.augusta iekšējiem noteikumiem Nr.16 "Noteikumi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rFont val="Times New Roman"/>
        <family val="1"/>
        <charset val="186"/>
      </rPr>
      <t>Formas tērpa atjaunošanas izdevumi sastāda 455,00 euro, tai skaitā:</t>
    </r>
    <r>
      <rPr>
        <sz val="10"/>
        <rFont val="Times New Roman"/>
        <family val="1"/>
        <charset val="186"/>
      </rPr>
      <t xml:space="preserve">
atjaunot pēc lietošanas termiņa beigām:
siltās apakšveļas (apakškrekls garām piedurknēm, garās apakšbikses (termoveļa)) komplekts - 
59,00 euro × 2 gab. = 118,00 euro;
bikses - 78,00 euro × 2 gab. = 156,00 euro;
krekls ar īsām piedurknēm - 57,00 euro;
krekls ar garām piedurknēm - 100,00 euro;
polo krekls - 24,00 euro.</t>
    </r>
    <r>
      <rPr>
        <i/>
        <sz val="10"/>
        <rFont val="Times New Roman"/>
        <family val="1"/>
        <charset val="186"/>
      </rPr>
      <t xml:space="preserve">
</t>
    </r>
  </si>
  <si>
    <r>
      <t xml:space="preserve">Ārvalstīs nodarbināto amatpersonu (darbinieku) kompensācijas
Dzīvokļa (dzīvojamās telpas) īres un komunālo pakalpojumu izdevumi: 
15 793,88 </t>
    </r>
    <r>
      <rPr>
        <i/>
        <sz val="10"/>
        <rFont val="Times New Roman"/>
        <family val="1"/>
        <charset val="186"/>
      </rPr>
      <t>euro</t>
    </r>
    <r>
      <rPr>
        <sz val="10"/>
        <rFont val="Times New Roman"/>
        <family val="1"/>
        <charset val="186"/>
      </rPr>
      <t xml:space="preserve"> (gadā) : 12 mēn. × 10 mēn. + (1 316,16 </t>
    </r>
    <r>
      <rPr>
        <i/>
        <sz val="10"/>
        <rFont val="Times New Roman"/>
        <family val="1"/>
        <charset val="186"/>
      </rPr>
      <t>euro</t>
    </r>
    <r>
      <rPr>
        <sz val="10"/>
        <rFont val="Times New Roman"/>
        <family val="1"/>
        <charset val="186"/>
      </rPr>
      <t xml:space="preserve"> : 29 d. × 11 d.) = 13 660,61 </t>
    </r>
    <r>
      <rPr>
        <i/>
        <sz val="10"/>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</si>
  <si>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19 778 </t>
    </r>
    <r>
      <rPr>
        <i/>
        <sz val="10"/>
        <rFont val="Times New Roman"/>
        <family val="1"/>
        <charset val="186"/>
      </rPr>
      <t>euro</t>
    </r>
    <r>
      <rPr>
        <sz val="10"/>
        <rFont val="Times New Roman"/>
        <family val="1"/>
        <charset val="186"/>
      </rPr>
      <t xml:space="preserve">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9 mēn. + 1 648,17 </t>
    </r>
    <r>
      <rPr>
        <i/>
        <sz val="10"/>
        <rFont val="Times New Roman"/>
        <family val="1"/>
        <charset val="186"/>
      </rPr>
      <t>euro</t>
    </r>
    <r>
      <rPr>
        <sz val="10"/>
        <rFont val="Times New Roman"/>
        <family val="1"/>
        <charset val="186"/>
      </rPr>
      <t xml:space="preserve"> × 1,4 : 29 d. × 11 d. = 21 642,18 </t>
    </r>
    <r>
      <rPr>
        <i/>
        <sz val="10"/>
        <rFont val="Times New Roman"/>
        <family val="1"/>
        <charset val="186"/>
      </rPr>
      <t>euro</t>
    </r>
  </si>
  <si>
    <r>
      <t xml:space="preserve">Darba devēja valsts sociālās apdrošināšanas obligātās iemaksas
23,59% no EKK 1149 summas
(21 642,18 </t>
    </r>
    <r>
      <rPr>
        <i/>
        <sz val="10"/>
        <color theme="1"/>
        <rFont val="Times New Roman"/>
        <family val="1"/>
        <charset val="186"/>
      </rPr>
      <t xml:space="preserve">euro </t>
    </r>
    <r>
      <rPr>
        <sz val="10"/>
        <color theme="1"/>
        <rFont val="Times New Roman"/>
        <family val="1"/>
        <charset val="186"/>
      </rPr>
      <t xml:space="preserve">× 23,59 %) = 5 105,39 </t>
    </r>
    <r>
      <rPr>
        <i/>
        <sz val="10"/>
        <color theme="1"/>
        <rFont val="Times New Roman"/>
        <family val="1"/>
        <charset val="186"/>
      </rPr>
      <t>euro</t>
    </r>
  </si>
  <si>
    <r>
      <t xml:space="preserve">Ārvalstīs nodarbināto amatpersonu (darbinieku) kompensācijas
Dzīvokļa (dzīvojamās telpas) īres un komunālo pakalpojumu izdevumi: 
11 895,21 </t>
    </r>
    <r>
      <rPr>
        <i/>
        <sz val="10"/>
        <rFont val="Times New Roman"/>
        <family val="1"/>
        <charset val="186"/>
      </rPr>
      <t>euro</t>
    </r>
    <r>
      <rPr>
        <sz val="10"/>
        <rFont val="Times New Roman"/>
        <family val="1"/>
        <charset val="186"/>
      </rPr>
      <t xml:space="preserve"> (gadā) : 12 mēn. × 10 mēn. + 991,27 </t>
    </r>
    <r>
      <rPr>
        <i/>
        <sz val="10"/>
        <rFont val="Times New Roman"/>
        <family val="1"/>
        <charset val="186"/>
      </rPr>
      <t>euro</t>
    </r>
    <r>
      <rPr>
        <sz val="10"/>
        <rFont val="Times New Roman"/>
        <family val="1"/>
        <charset val="186"/>
      </rPr>
      <t xml:space="preserve"> (mēnesī) : 29 d. × 11 d. = 10 288,68 </t>
    </r>
    <r>
      <rPr>
        <i/>
        <sz val="10"/>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</si>
  <si>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19 778 </t>
    </r>
    <r>
      <rPr>
        <i/>
        <sz val="10"/>
        <color theme="1"/>
        <rFont val="Times New Roman"/>
        <family val="1"/>
        <charset val="186"/>
      </rPr>
      <t>euro</t>
    </r>
    <r>
      <rPr>
        <sz val="10"/>
        <color theme="1"/>
        <rFont val="Times New Roman"/>
        <family val="1"/>
        <charset val="186"/>
      </rPr>
      <t xml:space="preserve"> (mēnesī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18 d. = 6 098,23 </t>
    </r>
    <r>
      <rPr>
        <i/>
        <sz val="10"/>
        <color theme="1"/>
        <rFont val="Times New Roman"/>
        <family val="1"/>
        <charset val="186"/>
      </rPr>
      <t>euro</t>
    </r>
  </si>
  <si>
    <r>
      <t xml:space="preserve">Darba devēja valsts sociālās apdrošināšanas obligātās iemaksas
23,59% no EKK 1149 summas
(6 098,23 </t>
    </r>
    <r>
      <rPr>
        <i/>
        <sz val="10"/>
        <color theme="1"/>
        <rFont val="Times New Roman"/>
        <family val="1"/>
        <charset val="186"/>
      </rPr>
      <t xml:space="preserve">euro </t>
    </r>
    <r>
      <rPr>
        <sz val="10"/>
        <color theme="1"/>
        <rFont val="Times New Roman"/>
        <family val="1"/>
        <charset val="186"/>
      </rPr>
      <t xml:space="preserve">× 23,59 %) = 1 438,57 </t>
    </r>
    <r>
      <rPr>
        <i/>
        <sz val="10"/>
        <color theme="1"/>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</si>
  <si>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19 778 </t>
    </r>
    <r>
      <rPr>
        <i/>
        <sz val="10"/>
        <rFont val="Times New Roman"/>
        <family val="1"/>
        <charset val="186"/>
      </rPr>
      <t>euro</t>
    </r>
    <r>
      <rPr>
        <sz val="10"/>
        <rFont val="Times New Roman"/>
        <family val="1"/>
        <charset val="186"/>
      </rPr>
      <t xml:space="preserve"> gadā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9 mēn. + 1 648,17 </t>
    </r>
    <r>
      <rPr>
        <i/>
        <sz val="10"/>
        <rFont val="Times New Roman"/>
        <family val="1"/>
        <charset val="186"/>
      </rPr>
      <t>euro</t>
    </r>
    <r>
      <rPr>
        <sz val="10"/>
        <rFont val="Times New Roman"/>
        <family val="1"/>
        <charset val="186"/>
      </rPr>
      <t xml:space="preserve"> × 1,4 : 29 d. × 11 d. = 21 642,18 </t>
    </r>
    <r>
      <rPr>
        <i/>
        <sz val="10"/>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</si>
  <si>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19 778 </t>
    </r>
    <r>
      <rPr>
        <i/>
        <sz val="10"/>
        <color theme="1"/>
        <rFont val="Times New Roman"/>
        <family val="1"/>
        <charset val="186"/>
      </rPr>
      <t>euro</t>
    </r>
    <r>
      <rPr>
        <sz val="10"/>
        <color theme="1"/>
        <rFont val="Times New Roman"/>
        <family val="1"/>
        <charset val="186"/>
      </rPr>
      <t xml:space="preserve"> gadā (mēnesī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18 d. = 6 098,23 </t>
    </r>
    <r>
      <rPr>
        <i/>
        <sz val="10"/>
        <color theme="1"/>
        <rFont val="Times New Roman"/>
        <family val="1"/>
        <charset val="186"/>
      </rPr>
      <t>euro</t>
    </r>
  </si>
  <si>
    <r>
      <t xml:space="preserve">Valsts policijas amatpersona ar speciālo dienesta pakāpi dalība Eiropas Savienības 
policijas misijā Gruzijā (EUMM GEORGIA) </t>
    </r>
    <r>
      <rPr>
        <b/>
        <sz val="10"/>
        <color rgb="FF0070C0"/>
        <rFont val="Times New Roman"/>
        <family val="1"/>
        <charset val="186"/>
      </rPr>
      <t>Mārtiņš Štange</t>
    </r>
    <r>
      <rPr>
        <sz val="10"/>
        <rFont val="Times New Roman"/>
        <family val="1"/>
        <charset val="186"/>
      </rPr>
      <t xml:space="preserve"> (07.02.2024.- 06.02.2025.)</t>
    </r>
  </si>
  <si>
    <t>EUMM GEORGIA   (07.02.2024. - 31.12.2024.)</t>
  </si>
  <si>
    <r>
      <t xml:space="preserve">Citas normatīvajos aktos noteiktās piemaksas, kas nav iepriekš klasificētas 
Ministru kabineta 2021.gada 07.decembra noteikumos Nr.793 amatpersonai atbilstoši amata līmenim noteiktais piemaksas apmērs 19 778 </t>
    </r>
    <r>
      <rPr>
        <i/>
        <sz val="10"/>
        <rFont val="Times New Roman"/>
        <family val="1"/>
        <charset val="186"/>
      </rPr>
      <t>euro</t>
    </r>
    <r>
      <rPr>
        <sz val="10"/>
        <rFont val="Times New Roman"/>
        <family val="1"/>
        <charset val="186"/>
      </rPr>
      <t xml:space="preserve"> gadā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9 mēn.) + (1 648,17 </t>
    </r>
    <r>
      <rPr>
        <i/>
        <sz val="10"/>
        <rFont val="Times New Roman"/>
        <family val="1"/>
        <charset val="186"/>
      </rPr>
      <t>euro</t>
    </r>
    <r>
      <rPr>
        <sz val="10"/>
        <rFont val="Times New Roman"/>
        <family val="1"/>
        <charset val="186"/>
      </rPr>
      <t xml:space="preserve"> × 1,4 : 29 d. × 23 d.) = 22 596,98 </t>
    </r>
    <r>
      <rPr>
        <i/>
        <sz val="10"/>
        <rFont val="Times New Roman"/>
        <family val="1"/>
        <charset val="186"/>
      </rPr>
      <t>euro</t>
    </r>
  </si>
  <si>
    <r>
      <t xml:space="preserve">Darba devēja valsts sociālās apdrošināšanas obligātās iemaksas
23,59% no EKK 1149 summas (22 596,98 </t>
    </r>
    <r>
      <rPr>
        <i/>
        <sz val="10"/>
        <color theme="1"/>
        <rFont val="Times New Roman"/>
        <family val="1"/>
        <charset val="186"/>
      </rPr>
      <t xml:space="preserve">euro </t>
    </r>
    <r>
      <rPr>
        <sz val="10"/>
        <color theme="1"/>
        <rFont val="Times New Roman"/>
        <family val="1"/>
        <charset val="186"/>
      </rPr>
      <t xml:space="preserve">× 23,59 %) = 5 330,63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</si>
  <si>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t>
    </r>
    <r>
      <rPr>
        <i/>
        <sz val="10"/>
        <rFont val="Times New Roman"/>
        <family val="1"/>
        <charset val="186"/>
      </rPr>
      <t>euro</t>
    </r>
    <r>
      <rPr>
        <sz val="10"/>
        <rFont val="Times New Roman"/>
        <family val="1"/>
        <charset val="186"/>
      </rPr>
      <t xml:space="preserve"> gadā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12 mēn. × 10 mēn.) + (991,27 </t>
    </r>
    <r>
      <rPr>
        <i/>
        <sz val="10"/>
        <rFont val="Times New Roman"/>
        <family val="1"/>
        <charset val="186"/>
      </rPr>
      <t>euro</t>
    </r>
    <r>
      <rPr>
        <sz val="10"/>
        <rFont val="Times New Roman"/>
        <family val="1"/>
        <charset val="186"/>
      </rPr>
      <t xml:space="preserve"> : 29 d. × 23 d.) = 10 698,86 </t>
    </r>
    <r>
      <rPr>
        <i/>
        <sz val="10"/>
        <rFont val="Times New Roman"/>
        <family val="1"/>
        <charset val="186"/>
      </rPr>
      <t>euro</t>
    </r>
  </si>
  <si>
    <r>
      <t xml:space="preserve">Inventārs
Personīgās pirmās palīdzības komplekts, kurā ietilpst pamatmedikamenti, pārsēji, ķirurģiskās līmlentes ruļļi utt. - 60,00 </t>
    </r>
    <r>
      <rPr>
        <i/>
        <sz val="10"/>
        <rFont val="Times New Roman"/>
        <family val="1"/>
        <charset val="186"/>
      </rPr>
      <t xml:space="preserve">euro;
</t>
    </r>
    <r>
      <rPr>
        <sz val="10"/>
        <rFont val="Times New Roman"/>
        <family val="1"/>
        <charset val="186"/>
      </rPr>
      <t xml:space="preserve">patruļas soma - 50,00 </t>
    </r>
    <r>
      <rPr>
        <i/>
        <sz val="10"/>
        <rFont val="Times New Roman"/>
        <family val="1"/>
        <charset val="186"/>
      </rPr>
      <t>euro.</t>
    </r>
  </si>
  <si>
    <r>
      <t xml:space="preserve">Formas tērpi un speciālais apģērbs
Saskaņā Valsts policijas 2022.gada 12.augusta iekšējiem noteikumiem Nr.16 "Noteikumi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Formas tērpa atjaunošanas izdevumi sastāda </t>
    </r>
    <r>
      <rPr>
        <b/>
        <sz val="10"/>
        <rFont val="Times New Roman"/>
        <family val="1"/>
        <charset val="186"/>
      </rPr>
      <t>455,00 euro</t>
    </r>
    <r>
      <rPr>
        <sz val="10"/>
        <rFont val="Times New Roman"/>
        <family val="1"/>
        <charset val="186"/>
      </rPr>
      <t xml:space="preserve">, tai skaitā:
</t>
    </r>
    <r>
      <rPr>
        <u/>
        <sz val="10"/>
        <rFont val="Times New Roman"/>
        <family val="1"/>
        <charset val="186"/>
      </rPr>
      <t>atjaunot pēc lietošanas termiņa beigām:</t>
    </r>
    <r>
      <rPr>
        <sz val="10"/>
        <rFont val="Times New Roman"/>
        <family val="1"/>
        <charset val="186"/>
      </rPr>
      <t xml:space="preserve">
siltās apakšveļas (apakškrekls garām piedurknēm, garās apakšbikses (termoveļa)) komplekts - 59,00 </t>
    </r>
    <r>
      <rPr>
        <i/>
        <sz val="10"/>
        <rFont val="Times New Roman"/>
        <family val="1"/>
        <charset val="186"/>
      </rPr>
      <t>euro</t>
    </r>
    <r>
      <rPr>
        <sz val="10"/>
        <rFont val="Times New Roman"/>
        <family val="1"/>
        <charset val="186"/>
      </rPr>
      <t xml:space="preserve"> × 2 gab. = 118,00 </t>
    </r>
    <r>
      <rPr>
        <i/>
        <sz val="10"/>
        <rFont val="Times New Roman"/>
        <family val="1"/>
        <charset val="186"/>
      </rPr>
      <t>euro</t>
    </r>
    <r>
      <rPr>
        <sz val="10"/>
        <rFont val="Times New Roman"/>
        <family val="1"/>
        <charset val="186"/>
      </rPr>
      <t xml:space="preserve">;
bikses - 78,00 </t>
    </r>
    <r>
      <rPr>
        <i/>
        <sz val="10"/>
        <rFont val="Times New Roman"/>
        <family val="1"/>
        <charset val="186"/>
      </rPr>
      <t>euro</t>
    </r>
    <r>
      <rPr>
        <sz val="10"/>
        <rFont val="Times New Roman"/>
        <family val="1"/>
        <charset val="186"/>
      </rPr>
      <t xml:space="preserve"> × 2 gab. = 156,00 </t>
    </r>
    <r>
      <rPr>
        <i/>
        <sz val="10"/>
        <rFont val="Times New Roman"/>
        <family val="1"/>
        <charset val="186"/>
      </rPr>
      <t>euro;</t>
    </r>
    <r>
      <rPr>
        <sz val="10"/>
        <rFont val="Times New Roman"/>
        <family val="1"/>
        <charset val="186"/>
      </rPr>
      <t xml:space="preserve">
krekls ar īsām piedurknēm - 57,00 </t>
    </r>
    <r>
      <rPr>
        <i/>
        <sz val="10"/>
        <rFont val="Times New Roman"/>
        <family val="1"/>
        <charset val="186"/>
      </rPr>
      <t xml:space="preserve">euro;
</t>
    </r>
    <r>
      <rPr>
        <sz val="10"/>
        <rFont val="Times New Roman"/>
        <family val="1"/>
        <charset val="186"/>
      </rPr>
      <t>krekls ar garām piedurknēm - 100,00</t>
    </r>
    <r>
      <rPr>
        <i/>
        <sz val="10"/>
        <rFont val="Times New Roman"/>
        <family val="1"/>
        <charset val="186"/>
      </rPr>
      <t xml:space="preserve"> euro;</t>
    </r>
    <r>
      <rPr>
        <sz val="10"/>
        <rFont val="Times New Roman"/>
        <family val="1"/>
        <charset val="186"/>
      </rPr>
      <t xml:space="preserve">
polo krekls - 24,00 </t>
    </r>
    <r>
      <rPr>
        <i/>
        <sz val="10"/>
        <rFont val="Times New Roman"/>
        <family val="1"/>
        <charset val="186"/>
      </rPr>
      <t>euro.</t>
    </r>
  </si>
  <si>
    <r>
      <t xml:space="preserve">Pārējie specifiskas lietošanas materiāli un inventārs
kombinētais kabatas nazis - 76,00 </t>
    </r>
    <r>
      <rPr>
        <i/>
        <sz val="10"/>
        <rFont val="Times New Roman"/>
        <family val="1"/>
        <charset val="186"/>
      </rPr>
      <t>euro.</t>
    </r>
  </si>
  <si>
    <t>EUMM GEORGIA   (01.01.2025. - 06.02.2025.)</t>
  </si>
  <si>
    <r>
      <t xml:space="preserve">Citas normatīvajos aktos noteiktās piemaksas, kas nav iepriekš klasificētas Ministru kabineta 2021.gada 07.decembra noteikumos Nr.793 amatpersonai atbilstoši amata līmenim noteiktais piemaksas apmērs 19 778 </t>
    </r>
    <r>
      <rPr>
        <i/>
        <sz val="10"/>
        <color theme="1"/>
        <rFont val="Times New Roman"/>
        <family val="1"/>
        <charset val="186"/>
      </rPr>
      <t xml:space="preserve">euro </t>
    </r>
    <r>
      <rPr>
        <sz val="10"/>
        <color theme="1"/>
        <rFont val="Times New Roman"/>
        <family val="1"/>
        <charset val="186"/>
      </rPr>
      <t xml:space="preserve">gadā (mēnesī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6 d.) = 5 109,33 </t>
    </r>
    <r>
      <rPr>
        <i/>
        <sz val="10"/>
        <color theme="1"/>
        <rFont val="Times New Roman"/>
        <family val="1"/>
        <charset val="186"/>
      </rPr>
      <t>euro</t>
    </r>
  </si>
  <si>
    <r>
      <t xml:space="preserve">Darba devēja valsts sociālās apdrošināšanas obligātās iemaksas
23,59% no EKK 1149 summas (5 109,33 </t>
    </r>
    <r>
      <rPr>
        <i/>
        <sz val="10"/>
        <color theme="1"/>
        <rFont val="Times New Roman"/>
        <family val="1"/>
        <charset val="186"/>
      </rPr>
      <t xml:space="preserve">euro </t>
    </r>
    <r>
      <rPr>
        <sz val="10"/>
        <color theme="1"/>
        <rFont val="Times New Roman"/>
        <family val="1"/>
        <charset val="186"/>
      </rPr>
      <t xml:space="preserve">× 23,59 %) = 1 205,29 </t>
    </r>
    <r>
      <rPr>
        <i/>
        <sz val="10"/>
        <color theme="1"/>
        <rFont val="Times New Roman"/>
        <family val="1"/>
        <charset val="186"/>
      </rPr>
      <t>euro</t>
    </r>
  </si>
  <si>
    <r>
      <t xml:space="preserve">Pārējie komandējumu un darba braucienu izdevumi
Ceļa izdevumi:
Vienam braucieniem un bagāžai 560,00 </t>
    </r>
    <r>
      <rPr>
        <i/>
        <sz val="10"/>
        <rFont val="Times New Roman"/>
        <family val="1"/>
        <charset val="186"/>
      </rPr>
      <t>euro;</t>
    </r>
    <r>
      <rPr>
        <sz val="10"/>
        <rFont val="Times New Roman"/>
        <family val="1"/>
        <charset val="186"/>
      </rPr>
      <t xml:space="preserve">
Apdrošināšana par ceļojuma dienām 2,00 </t>
    </r>
    <r>
      <rPr>
        <i/>
        <sz val="10"/>
        <rFont val="Times New Roman"/>
        <family val="1"/>
        <charset val="186"/>
      </rPr>
      <t>euro</t>
    </r>
    <r>
      <rPr>
        <sz val="10"/>
        <rFont val="Times New Roman"/>
        <family val="1"/>
        <charset val="186"/>
      </rPr>
      <t xml:space="preserve"> par 1 dienu
(560,00 </t>
    </r>
    <r>
      <rPr>
        <i/>
        <sz val="10"/>
        <rFont val="Times New Roman"/>
        <family val="1"/>
        <charset val="186"/>
      </rPr>
      <t>euro</t>
    </r>
    <r>
      <rPr>
        <sz val="10"/>
        <rFont val="Times New Roman"/>
        <family val="1"/>
        <charset val="186"/>
      </rPr>
      <t xml:space="preserve"> + 2,00 </t>
    </r>
    <r>
      <rPr>
        <i/>
        <sz val="10"/>
        <rFont val="Times New Roman"/>
        <family val="1"/>
        <charset val="186"/>
      </rPr>
      <t>euro</t>
    </r>
    <r>
      <rPr>
        <sz val="10"/>
        <rFont val="Times New Roman"/>
        <family val="1"/>
        <charset val="186"/>
      </rPr>
      <t xml:space="preserve">) = 562,00 </t>
    </r>
    <r>
      <rPr>
        <i/>
        <sz val="10"/>
        <rFont val="Times New Roman"/>
        <family val="1"/>
        <charset val="186"/>
      </rPr>
      <t>euro.</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</si>
  <si>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11`895,21 </t>
    </r>
    <r>
      <rPr>
        <i/>
        <sz val="10"/>
        <rFont val="Times New Roman"/>
        <family val="1"/>
        <charset val="186"/>
      </rPr>
      <t>euro</t>
    </r>
    <r>
      <rPr>
        <sz val="10"/>
        <rFont val="Times New Roman"/>
        <family val="1"/>
        <charset val="186"/>
      </rPr>
      <t xml:space="preserve"> gadā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 12 mēn. × 1 mēn.) + (991,27 </t>
    </r>
    <r>
      <rPr>
        <i/>
        <sz val="10"/>
        <rFont val="Times New Roman"/>
        <family val="1"/>
        <charset val="186"/>
      </rPr>
      <t xml:space="preserve">euro </t>
    </r>
    <r>
      <rPr>
        <sz val="10"/>
        <rFont val="Times New Roman"/>
        <family val="1"/>
        <charset val="186"/>
      </rPr>
      <t xml:space="preserve">: 28 d. × 6 d.)  = 1 203,69 </t>
    </r>
    <r>
      <rPr>
        <i/>
        <sz val="10"/>
        <rFont val="Times New Roman"/>
        <family val="1"/>
        <charset val="186"/>
      </rPr>
      <t>euro.</t>
    </r>
  </si>
  <si>
    <t>vecais</t>
  </si>
  <si>
    <t>palielinājums</t>
  </si>
  <si>
    <t>pārrēķins</t>
  </si>
  <si>
    <r>
      <t xml:space="preserve">Citas normatīvajos aktos noteiktās piemaksas, kas nav iepriekš klasificētas 
Ministru kabineta 2021. gada 07. decembra noteikumos Nr. 793 amatpersonai atbilstoši amata līmenim noteiktais piemaksas apmērs gadā 23 193 </t>
    </r>
    <r>
      <rPr>
        <i/>
        <sz val="10"/>
        <rFont val="Times New Roman"/>
        <family val="1"/>
        <charset val="186"/>
      </rPr>
      <t>euro</t>
    </r>
    <r>
      <rPr>
        <sz val="10"/>
        <rFont val="Times New Roman"/>
        <family val="1"/>
        <charset val="186"/>
      </rPr>
      <t xml:space="preserve"> gadā (mēnesī 1 932,75 </t>
    </r>
    <r>
      <rPr>
        <i/>
        <sz val="10"/>
        <rFont val="Times New Roman"/>
        <family val="1"/>
        <charset val="186"/>
      </rPr>
      <t>euro</t>
    </r>
    <r>
      <rPr>
        <sz val="10"/>
        <rFont val="Times New Roman"/>
        <family val="1"/>
        <charset val="186"/>
      </rPr>
      <t xml:space="preserve">)
(Operacionālais amata līmenis). Koeficients - 1,4;
1 932,75 </t>
    </r>
    <r>
      <rPr>
        <i/>
        <sz val="10"/>
        <rFont val="Times New Roman"/>
        <family val="1"/>
        <charset val="186"/>
      </rPr>
      <t>euro</t>
    </r>
    <r>
      <rPr>
        <sz val="10"/>
        <rFont val="Times New Roman"/>
        <family val="1"/>
        <charset val="186"/>
      </rPr>
      <t xml:space="preserve"> × 1,4 × 9 mēn. + 1 932,75 </t>
    </r>
    <r>
      <rPr>
        <i/>
        <sz val="10"/>
        <rFont val="Times New Roman"/>
        <family val="1"/>
        <charset val="186"/>
      </rPr>
      <t>euro</t>
    </r>
    <r>
      <rPr>
        <sz val="10"/>
        <rFont val="Times New Roman"/>
        <family val="1"/>
        <charset val="186"/>
      </rPr>
      <t xml:space="preserve"> × 1,4 : 29 d. × 11 d. = 25 379,01 </t>
    </r>
    <r>
      <rPr>
        <i/>
        <sz val="10"/>
        <rFont val="Times New Roman"/>
        <family val="1"/>
        <charset val="186"/>
      </rPr>
      <t>euro</t>
    </r>
  </si>
  <si>
    <r>
      <t xml:space="preserve">Darba devēja valsts sociālās apdrošināšanas obligātās iemaksas
23,59% no EKK 1149 summas
(25 379,01 </t>
    </r>
    <r>
      <rPr>
        <i/>
        <sz val="10"/>
        <color theme="1"/>
        <rFont val="Times New Roman"/>
        <family val="1"/>
        <charset val="186"/>
      </rPr>
      <t xml:space="preserve">euro </t>
    </r>
    <r>
      <rPr>
        <sz val="10"/>
        <color theme="1"/>
        <rFont val="Times New Roman"/>
        <family val="1"/>
        <charset val="186"/>
      </rPr>
      <t xml:space="preserve">× 23,59 %) = 5 986,91 </t>
    </r>
    <r>
      <rPr>
        <i/>
        <sz val="10"/>
        <color theme="1"/>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</si>
  <si>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2 mēn. + 1 932,75 </t>
    </r>
    <r>
      <rPr>
        <i/>
        <sz val="10"/>
        <color theme="1"/>
        <rFont val="Times New Roman"/>
        <family val="1"/>
        <charset val="186"/>
      </rPr>
      <t>euro</t>
    </r>
    <r>
      <rPr>
        <sz val="10"/>
        <color theme="1"/>
        <rFont val="Times New Roman"/>
        <family val="1"/>
        <charset val="186"/>
      </rPr>
      <t xml:space="preserve"> × 1,4 : 28 d. × 18 d. = 7 151,18 </t>
    </r>
    <r>
      <rPr>
        <i/>
        <sz val="10"/>
        <color theme="1"/>
        <rFont val="Times New Roman"/>
        <family val="1"/>
        <charset val="186"/>
      </rPr>
      <t>euro</t>
    </r>
  </si>
  <si>
    <r>
      <t xml:space="preserve">Darba devēja valsts sociālās apdrošināšanas obligātās iemaksas
23,59% no EKK 1149 summas
(7 151,18 </t>
    </r>
    <r>
      <rPr>
        <i/>
        <sz val="10"/>
        <color theme="1"/>
        <rFont val="Times New Roman"/>
        <family val="1"/>
        <charset val="186"/>
      </rPr>
      <t xml:space="preserve">euro </t>
    </r>
    <r>
      <rPr>
        <sz val="10"/>
        <color theme="1"/>
        <rFont val="Times New Roman"/>
        <family val="1"/>
        <charset val="186"/>
      </rPr>
      <t xml:space="preserve">× 23,59 %) = 1 686,96 </t>
    </r>
    <r>
      <rPr>
        <i/>
        <sz val="10"/>
        <color theme="1"/>
        <rFont val="Times New Roman"/>
        <family val="1"/>
        <charset val="186"/>
      </rPr>
      <t>euro</t>
    </r>
  </si>
  <si>
    <t>Pārējie komandējumu un darba braucienu izdevumi
Ceļa izdevumi: 
Vienam braucienam un bagāžai 560,00 euro; reizi kalendāra gadā ceļa izdevumi dodoties  uz Latviju un atgriežoties no Latvijas, ievērojot, ka dalības laiks tiek pagarināts, šim mērķim paredzami izdevumi, kas jau 2024. gadā plānoti, lai amatpersona atgrieztos Latvijā. 
Apdrošināšana par ceļojuma dienām 2,00 euro par 1 dienu
560,00 euro + 2,00 euro = 562,00 euro.</t>
  </si>
  <si>
    <r>
      <t xml:space="preserve">Valsts policijas amatpersona ar speciālo dienesta pakāpi dalība Eiropas Savienības 
policijas misijā Gruzijā (EUMM GEORGIA) </t>
    </r>
    <r>
      <rPr>
        <b/>
        <sz val="10"/>
        <color rgb="FF0070C0"/>
        <rFont val="Times New Roman"/>
        <family val="1"/>
        <charset val="186"/>
      </rPr>
      <t>Dāvis Uļģis</t>
    </r>
    <r>
      <rPr>
        <sz val="10"/>
        <rFont val="Times New Roman"/>
        <family val="1"/>
        <charset val="186"/>
      </rPr>
      <t xml:space="preserve"> (28.02.2024.-27.02.2025.)</t>
    </r>
  </si>
  <si>
    <t>EUMM GEORGIA   (28.02.2024. - 31.12.2024.)</t>
  </si>
  <si>
    <r>
      <t xml:space="preserve">Citas normatīvajos aktos noteiktās piemaksas, kas nav iepriekš klasificētas 
Ministru kabineta 2021.gada 7.decembra noteikumos Nr.793 amatpersonai atbilstoši amata līmenim noteiktais piemaksas apmērs gadā 19 778 </t>
    </r>
    <r>
      <rPr>
        <i/>
        <sz val="10"/>
        <rFont val="Times New Roman"/>
        <family val="1"/>
        <charset val="186"/>
      </rPr>
      <t>euro</t>
    </r>
    <r>
      <rPr>
        <sz val="10"/>
        <rFont val="Times New Roman"/>
        <family val="1"/>
        <charset val="186"/>
      </rPr>
      <t xml:space="preserve">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9 mēn.) + (1 648,17 </t>
    </r>
    <r>
      <rPr>
        <i/>
        <sz val="10"/>
        <rFont val="Times New Roman"/>
        <family val="1"/>
        <charset val="186"/>
      </rPr>
      <t>euro</t>
    </r>
    <r>
      <rPr>
        <sz val="10"/>
        <rFont val="Times New Roman"/>
        <family val="1"/>
        <charset val="186"/>
      </rPr>
      <t xml:space="preserve"> × 1,4 : 29 d. × 2 d.) = 20 926,07 </t>
    </r>
    <r>
      <rPr>
        <i/>
        <sz val="10"/>
        <rFont val="Times New Roman"/>
        <family val="1"/>
        <charset val="186"/>
      </rPr>
      <t>euro</t>
    </r>
  </si>
  <si>
    <r>
      <t xml:space="preserve">Darba devēja valsts sociālās apdrošināšanas obligātās iemaksas
23,59% no EKK 1149 summas
(20 926,07 </t>
    </r>
    <r>
      <rPr>
        <i/>
        <sz val="10"/>
        <color theme="1"/>
        <rFont val="Times New Roman"/>
        <family val="1"/>
        <charset val="186"/>
      </rPr>
      <t xml:space="preserve">euro </t>
    </r>
    <r>
      <rPr>
        <sz val="10"/>
        <color theme="1"/>
        <rFont val="Times New Roman"/>
        <family val="1"/>
        <charset val="186"/>
      </rPr>
      <t xml:space="preserve">× 23,59 %) = 4 936,46 </t>
    </r>
    <r>
      <rPr>
        <i/>
        <sz val="10"/>
        <color theme="1"/>
        <rFont val="Times New Roman"/>
        <family val="1"/>
        <charset val="186"/>
      </rPr>
      <t>euro</t>
    </r>
  </si>
  <si>
    <r>
      <t xml:space="preserve">Pārējie komandējumu un darba braucienu izdevumi
Ceļa izdevumi: 
Vienam braucienam un bagāžai 560,00 </t>
    </r>
    <r>
      <rPr>
        <i/>
        <sz val="10"/>
        <rFont val="Times New Roman"/>
        <family val="1"/>
        <charset val="186"/>
      </rPr>
      <t>euro;</t>
    </r>
    <r>
      <rPr>
        <sz val="10"/>
        <rFont val="Times New Roman"/>
        <family val="1"/>
        <charset val="186"/>
      </rPr>
      <t xml:space="preserve"> 
Brauciens no Latvijas līdz dienesta vietai, kā arī reizi kalendāra gadā ceļa izdevumi dodoties  uz Latviju un atgriežoties no Latvijas. 
Apdrošināšana par ceļojuma dienām 2,00 </t>
    </r>
    <r>
      <rPr>
        <i/>
        <sz val="10"/>
        <rFont val="Times New Roman"/>
        <family val="1"/>
        <charset val="186"/>
      </rPr>
      <t>euro</t>
    </r>
    <r>
      <rPr>
        <sz val="10"/>
        <rFont val="Times New Roman"/>
        <family val="1"/>
        <charset val="186"/>
      </rPr>
      <t xml:space="preserve"> par 1 dienu
(560,00 </t>
    </r>
    <r>
      <rPr>
        <i/>
        <sz val="10"/>
        <rFont val="Times New Roman"/>
        <family val="1"/>
        <charset val="186"/>
      </rPr>
      <t>euro</t>
    </r>
    <r>
      <rPr>
        <sz val="10"/>
        <rFont val="Times New Roman"/>
        <family val="1"/>
        <charset val="186"/>
      </rPr>
      <t xml:space="preserve"> + 2,00 </t>
    </r>
    <r>
      <rPr>
        <i/>
        <sz val="10"/>
        <rFont val="Times New Roman"/>
        <family val="1"/>
        <charset val="186"/>
      </rPr>
      <t>euro</t>
    </r>
    <r>
      <rPr>
        <sz val="10"/>
        <rFont val="Times New Roman"/>
        <family val="1"/>
        <charset val="186"/>
      </rPr>
      <t xml:space="preserve">) × 3 braucieni = 1 686,00 </t>
    </r>
    <r>
      <rPr>
        <i/>
        <sz val="10"/>
        <rFont val="Times New Roman"/>
        <family val="1"/>
        <charset val="186"/>
      </rPr>
      <t>euro.</t>
    </r>
  </si>
  <si>
    <r>
      <t xml:space="preserve">Ārvalstīs nodarbināto amatpersonu (darbinieku) kompensācijas
Dzīvokļa (dzīvojamās telpas) īres un citi pakalpojumi, kas saistīti ar dzīvojamās telpas lietošanu
gadā 11 895,21 </t>
    </r>
    <r>
      <rPr>
        <i/>
        <sz val="10"/>
        <rFont val="Times New Roman"/>
        <family val="1"/>
        <charset val="186"/>
      </rPr>
      <t>euro</t>
    </r>
    <r>
      <rPr>
        <sz val="10"/>
        <rFont val="Times New Roman"/>
        <family val="1"/>
        <charset val="186"/>
      </rPr>
      <t xml:space="preserve">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12 mēn. × 10 mēn.) + (991,27 </t>
    </r>
    <r>
      <rPr>
        <i/>
        <sz val="10"/>
        <rFont val="Times New Roman"/>
        <family val="1"/>
        <charset val="186"/>
      </rPr>
      <t>euro</t>
    </r>
    <r>
      <rPr>
        <sz val="10"/>
        <rFont val="Times New Roman"/>
        <family val="1"/>
        <charset val="186"/>
      </rPr>
      <t xml:space="preserve">: 29 d. × 2 d.) = 9 981,04 </t>
    </r>
    <r>
      <rPr>
        <i/>
        <sz val="10"/>
        <rFont val="Times New Roman"/>
        <family val="1"/>
        <charset val="186"/>
      </rPr>
      <t>euro</t>
    </r>
  </si>
  <si>
    <r>
      <t xml:space="preserve">Darba aizsardzības līdzekļi
Aptieciņa 21,00 </t>
    </r>
    <r>
      <rPr>
        <i/>
        <sz val="10"/>
        <rFont val="Times New Roman"/>
        <family val="1"/>
        <charset val="186"/>
      </rPr>
      <t>euro.</t>
    </r>
  </si>
  <si>
    <r>
      <t xml:space="preserve">Formas tērpi un speciālais apģērbs
</t>
    </r>
    <r>
      <rPr>
        <b/>
        <sz val="10"/>
        <rFont val="Times New Roman"/>
        <family val="1"/>
        <charset val="186"/>
      </rPr>
      <t xml:space="preserve">Kopējā summa 1 278,00 </t>
    </r>
    <r>
      <rPr>
        <b/>
        <i/>
        <sz val="10"/>
        <rFont val="Times New Roman"/>
        <family val="1"/>
        <charset val="186"/>
      </rPr>
      <t>euro</t>
    </r>
    <r>
      <rPr>
        <b/>
        <sz val="10"/>
        <rFont val="Times New Roman"/>
        <family val="1"/>
        <charset val="186"/>
      </rPr>
      <t>, t.sk.:</t>
    </r>
    <r>
      <rPr>
        <sz val="10"/>
        <rFont val="Times New Roman"/>
        <family val="1"/>
        <charset val="186"/>
      </rPr>
      <t xml:space="preserve">
siltās apakšveļas (apakškrekls garām piedurknēm, garās apakšbikses (termoveļa)) komplekts -
90,00 </t>
    </r>
    <r>
      <rPr>
        <i/>
        <sz val="10"/>
        <rFont val="Times New Roman"/>
        <family val="1"/>
        <charset val="186"/>
      </rPr>
      <t>euro</t>
    </r>
    <r>
      <rPr>
        <sz val="10"/>
        <rFont val="Times New Roman"/>
        <family val="1"/>
        <charset val="186"/>
      </rPr>
      <t xml:space="preserve"> x 2 komplekti = 180,00 </t>
    </r>
    <r>
      <rPr>
        <i/>
        <sz val="10"/>
        <rFont val="Times New Roman"/>
        <family val="1"/>
        <charset val="186"/>
      </rPr>
      <t>euro</t>
    </r>
    <r>
      <rPr>
        <sz val="10"/>
        <rFont val="Times New Roman"/>
        <family val="1"/>
        <charset val="186"/>
      </rPr>
      <t xml:space="preserve">;
bikses - 65,00 </t>
    </r>
    <r>
      <rPr>
        <i/>
        <sz val="10"/>
        <rFont val="Times New Roman"/>
        <family val="1"/>
        <charset val="186"/>
      </rPr>
      <t>euro</t>
    </r>
    <r>
      <rPr>
        <sz val="10"/>
        <rFont val="Times New Roman"/>
        <family val="1"/>
        <charset val="186"/>
      </rPr>
      <t xml:space="preserve"> × 2 gab. = 130,00 </t>
    </r>
    <r>
      <rPr>
        <i/>
        <sz val="10"/>
        <rFont val="Times New Roman"/>
        <family val="1"/>
        <charset val="186"/>
      </rPr>
      <t>euro</t>
    </r>
    <r>
      <rPr>
        <sz val="10"/>
        <rFont val="Times New Roman"/>
        <family val="1"/>
        <charset val="186"/>
      </rPr>
      <t xml:space="preserve">;
krekls ar īsām piedurknēm - 23,00 </t>
    </r>
    <r>
      <rPr>
        <i/>
        <sz val="10"/>
        <rFont val="Times New Roman"/>
        <family val="1"/>
        <charset val="186"/>
      </rPr>
      <t>euro</t>
    </r>
    <r>
      <rPr>
        <sz val="10"/>
        <rFont val="Times New Roman"/>
        <family val="1"/>
        <charset val="186"/>
      </rPr>
      <t xml:space="preserve">;
krekls ar garām piedurknēm - 35,00 </t>
    </r>
    <r>
      <rPr>
        <i/>
        <sz val="10"/>
        <rFont val="Times New Roman"/>
        <family val="1"/>
        <charset val="186"/>
      </rPr>
      <t>euro</t>
    </r>
    <r>
      <rPr>
        <sz val="10"/>
        <rFont val="Times New Roman"/>
        <family val="1"/>
        <charset val="186"/>
      </rPr>
      <t xml:space="preserve">;
polo krekls - 30,00 </t>
    </r>
    <r>
      <rPr>
        <i/>
        <sz val="10"/>
        <rFont val="Times New Roman"/>
        <family val="1"/>
        <charset val="186"/>
      </rPr>
      <t>euro</t>
    </r>
    <r>
      <rPr>
        <sz val="10"/>
        <rFont val="Times New Roman"/>
        <family val="1"/>
        <charset val="186"/>
      </rPr>
      <t xml:space="preserve">;
ziemas jaka - 250,00 </t>
    </r>
    <r>
      <rPr>
        <i/>
        <sz val="10"/>
        <rFont val="Times New Roman"/>
        <family val="1"/>
        <charset val="186"/>
      </rPr>
      <t>euro</t>
    </r>
    <r>
      <rPr>
        <sz val="10"/>
        <rFont val="Times New Roman"/>
        <family val="1"/>
        <charset val="186"/>
      </rPr>
      <t xml:space="preserve">;
taktiskie cimdi (darba) - 45,00 </t>
    </r>
    <r>
      <rPr>
        <i/>
        <sz val="10"/>
        <rFont val="Times New Roman"/>
        <family val="1"/>
        <charset val="186"/>
      </rPr>
      <t>euro</t>
    </r>
    <r>
      <rPr>
        <sz val="10"/>
        <rFont val="Times New Roman"/>
        <family val="1"/>
        <charset val="186"/>
      </rPr>
      <t xml:space="preserve">;
cimdi (auksta laika) - 35,00 </t>
    </r>
    <r>
      <rPr>
        <i/>
        <sz val="10"/>
        <rFont val="Times New Roman"/>
        <family val="1"/>
        <charset val="186"/>
      </rPr>
      <t>euro</t>
    </r>
    <r>
      <rPr>
        <sz val="10"/>
        <rFont val="Times New Roman"/>
        <family val="1"/>
        <charset val="186"/>
      </rPr>
      <t xml:space="preserve">;
sporta apavi  - 90,00 </t>
    </r>
    <r>
      <rPr>
        <i/>
        <sz val="10"/>
        <rFont val="Times New Roman"/>
        <family val="1"/>
        <charset val="186"/>
      </rPr>
      <t>euro;</t>
    </r>
    <r>
      <rPr>
        <sz val="10"/>
        <rFont val="Times New Roman"/>
        <family val="1"/>
        <charset val="186"/>
      </rPr>
      <t xml:space="preserve">
šņorzābaki - 150,00 </t>
    </r>
    <r>
      <rPr>
        <i/>
        <sz val="10"/>
        <rFont val="Times New Roman"/>
        <family val="1"/>
        <charset val="186"/>
      </rPr>
      <t>euro</t>
    </r>
    <r>
      <rPr>
        <sz val="10"/>
        <rFont val="Times New Roman"/>
        <family val="1"/>
        <charset val="186"/>
      </rPr>
      <t xml:space="preserve"> x 2 pāri = 300,00 </t>
    </r>
    <r>
      <rPr>
        <i/>
        <sz val="10"/>
        <rFont val="Times New Roman"/>
        <family val="1"/>
        <charset val="186"/>
      </rPr>
      <t>euro</t>
    </r>
    <r>
      <rPr>
        <sz val="10"/>
        <rFont val="Times New Roman"/>
        <family val="1"/>
        <charset val="186"/>
      </rPr>
      <t xml:space="preserve">;
pulovers - 75,00 </t>
    </r>
    <r>
      <rPr>
        <i/>
        <sz val="10"/>
        <rFont val="Times New Roman"/>
        <family val="1"/>
        <charset val="186"/>
      </rPr>
      <t>euro</t>
    </r>
    <r>
      <rPr>
        <sz val="10"/>
        <rFont val="Times New Roman"/>
        <family val="1"/>
        <charset val="186"/>
      </rPr>
      <t xml:space="preserve">;
litusmētelis - 40,00 </t>
    </r>
    <r>
      <rPr>
        <i/>
        <sz val="10"/>
        <rFont val="Times New Roman"/>
        <family val="1"/>
        <charset val="186"/>
      </rPr>
      <t>euro</t>
    </r>
    <r>
      <rPr>
        <sz val="10"/>
        <rFont val="Times New Roman"/>
        <family val="1"/>
        <charset val="186"/>
      </rPr>
      <t xml:space="preserve">;
zeķes - 5,00 </t>
    </r>
    <r>
      <rPr>
        <i/>
        <sz val="10"/>
        <rFont val="Times New Roman"/>
        <family val="1"/>
        <charset val="186"/>
      </rPr>
      <t>euro</t>
    </r>
    <r>
      <rPr>
        <sz val="10"/>
        <rFont val="Times New Roman"/>
        <family val="1"/>
        <charset val="186"/>
      </rPr>
      <t xml:space="preserve"> x 5 pāri = 25</t>
    </r>
    <r>
      <rPr>
        <i/>
        <sz val="10"/>
        <rFont val="Times New Roman"/>
        <family val="1"/>
        <charset val="186"/>
      </rPr>
      <t>,00 euro</t>
    </r>
    <r>
      <rPr>
        <sz val="10"/>
        <rFont val="Times New Roman"/>
        <family val="1"/>
        <charset val="186"/>
      </rPr>
      <t xml:space="preserve">;
uzšūve(Latvijas karogs) - 5 </t>
    </r>
    <r>
      <rPr>
        <i/>
        <sz val="10"/>
        <rFont val="Times New Roman"/>
        <family val="1"/>
        <charset val="186"/>
      </rPr>
      <t>euro</t>
    </r>
    <r>
      <rPr>
        <sz val="10"/>
        <rFont val="Times New Roman"/>
        <family val="1"/>
        <charset val="186"/>
      </rPr>
      <t xml:space="preserve"> x 4 gab.= 20,00</t>
    </r>
    <r>
      <rPr>
        <i/>
        <sz val="10"/>
        <rFont val="Times New Roman"/>
        <family val="1"/>
        <charset val="186"/>
      </rPr>
      <t xml:space="preserve"> euro.</t>
    </r>
  </si>
  <si>
    <r>
      <t xml:space="preserve">Pārējie specifiskas lietošanas materiāli un inventārs
</t>
    </r>
    <r>
      <rPr>
        <b/>
        <sz val="10"/>
        <rFont val="Times New Roman"/>
        <family val="1"/>
        <charset val="186"/>
      </rPr>
      <t xml:space="preserve">Kopējā summa 668,00 </t>
    </r>
    <r>
      <rPr>
        <b/>
        <i/>
        <sz val="10"/>
        <rFont val="Times New Roman"/>
        <family val="1"/>
        <charset val="186"/>
      </rPr>
      <t>euro</t>
    </r>
    <r>
      <rPr>
        <b/>
        <sz val="10"/>
        <rFont val="Times New Roman"/>
        <family val="1"/>
        <charset val="186"/>
      </rPr>
      <t>, t.sk.:</t>
    </r>
    <r>
      <rPr>
        <sz val="10"/>
        <rFont val="Times New Roman"/>
        <family val="1"/>
        <charset val="186"/>
      </rPr>
      <t xml:space="preserve">
instrumentu komplekts - 140,00 </t>
    </r>
    <r>
      <rPr>
        <i/>
        <sz val="10"/>
        <rFont val="Times New Roman"/>
        <family val="1"/>
        <charset val="186"/>
      </rPr>
      <t>euro</t>
    </r>
    <r>
      <rPr>
        <sz val="10"/>
        <rFont val="Times New Roman"/>
        <family val="1"/>
        <charset val="186"/>
      </rPr>
      <t>;
lukturis - 120,00</t>
    </r>
    <r>
      <rPr>
        <i/>
        <sz val="10"/>
        <rFont val="Times New Roman"/>
        <family val="1"/>
        <charset val="186"/>
      </rPr>
      <t xml:space="preserve"> euro</t>
    </r>
    <r>
      <rPr>
        <sz val="10"/>
        <rFont val="Times New Roman"/>
        <family val="1"/>
        <charset val="186"/>
      </rPr>
      <t xml:space="preserve">;
guļammaiss - 223,00 </t>
    </r>
    <r>
      <rPr>
        <i/>
        <sz val="10"/>
        <rFont val="Times New Roman"/>
        <family val="1"/>
        <charset val="186"/>
      </rPr>
      <t xml:space="preserve">euro;
</t>
    </r>
    <r>
      <rPr>
        <sz val="10"/>
        <rFont val="Times New Roman"/>
        <family val="1"/>
        <charset val="186"/>
      </rPr>
      <t xml:space="preserve">mugursoma - 140,00 </t>
    </r>
    <r>
      <rPr>
        <i/>
        <sz val="10"/>
        <rFont val="Times New Roman"/>
        <family val="1"/>
        <charset val="186"/>
      </rPr>
      <t>euro;</t>
    </r>
    <r>
      <rPr>
        <sz val="10"/>
        <rFont val="Times New Roman"/>
        <family val="1"/>
        <charset val="186"/>
      </rPr>
      <t xml:space="preserve">
soma - 45,00 </t>
    </r>
    <r>
      <rPr>
        <i/>
        <sz val="10"/>
        <rFont val="Times New Roman"/>
        <family val="1"/>
        <charset val="186"/>
      </rPr>
      <t>euro.</t>
    </r>
  </si>
  <si>
    <t>EUMM GEORGIA   (01.01.2025. - 27.02.2025.)</t>
  </si>
  <si>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27 d.) = 6 839,91 </t>
    </r>
    <r>
      <rPr>
        <i/>
        <sz val="10"/>
        <color theme="1"/>
        <rFont val="Times New Roman"/>
        <family val="1"/>
        <charset val="186"/>
      </rPr>
      <t>euro</t>
    </r>
  </si>
  <si>
    <r>
      <t xml:space="preserve">Darba devēja valsts sociālās apdrošināšanas obligātās iemaksas
23,59% no EKK 1149 summas
(6 839,91 </t>
    </r>
    <r>
      <rPr>
        <i/>
        <sz val="10"/>
        <color theme="1"/>
        <rFont val="Times New Roman"/>
        <family val="1"/>
        <charset val="186"/>
      </rPr>
      <t xml:space="preserve">euro </t>
    </r>
    <r>
      <rPr>
        <sz val="10"/>
        <color theme="1"/>
        <rFont val="Times New Roman"/>
        <family val="1"/>
        <charset val="186"/>
      </rPr>
      <t xml:space="preserve">× 23,59 %) = 1 613,53 </t>
    </r>
    <r>
      <rPr>
        <i/>
        <sz val="10"/>
        <color theme="1"/>
        <rFont val="Times New Roman"/>
        <family val="1"/>
        <charset val="186"/>
      </rPr>
      <t>euro</t>
    </r>
  </si>
  <si>
    <r>
      <t xml:space="preserve">Ārvalstīs nodarbināto amatpersonu (darbinieku) kompensācijas
Dzīvokļa (dzīvojamās telpas) īres un citi pakalpojumi, kas saistīti ar dzīvojamās telpas lietošanu
gadā 11 895,21 </t>
    </r>
    <r>
      <rPr>
        <i/>
        <sz val="10"/>
        <rFont val="Times New Roman"/>
        <family val="1"/>
        <charset val="186"/>
      </rPr>
      <t>euro</t>
    </r>
    <r>
      <rPr>
        <sz val="10"/>
        <rFont val="Times New Roman"/>
        <family val="1"/>
        <charset val="186"/>
      </rPr>
      <t xml:space="preserve">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 12 mēn. × 1 mēn.) + (991,27 </t>
    </r>
    <r>
      <rPr>
        <i/>
        <sz val="10"/>
        <rFont val="Times New Roman"/>
        <family val="1"/>
        <charset val="186"/>
      </rPr>
      <t xml:space="preserve">euro </t>
    </r>
    <r>
      <rPr>
        <sz val="10"/>
        <rFont val="Times New Roman"/>
        <family val="1"/>
        <charset val="186"/>
      </rPr>
      <t xml:space="preserve">: 28 d. × 27 d.)  = 1 947,14 </t>
    </r>
    <r>
      <rPr>
        <i/>
        <sz val="10"/>
        <rFont val="Times New Roman"/>
        <family val="1"/>
        <charset val="186"/>
      </rPr>
      <t>euro.</t>
    </r>
  </si>
  <si>
    <t>EUMM GEORGIA     (01.01.2025.-27.02.2025.)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</si>
</sst>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b/>
      <sz val="11"/>
      <name val="Times New Roman"/>
      <family val="1"/>
      <charset val="186"/>
    </font>
    <font>
      <sz val="11"/>
      <color theme="1"/>
      <name val="Times New Roman"/>
      <family val="1"/>
      <charset val="186"/>
    </font>
    <font>
      <i/>
      <sz val="10"/>
      <color theme="1"/>
      <name val="Times New Roman"/>
      <family val="1"/>
      <charset val="186"/>
    </font>
    <font>
      <b/>
      <sz val="18"/>
      <color theme="1"/>
      <name val="Times New Roman"/>
      <family val="1"/>
      <charset val="186"/>
    </font>
    <font>
      <b/>
      <sz val="10"/>
      <color theme="1"/>
      <name val="Times New Roman"/>
      <family val="1"/>
      <charset val="186"/>
    </font>
    <font>
      <b/>
      <sz val="10"/>
      <color rgb="FF0070C0"/>
      <name val="Times New Roman"/>
      <family val="1"/>
      <charset val="186"/>
    </font>
    <font>
      <sz val="11"/>
      <name val="Times New Roman"/>
      <family val="1"/>
      <charset val="186"/>
    </font>
    <font>
      <sz val="9"/>
      <color theme="1"/>
      <name val="Times New Roman"/>
      <family val="1"/>
      <charset val="186"/>
    </font>
    <font>
      <sz val="9"/>
      <name val="Times New Roman"/>
      <family val="1"/>
      <charset val="186"/>
    </font>
    <font>
      <sz val="9"/>
      <color rgb="FF414142"/>
      <name val="Times New Roman"/>
      <family val="1"/>
      <charset val="186"/>
    </font>
    <font>
      <b/>
      <sz val="9"/>
      <color theme="1"/>
      <name val="Times New Roman"/>
      <family val="1"/>
      <charset val="186"/>
    </font>
    <font>
      <b/>
      <sz val="9"/>
      <color rgb="FF414142"/>
      <name val="Times New Roman"/>
      <family val="1"/>
      <charset val="186"/>
    </font>
    <font>
      <b/>
      <sz val="9"/>
      <name val="Times New Roman"/>
      <family val="1"/>
      <charset val="186"/>
    </font>
    <font>
      <b/>
      <sz val="10"/>
      <color theme="4" tint="-0.249977111117893"/>
      <name val="Times New Roman"/>
      <family val="1"/>
      <charset val="186"/>
    </font>
    <font>
      <u/>
      <sz val="10"/>
      <name val="Times New Roman"/>
      <family val="1"/>
      <charset val="186"/>
    </font>
    <font>
      <sz val="10"/>
      <color rgb="FF414142"/>
      <name val="Arial"/>
      <family val="2"/>
      <charset val="186"/>
    </font>
    <font>
      <sz val="8"/>
      <color theme="1"/>
      <name val="Times New Roman"/>
      <family val="1"/>
      <charset val="186"/>
    </font>
    <font>
      <sz val="8"/>
      <color rgb="FF414142"/>
      <name val="Arial"/>
      <family val="2"/>
      <charset val="186"/>
    </font>
    <font>
      <b/>
      <i/>
      <sz val="10"/>
      <name val="Times New Roman"/>
      <family val="1"/>
      <charset val="186"/>
    </font>
    <font>
      <sz val="10"/>
      <color rgb="FF414142"/>
      <name val="Times New Roman"/>
      <family val="1"/>
      <charset val="186"/>
    </font>
  </fonts>
  <fills count="4">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style="thin">
        <color rgb="FF414142"/>
      </left>
      <right style="thin">
        <color rgb="FF414142"/>
      </right>
      <top style="thin">
        <color rgb="FF414142"/>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style="hair">
        <color indexed="64"/>
      </bottom>
      <diagonal/>
    </border>
    <border>
      <left style="thin">
        <color rgb="FF414142"/>
      </left>
      <right style="thin">
        <color rgb="FF414142"/>
      </right>
      <top style="thin">
        <color rgb="FF414142"/>
      </top>
      <bottom style="thin">
        <color rgb="FF414142"/>
      </bottom>
      <diagonal/>
    </border>
  </borders>
  <cellStyleXfs count="1">
    <xf numFmtId="0" fontId="0" fillId="0" borderId="0"/>
  </cellStyleXfs>
  <cellXfs count="157">
    <xf numFmtId="0" fontId="0" fillId="0" borderId="0" xfId="0"/>
    <xf numFmtId="0" fontId="2" fillId="0" borderId="0" xfId="0" applyFont="1" applyFill="1"/>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4" fillId="0" borderId="0" xfId="0" applyFont="1" applyFill="1" applyAlignment="1">
      <alignment horizontal="right"/>
    </xf>
    <xf numFmtId="0" fontId="7" fillId="0" borderId="0" xfId="0" applyFont="1" applyFill="1"/>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wrapText="1"/>
    </xf>
    <xf numFmtId="3" fontId="3" fillId="0" borderId="0" xfId="0" applyNumberFormat="1" applyFont="1" applyFill="1" applyBorder="1" applyAlignment="1">
      <alignment horizontal="right" vertical="center" wrapText="1"/>
    </xf>
    <xf numFmtId="3" fontId="3" fillId="0" borderId="0" xfId="0" applyNumberFormat="1" applyFont="1" applyFill="1" applyAlignment="1">
      <alignment horizontal="right" vertical="center"/>
    </xf>
    <xf numFmtId="0" fontId="3" fillId="0" borderId="0" xfId="0" applyFont="1" applyFill="1" applyAlignment="1">
      <alignment horizontal="right" vertical="center"/>
    </xf>
    <xf numFmtId="4" fontId="2" fillId="0" borderId="0" xfId="0" applyNumberFormat="1" applyFont="1" applyFill="1" applyAlignment="1">
      <alignment vertical="center"/>
    </xf>
    <xf numFmtId="4" fontId="2" fillId="0" borderId="0" xfId="0" applyNumberFormat="1" applyFont="1" applyFill="1"/>
    <xf numFmtId="0" fontId="3" fillId="0" borderId="9" xfId="0" applyFont="1" applyFill="1" applyBorder="1" applyAlignment="1">
      <alignment vertical="center" wrapText="1"/>
    </xf>
    <xf numFmtId="0" fontId="2" fillId="0" borderId="12" xfId="0" applyFont="1" applyFill="1" applyBorder="1" applyAlignment="1">
      <alignment vertical="center" wrapText="1"/>
    </xf>
    <xf numFmtId="0" fontId="2" fillId="0" borderId="0" xfId="0" applyFont="1" applyFill="1"/>
    <xf numFmtId="0" fontId="2"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4" fillId="0" borderId="0" xfId="0" applyFont="1" applyFill="1" applyAlignment="1">
      <alignment horizontal="right"/>
    </xf>
    <xf numFmtId="0" fontId="7" fillId="0" borderId="0" xfId="0" applyFont="1" applyFill="1"/>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3" fillId="0" borderId="7" xfId="0" applyFont="1" applyFill="1" applyBorder="1" applyAlignment="1">
      <alignment vertical="center" wrapText="1"/>
    </xf>
    <xf numFmtId="0" fontId="3" fillId="0" borderId="7" xfId="0" applyFont="1" applyFill="1" applyBorder="1" applyAlignment="1">
      <alignment horizontal="right" vertical="center" wrapText="1"/>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9" xfId="0" applyFont="1" applyFill="1" applyBorder="1" applyAlignment="1">
      <alignment horizontal="right" vertical="center" wrapText="1"/>
    </xf>
    <xf numFmtId="0" fontId="3" fillId="0" borderId="9" xfId="0" applyFont="1" applyFill="1" applyBorder="1" applyAlignment="1">
      <alignment horizontal="left" vertical="center" wrapText="1"/>
    </xf>
    <xf numFmtId="3" fontId="3" fillId="0" borderId="9" xfId="0" applyNumberFormat="1" applyFont="1" applyFill="1" applyBorder="1" applyAlignment="1">
      <alignment horizontal="right" vertical="center"/>
    </xf>
    <xf numFmtId="0" fontId="3" fillId="0" borderId="8" xfId="0" applyFont="1" applyFill="1" applyBorder="1" applyAlignment="1">
      <alignment vertical="center" wrapText="1"/>
    </xf>
    <xf numFmtId="0" fontId="3" fillId="0" borderId="15" xfId="0" applyFont="1" applyFill="1" applyBorder="1" applyAlignment="1">
      <alignment vertical="center" wrapText="1"/>
    </xf>
    <xf numFmtId="0" fontId="3" fillId="0" borderId="14" xfId="0" applyFont="1" applyFill="1" applyBorder="1" applyAlignment="1">
      <alignment horizontal="left" vertical="center" wrapText="1"/>
    </xf>
    <xf numFmtId="0" fontId="2" fillId="0" borderId="0" xfId="0" applyFont="1"/>
    <xf numFmtId="0" fontId="3" fillId="0" borderId="10"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0" borderId="14" xfId="0" applyFont="1" applyFill="1" applyBorder="1" applyAlignment="1">
      <alignment horizontal="center" vertical="center" wrapText="1"/>
    </xf>
    <xf numFmtId="0" fontId="3" fillId="0" borderId="16" xfId="0" applyFont="1" applyFill="1" applyBorder="1" applyAlignment="1">
      <alignment horizontal="left" vertical="center" wrapText="1"/>
    </xf>
    <xf numFmtId="0" fontId="3" fillId="0" borderId="10" xfId="0" applyFont="1" applyFill="1" applyBorder="1" applyAlignment="1">
      <alignment horizontal="right" vertical="center" wrapText="1"/>
    </xf>
    <xf numFmtId="0" fontId="3" fillId="0" borderId="10" xfId="0" applyFont="1" applyFill="1" applyBorder="1" applyAlignment="1">
      <alignment horizontal="left" vertical="center" wrapText="1"/>
    </xf>
    <xf numFmtId="0" fontId="3" fillId="0" borderId="7" xfId="0" applyFont="1" applyFill="1" applyBorder="1" applyAlignment="1">
      <alignment horizontal="center" vertical="center" wrapText="1"/>
    </xf>
    <xf numFmtId="3" fontId="2" fillId="0" borderId="7"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3" fontId="5" fillId="0" borderId="5" xfId="0" applyNumberFormat="1" applyFont="1" applyFill="1" applyBorder="1" applyAlignment="1">
      <alignment horizontal="right" vertical="center" wrapText="1"/>
    </xf>
    <xf numFmtId="0" fontId="2" fillId="0" borderId="7" xfId="0" applyFont="1" applyFill="1" applyBorder="1" applyAlignment="1">
      <alignmen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3" fontId="2" fillId="0" borderId="9" xfId="0" applyNumberFormat="1" applyFont="1" applyFill="1" applyBorder="1" applyAlignment="1">
      <alignment horizontal="right" vertical="center"/>
    </xf>
    <xf numFmtId="0" fontId="10" fillId="0" borderId="3" xfId="0" applyFont="1" applyFill="1" applyBorder="1" applyAlignment="1">
      <alignment horizontal="right" vertical="center"/>
    </xf>
    <xf numFmtId="3" fontId="10" fillId="0" borderId="4" xfId="0" applyNumberFormat="1" applyFont="1" applyFill="1" applyBorder="1" applyAlignment="1">
      <alignment horizontal="right" vertical="center"/>
    </xf>
    <xf numFmtId="3" fontId="2" fillId="0" borderId="10" xfId="0" applyNumberFormat="1" applyFont="1" applyFill="1" applyBorder="1" applyAlignment="1">
      <alignment horizontal="right" vertical="center" wrapText="1"/>
    </xf>
    <xf numFmtId="3" fontId="2" fillId="0" borderId="14" xfId="0" applyNumberFormat="1" applyFont="1" applyFill="1" applyBorder="1" applyAlignment="1">
      <alignment horizontal="right" vertical="center"/>
    </xf>
    <xf numFmtId="3" fontId="2" fillId="0" borderId="10" xfId="0" applyNumberFormat="1" applyFont="1" applyFill="1" applyBorder="1" applyAlignment="1">
      <alignment horizontal="right" vertical="center"/>
    </xf>
    <xf numFmtId="0" fontId="8" fillId="0" borderId="0" xfId="0" applyFont="1" applyFill="1" applyAlignment="1">
      <alignment horizontal="right"/>
    </xf>
    <xf numFmtId="0" fontId="10" fillId="0" borderId="1" xfId="0" applyFont="1" applyFill="1" applyBorder="1" applyAlignment="1">
      <alignment horizontal="left" vertical="center" wrapText="1"/>
    </xf>
    <xf numFmtId="0" fontId="3" fillId="0" borderId="17" xfId="0" applyFont="1" applyFill="1" applyBorder="1" applyAlignment="1">
      <alignment vertical="center" wrapText="1"/>
    </xf>
    <xf numFmtId="0" fontId="2" fillId="0" borderId="18" xfId="0" applyFont="1" applyFill="1" applyBorder="1" applyAlignment="1">
      <alignment vertical="center" wrapText="1"/>
    </xf>
    <xf numFmtId="3" fontId="2" fillId="0" borderId="17" xfId="0" applyNumberFormat="1" applyFont="1" applyFill="1" applyBorder="1" applyAlignment="1">
      <alignment horizontal="right" vertical="center"/>
    </xf>
    <xf numFmtId="0" fontId="3" fillId="2" borderId="19" xfId="0" applyFont="1" applyFill="1" applyBorder="1" applyAlignment="1">
      <alignment horizontal="left" vertical="center" wrapText="1"/>
    </xf>
    <xf numFmtId="3" fontId="3" fillId="2" borderId="10" xfId="0" applyNumberFormat="1" applyFont="1" applyFill="1" applyBorder="1" applyAlignment="1">
      <alignment horizontal="right" vertical="center"/>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3" fontId="10" fillId="0" borderId="3" xfId="0" applyNumberFormat="1" applyFont="1" applyFill="1" applyBorder="1" applyAlignment="1">
      <alignment horizontal="right" vertical="center" wrapText="1"/>
    </xf>
    <xf numFmtId="0" fontId="2" fillId="2" borderId="18" xfId="0" applyFont="1" applyFill="1" applyBorder="1" applyAlignment="1">
      <alignment vertical="center" wrapText="1"/>
    </xf>
    <xf numFmtId="0" fontId="3" fillId="0" borderId="20" xfId="0" applyFont="1" applyFill="1" applyBorder="1" applyAlignment="1">
      <alignment horizontal="right" vertical="center" wrapText="1"/>
    </xf>
    <xf numFmtId="0" fontId="3" fillId="2" borderId="21" xfId="0" applyFont="1" applyFill="1" applyBorder="1" applyAlignment="1">
      <alignment horizontal="left" vertical="center" wrapText="1"/>
    </xf>
    <xf numFmtId="3" fontId="3" fillId="2" borderId="20" xfId="0" applyNumberFormat="1" applyFont="1" applyFill="1" applyBorder="1" applyAlignment="1">
      <alignment horizontal="right" vertical="center"/>
    </xf>
    <xf numFmtId="0" fontId="10" fillId="0" borderId="3" xfId="0" applyFont="1" applyFill="1" applyBorder="1" applyAlignment="1">
      <alignment horizontal="left" vertical="center" wrapText="1"/>
    </xf>
    <xf numFmtId="0" fontId="3" fillId="0" borderId="20" xfId="0" applyFont="1" applyFill="1" applyBorder="1" applyAlignment="1">
      <alignment horizontal="right" vertical="center"/>
    </xf>
    <xf numFmtId="0" fontId="3" fillId="0" borderId="20" xfId="0" applyFont="1" applyFill="1" applyBorder="1" applyAlignment="1">
      <alignment horizontal="left" vertical="center" wrapText="1"/>
    </xf>
    <xf numFmtId="3" fontId="2" fillId="0" borderId="20" xfId="0" applyNumberFormat="1" applyFont="1" applyFill="1" applyBorder="1" applyAlignment="1">
      <alignment horizontal="right" vertical="center" wrapText="1"/>
    </xf>
    <xf numFmtId="2" fontId="2" fillId="0" borderId="0" xfId="0" applyNumberFormat="1" applyFont="1" applyFill="1"/>
    <xf numFmtId="0" fontId="3" fillId="0" borderId="16" xfId="0" applyFont="1" applyFill="1" applyBorder="1" applyAlignment="1">
      <alignment horizontal="justify" vertical="center" wrapText="1"/>
    </xf>
    <xf numFmtId="3" fontId="2" fillId="0" borderId="0" xfId="0" applyNumberFormat="1" applyFont="1" applyFill="1" applyBorder="1" applyAlignment="1">
      <alignment horizontal="right" vertical="center" wrapText="1"/>
    </xf>
    <xf numFmtId="3" fontId="0" fillId="0" borderId="0" xfId="0" applyNumberFormat="1"/>
    <xf numFmtId="0" fontId="10" fillId="0" borderId="1" xfId="0" applyFont="1" applyFill="1" applyBorder="1" applyAlignment="1">
      <alignment horizontal="left" vertical="center" wrapText="1"/>
    </xf>
    <xf numFmtId="0" fontId="9" fillId="0" borderId="0" xfId="0" applyFont="1" applyAlignment="1">
      <alignment horizontal="center" vertical="center"/>
    </xf>
    <xf numFmtId="0" fontId="2" fillId="0" borderId="0" xfId="0" applyFont="1" applyFill="1" applyAlignment="1">
      <alignment horizontal="center" vertical="center"/>
    </xf>
    <xf numFmtId="0" fontId="7" fillId="0" borderId="0" xfId="0" applyFont="1" applyFill="1" applyAlignment="1">
      <alignment horizontal="right" vertical="center"/>
    </xf>
    <xf numFmtId="0" fontId="12" fillId="0" borderId="0" xfId="0" applyFont="1" applyFill="1" applyAlignment="1">
      <alignment horizontal="right" vertical="center"/>
    </xf>
    <xf numFmtId="0" fontId="7" fillId="0" borderId="0" xfId="0" applyFont="1" applyFill="1" applyAlignment="1">
      <alignment wrapText="1"/>
    </xf>
    <xf numFmtId="0" fontId="7" fillId="0" borderId="0" xfId="0" applyFont="1" applyFill="1" applyAlignment="1">
      <alignment horizontal="left" wrapText="1"/>
    </xf>
    <xf numFmtId="0" fontId="13" fillId="0" borderId="0" xfId="0" applyFont="1" applyFill="1" applyAlignment="1">
      <alignment horizontal="right" vertical="center"/>
    </xf>
    <xf numFmtId="0" fontId="13" fillId="0" borderId="0" xfId="0" applyFont="1" applyFill="1" applyAlignment="1">
      <alignment wrapText="1"/>
    </xf>
    <xf numFmtId="0" fontId="14" fillId="0" borderId="0" xfId="0" applyFont="1" applyFill="1" applyAlignment="1">
      <alignment horizontal="right" vertical="center"/>
    </xf>
    <xf numFmtId="0" fontId="13" fillId="0" borderId="0" xfId="0" applyFont="1" applyFill="1"/>
    <xf numFmtId="4" fontId="15" fillId="0" borderId="13" xfId="0" applyNumberFormat="1" applyFont="1" applyFill="1" applyBorder="1" applyAlignment="1">
      <alignment horizontal="center" vertical="center" wrapText="1"/>
    </xf>
    <xf numFmtId="0" fontId="13" fillId="0" borderId="0" xfId="0" applyFont="1" applyFill="1" applyBorder="1" applyAlignment="1">
      <alignment horizontal="right" vertical="center"/>
    </xf>
    <xf numFmtId="0" fontId="13" fillId="0" borderId="0" xfId="0" applyFont="1" applyFill="1" applyBorder="1" applyAlignment="1">
      <alignment wrapText="1"/>
    </xf>
    <xf numFmtId="0" fontId="14" fillId="0" borderId="0" xfId="0" applyFont="1" applyFill="1" applyBorder="1" applyAlignment="1">
      <alignment horizontal="right" vertical="center"/>
    </xf>
    <xf numFmtId="0" fontId="13" fillId="0" borderId="0" xfId="0" applyFont="1" applyFill="1" applyBorder="1"/>
    <xf numFmtId="3" fontId="13" fillId="0" borderId="0" xfId="0" applyNumberFormat="1" applyFont="1" applyFill="1" applyBorder="1" applyAlignment="1">
      <alignment horizontal="left"/>
    </xf>
    <xf numFmtId="4" fontId="13" fillId="0" borderId="0" xfId="0" applyNumberFormat="1" applyFont="1" applyFill="1" applyBorder="1" applyAlignment="1">
      <alignment horizontal="left"/>
    </xf>
    <xf numFmtId="0" fontId="13" fillId="0" borderId="0" xfId="0" applyFont="1" applyFill="1" applyBorder="1" applyAlignment="1">
      <alignment horizontal="left" wrapText="1"/>
    </xf>
    <xf numFmtId="4" fontId="13" fillId="0" borderId="0" xfId="0" applyNumberFormat="1" applyFont="1" applyFill="1" applyBorder="1" applyAlignment="1">
      <alignment horizontal="left" wrapText="1"/>
    </xf>
    <xf numFmtId="0" fontId="16" fillId="0" borderId="0" xfId="0" applyFont="1" applyFill="1" applyBorder="1" applyAlignment="1">
      <alignment horizontal="right" vertical="center"/>
    </xf>
    <xf numFmtId="0" fontId="17" fillId="0" borderId="0" xfId="0" applyFont="1" applyFill="1" applyBorder="1" applyAlignment="1">
      <alignment vertical="center" wrapText="1"/>
    </xf>
    <xf numFmtId="0" fontId="18" fillId="0" borderId="0" xfId="0" applyFont="1" applyFill="1" applyBorder="1" applyAlignment="1">
      <alignment horizontal="right" vertical="center"/>
    </xf>
    <xf numFmtId="0" fontId="16" fillId="0" borderId="0" xfId="0" applyFont="1" applyFill="1" applyBorder="1"/>
    <xf numFmtId="4" fontId="17" fillId="0" borderId="0" xfId="0" applyNumberFormat="1" applyFont="1" applyFill="1" applyBorder="1" applyAlignment="1">
      <alignment horizontal="center" vertical="center" wrapText="1"/>
    </xf>
    <xf numFmtId="0" fontId="6" fillId="3" borderId="3" xfId="0" applyFont="1" applyFill="1" applyBorder="1" applyAlignment="1">
      <alignment horizontal="right" vertical="center"/>
    </xf>
    <xf numFmtId="0" fontId="3" fillId="0" borderId="0" xfId="0" applyFont="1" applyFill="1" applyAlignment="1">
      <alignment horizontal="center" vertical="center" wrapText="1"/>
    </xf>
    <xf numFmtId="0" fontId="10" fillId="0" borderId="1" xfId="0" applyFont="1" applyFill="1" applyBorder="1" applyAlignment="1">
      <alignment horizontal="left" vertical="center" wrapText="1"/>
    </xf>
    <xf numFmtId="0" fontId="7" fillId="0" borderId="0" xfId="0" applyFont="1" applyFill="1" applyAlignment="1">
      <alignment horizontal="center" vertical="center"/>
    </xf>
    <xf numFmtId="0" fontId="3" fillId="0" borderId="8" xfId="0" applyFont="1" applyFill="1" applyBorder="1" applyAlignment="1">
      <alignment horizontal="justify" vertical="center" wrapText="1"/>
    </xf>
    <xf numFmtId="2" fontId="2" fillId="0" borderId="0" xfId="0" applyNumberFormat="1" applyFont="1" applyFill="1" applyAlignment="1">
      <alignment horizontal="center" vertical="center"/>
    </xf>
    <xf numFmtId="1" fontId="2" fillId="0" borderId="0" xfId="0" applyNumberFormat="1" applyFont="1" applyFill="1" applyAlignment="1">
      <alignment horizontal="center" vertical="center"/>
    </xf>
    <xf numFmtId="3" fontId="2" fillId="0" borderId="0" xfId="0" applyNumberFormat="1" applyFont="1" applyFill="1" applyAlignment="1">
      <alignment horizontal="center" vertical="center"/>
    </xf>
    <xf numFmtId="0" fontId="3" fillId="0" borderId="7" xfId="0" applyFont="1" applyFill="1" applyBorder="1" applyAlignment="1">
      <alignment horizontal="justify" vertical="center" wrapText="1"/>
    </xf>
    <xf numFmtId="0" fontId="3" fillId="0" borderId="22" xfId="0" applyFont="1" applyFill="1" applyBorder="1" applyAlignment="1">
      <alignment horizontal="justify" vertical="center" wrapText="1"/>
    </xf>
    <xf numFmtId="0" fontId="3" fillId="0" borderId="21" xfId="0" applyFont="1" applyFill="1" applyBorder="1" applyAlignment="1">
      <alignment horizontal="left" vertical="center" wrapText="1"/>
    </xf>
    <xf numFmtId="3" fontId="3" fillId="0" borderId="20" xfId="0" applyNumberFormat="1" applyFont="1" applyFill="1" applyBorder="1" applyAlignment="1">
      <alignment horizontal="right" vertical="center"/>
    </xf>
    <xf numFmtId="0" fontId="2" fillId="0" borderId="8" xfId="0" applyFont="1" applyFill="1" applyBorder="1" applyAlignment="1">
      <alignment horizontal="justify" vertical="center" wrapText="1"/>
    </xf>
    <xf numFmtId="0" fontId="3" fillId="0" borderId="9" xfId="0" applyFont="1" applyFill="1" applyBorder="1" applyAlignment="1">
      <alignment horizontal="justify" vertical="center" wrapText="1"/>
    </xf>
    <xf numFmtId="0" fontId="21" fillId="0" borderId="23" xfId="0" applyFont="1" applyFill="1" applyBorder="1" applyAlignment="1">
      <alignment vertical="center" wrapText="1"/>
    </xf>
    <xf numFmtId="3" fontId="0" fillId="0" borderId="0" xfId="0" applyNumberFormat="1" applyFill="1" applyAlignment="1">
      <alignment horizontal="left"/>
    </xf>
    <xf numFmtId="4" fontId="0" fillId="0" borderId="0" xfId="0" applyNumberFormat="1" applyFill="1" applyAlignment="1">
      <alignment horizontal="left"/>
    </xf>
    <xf numFmtId="0" fontId="2" fillId="0" borderId="0" xfId="0" applyFont="1" applyFill="1" applyAlignment="1">
      <alignment horizontal="left" wrapText="1"/>
    </xf>
    <xf numFmtId="4" fontId="2" fillId="0" borderId="0" xfId="0" applyNumberFormat="1" applyFont="1" applyFill="1" applyAlignment="1">
      <alignment horizontal="left" wrapText="1"/>
    </xf>
    <xf numFmtId="0" fontId="22" fillId="0" borderId="0" xfId="0" applyFont="1" applyFill="1" applyAlignment="1">
      <alignment horizontal="right" vertical="center"/>
    </xf>
    <xf numFmtId="0" fontId="21" fillId="0" borderId="13" xfId="0" applyFont="1" applyFill="1" applyBorder="1" applyAlignment="1">
      <alignment vertical="center" wrapText="1"/>
    </xf>
    <xf numFmtId="4" fontId="21" fillId="0" borderId="13" xfId="0" applyNumberFormat="1" applyFont="1" applyFill="1" applyBorder="1" applyAlignment="1">
      <alignment horizontal="center" vertical="center" wrapText="1"/>
    </xf>
    <xf numFmtId="4" fontId="23" fillId="0" borderId="0" xfId="0" applyNumberFormat="1" applyFont="1"/>
    <xf numFmtId="4" fontId="13" fillId="2" borderId="0" xfId="0" applyNumberFormat="1" applyFont="1" applyFill="1" applyBorder="1" applyAlignment="1">
      <alignment horizontal="left" wrapText="1"/>
    </xf>
    <xf numFmtId="0" fontId="3" fillId="0" borderId="0" xfId="0" applyFont="1" applyFill="1" applyAlignment="1">
      <alignment horizontal="center" vertical="center" wrapText="1"/>
    </xf>
    <xf numFmtId="0" fontId="10" fillId="0" borderId="1" xfId="0" applyFont="1" applyFill="1" applyBorder="1" applyAlignment="1">
      <alignment horizontal="left" vertical="center" wrapText="1"/>
    </xf>
    <xf numFmtId="3" fontId="3" fillId="0" borderId="10" xfId="0" applyNumberFormat="1" applyFont="1" applyFill="1" applyBorder="1" applyAlignment="1">
      <alignment horizontal="right" vertical="center"/>
    </xf>
    <xf numFmtId="0" fontId="6" fillId="0" borderId="3" xfId="0" applyFont="1" applyFill="1" applyBorder="1" applyAlignment="1">
      <alignment horizontal="right" vertical="center"/>
    </xf>
    <xf numFmtId="0" fontId="3" fillId="0" borderId="10" xfId="0" applyFont="1" applyFill="1" applyBorder="1" applyAlignment="1">
      <alignment horizontal="justify" vertical="center" wrapText="1"/>
    </xf>
    <xf numFmtId="0" fontId="2" fillId="0" borderId="14" xfId="0" applyFont="1" applyFill="1" applyBorder="1" applyAlignment="1">
      <alignment horizontal="right" vertical="center"/>
    </xf>
    <xf numFmtId="0" fontId="2" fillId="0" borderId="0" xfId="0" applyFont="1" applyFill="1" applyBorder="1" applyAlignment="1">
      <alignment horizontal="right" vertical="center"/>
    </xf>
    <xf numFmtId="0" fontId="2" fillId="0" borderId="0" xfId="0" applyFont="1" applyFill="1" applyBorder="1" applyAlignment="1">
      <alignment wrapText="1"/>
    </xf>
    <xf numFmtId="0" fontId="2" fillId="0" borderId="0" xfId="0" applyFont="1" applyFill="1" applyBorder="1"/>
    <xf numFmtId="0" fontId="2" fillId="0" borderId="0" xfId="0" applyFont="1" applyFill="1" applyBorder="1" applyAlignment="1">
      <alignment horizontal="center" vertical="center"/>
    </xf>
    <xf numFmtId="0" fontId="25" fillId="0" borderId="0" xfId="0" applyFont="1" applyFill="1" applyBorder="1" applyAlignment="1">
      <alignment vertical="center" wrapText="1"/>
    </xf>
    <xf numFmtId="3" fontId="7" fillId="0" borderId="0" xfId="0" applyNumberFormat="1" applyFont="1" applyFill="1" applyBorder="1" applyAlignment="1">
      <alignment horizontal="left"/>
    </xf>
    <xf numFmtId="4" fontId="7" fillId="0" borderId="0" xfId="0" applyNumberFormat="1" applyFont="1" applyFill="1" applyBorder="1" applyAlignment="1">
      <alignment horizontal="left"/>
    </xf>
    <xf numFmtId="0" fontId="2" fillId="0" borderId="0" xfId="0" applyFont="1" applyFill="1" applyBorder="1" applyAlignment="1">
      <alignment horizontal="left" wrapText="1"/>
    </xf>
    <xf numFmtId="4" fontId="2" fillId="0" borderId="0" xfId="0" applyNumberFormat="1" applyFont="1" applyFill="1" applyBorder="1" applyAlignment="1">
      <alignment horizontal="left" wrapText="1"/>
    </xf>
    <xf numFmtId="0" fontId="22" fillId="0" borderId="0" xfId="0" applyFont="1" applyFill="1" applyBorder="1" applyAlignment="1">
      <alignment horizontal="right" vertical="center"/>
    </xf>
    <xf numFmtId="4" fontId="25" fillId="0" borderId="0"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 fillId="0" borderId="0" xfId="0" applyFont="1" applyFill="1" applyAlignment="1">
      <alignment horizontal="center" vertical="center"/>
    </xf>
    <xf numFmtId="0" fontId="3" fillId="0" borderId="0" xfId="0" applyFont="1" applyFill="1" applyAlignment="1">
      <alignment horizontal="center" vertical="center" wrapText="1"/>
    </xf>
    <xf numFmtId="0" fontId="5" fillId="3" borderId="1" xfId="0" applyFont="1" applyFill="1" applyBorder="1" applyAlignment="1">
      <alignment horizontal="left" vertical="center" wrapText="1"/>
    </xf>
    <xf numFmtId="0" fontId="5" fillId="3" borderId="2" xfId="0" applyFont="1" applyFill="1" applyBorder="1" applyAlignment="1">
      <alignment horizontal="left" vertical="center" wrapText="1"/>
    </xf>
    <xf numFmtId="0" fontId="9" fillId="0" borderId="0" xfId="0" applyFont="1" applyAlignment="1">
      <alignment horizontal="center" vertical="center"/>
    </xf>
    <xf numFmtId="0" fontId="10" fillId="0" borderId="1" xfId="0" applyFont="1" applyFill="1" applyBorder="1" applyAlignment="1">
      <alignment horizontal="left" vertical="center" wrapText="1"/>
    </xf>
    <xf numFmtId="0" fontId="10"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0"/>
  <sheetViews>
    <sheetView zoomScaleNormal="100" workbookViewId="0">
      <pane ySplit="2" topLeftCell="A3" activePane="bottomLeft" state="frozen"/>
      <selection pane="bottomLeft" activeCell="B9" sqref="B9"/>
    </sheetView>
  </sheetViews>
  <sheetFormatPr defaultColWidth="9.21875" defaultRowHeight="13.2" x14ac:dyDescent="0.25"/>
  <cols>
    <col min="1" max="1" width="9" style="4" customWidth="1"/>
    <col min="2" max="2" width="74" style="5" customWidth="1"/>
    <col min="3" max="3" width="14.77734375" style="14" customWidth="1"/>
    <col min="4" max="4" width="4.21875" style="1" customWidth="1"/>
    <col min="5" max="5" width="11.5546875" style="1" customWidth="1"/>
    <col min="6" max="7" width="9.21875" style="1" customWidth="1"/>
    <col min="8" max="16384" width="9.21875" style="1"/>
  </cols>
  <sheetData>
    <row r="1" spans="1:7" ht="17.25" customHeight="1" x14ac:dyDescent="0.25">
      <c r="A1" s="150" t="s">
        <v>0</v>
      </c>
      <c r="B1" s="150"/>
      <c r="C1" s="150"/>
    </row>
    <row r="2" spans="1:7" ht="31.5" customHeight="1" x14ac:dyDescent="0.25">
      <c r="A2" s="151" t="s">
        <v>26</v>
      </c>
      <c r="B2" s="151"/>
      <c r="C2" s="151"/>
    </row>
    <row r="3" spans="1:7" x14ac:dyDescent="0.25">
      <c r="A3" s="2"/>
      <c r="B3" s="2"/>
      <c r="C3" s="3"/>
    </row>
    <row r="4" spans="1:7" x14ac:dyDescent="0.25">
      <c r="C4" s="6" t="s">
        <v>1</v>
      </c>
    </row>
    <row r="5" spans="1:7" s="7" customFormat="1" ht="15" customHeight="1" x14ac:dyDescent="0.25">
      <c r="A5" s="152" t="s">
        <v>27</v>
      </c>
      <c r="B5" s="153"/>
      <c r="C5" s="107" t="s">
        <v>24</v>
      </c>
    </row>
    <row r="6" spans="1:7" s="7" customFormat="1" ht="15" customHeight="1" x14ac:dyDescent="0.25">
      <c r="A6" s="148" t="s">
        <v>2</v>
      </c>
      <c r="B6" s="149"/>
      <c r="C6" s="47">
        <f>C7+C11</f>
        <v>46044</v>
      </c>
    </row>
    <row r="7" spans="1:7" s="7" customFormat="1" ht="13.5" customHeight="1" x14ac:dyDescent="0.25">
      <c r="A7" s="8" t="s">
        <v>3</v>
      </c>
      <c r="B7" s="9" t="s">
        <v>4</v>
      </c>
      <c r="C7" s="50">
        <f>SUM(C8:C10)</f>
        <v>31366</v>
      </c>
    </row>
    <row r="8" spans="1:7" ht="69" customHeight="1" x14ac:dyDescent="0.25">
      <c r="A8" s="27">
        <v>1149</v>
      </c>
      <c r="B8" s="35" t="s">
        <v>62</v>
      </c>
      <c r="C8" s="46">
        <f>ROUNDUP((((B31*1.4))/29*11)+(B31*1.4*9),0)-1</f>
        <v>25379</v>
      </c>
      <c r="F8" s="15"/>
      <c r="G8" s="84"/>
    </row>
    <row r="9" spans="1:7" ht="48.75" customHeight="1" x14ac:dyDescent="0.25">
      <c r="A9" s="17">
        <v>1210</v>
      </c>
      <c r="B9" s="18" t="s">
        <v>63</v>
      </c>
      <c r="C9" s="54">
        <f>ROUND(C8*0.2359,0)</f>
        <v>5987</v>
      </c>
    </row>
    <row r="10" spans="1:7" s="19" customFormat="1" ht="45.75" hidden="1" customHeight="1" x14ac:dyDescent="0.25">
      <c r="A10" s="62">
        <v>1226</v>
      </c>
      <c r="B10" s="70" t="s">
        <v>23</v>
      </c>
      <c r="C10" s="64"/>
    </row>
    <row r="11" spans="1:7" x14ac:dyDescent="0.25">
      <c r="A11" s="67" t="s">
        <v>5</v>
      </c>
      <c r="B11" s="68" t="s">
        <v>6</v>
      </c>
      <c r="C11" s="69">
        <f>SUM(C12:C16)</f>
        <v>14678</v>
      </c>
    </row>
    <row r="12" spans="1:7" ht="101.55" customHeight="1" x14ac:dyDescent="0.25">
      <c r="A12" s="43">
        <v>2122</v>
      </c>
      <c r="B12" s="44" t="s">
        <v>66</v>
      </c>
      <c r="C12" s="59">
        <f>ROUNDUP(560+2,0)</f>
        <v>562</v>
      </c>
      <c r="F12" s="24"/>
    </row>
    <row r="13" spans="1:7" ht="61.5" customHeight="1" x14ac:dyDescent="0.25">
      <c r="A13" s="28">
        <v>2238</v>
      </c>
      <c r="B13" s="31" t="s">
        <v>38</v>
      </c>
      <c r="C13" s="46">
        <f>ROUNDUP((B35/12*10)+((B36/29)*11),0)</f>
        <v>13661</v>
      </c>
      <c r="E13" s="78"/>
      <c r="F13" s="129"/>
      <c r="G13" s="16"/>
    </row>
    <row r="14" spans="1:7" s="19" customFormat="1" ht="83.55" hidden="1" customHeight="1" x14ac:dyDescent="0.25">
      <c r="A14" s="43">
        <v>2312</v>
      </c>
      <c r="B14" s="65"/>
      <c r="C14" s="133"/>
      <c r="F14" s="15"/>
      <c r="G14" s="16"/>
    </row>
    <row r="15" spans="1:7" s="19" customFormat="1" ht="215.25" customHeight="1" x14ac:dyDescent="0.25">
      <c r="A15" s="32">
        <v>2364</v>
      </c>
      <c r="B15" s="79" t="s">
        <v>36</v>
      </c>
      <c r="C15" s="54">
        <f>ROUNDUP(118+156+57+100+24,0)</f>
        <v>455</v>
      </c>
      <c r="F15" s="15"/>
      <c r="G15" s="16"/>
    </row>
    <row r="16" spans="1:7" s="19" customFormat="1" ht="41.1" hidden="1" customHeight="1" x14ac:dyDescent="0.25">
      <c r="A16" s="71">
        <v>2389</v>
      </c>
      <c r="B16" s="72"/>
      <c r="C16" s="118"/>
      <c r="F16" s="15"/>
      <c r="G16" s="16"/>
    </row>
    <row r="17" spans="1:7" ht="11.25" customHeight="1" x14ac:dyDescent="0.25">
      <c r="A17" s="10"/>
      <c r="B17" s="11"/>
      <c r="C17" s="12"/>
      <c r="F17" s="16"/>
      <c r="G17" s="16"/>
    </row>
    <row r="18" spans="1:7" s="19" customFormat="1" x14ac:dyDescent="0.25">
      <c r="A18" s="21"/>
      <c r="B18" s="22"/>
      <c r="C18" s="23" t="s">
        <v>1</v>
      </c>
    </row>
    <row r="19" spans="1:7" s="24" customFormat="1" ht="15" customHeight="1" x14ac:dyDescent="0.25">
      <c r="A19" s="152" t="s">
        <v>28</v>
      </c>
      <c r="B19" s="153"/>
      <c r="C19" s="134" t="s">
        <v>29</v>
      </c>
    </row>
    <row r="20" spans="1:7" s="24" customFormat="1" ht="15" customHeight="1" x14ac:dyDescent="0.25">
      <c r="A20" s="148" t="s">
        <v>2</v>
      </c>
      <c r="B20" s="149"/>
      <c r="C20" s="47">
        <f>C21+C24</f>
        <v>11565</v>
      </c>
    </row>
    <row r="21" spans="1:7" s="24" customFormat="1" ht="13.8" x14ac:dyDescent="0.25">
      <c r="A21" s="48" t="s">
        <v>3</v>
      </c>
      <c r="B21" s="49" t="s">
        <v>4</v>
      </c>
      <c r="C21" s="50">
        <f>SUM(C22:C23)</f>
        <v>8840</v>
      </c>
    </row>
    <row r="22" spans="1:7" s="19" customFormat="1" ht="72" customHeight="1" x14ac:dyDescent="0.25">
      <c r="A22" s="51">
        <v>1149</v>
      </c>
      <c r="B22" s="52" t="s">
        <v>64</v>
      </c>
      <c r="C22" s="46">
        <f>ROUNDUP((((B31*1.4))/28*18)+(B31*1.4*2),0)</f>
        <v>7152</v>
      </c>
      <c r="F22" s="15"/>
    </row>
    <row r="23" spans="1:7" s="19" customFormat="1" ht="59.25" customHeight="1" x14ac:dyDescent="0.25">
      <c r="A23" s="53">
        <v>1210</v>
      </c>
      <c r="B23" s="18" t="s">
        <v>65</v>
      </c>
      <c r="C23" s="54">
        <f>ROUNDUP(C22*0.2359,0)</f>
        <v>1688</v>
      </c>
    </row>
    <row r="24" spans="1:7" s="19" customFormat="1" x14ac:dyDescent="0.25">
      <c r="A24" s="74" t="s">
        <v>5</v>
      </c>
      <c r="B24" s="61" t="s">
        <v>6</v>
      </c>
      <c r="C24" s="69">
        <f>SUM(C25:C26)</f>
        <v>2725</v>
      </c>
    </row>
    <row r="25" spans="1:7" s="19" customFormat="1" ht="66" x14ac:dyDescent="0.25">
      <c r="A25" s="43">
        <v>2122</v>
      </c>
      <c r="B25" s="44" t="s">
        <v>25</v>
      </c>
      <c r="C25" s="59">
        <f>ROUNDUP(560*1+2*1,0)</f>
        <v>562</v>
      </c>
      <c r="F25" s="24"/>
    </row>
    <row r="26" spans="1:7" s="19" customFormat="1" ht="55.5" customHeight="1" x14ac:dyDescent="0.25">
      <c r="A26" s="32">
        <v>2238</v>
      </c>
      <c r="B26" s="33" t="s">
        <v>30</v>
      </c>
      <c r="C26" s="34">
        <f>ROUNDUP((B35/12*1)+((B36/28)*18),0)</f>
        <v>2163</v>
      </c>
      <c r="F26" s="15"/>
      <c r="G26" s="16"/>
    </row>
    <row r="27" spans="1:7" ht="37.950000000000003" customHeight="1" x14ac:dyDescent="0.25">
      <c r="C27" s="13"/>
    </row>
    <row r="28" spans="1:7" s="92" customFormat="1" ht="12" hidden="1" x14ac:dyDescent="0.25">
      <c r="A28" s="89"/>
      <c r="B28" s="90"/>
      <c r="C28" s="91"/>
    </row>
    <row r="29" spans="1:7" s="92" customFormat="1" ht="12" hidden="1" x14ac:dyDescent="0.25">
      <c r="A29" s="102"/>
      <c r="B29" s="103" t="s">
        <v>7</v>
      </c>
      <c r="C29" s="91"/>
    </row>
    <row r="30" spans="1:7" s="92" customFormat="1" ht="12" hidden="1" x14ac:dyDescent="0.25">
      <c r="A30" s="94" t="s">
        <v>8</v>
      </c>
      <c r="B30" s="98">
        <v>23193</v>
      </c>
      <c r="C30" s="91"/>
    </row>
    <row r="31" spans="1:7" s="92" customFormat="1" ht="12" hidden="1" x14ac:dyDescent="0.25">
      <c r="A31" s="94" t="s">
        <v>9</v>
      </c>
      <c r="B31" s="99">
        <v>1932.75</v>
      </c>
      <c r="C31" s="91"/>
    </row>
    <row r="32" spans="1:7" s="92" customFormat="1" ht="10.8" customHeight="1" x14ac:dyDescent="0.25">
      <c r="A32" s="89"/>
      <c r="B32" s="90"/>
      <c r="C32" s="91"/>
    </row>
    <row r="33" spans="1:3" s="92" customFormat="1" ht="42.6" hidden="1" customHeight="1" x14ac:dyDescent="0.25">
      <c r="A33" s="89"/>
      <c r="B33" s="90"/>
      <c r="C33" s="91"/>
    </row>
    <row r="34" spans="1:3" s="92" customFormat="1" ht="12" hidden="1" x14ac:dyDescent="0.25">
      <c r="A34" s="102"/>
      <c r="B34" s="103" t="s">
        <v>7</v>
      </c>
      <c r="C34" s="93"/>
    </row>
    <row r="35" spans="1:3" s="92" customFormat="1" ht="1.2" hidden="1" customHeight="1" x14ac:dyDescent="0.25">
      <c r="A35" s="94" t="s">
        <v>8</v>
      </c>
      <c r="B35" s="130">
        <v>15793.88</v>
      </c>
      <c r="C35" s="91"/>
    </row>
    <row r="36" spans="1:3" s="92" customFormat="1" ht="42" hidden="1" customHeight="1" x14ac:dyDescent="0.25">
      <c r="A36" s="94" t="s">
        <v>9</v>
      </c>
      <c r="B36" s="100">
        <f>ROUND(B35/12,2)</f>
        <v>1316.16</v>
      </c>
      <c r="C36" s="91"/>
    </row>
    <row r="37" spans="1:3" s="24" customFormat="1" ht="21.6" customHeight="1" x14ac:dyDescent="0.25">
      <c r="A37" s="85"/>
      <c r="B37" s="88"/>
      <c r="C37" s="86"/>
    </row>
    <row r="38" spans="1:3" s="24" customFormat="1" ht="21.75" customHeight="1" x14ac:dyDescent="0.25">
      <c r="A38" s="85"/>
      <c r="B38" s="87"/>
      <c r="C38" s="86"/>
    </row>
    <row r="39" spans="1:3" ht="21.75" customHeight="1" x14ac:dyDescent="0.25"/>
    <row r="40" spans="1:3" ht="21.75" customHeight="1" x14ac:dyDescent="0.25"/>
  </sheetData>
  <mergeCells count="6">
    <mergeCell ref="A20:B20"/>
    <mergeCell ref="A1:C1"/>
    <mergeCell ref="A2:C2"/>
    <mergeCell ref="A5:B5"/>
    <mergeCell ref="A6:B6"/>
    <mergeCell ref="A19:B19"/>
  </mergeCells>
  <pageMargins left="0.25" right="0.25" top="0.75" bottom="0.75"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47"/>
  <sheetViews>
    <sheetView zoomScale="90" zoomScaleNormal="90" workbookViewId="0">
      <pane ySplit="2" topLeftCell="A3" activePane="bottomLeft" state="frozen"/>
      <selection pane="bottomLeft" activeCell="E12" sqref="E12"/>
    </sheetView>
  </sheetViews>
  <sheetFormatPr defaultColWidth="9.21875" defaultRowHeight="13.2" x14ac:dyDescent="0.25"/>
  <cols>
    <col min="1" max="1" width="7.77734375" style="21" customWidth="1"/>
    <col min="2" max="2" width="76.21875" style="22" customWidth="1"/>
    <col min="3" max="3" width="13.21875" style="21" customWidth="1"/>
    <col min="4" max="4" width="1.77734375" style="19" customWidth="1"/>
    <col min="5" max="5" width="9.21875" style="19"/>
    <col min="6" max="7" width="9.21875" style="19" customWidth="1"/>
    <col min="8" max="16384" width="9.21875" style="19"/>
  </cols>
  <sheetData>
    <row r="1" spans="1:7" ht="18.75" customHeight="1" x14ac:dyDescent="0.25">
      <c r="A1" s="150" t="s">
        <v>0</v>
      </c>
      <c r="B1" s="150"/>
      <c r="C1" s="150"/>
    </row>
    <row r="2" spans="1:7" ht="31.5" customHeight="1" x14ac:dyDescent="0.25">
      <c r="A2" s="151" t="s">
        <v>31</v>
      </c>
      <c r="B2" s="151"/>
      <c r="C2" s="151"/>
    </row>
    <row r="3" spans="1:7" x14ac:dyDescent="0.25">
      <c r="A3" s="20"/>
      <c r="B3" s="20"/>
      <c r="C3" s="20"/>
    </row>
    <row r="4" spans="1:7" x14ac:dyDescent="0.25">
      <c r="C4" s="60" t="s">
        <v>1</v>
      </c>
    </row>
    <row r="5" spans="1:7" s="24" customFormat="1" ht="15" customHeight="1" x14ac:dyDescent="0.25">
      <c r="A5" s="152" t="s">
        <v>32</v>
      </c>
      <c r="B5" s="153"/>
      <c r="C5" s="107" t="s">
        <v>24</v>
      </c>
    </row>
    <row r="6" spans="1:7" s="24" customFormat="1" ht="15" customHeight="1" x14ac:dyDescent="0.25">
      <c r="A6" s="148" t="s">
        <v>2</v>
      </c>
      <c r="B6" s="149"/>
      <c r="C6" s="47">
        <f>C7+C11</f>
        <v>38054</v>
      </c>
    </row>
    <row r="7" spans="1:7" s="24" customFormat="1" ht="13.8" x14ac:dyDescent="0.25">
      <c r="A7" s="25" t="s">
        <v>3</v>
      </c>
      <c r="B7" s="26" t="s">
        <v>4</v>
      </c>
      <c r="C7" s="50">
        <f>SUM(C8:C10)</f>
        <v>26748</v>
      </c>
    </row>
    <row r="8" spans="1:7" ht="70.5" customHeight="1" x14ac:dyDescent="0.25">
      <c r="A8" s="27">
        <v>1149</v>
      </c>
      <c r="B8" s="35" t="s">
        <v>44</v>
      </c>
      <c r="C8" s="46">
        <f>ROUNDUP((((B31*1.4))/29*11)+(B31*1.4*9),0)</f>
        <v>21643</v>
      </c>
      <c r="F8" s="15"/>
    </row>
    <row r="9" spans="1:7" ht="39.6" x14ac:dyDescent="0.25">
      <c r="A9" s="17">
        <v>1210</v>
      </c>
      <c r="B9" s="18" t="s">
        <v>40</v>
      </c>
      <c r="C9" s="54">
        <f>ROUND(C8*0.2359,0)-1</f>
        <v>5105</v>
      </c>
    </row>
    <row r="10" spans="1:7" ht="45.75" hidden="1" customHeight="1" x14ac:dyDescent="0.25">
      <c r="A10" s="62">
        <v>1226</v>
      </c>
      <c r="B10" s="63" t="s">
        <v>23</v>
      </c>
      <c r="C10" s="64"/>
    </row>
    <row r="11" spans="1:7" x14ac:dyDescent="0.25">
      <c r="A11" s="67" t="s">
        <v>5</v>
      </c>
      <c r="B11" s="68" t="s">
        <v>6</v>
      </c>
      <c r="C11" s="69">
        <f>SUM(C12:C16)</f>
        <v>11306</v>
      </c>
    </row>
    <row r="12" spans="1:7" ht="93" customHeight="1" x14ac:dyDescent="0.25">
      <c r="A12" s="43">
        <v>2122</v>
      </c>
      <c r="B12" s="44" t="s">
        <v>66</v>
      </c>
      <c r="C12" s="59">
        <f>ROUNDUP(560+2,0)</f>
        <v>562</v>
      </c>
      <c r="F12" s="24"/>
    </row>
    <row r="13" spans="1:7" ht="57" customHeight="1" x14ac:dyDescent="0.25">
      <c r="A13" s="28">
        <v>2238</v>
      </c>
      <c r="B13" s="31" t="s">
        <v>41</v>
      </c>
      <c r="C13" s="46">
        <f>ROUNDUP((B39/12*10)+((B40/29)*11),0)</f>
        <v>10289</v>
      </c>
      <c r="F13" s="15"/>
      <c r="G13" s="16"/>
    </row>
    <row r="14" spans="1:7" hidden="1" x14ac:dyDescent="0.25">
      <c r="A14" s="43">
        <v>2312</v>
      </c>
      <c r="B14" s="65"/>
      <c r="C14" s="66"/>
      <c r="F14" s="15"/>
      <c r="G14" s="16"/>
    </row>
    <row r="15" spans="1:7" ht="210.75" customHeight="1" x14ac:dyDescent="0.25">
      <c r="A15" s="32">
        <v>2364</v>
      </c>
      <c r="B15" s="42" t="s">
        <v>37</v>
      </c>
      <c r="C15" s="54">
        <f>118+156+57+100+24</f>
        <v>455</v>
      </c>
      <c r="F15" s="15"/>
      <c r="G15" s="16"/>
    </row>
    <row r="16" spans="1:7" hidden="1" x14ac:dyDescent="0.25">
      <c r="A16" s="71">
        <v>2389</v>
      </c>
      <c r="B16" s="72"/>
      <c r="C16" s="73"/>
      <c r="F16" s="15"/>
      <c r="G16" s="16"/>
    </row>
    <row r="17" spans="1:7" ht="11.25" customHeight="1" x14ac:dyDescent="0.25">
      <c r="A17" s="29"/>
      <c r="B17" s="30"/>
      <c r="C17" s="12"/>
      <c r="F17" s="16"/>
      <c r="G17" s="16"/>
    </row>
    <row r="18" spans="1:7" x14ac:dyDescent="0.25">
      <c r="C18" s="23" t="s">
        <v>1</v>
      </c>
    </row>
    <row r="19" spans="1:7" s="24" customFormat="1" ht="15" customHeight="1" x14ac:dyDescent="0.25">
      <c r="A19" s="152" t="s">
        <v>28</v>
      </c>
      <c r="B19" s="153"/>
      <c r="C19" s="107" t="s">
        <v>29</v>
      </c>
    </row>
    <row r="20" spans="1:7" s="24" customFormat="1" ht="15" customHeight="1" x14ac:dyDescent="0.25">
      <c r="A20" s="148" t="s">
        <v>2</v>
      </c>
      <c r="B20" s="149"/>
      <c r="C20" s="47">
        <f>C21+C24</f>
        <v>9728</v>
      </c>
    </row>
    <row r="21" spans="1:7" s="24" customFormat="1" ht="13.8" x14ac:dyDescent="0.25">
      <c r="A21" s="48" t="s">
        <v>3</v>
      </c>
      <c r="B21" s="49" t="s">
        <v>4</v>
      </c>
      <c r="C21" s="50">
        <f>SUM(C22:C23)</f>
        <v>7537</v>
      </c>
    </row>
    <row r="22" spans="1:7" ht="68.25" customHeight="1" x14ac:dyDescent="0.25">
      <c r="A22" s="51">
        <v>1149</v>
      </c>
      <c r="B22" s="52" t="s">
        <v>42</v>
      </c>
      <c r="C22" s="46">
        <f>ROUNDUP((((B31*1.4))/28*18)+(B31*1.4*2),0)-1</f>
        <v>6098</v>
      </c>
      <c r="F22" s="15"/>
    </row>
    <row r="23" spans="1:7" ht="43.5" customHeight="1" x14ac:dyDescent="0.25">
      <c r="A23" s="53">
        <v>1210</v>
      </c>
      <c r="B23" s="18" t="s">
        <v>43</v>
      </c>
      <c r="C23" s="54">
        <f>ROUNDUP(C22*0.2359,0)</f>
        <v>1439</v>
      </c>
    </row>
    <row r="24" spans="1:7" x14ac:dyDescent="0.25">
      <c r="A24" s="74" t="s">
        <v>5</v>
      </c>
      <c r="B24" s="61" t="s">
        <v>6</v>
      </c>
      <c r="C24" s="69">
        <f>SUM(C25:C26)</f>
        <v>2191</v>
      </c>
    </row>
    <row r="25" spans="1:7" ht="66" x14ac:dyDescent="0.25">
      <c r="A25" s="43">
        <v>2122</v>
      </c>
      <c r="B25" s="44" t="s">
        <v>25</v>
      </c>
      <c r="C25" s="59">
        <f>ROUNDUP(560*1+2*1,0)</f>
        <v>562</v>
      </c>
      <c r="F25" s="24"/>
    </row>
    <row r="26" spans="1:7" ht="57" customHeight="1" x14ac:dyDescent="0.25">
      <c r="A26" s="32">
        <v>2238</v>
      </c>
      <c r="B26" s="33" t="s">
        <v>34</v>
      </c>
      <c r="C26" s="34">
        <f>ROUNDUP((B39/12*1)+((B40/28)*18),0)</f>
        <v>1629</v>
      </c>
      <c r="F26" s="15"/>
      <c r="G26" s="16"/>
    </row>
    <row r="27" spans="1:7" ht="37.950000000000003" customHeight="1" x14ac:dyDescent="0.25">
      <c r="C27" s="13"/>
    </row>
    <row r="28" spans="1:7" s="97" customFormat="1" ht="12" hidden="1" x14ac:dyDescent="0.25">
      <c r="A28" s="94"/>
      <c r="B28" s="95"/>
      <c r="C28" s="96"/>
    </row>
    <row r="29" spans="1:7" s="105" customFormat="1" ht="11.4" hidden="1" x14ac:dyDescent="0.2">
      <c r="A29" s="102"/>
      <c r="B29" s="103" t="s">
        <v>7</v>
      </c>
      <c r="C29" s="104"/>
    </row>
    <row r="30" spans="1:7" s="97" customFormat="1" ht="12" hidden="1" x14ac:dyDescent="0.25">
      <c r="A30" s="94" t="s">
        <v>8</v>
      </c>
      <c r="B30" s="98">
        <v>19778</v>
      </c>
      <c r="C30" s="96"/>
    </row>
    <row r="31" spans="1:7" s="97" customFormat="1" ht="12" hidden="1" x14ac:dyDescent="0.25">
      <c r="A31" s="94" t="s">
        <v>9</v>
      </c>
      <c r="B31" s="99">
        <f>ROUND(B30/12,2)</f>
        <v>1648.17</v>
      </c>
      <c r="C31" s="96">
        <f>ROUND(B31*1.4,2)</f>
        <v>2307.44</v>
      </c>
    </row>
    <row r="32" spans="1:7" s="97" customFormat="1" ht="12" hidden="1" x14ac:dyDescent="0.25">
      <c r="A32" s="94"/>
      <c r="B32" s="95"/>
      <c r="C32" s="96"/>
    </row>
    <row r="33" spans="1:3" s="97" customFormat="1" ht="12" hidden="1" x14ac:dyDescent="0.25">
      <c r="A33" s="94"/>
      <c r="B33" s="100"/>
      <c r="C33" s="96"/>
    </row>
    <row r="34" spans="1:3" s="97" customFormat="1" ht="12" hidden="1" x14ac:dyDescent="0.25">
      <c r="A34" s="94"/>
      <c r="B34" s="101"/>
      <c r="C34" s="96"/>
    </row>
    <row r="35" spans="1:3" s="97" customFormat="1" ht="12" hidden="1" x14ac:dyDescent="0.25">
      <c r="A35" s="94"/>
      <c r="B35" s="101"/>
      <c r="C35" s="96"/>
    </row>
    <row r="36" spans="1:3" s="97" customFormat="1" ht="12" hidden="1" x14ac:dyDescent="0.25">
      <c r="A36" s="94"/>
      <c r="B36" s="95"/>
      <c r="C36" s="96"/>
    </row>
    <row r="37" spans="1:3" s="97" customFormat="1" ht="12" hidden="1" x14ac:dyDescent="0.25">
      <c r="A37" s="94"/>
      <c r="B37" s="95"/>
      <c r="C37" s="96"/>
    </row>
    <row r="38" spans="1:3" s="105" customFormat="1" ht="11.4" hidden="1" x14ac:dyDescent="0.2">
      <c r="A38" s="102"/>
      <c r="B38" s="103" t="s">
        <v>7</v>
      </c>
      <c r="C38" s="106">
        <v>11895.21</v>
      </c>
    </row>
    <row r="39" spans="1:3" s="97" customFormat="1" ht="12" hidden="1" x14ac:dyDescent="0.25">
      <c r="A39" s="94" t="s">
        <v>8</v>
      </c>
      <c r="B39" s="101">
        <f>C38</f>
        <v>11895.21</v>
      </c>
      <c r="C39" s="96"/>
    </row>
    <row r="40" spans="1:3" s="97" customFormat="1" ht="12" hidden="1" x14ac:dyDescent="0.25">
      <c r="A40" s="94" t="s">
        <v>9</v>
      </c>
      <c r="B40" s="100">
        <f>ROUND(B39/12,2)</f>
        <v>991.27</v>
      </c>
      <c r="C40" s="96"/>
    </row>
    <row r="41" spans="1:3" s="97" customFormat="1" ht="10.95" hidden="1" customHeight="1" x14ac:dyDescent="0.25">
      <c r="A41" s="94"/>
      <c r="B41" s="100"/>
      <c r="C41" s="96"/>
    </row>
    <row r="42" spans="1:3" s="97" customFormat="1" ht="12" x14ac:dyDescent="0.25">
      <c r="A42" s="94"/>
      <c r="B42" s="95"/>
      <c r="C42" s="94"/>
    </row>
    <row r="43" spans="1:3" s="97" customFormat="1" ht="12" x14ac:dyDescent="0.25">
      <c r="A43" s="94"/>
      <c r="B43" s="95"/>
      <c r="C43" s="94"/>
    </row>
    <row r="44" spans="1:3" s="97" customFormat="1" ht="12" x14ac:dyDescent="0.25">
      <c r="A44" s="94"/>
      <c r="B44" s="95"/>
      <c r="C44" s="94"/>
    </row>
    <row r="45" spans="1:3" s="97" customFormat="1" ht="12" x14ac:dyDescent="0.25">
      <c r="A45" s="94"/>
      <c r="B45" s="95"/>
      <c r="C45" s="94"/>
    </row>
    <row r="46" spans="1:3" s="97" customFormat="1" ht="12" x14ac:dyDescent="0.25">
      <c r="A46" s="94"/>
      <c r="B46" s="95"/>
      <c r="C46" s="94"/>
    </row>
    <row r="47" spans="1:3" s="97" customFormat="1" ht="12" x14ac:dyDescent="0.25">
      <c r="A47" s="94"/>
      <c r="B47" s="95"/>
      <c r="C47" s="94"/>
    </row>
  </sheetData>
  <mergeCells count="6">
    <mergeCell ref="A20:B20"/>
    <mergeCell ref="A19:B19"/>
    <mergeCell ref="A1:C1"/>
    <mergeCell ref="A2:C2"/>
    <mergeCell ref="A5:B5"/>
    <mergeCell ref="A6:B6"/>
  </mergeCells>
  <pageMargins left="0.25" right="0.25" top="0.75" bottom="0.75" header="0.3" footer="0.3"/>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47"/>
  <sheetViews>
    <sheetView zoomScaleNormal="100" workbookViewId="0">
      <pane ySplit="2" topLeftCell="A3" activePane="bottomLeft" state="frozen"/>
      <selection pane="bottomLeft" activeCell="K12" sqref="K12"/>
    </sheetView>
  </sheetViews>
  <sheetFormatPr defaultColWidth="9.21875" defaultRowHeight="13.2" x14ac:dyDescent="0.25"/>
  <cols>
    <col min="1" max="1" width="7.77734375" style="21" customWidth="1"/>
    <col min="2" max="2" width="74.5546875" style="22" customWidth="1"/>
    <col min="3" max="3" width="14.77734375" style="21" customWidth="1"/>
    <col min="4" max="4" width="2.5546875" style="19" customWidth="1"/>
    <col min="5" max="5" width="9.21875" style="19"/>
    <col min="6" max="7" width="9.21875" style="19" customWidth="1"/>
    <col min="8" max="16384" width="9.21875" style="19"/>
  </cols>
  <sheetData>
    <row r="1" spans="1:7" ht="16.5" customHeight="1" x14ac:dyDescent="0.25">
      <c r="A1" s="150" t="s">
        <v>0</v>
      </c>
      <c r="B1" s="150"/>
      <c r="C1" s="150"/>
    </row>
    <row r="2" spans="1:7" ht="31.5" customHeight="1" x14ac:dyDescent="0.25">
      <c r="A2" s="151" t="s">
        <v>35</v>
      </c>
      <c r="B2" s="151"/>
      <c r="C2" s="151"/>
    </row>
    <row r="3" spans="1:7" x14ac:dyDescent="0.25">
      <c r="A3" s="20"/>
      <c r="B3" s="20"/>
      <c r="C3" s="20"/>
    </row>
    <row r="4" spans="1:7" x14ac:dyDescent="0.25">
      <c r="C4" s="60" t="s">
        <v>1</v>
      </c>
    </row>
    <row r="5" spans="1:7" s="24" customFormat="1" ht="15" customHeight="1" x14ac:dyDescent="0.25">
      <c r="A5" s="152" t="s">
        <v>32</v>
      </c>
      <c r="B5" s="153"/>
      <c r="C5" s="107" t="s">
        <v>24</v>
      </c>
    </row>
    <row r="6" spans="1:7" s="24" customFormat="1" ht="15" customHeight="1" x14ac:dyDescent="0.25">
      <c r="A6" s="148" t="s">
        <v>2</v>
      </c>
      <c r="B6" s="149"/>
      <c r="C6" s="47">
        <f>C7+C11</f>
        <v>38054</v>
      </c>
    </row>
    <row r="7" spans="1:7" s="24" customFormat="1" ht="13.8" x14ac:dyDescent="0.25">
      <c r="A7" s="25" t="s">
        <v>3</v>
      </c>
      <c r="B7" s="26" t="s">
        <v>4</v>
      </c>
      <c r="C7" s="50">
        <f>SUM(C8:C10)</f>
        <v>26748</v>
      </c>
    </row>
    <row r="8" spans="1:7" ht="70.5" customHeight="1" x14ac:dyDescent="0.25">
      <c r="A8" s="27">
        <v>1149</v>
      </c>
      <c r="B8" s="35" t="s">
        <v>39</v>
      </c>
      <c r="C8" s="46">
        <f>ROUNDUP((((B31*1.4))/29*11)+(B31*1.4*9),0)</f>
        <v>21643</v>
      </c>
      <c r="F8" s="15"/>
    </row>
    <row r="9" spans="1:7" ht="39.6" x14ac:dyDescent="0.25">
      <c r="A9" s="17">
        <v>1210</v>
      </c>
      <c r="B9" s="18" t="s">
        <v>40</v>
      </c>
      <c r="C9" s="54">
        <f>ROUND(C8*0.2359,0)-1</f>
        <v>5105</v>
      </c>
    </row>
    <row r="10" spans="1:7" ht="45.75" hidden="1" customHeight="1" x14ac:dyDescent="0.25">
      <c r="A10" s="62">
        <v>1226</v>
      </c>
      <c r="B10" s="63" t="s">
        <v>23</v>
      </c>
      <c r="C10" s="64"/>
    </row>
    <row r="11" spans="1:7" x14ac:dyDescent="0.25">
      <c r="A11" s="67" t="s">
        <v>5</v>
      </c>
      <c r="B11" s="68" t="s">
        <v>6</v>
      </c>
      <c r="C11" s="69">
        <f>SUM(C12:C16)</f>
        <v>11306</v>
      </c>
    </row>
    <row r="12" spans="1:7" ht="93.45" customHeight="1" x14ac:dyDescent="0.25">
      <c r="A12" s="43">
        <v>2122</v>
      </c>
      <c r="B12" s="44" t="s">
        <v>66</v>
      </c>
      <c r="C12" s="59">
        <f>ROUNDUP(560+2,0)</f>
        <v>562</v>
      </c>
      <c r="F12" s="24"/>
    </row>
    <row r="13" spans="1:7" ht="57" customHeight="1" x14ac:dyDescent="0.25">
      <c r="A13" s="28">
        <v>2238</v>
      </c>
      <c r="B13" s="31" t="s">
        <v>33</v>
      </c>
      <c r="C13" s="46">
        <f>ROUNDUP((B39/12*10)+((B40/29)*11),0)</f>
        <v>10289</v>
      </c>
      <c r="F13" s="15"/>
      <c r="G13" s="16"/>
    </row>
    <row r="14" spans="1:7" hidden="1" x14ac:dyDescent="0.25">
      <c r="A14" s="43">
        <v>2312</v>
      </c>
      <c r="B14" s="65"/>
      <c r="C14" s="66"/>
      <c r="F14" s="15"/>
      <c r="G14" s="16"/>
    </row>
    <row r="15" spans="1:7" ht="202.5" customHeight="1" x14ac:dyDescent="0.25">
      <c r="A15" s="32">
        <v>2364</v>
      </c>
      <c r="B15" s="42" t="s">
        <v>37</v>
      </c>
      <c r="C15" s="54">
        <f>118+156+57+100+24</f>
        <v>455</v>
      </c>
      <c r="F15" s="15"/>
      <c r="G15" s="16"/>
    </row>
    <row r="16" spans="1:7" hidden="1" x14ac:dyDescent="0.25">
      <c r="A16" s="71">
        <v>2389</v>
      </c>
      <c r="B16" s="72"/>
      <c r="C16" s="73"/>
      <c r="F16" s="15"/>
      <c r="G16" s="16"/>
    </row>
    <row r="17" spans="1:7" ht="11.25" customHeight="1" x14ac:dyDescent="0.25">
      <c r="A17" s="29"/>
      <c r="B17" s="30"/>
      <c r="C17" s="12"/>
      <c r="F17" s="16"/>
      <c r="G17" s="16"/>
    </row>
    <row r="18" spans="1:7" x14ac:dyDescent="0.25">
      <c r="C18" s="23" t="s">
        <v>1</v>
      </c>
    </row>
    <row r="19" spans="1:7" s="24" customFormat="1" ht="15" customHeight="1" x14ac:dyDescent="0.25">
      <c r="A19" s="152" t="s">
        <v>28</v>
      </c>
      <c r="B19" s="153"/>
      <c r="C19" s="107" t="s">
        <v>29</v>
      </c>
    </row>
    <row r="20" spans="1:7" s="24" customFormat="1" ht="15" customHeight="1" x14ac:dyDescent="0.25">
      <c r="A20" s="148" t="s">
        <v>2</v>
      </c>
      <c r="B20" s="149"/>
      <c r="C20" s="47">
        <f>C21+C24</f>
        <v>9728</v>
      </c>
    </row>
    <row r="21" spans="1:7" s="24" customFormat="1" ht="13.8" x14ac:dyDescent="0.25">
      <c r="A21" s="48" t="s">
        <v>3</v>
      </c>
      <c r="B21" s="49" t="s">
        <v>4</v>
      </c>
      <c r="C21" s="50">
        <f>SUM(C22:C23)</f>
        <v>7537</v>
      </c>
    </row>
    <row r="22" spans="1:7" ht="68.25" customHeight="1" x14ac:dyDescent="0.25">
      <c r="A22" s="51">
        <v>1149</v>
      </c>
      <c r="B22" s="52" t="s">
        <v>45</v>
      </c>
      <c r="C22" s="46">
        <f>ROUNDUP((((B31*1.4))/28*18)+(B31*1.4*2),0)-1</f>
        <v>6098</v>
      </c>
      <c r="F22" s="15"/>
    </row>
    <row r="23" spans="1:7" ht="43.5" customHeight="1" x14ac:dyDescent="0.25">
      <c r="A23" s="53">
        <v>1210</v>
      </c>
      <c r="B23" s="18" t="s">
        <v>43</v>
      </c>
      <c r="C23" s="54">
        <f>ROUNDUP(C22*0.2359,0)</f>
        <v>1439</v>
      </c>
    </row>
    <row r="24" spans="1:7" x14ac:dyDescent="0.25">
      <c r="A24" s="74" t="s">
        <v>5</v>
      </c>
      <c r="B24" s="82" t="s">
        <v>6</v>
      </c>
      <c r="C24" s="69">
        <f>SUM(C25:C26)</f>
        <v>2191</v>
      </c>
    </row>
    <row r="25" spans="1:7" ht="68.25" customHeight="1" x14ac:dyDescent="0.25">
      <c r="A25" s="43">
        <v>2122</v>
      </c>
      <c r="B25" s="44" t="s">
        <v>25</v>
      </c>
      <c r="C25" s="59">
        <f>ROUNDUP(560*1+2*1,0)</f>
        <v>562</v>
      </c>
      <c r="F25" s="24"/>
    </row>
    <row r="26" spans="1:7" ht="57" customHeight="1" x14ac:dyDescent="0.25">
      <c r="A26" s="32">
        <v>2238</v>
      </c>
      <c r="B26" s="33" t="s">
        <v>34</v>
      </c>
      <c r="C26" s="34">
        <f>ROUNDUP((B39/12*1)+((B40/28)*18),0)</f>
        <v>1629</v>
      </c>
      <c r="F26" s="15"/>
      <c r="G26" s="16"/>
    </row>
    <row r="27" spans="1:7" ht="37.950000000000003" customHeight="1" x14ac:dyDescent="0.25">
      <c r="C27" s="13"/>
    </row>
    <row r="28" spans="1:7" s="97" customFormat="1" ht="12" hidden="1" x14ac:dyDescent="0.25">
      <c r="A28" s="94"/>
      <c r="B28" s="95"/>
      <c r="C28" s="96"/>
    </row>
    <row r="29" spans="1:7" s="105" customFormat="1" ht="11.4" hidden="1" x14ac:dyDescent="0.2">
      <c r="A29" s="102"/>
      <c r="B29" s="103" t="s">
        <v>7</v>
      </c>
      <c r="C29" s="104"/>
    </row>
    <row r="30" spans="1:7" s="97" customFormat="1" ht="12" hidden="1" x14ac:dyDescent="0.25">
      <c r="A30" s="94" t="s">
        <v>8</v>
      </c>
      <c r="B30" s="98">
        <v>19778</v>
      </c>
      <c r="C30" s="96"/>
    </row>
    <row r="31" spans="1:7" s="97" customFormat="1" ht="12" hidden="1" x14ac:dyDescent="0.25">
      <c r="A31" s="94" t="s">
        <v>9</v>
      </c>
      <c r="B31" s="99">
        <f>ROUND(B30/12,2)</f>
        <v>1648.17</v>
      </c>
      <c r="C31" s="96">
        <f>ROUND(B31*1.4,2)</f>
        <v>2307.44</v>
      </c>
    </row>
    <row r="32" spans="1:7" s="97" customFormat="1" ht="12" hidden="1" x14ac:dyDescent="0.25">
      <c r="A32" s="94"/>
      <c r="B32" s="95"/>
      <c r="C32" s="96"/>
    </row>
    <row r="33" spans="1:3" s="97" customFormat="1" ht="12" hidden="1" x14ac:dyDescent="0.25">
      <c r="A33" s="94"/>
      <c r="B33" s="100"/>
      <c r="C33" s="96"/>
    </row>
    <row r="34" spans="1:3" s="97" customFormat="1" ht="12" hidden="1" x14ac:dyDescent="0.25">
      <c r="A34" s="94"/>
      <c r="B34" s="101"/>
      <c r="C34" s="96"/>
    </row>
    <row r="35" spans="1:3" s="97" customFormat="1" ht="12" hidden="1" x14ac:dyDescent="0.25">
      <c r="A35" s="94"/>
      <c r="B35" s="101"/>
      <c r="C35" s="96"/>
    </row>
    <row r="36" spans="1:3" s="97" customFormat="1" ht="12" hidden="1" x14ac:dyDescent="0.25">
      <c r="A36" s="94"/>
      <c r="B36" s="95"/>
      <c r="C36" s="96"/>
    </row>
    <row r="37" spans="1:3" s="97" customFormat="1" ht="12" hidden="1" x14ac:dyDescent="0.25">
      <c r="A37" s="94"/>
      <c r="B37" s="95"/>
      <c r="C37" s="96"/>
    </row>
    <row r="38" spans="1:3" s="105" customFormat="1" ht="11.4" hidden="1" x14ac:dyDescent="0.2">
      <c r="A38" s="102"/>
      <c r="B38" s="103" t="s">
        <v>7</v>
      </c>
      <c r="C38" s="106">
        <v>11895.21</v>
      </c>
    </row>
    <row r="39" spans="1:3" s="97" customFormat="1" ht="12" hidden="1" x14ac:dyDescent="0.25">
      <c r="A39" s="94" t="s">
        <v>8</v>
      </c>
      <c r="B39" s="101">
        <f>C38</f>
        <v>11895.21</v>
      </c>
      <c r="C39" s="96"/>
    </row>
    <row r="40" spans="1:3" s="97" customFormat="1" ht="12" hidden="1" x14ac:dyDescent="0.25">
      <c r="A40" s="94" t="s">
        <v>9</v>
      </c>
      <c r="B40" s="100">
        <f>ROUND(B39/12,2)</f>
        <v>991.27</v>
      </c>
      <c r="C40" s="96"/>
    </row>
    <row r="41" spans="1:3" s="97" customFormat="1" ht="10.95" hidden="1" customHeight="1" x14ac:dyDescent="0.25">
      <c r="A41" s="94"/>
      <c r="B41" s="100"/>
      <c r="C41" s="96"/>
    </row>
    <row r="42" spans="1:3" s="97" customFormat="1" ht="12" x14ac:dyDescent="0.25">
      <c r="A42" s="94"/>
      <c r="B42" s="95"/>
      <c r="C42" s="94"/>
    </row>
    <row r="43" spans="1:3" s="97" customFormat="1" ht="12" x14ac:dyDescent="0.25">
      <c r="A43" s="94"/>
      <c r="B43" s="95"/>
      <c r="C43" s="94"/>
    </row>
    <row r="44" spans="1:3" s="97" customFormat="1" ht="12" x14ac:dyDescent="0.25">
      <c r="A44" s="94"/>
      <c r="B44" s="95"/>
      <c r="C44" s="94"/>
    </row>
    <row r="45" spans="1:3" s="97" customFormat="1" ht="12" x14ac:dyDescent="0.25">
      <c r="A45" s="94"/>
      <c r="B45" s="95"/>
      <c r="C45" s="94"/>
    </row>
    <row r="46" spans="1:3" s="97" customFormat="1" ht="12" x14ac:dyDescent="0.25">
      <c r="A46" s="94"/>
      <c r="B46" s="95"/>
      <c r="C46" s="94"/>
    </row>
    <row r="47" spans="1:3" s="97" customFormat="1" ht="12" x14ac:dyDescent="0.25">
      <c r="A47" s="94"/>
      <c r="B47" s="95"/>
      <c r="C47" s="94"/>
    </row>
  </sheetData>
  <mergeCells count="6">
    <mergeCell ref="A20:B20"/>
    <mergeCell ref="A1:C1"/>
    <mergeCell ref="A2:C2"/>
    <mergeCell ref="A5:B5"/>
    <mergeCell ref="A6:B6"/>
    <mergeCell ref="A19:B19"/>
  </mergeCells>
  <pageMargins left="0.23622047244094491" right="0.23622047244094491" top="0.74803149606299213" bottom="0.74803149606299213" header="0.31496062992125984" footer="0.31496062992125984"/>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J44"/>
  <sheetViews>
    <sheetView zoomScaleNormal="100" workbookViewId="0">
      <pane ySplit="3" topLeftCell="A4" activePane="bottomLeft" state="frozen"/>
      <selection pane="bottomLeft" activeCell="I25" sqref="I25"/>
    </sheetView>
  </sheetViews>
  <sheetFormatPr defaultColWidth="9.21875" defaultRowHeight="13.2" x14ac:dyDescent="0.25"/>
  <cols>
    <col min="1" max="1" width="6.21875" style="21" customWidth="1"/>
    <col min="2" max="2" width="72.21875" style="22" customWidth="1"/>
    <col min="3" max="3" width="14.5546875" style="14" customWidth="1"/>
    <col min="4" max="4" width="9.21875" style="19" customWidth="1"/>
    <col min="5" max="5" width="11.44140625" style="84" customWidth="1"/>
    <col min="6" max="10" width="9.21875" style="84"/>
    <col min="11" max="16384" width="9.21875" style="19"/>
  </cols>
  <sheetData>
    <row r="1" spans="1:10" ht="19.5" customHeight="1" x14ac:dyDescent="0.25">
      <c r="A1" s="150" t="s">
        <v>0</v>
      </c>
      <c r="B1" s="150"/>
      <c r="C1" s="150"/>
    </row>
    <row r="2" spans="1:10" ht="31.5" customHeight="1" x14ac:dyDescent="0.25">
      <c r="A2" s="151" t="s">
        <v>46</v>
      </c>
      <c r="B2" s="151"/>
      <c r="C2" s="151"/>
    </row>
    <row r="3" spans="1:10" x14ac:dyDescent="0.25">
      <c r="A3" s="20"/>
      <c r="B3" s="20"/>
      <c r="C3" s="108"/>
    </row>
    <row r="4" spans="1:10" x14ac:dyDescent="0.25">
      <c r="C4" s="23" t="s">
        <v>1</v>
      </c>
    </row>
    <row r="5" spans="1:10" s="24" customFormat="1" ht="15" customHeight="1" x14ac:dyDescent="0.25">
      <c r="A5" s="152" t="s">
        <v>47</v>
      </c>
      <c r="B5" s="153"/>
      <c r="C5" s="107" t="s">
        <v>24</v>
      </c>
      <c r="E5" s="110"/>
      <c r="F5" s="110"/>
      <c r="G5" s="110"/>
      <c r="H5" s="110"/>
      <c r="I5" s="110"/>
      <c r="J5" s="110"/>
    </row>
    <row r="6" spans="1:10" s="24" customFormat="1" ht="13.8" x14ac:dyDescent="0.25">
      <c r="A6" s="148" t="s">
        <v>2</v>
      </c>
      <c r="B6" s="149"/>
      <c r="C6" s="47">
        <f>C7+C11</f>
        <v>39644</v>
      </c>
      <c r="E6" s="110"/>
      <c r="F6" s="110"/>
      <c r="G6" s="110"/>
      <c r="H6" s="110"/>
      <c r="I6" s="110"/>
      <c r="J6" s="110"/>
    </row>
    <row r="7" spans="1:10" s="24" customFormat="1" ht="13.8" x14ac:dyDescent="0.25">
      <c r="A7" s="25" t="s">
        <v>3</v>
      </c>
      <c r="B7" s="26" t="s">
        <v>4</v>
      </c>
      <c r="C7" s="50">
        <f>SUM(C8:C10)</f>
        <v>27928</v>
      </c>
      <c r="E7" s="110"/>
      <c r="F7" s="110"/>
      <c r="G7" s="110"/>
      <c r="H7" s="110"/>
      <c r="I7" s="110"/>
      <c r="J7" s="110"/>
    </row>
    <row r="8" spans="1:10" ht="66.75" customHeight="1" x14ac:dyDescent="0.25">
      <c r="A8" s="27">
        <v>1149</v>
      </c>
      <c r="B8" s="111" t="s">
        <v>48</v>
      </c>
      <c r="C8" s="46">
        <f>ROUNDUP((((B31*1.4))/29*23)+(B31*1.4*9),0)</f>
        <v>22597</v>
      </c>
      <c r="E8" s="112"/>
      <c r="F8" s="113"/>
    </row>
    <row r="9" spans="1:10" ht="32.25" customHeight="1" x14ac:dyDescent="0.25">
      <c r="A9" s="17">
        <v>1210</v>
      </c>
      <c r="B9" s="18" t="s">
        <v>49</v>
      </c>
      <c r="C9" s="54">
        <f>ROUND(C8*0.2359,0)</f>
        <v>5331</v>
      </c>
    </row>
    <row r="10" spans="1:10" ht="45.75" hidden="1" customHeight="1" x14ac:dyDescent="0.25">
      <c r="A10" s="62">
        <v>1226</v>
      </c>
      <c r="B10" s="70" t="s">
        <v>23</v>
      </c>
      <c r="C10" s="64"/>
    </row>
    <row r="11" spans="1:10" ht="18" customHeight="1" x14ac:dyDescent="0.25">
      <c r="A11" s="67" t="s">
        <v>5</v>
      </c>
      <c r="B11" s="68" t="s">
        <v>6</v>
      </c>
      <c r="C11" s="69">
        <f>SUM(C12:C16)</f>
        <v>11716</v>
      </c>
      <c r="E11" s="114"/>
    </row>
    <row r="12" spans="1:10" ht="97.95" customHeight="1" x14ac:dyDescent="0.25">
      <c r="A12" s="43">
        <v>2122</v>
      </c>
      <c r="B12" s="44" t="s">
        <v>66</v>
      </c>
      <c r="C12" s="59">
        <f>ROUNDUP(560+2,0)</f>
        <v>562</v>
      </c>
    </row>
    <row r="13" spans="1:10" ht="92.25" customHeight="1" x14ac:dyDescent="0.25">
      <c r="A13" s="28">
        <v>2238</v>
      </c>
      <c r="B13" s="115" t="s">
        <v>50</v>
      </c>
      <c r="C13" s="46">
        <f>ROUNDUP((B39/12*10)+((B40/29)*23),0)</f>
        <v>10699</v>
      </c>
    </row>
    <row r="14" spans="1:10" ht="57.75" hidden="1" customHeight="1" x14ac:dyDescent="0.25">
      <c r="A14" s="43">
        <v>2312</v>
      </c>
      <c r="B14" s="116" t="s">
        <v>51</v>
      </c>
      <c r="C14" s="46"/>
    </row>
    <row r="15" spans="1:10" ht="206.25" customHeight="1" x14ac:dyDescent="0.25">
      <c r="A15" s="28">
        <v>2364</v>
      </c>
      <c r="B15" s="116" t="s">
        <v>52</v>
      </c>
      <c r="C15" s="46">
        <f>118+156+57+100+24</f>
        <v>455</v>
      </c>
    </row>
    <row r="16" spans="1:10" ht="28.5" hidden="1" customHeight="1" x14ac:dyDescent="0.25">
      <c r="A16" s="71">
        <v>2389</v>
      </c>
      <c r="B16" s="117" t="s">
        <v>53</v>
      </c>
      <c r="C16" s="118"/>
    </row>
    <row r="17" spans="1:10" ht="11.25" customHeight="1" x14ac:dyDescent="0.25">
      <c r="A17" s="29"/>
      <c r="B17" s="30"/>
      <c r="C17" s="12"/>
    </row>
    <row r="18" spans="1:10" x14ac:dyDescent="0.25">
      <c r="C18" s="23" t="s">
        <v>1</v>
      </c>
    </row>
    <row r="19" spans="1:10" s="24" customFormat="1" ht="15" customHeight="1" x14ac:dyDescent="0.25">
      <c r="A19" s="152" t="s">
        <v>54</v>
      </c>
      <c r="B19" s="153"/>
      <c r="C19" s="107" t="s">
        <v>29</v>
      </c>
      <c r="E19" s="110"/>
      <c r="F19" s="110"/>
      <c r="G19" s="110"/>
      <c r="H19" s="110"/>
      <c r="I19" s="110"/>
      <c r="J19" s="110"/>
    </row>
    <row r="20" spans="1:10" s="24" customFormat="1" ht="15" customHeight="1" x14ac:dyDescent="0.25">
      <c r="A20" s="148" t="s">
        <v>2</v>
      </c>
      <c r="B20" s="149"/>
      <c r="C20" s="47">
        <f>C21+C24</f>
        <v>8081</v>
      </c>
      <c r="E20" s="110"/>
      <c r="F20" s="110"/>
      <c r="G20" s="110"/>
      <c r="H20" s="110"/>
      <c r="I20" s="110"/>
      <c r="J20" s="110"/>
    </row>
    <row r="21" spans="1:10" s="24" customFormat="1" ht="13.8" x14ac:dyDescent="0.25">
      <c r="A21" s="48" t="s">
        <v>3</v>
      </c>
      <c r="B21" s="49" t="s">
        <v>4</v>
      </c>
      <c r="C21" s="50">
        <f>SUM(C22:C23)</f>
        <v>6315</v>
      </c>
      <c r="E21" s="110"/>
      <c r="F21" s="110"/>
      <c r="G21" s="110"/>
      <c r="H21" s="110"/>
      <c r="I21" s="110"/>
      <c r="J21" s="110"/>
    </row>
    <row r="22" spans="1:10" ht="66" x14ac:dyDescent="0.25">
      <c r="A22" s="51">
        <v>1149</v>
      </c>
      <c r="B22" s="119" t="s">
        <v>55</v>
      </c>
      <c r="C22" s="46">
        <f>ROUNDUP((((B31*1.4))/28*6)+(B31*1.4*2),0)</f>
        <v>5110</v>
      </c>
    </row>
    <row r="23" spans="1:10" ht="26.4" x14ac:dyDescent="0.25">
      <c r="A23" s="53">
        <v>1210</v>
      </c>
      <c r="B23" s="18" t="s">
        <v>56</v>
      </c>
      <c r="C23" s="54">
        <f>ROUNDUP(C22*0.2359,0)-1</f>
        <v>1205</v>
      </c>
    </row>
    <row r="24" spans="1:10" ht="18" customHeight="1" x14ac:dyDescent="0.25">
      <c r="A24" s="74" t="s">
        <v>5</v>
      </c>
      <c r="B24" s="109" t="s">
        <v>6</v>
      </c>
      <c r="C24" s="69">
        <f>SUM(C25:C26)</f>
        <v>1766</v>
      </c>
    </row>
    <row r="25" spans="1:10" ht="66" x14ac:dyDescent="0.25">
      <c r="A25" s="43">
        <v>2122</v>
      </c>
      <c r="B25" s="44" t="s">
        <v>57</v>
      </c>
      <c r="C25" s="59">
        <f>ROUNDUP(560*1+2*1,0)</f>
        <v>562</v>
      </c>
    </row>
    <row r="26" spans="1:10" ht="92.4" x14ac:dyDescent="0.25">
      <c r="A26" s="32">
        <v>2238</v>
      </c>
      <c r="B26" s="120" t="s">
        <v>58</v>
      </c>
      <c r="C26" s="34">
        <f>ROUNDUP((B39/12*1)+((B40/28)*6),0)</f>
        <v>1204</v>
      </c>
    </row>
    <row r="27" spans="1:10" ht="37.950000000000003" customHeight="1" x14ac:dyDescent="0.25">
      <c r="C27" s="13"/>
    </row>
    <row r="29" spans="1:10" hidden="1" x14ac:dyDescent="0.25">
      <c r="B29" s="121" t="s">
        <v>7</v>
      </c>
    </row>
    <row r="30" spans="1:10" ht="14.4" hidden="1" x14ac:dyDescent="0.3">
      <c r="A30" s="21" t="s">
        <v>8</v>
      </c>
      <c r="B30" s="122">
        <v>19778</v>
      </c>
    </row>
    <row r="31" spans="1:10" ht="14.4" hidden="1" x14ac:dyDescent="0.3">
      <c r="A31" s="21" t="s">
        <v>9</v>
      </c>
      <c r="B31" s="123">
        <v>1648.17</v>
      </c>
      <c r="C31" s="14">
        <f>ROUND(B31*1.4,2)</f>
        <v>2307.44</v>
      </c>
    </row>
    <row r="32" spans="1:10" hidden="1" x14ac:dyDescent="0.25"/>
    <row r="33" spans="1:3" hidden="1" x14ac:dyDescent="0.25">
      <c r="A33" s="21" t="s">
        <v>59</v>
      </c>
      <c r="B33" s="124">
        <v>1422.87</v>
      </c>
      <c r="C33" s="14">
        <f>ROUND(B33*1.4,2)</f>
        <v>1992.02</v>
      </c>
    </row>
    <row r="34" spans="1:3" hidden="1" x14ac:dyDescent="0.25">
      <c r="B34" s="125">
        <f>B31-B33</f>
        <v>225.30000000000018</v>
      </c>
      <c r="C34" s="14">
        <f>B34*1.4</f>
        <v>315.42000000000024</v>
      </c>
    </row>
    <row r="35" spans="1:3" hidden="1" x14ac:dyDescent="0.25">
      <c r="A35" s="126" t="s">
        <v>60</v>
      </c>
      <c r="B35" s="125">
        <f>C31-C33</f>
        <v>315.42000000000007</v>
      </c>
    </row>
    <row r="36" spans="1:3" hidden="1" x14ac:dyDescent="0.25">
      <c r="A36" s="126" t="s">
        <v>61</v>
      </c>
      <c r="C36" s="14">
        <f>ROUNDUP(B35/31*7,2)</f>
        <v>71.23</v>
      </c>
    </row>
    <row r="37" spans="1:3" hidden="1" x14ac:dyDescent="0.25"/>
    <row r="38" spans="1:3" hidden="1" x14ac:dyDescent="0.25">
      <c r="B38" s="127" t="s">
        <v>7</v>
      </c>
      <c r="C38" s="128">
        <v>11895.21</v>
      </c>
    </row>
    <row r="39" spans="1:3" hidden="1" x14ac:dyDescent="0.25">
      <c r="A39" s="21" t="s">
        <v>8</v>
      </c>
      <c r="B39" s="125">
        <f>C38</f>
        <v>11895.21</v>
      </c>
    </row>
    <row r="40" spans="1:3" hidden="1" x14ac:dyDescent="0.25">
      <c r="A40" s="21" t="s">
        <v>9</v>
      </c>
      <c r="B40" s="124">
        <f>ROUND(B39/12,2)</f>
        <v>991.27</v>
      </c>
    </row>
    <row r="41" spans="1:3" ht="10.95" customHeight="1" x14ac:dyDescent="0.25">
      <c r="B41" s="124"/>
    </row>
    <row r="42" spans="1:3" ht="21.75" customHeight="1" x14ac:dyDescent="0.25"/>
    <row r="43" spans="1:3" ht="21.75" customHeight="1" x14ac:dyDescent="0.25"/>
    <row r="44" spans="1:3" ht="21.75" customHeight="1" x14ac:dyDescent="0.25"/>
  </sheetData>
  <mergeCells count="6">
    <mergeCell ref="A20:B20"/>
    <mergeCell ref="A1:C1"/>
    <mergeCell ref="A2:C2"/>
    <mergeCell ref="A5:B5"/>
    <mergeCell ref="A6:B6"/>
    <mergeCell ref="A19:B19"/>
  </mergeCells>
  <pageMargins left="0.23622047244094491" right="0.23622047244094491" top="0.74803149606299213" bottom="0.74803149606299213" header="0.31496062992125984" footer="0.31496062992125984"/>
  <pageSetup paperSize="9" scale="7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D3890-7C97-4AE0-BD4E-A7CF4ABFE048}">
  <sheetPr>
    <tabColor theme="7" tint="0.39997558519241921"/>
    <pageSetUpPr fitToPage="1"/>
  </sheetPr>
  <dimension ref="A1:J43"/>
  <sheetViews>
    <sheetView zoomScale="110" zoomScaleNormal="110" workbookViewId="0">
      <pane ySplit="3" topLeftCell="A19" activePane="bottomLeft" state="frozen"/>
      <selection pane="bottomLeft" activeCell="B12" sqref="B12"/>
    </sheetView>
  </sheetViews>
  <sheetFormatPr defaultColWidth="9.109375" defaultRowHeight="13.2" x14ac:dyDescent="0.25"/>
  <cols>
    <col min="1" max="1" width="9.109375" style="21" customWidth="1"/>
    <col min="2" max="2" width="72.109375" style="22" customWidth="1"/>
    <col min="3" max="3" width="14.5546875" style="14" customWidth="1"/>
    <col min="4" max="4" width="9.33203125" style="19" customWidth="1"/>
    <col min="5" max="5" width="11.44140625" style="84" customWidth="1"/>
    <col min="6" max="10" width="9.109375" style="84"/>
    <col min="11" max="16384" width="9.109375" style="19"/>
  </cols>
  <sheetData>
    <row r="1" spans="1:10" ht="19.5" customHeight="1" x14ac:dyDescent="0.25">
      <c r="A1" s="150" t="s">
        <v>0</v>
      </c>
      <c r="B1" s="150"/>
      <c r="C1" s="150"/>
    </row>
    <row r="2" spans="1:10" ht="31.5" customHeight="1" x14ac:dyDescent="0.25">
      <c r="A2" s="151" t="s">
        <v>67</v>
      </c>
      <c r="B2" s="151"/>
      <c r="C2" s="151"/>
    </row>
    <row r="3" spans="1:10" x14ac:dyDescent="0.25">
      <c r="A3" s="20"/>
      <c r="B3" s="20"/>
      <c r="C3" s="131"/>
    </row>
    <row r="4" spans="1:10" x14ac:dyDescent="0.25">
      <c r="C4" s="23" t="s">
        <v>1</v>
      </c>
    </row>
    <row r="5" spans="1:10" s="24" customFormat="1" ht="15" customHeight="1" x14ac:dyDescent="0.25">
      <c r="A5" s="152" t="s">
        <v>68</v>
      </c>
      <c r="B5" s="153"/>
      <c r="C5" s="107" t="s">
        <v>24</v>
      </c>
      <c r="E5" s="110"/>
      <c r="F5" s="110"/>
      <c r="G5" s="110"/>
      <c r="H5" s="110"/>
      <c r="I5" s="110"/>
      <c r="J5" s="110"/>
    </row>
    <row r="6" spans="1:10" s="24" customFormat="1" ht="13.8" x14ac:dyDescent="0.25">
      <c r="A6" s="148" t="s">
        <v>2</v>
      </c>
      <c r="B6" s="149"/>
      <c r="C6" s="47">
        <f>C7+C10</f>
        <v>39498</v>
      </c>
      <c r="E6" s="110"/>
      <c r="F6" s="110"/>
      <c r="G6" s="110"/>
      <c r="H6" s="110"/>
      <c r="I6" s="110"/>
      <c r="J6" s="110"/>
    </row>
    <row r="7" spans="1:10" s="24" customFormat="1" ht="13.8" x14ac:dyDescent="0.25">
      <c r="A7" s="25" t="s">
        <v>3</v>
      </c>
      <c r="B7" s="26" t="s">
        <v>4</v>
      </c>
      <c r="C7" s="50">
        <f>SUM(C8:C9)</f>
        <v>25863</v>
      </c>
      <c r="E7" s="110"/>
      <c r="F7" s="110"/>
      <c r="G7" s="110"/>
      <c r="H7" s="110"/>
      <c r="I7" s="110"/>
      <c r="J7" s="110"/>
    </row>
    <row r="8" spans="1:10" ht="66.75" customHeight="1" x14ac:dyDescent="0.25">
      <c r="A8" s="27">
        <v>1149</v>
      </c>
      <c r="B8" s="111" t="s">
        <v>69</v>
      </c>
      <c r="C8" s="46">
        <f>ROUNDUP((((B30*1.4))/29*2)+(B30*1.4*9),0)-1</f>
        <v>20926</v>
      </c>
      <c r="E8" s="112"/>
      <c r="F8" s="112"/>
    </row>
    <row r="9" spans="1:10" ht="37.5" customHeight="1" x14ac:dyDescent="0.25">
      <c r="A9" s="17">
        <v>1210</v>
      </c>
      <c r="B9" s="18" t="s">
        <v>70</v>
      </c>
      <c r="C9" s="54">
        <f>ROUND(C8*0.2359,0)+1</f>
        <v>4937</v>
      </c>
    </row>
    <row r="10" spans="1:10" ht="18" customHeight="1" x14ac:dyDescent="0.25">
      <c r="A10" s="67" t="s">
        <v>5</v>
      </c>
      <c r="B10" s="68" t="s">
        <v>6</v>
      </c>
      <c r="C10" s="69">
        <f>SUM(C11:C15)</f>
        <v>13635</v>
      </c>
      <c r="E10" s="114"/>
    </row>
    <row r="11" spans="1:10" ht="96.75" customHeight="1" x14ac:dyDescent="0.25">
      <c r="A11" s="43">
        <v>2122</v>
      </c>
      <c r="B11" s="135" t="s">
        <v>71</v>
      </c>
      <c r="C11" s="59">
        <f>ROUNDUP(560*3+2*3,0)</f>
        <v>1686</v>
      </c>
    </row>
    <row r="12" spans="1:10" ht="73.5" customHeight="1" x14ac:dyDescent="0.25">
      <c r="A12" s="28">
        <v>2238</v>
      </c>
      <c r="B12" s="115" t="s">
        <v>72</v>
      </c>
      <c r="C12" s="46">
        <f>ROUNDUP((B38/12*10)+((B39/29)*2),0)</f>
        <v>9982</v>
      </c>
      <c r="F12" s="112"/>
    </row>
    <row r="13" spans="1:10" ht="33.75" customHeight="1" x14ac:dyDescent="0.25">
      <c r="A13" s="43">
        <v>2313</v>
      </c>
      <c r="B13" s="116" t="s">
        <v>73</v>
      </c>
      <c r="C13" s="46">
        <v>21</v>
      </c>
    </row>
    <row r="14" spans="1:10" ht="235.5" customHeight="1" x14ac:dyDescent="0.25">
      <c r="A14" s="28">
        <v>2364</v>
      </c>
      <c r="B14" s="79" t="s">
        <v>74</v>
      </c>
      <c r="C14" s="136">
        <f>90*2+65*2+23+35+30+250+45+35+90+150*2+75+40+5*5+5*4</f>
        <v>1278</v>
      </c>
      <c r="D14" s="84"/>
    </row>
    <row r="15" spans="1:10" ht="96.75" customHeight="1" x14ac:dyDescent="0.25">
      <c r="A15" s="71">
        <v>2389</v>
      </c>
      <c r="B15" s="117" t="s">
        <v>75</v>
      </c>
      <c r="C15" s="118">
        <f>140+120+223+140+45</f>
        <v>668</v>
      </c>
    </row>
    <row r="16" spans="1:10" ht="11.25" customHeight="1" x14ac:dyDescent="0.25">
      <c r="A16" s="29"/>
      <c r="B16" s="30"/>
      <c r="C16" s="12"/>
    </row>
    <row r="17" spans="1:10" x14ac:dyDescent="0.25">
      <c r="C17" s="23" t="s">
        <v>1</v>
      </c>
    </row>
    <row r="18" spans="1:10" s="24" customFormat="1" ht="15" customHeight="1" x14ac:dyDescent="0.25">
      <c r="A18" s="152" t="s">
        <v>76</v>
      </c>
      <c r="B18" s="153"/>
      <c r="C18" s="107" t="s">
        <v>29</v>
      </c>
      <c r="E18" s="110"/>
      <c r="F18" s="110"/>
      <c r="G18" s="110"/>
      <c r="H18" s="110"/>
      <c r="I18" s="110"/>
      <c r="J18" s="110"/>
    </row>
    <row r="19" spans="1:10" s="24" customFormat="1" ht="15" customHeight="1" x14ac:dyDescent="0.25">
      <c r="A19" s="148" t="s">
        <v>2</v>
      </c>
      <c r="B19" s="149"/>
      <c r="C19" s="47">
        <f>C20+C23</f>
        <v>10964</v>
      </c>
      <c r="E19" s="110"/>
      <c r="F19" s="110"/>
      <c r="G19" s="110"/>
      <c r="H19" s="110"/>
      <c r="I19" s="110"/>
      <c r="J19" s="110"/>
    </row>
    <row r="20" spans="1:10" s="24" customFormat="1" ht="13.8" x14ac:dyDescent="0.25">
      <c r="A20" s="48" t="s">
        <v>3</v>
      </c>
      <c r="B20" s="49" t="s">
        <v>4</v>
      </c>
      <c r="C20" s="50">
        <f>SUM(C21:C22)</f>
        <v>8454</v>
      </c>
      <c r="E20" s="110"/>
      <c r="F20" s="110"/>
      <c r="G20" s="110"/>
      <c r="H20" s="110"/>
      <c r="I20" s="110"/>
      <c r="J20" s="110"/>
    </row>
    <row r="21" spans="1:10" ht="66" x14ac:dyDescent="0.25">
      <c r="A21" s="51">
        <v>1149</v>
      </c>
      <c r="B21" s="119" t="s">
        <v>77</v>
      </c>
      <c r="C21" s="46">
        <f>ROUNDUP((((B30*1.4))/28*27)+(B30*1.4*2),0)</f>
        <v>6840</v>
      </c>
    </row>
    <row r="22" spans="1:10" ht="42.6" customHeight="1" x14ac:dyDescent="0.25">
      <c r="A22" s="53">
        <v>1210</v>
      </c>
      <c r="B22" s="18" t="s">
        <v>78</v>
      </c>
      <c r="C22" s="54">
        <f>ROUNDUP(C21*0.2359,0)</f>
        <v>1614</v>
      </c>
    </row>
    <row r="23" spans="1:10" ht="18" customHeight="1" x14ac:dyDescent="0.25">
      <c r="A23" s="74" t="s">
        <v>5</v>
      </c>
      <c r="B23" s="132" t="s">
        <v>6</v>
      </c>
      <c r="C23" s="69">
        <f>SUM(C24:C25)</f>
        <v>2510</v>
      </c>
    </row>
    <row r="24" spans="1:10" ht="66" customHeight="1" x14ac:dyDescent="0.25">
      <c r="A24" s="43">
        <v>2122</v>
      </c>
      <c r="B24" s="44" t="s">
        <v>57</v>
      </c>
      <c r="C24" s="59">
        <f>ROUNDUP(560*1+2*1,0)</f>
        <v>562</v>
      </c>
    </row>
    <row r="25" spans="1:10" ht="65.400000000000006" customHeight="1" x14ac:dyDescent="0.25">
      <c r="A25" s="32">
        <v>2238</v>
      </c>
      <c r="B25" s="120" t="s">
        <v>79</v>
      </c>
      <c r="C25" s="34">
        <f>ROUNDUP((B38/12*1)+((B39/28)*27),0)</f>
        <v>1948</v>
      </c>
    </row>
    <row r="26" spans="1:10" ht="36" customHeight="1" x14ac:dyDescent="0.25">
      <c r="C26" s="13"/>
    </row>
    <row r="27" spans="1:10" s="139" customFormat="1" hidden="1" x14ac:dyDescent="0.25">
      <c r="A27" s="137"/>
      <c r="B27" s="138"/>
      <c r="C27" s="29"/>
      <c r="E27" s="140"/>
      <c r="F27" s="140"/>
      <c r="G27" s="140"/>
      <c r="H27" s="140"/>
      <c r="I27" s="140"/>
      <c r="J27" s="140"/>
    </row>
    <row r="28" spans="1:10" s="139" customFormat="1" hidden="1" x14ac:dyDescent="0.25">
      <c r="A28" s="137"/>
      <c r="B28" s="141" t="s">
        <v>7</v>
      </c>
      <c r="C28" s="29"/>
      <c r="E28" s="140"/>
      <c r="F28" s="140"/>
      <c r="G28" s="140"/>
      <c r="H28" s="140"/>
      <c r="I28" s="140"/>
      <c r="J28" s="140"/>
    </row>
    <row r="29" spans="1:10" s="139" customFormat="1" ht="13.8" hidden="1" x14ac:dyDescent="0.25">
      <c r="A29" s="137" t="s">
        <v>8</v>
      </c>
      <c r="B29" s="142">
        <v>19778</v>
      </c>
      <c r="C29" s="29"/>
      <c r="E29" s="140"/>
      <c r="F29" s="140"/>
      <c r="G29" s="140"/>
      <c r="H29" s="140"/>
      <c r="I29" s="140"/>
      <c r="J29" s="140"/>
    </row>
    <row r="30" spans="1:10" s="139" customFormat="1" ht="13.8" hidden="1" x14ac:dyDescent="0.25">
      <c r="A30" s="137" t="s">
        <v>9</v>
      </c>
      <c r="B30" s="143">
        <v>1648.17</v>
      </c>
      <c r="C30" s="29">
        <f>ROUND(B30*1.4,2)</f>
        <v>2307.44</v>
      </c>
      <c r="E30" s="140"/>
      <c r="F30" s="140"/>
      <c r="G30" s="140"/>
      <c r="H30" s="140"/>
      <c r="I30" s="140"/>
      <c r="J30" s="140"/>
    </row>
    <row r="31" spans="1:10" s="139" customFormat="1" hidden="1" x14ac:dyDescent="0.25">
      <c r="A31" s="137"/>
      <c r="B31" s="138"/>
      <c r="C31" s="29"/>
      <c r="E31" s="140"/>
      <c r="F31" s="140"/>
      <c r="G31" s="140"/>
      <c r="H31" s="140"/>
      <c r="I31" s="140"/>
      <c r="J31" s="140"/>
    </row>
    <row r="32" spans="1:10" s="139" customFormat="1" hidden="1" x14ac:dyDescent="0.25">
      <c r="A32" s="137" t="s">
        <v>59</v>
      </c>
      <c r="B32" s="144">
        <v>1422.87</v>
      </c>
      <c r="C32" s="29">
        <f>ROUND(B32*1.4,2)</f>
        <v>1992.02</v>
      </c>
      <c r="E32" s="140"/>
      <c r="F32" s="140"/>
      <c r="G32" s="140"/>
      <c r="H32" s="140"/>
      <c r="I32" s="140"/>
      <c r="J32" s="140"/>
    </row>
    <row r="33" spans="1:10" s="139" customFormat="1" hidden="1" x14ac:dyDescent="0.25">
      <c r="A33" s="137"/>
      <c r="B33" s="145">
        <f>B30-B32</f>
        <v>225.30000000000018</v>
      </c>
      <c r="C33" s="29">
        <f>B33*1.4</f>
        <v>315.42000000000024</v>
      </c>
      <c r="E33" s="140"/>
      <c r="F33" s="140"/>
      <c r="G33" s="140"/>
      <c r="H33" s="140"/>
      <c r="I33" s="140"/>
      <c r="J33" s="140"/>
    </row>
    <row r="34" spans="1:10" s="139" customFormat="1" hidden="1" x14ac:dyDescent="0.25">
      <c r="A34" s="146" t="s">
        <v>60</v>
      </c>
      <c r="B34" s="145">
        <f>C30-C32</f>
        <v>315.42000000000007</v>
      </c>
      <c r="C34" s="29"/>
      <c r="E34" s="140"/>
      <c r="F34" s="140"/>
      <c r="G34" s="140"/>
      <c r="H34" s="140"/>
      <c r="I34" s="140"/>
      <c r="J34" s="140"/>
    </row>
    <row r="35" spans="1:10" s="139" customFormat="1" hidden="1" x14ac:dyDescent="0.25">
      <c r="A35" s="146" t="s">
        <v>61</v>
      </c>
      <c r="B35" s="138"/>
      <c r="C35" s="29">
        <f>ROUNDUP(B34/31*7,2)</f>
        <v>71.23</v>
      </c>
      <c r="E35" s="140"/>
      <c r="F35" s="140"/>
      <c r="G35" s="140"/>
      <c r="H35" s="140"/>
      <c r="I35" s="140"/>
      <c r="J35" s="140"/>
    </row>
    <row r="36" spans="1:10" s="139" customFormat="1" hidden="1" x14ac:dyDescent="0.25">
      <c r="A36" s="137"/>
      <c r="B36" s="138"/>
      <c r="C36" s="29"/>
      <c r="E36" s="140"/>
      <c r="F36" s="140"/>
      <c r="G36" s="140"/>
      <c r="H36" s="140"/>
      <c r="I36" s="140"/>
      <c r="J36" s="140"/>
    </row>
    <row r="37" spans="1:10" s="139" customFormat="1" hidden="1" x14ac:dyDescent="0.25">
      <c r="A37" s="137"/>
      <c r="B37" s="141" t="s">
        <v>7</v>
      </c>
      <c r="C37" s="147">
        <v>11895.21</v>
      </c>
      <c r="E37" s="140"/>
      <c r="F37" s="140"/>
      <c r="G37" s="140"/>
      <c r="H37" s="140"/>
      <c r="I37" s="140"/>
      <c r="J37" s="140"/>
    </row>
    <row r="38" spans="1:10" s="139" customFormat="1" hidden="1" x14ac:dyDescent="0.25">
      <c r="A38" s="137" t="s">
        <v>8</v>
      </c>
      <c r="B38" s="145">
        <f>C37</f>
        <v>11895.21</v>
      </c>
      <c r="C38" s="29"/>
      <c r="E38" s="140"/>
      <c r="F38" s="140"/>
      <c r="G38" s="140"/>
      <c r="H38" s="140"/>
      <c r="I38" s="140"/>
      <c r="J38" s="140"/>
    </row>
    <row r="39" spans="1:10" s="139" customFormat="1" hidden="1" x14ac:dyDescent="0.25">
      <c r="A39" s="137" t="s">
        <v>9</v>
      </c>
      <c r="B39" s="144">
        <f>ROUND(B38/12,2)</f>
        <v>991.27</v>
      </c>
      <c r="C39" s="29"/>
      <c r="E39" s="140"/>
      <c r="F39" s="140"/>
      <c r="G39" s="140"/>
      <c r="H39" s="140"/>
      <c r="I39" s="140"/>
      <c r="J39" s="140"/>
    </row>
    <row r="40" spans="1:10" s="139" customFormat="1" ht="10.95" hidden="1" customHeight="1" x14ac:dyDescent="0.25">
      <c r="A40" s="137"/>
      <c r="B40" s="144"/>
      <c r="C40" s="29"/>
      <c r="E40" s="140"/>
      <c r="F40" s="140"/>
      <c r="G40" s="140"/>
      <c r="H40" s="140"/>
      <c r="I40" s="140"/>
      <c r="J40" s="140"/>
    </row>
    <row r="41" spans="1:10" ht="21.75" customHeight="1" x14ac:dyDescent="0.25"/>
    <row r="42" spans="1:10" ht="21.75" customHeight="1" x14ac:dyDescent="0.25"/>
    <row r="43" spans="1:10" ht="21.75" customHeight="1" x14ac:dyDescent="0.25"/>
  </sheetData>
  <mergeCells count="6">
    <mergeCell ref="A19:B19"/>
    <mergeCell ref="A1:C1"/>
    <mergeCell ref="A2:C2"/>
    <mergeCell ref="A5:B5"/>
    <mergeCell ref="A6:B6"/>
    <mergeCell ref="A18:B18"/>
  </mergeCells>
  <pageMargins left="0.23622047244094491" right="0.23622047244094491" top="0.74803149606299213" bottom="0.74803149606299213" header="0.31496062992125984" footer="0.31496062992125984"/>
  <pageSetup paperSize="9" scale="7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3"/>
  <sheetViews>
    <sheetView tabSelected="1" zoomScale="120" zoomScaleNormal="120" workbookViewId="0">
      <selection activeCell="A22" sqref="A22:B22"/>
    </sheetView>
  </sheetViews>
  <sheetFormatPr defaultRowHeight="14.4" x14ac:dyDescent="0.3"/>
  <cols>
    <col min="1" max="1" width="10.21875" customWidth="1"/>
    <col min="2" max="2" width="71.21875" customWidth="1"/>
    <col min="3" max="3" width="13.77734375" customWidth="1"/>
  </cols>
  <sheetData>
    <row r="1" spans="1:6" ht="22.8" x14ac:dyDescent="0.3">
      <c r="A1" s="154" t="s">
        <v>10</v>
      </c>
      <c r="B1" s="154"/>
      <c r="C1" s="154"/>
    </row>
    <row r="2" spans="1:6" ht="22.8" x14ac:dyDescent="0.3">
      <c r="A2" s="83"/>
      <c r="B2" s="83"/>
      <c r="C2" s="83"/>
    </row>
    <row r="3" spans="1:6" x14ac:dyDescent="0.3">
      <c r="A3" s="38"/>
      <c r="B3" s="38"/>
      <c r="C3" s="60" t="s">
        <v>1</v>
      </c>
    </row>
    <row r="4" spans="1:6" x14ac:dyDescent="0.3">
      <c r="A4" s="155" t="s">
        <v>27</v>
      </c>
      <c r="B4" s="156"/>
      <c r="C4" s="55" t="s">
        <v>24</v>
      </c>
    </row>
    <row r="5" spans="1:6" x14ac:dyDescent="0.3">
      <c r="A5" s="155" t="s">
        <v>2</v>
      </c>
      <c r="B5" s="156"/>
      <c r="C5" s="56">
        <f>C6+C11</f>
        <v>201294</v>
      </c>
      <c r="D5" s="81"/>
      <c r="E5" s="81"/>
      <c r="F5" s="81"/>
    </row>
    <row r="6" spans="1:6" x14ac:dyDescent="0.3">
      <c r="A6" s="67" t="s">
        <v>3</v>
      </c>
      <c r="B6" s="68" t="s">
        <v>4</v>
      </c>
      <c r="C6" s="69">
        <f>C7+C9</f>
        <v>138653</v>
      </c>
      <c r="E6" s="81"/>
      <c r="F6" s="81"/>
    </row>
    <row r="7" spans="1:6" x14ac:dyDescent="0.3">
      <c r="A7" s="39">
        <v>1100</v>
      </c>
      <c r="B7" s="40" t="s">
        <v>15</v>
      </c>
      <c r="C7" s="57">
        <f>C8</f>
        <v>112188</v>
      </c>
      <c r="E7" s="81"/>
      <c r="F7" s="81"/>
    </row>
    <row r="8" spans="1:6" x14ac:dyDescent="0.3">
      <c r="A8" s="27">
        <v>1149</v>
      </c>
      <c r="B8" s="35" t="s">
        <v>11</v>
      </c>
      <c r="C8" s="46">
        <f>K.Eiduka!C8+E.Liepa!C8+J.Zalais!C8+M.Stange!C8+D.Uļģis!C8</f>
        <v>112188</v>
      </c>
      <c r="E8" s="81"/>
      <c r="F8" s="81"/>
    </row>
    <row r="9" spans="1:6" x14ac:dyDescent="0.3">
      <c r="A9" s="41">
        <v>1200</v>
      </c>
      <c r="B9" s="36" t="s">
        <v>16</v>
      </c>
      <c r="C9" s="58">
        <f>C10</f>
        <v>26465</v>
      </c>
      <c r="E9" s="81"/>
      <c r="F9" s="81"/>
    </row>
    <row r="10" spans="1:6" x14ac:dyDescent="0.3">
      <c r="A10" s="27">
        <v>1210</v>
      </c>
      <c r="B10" s="52" t="s">
        <v>12</v>
      </c>
      <c r="C10" s="46">
        <f>K.Eiduka!C9+E.Liepa!C9+J.Zalais!C9+M.Stange!C9+D.Uļģis!C9</f>
        <v>26465</v>
      </c>
      <c r="E10" s="81"/>
      <c r="F10" s="81"/>
    </row>
    <row r="11" spans="1:6" x14ac:dyDescent="0.3">
      <c r="A11" s="67" t="s">
        <v>5</v>
      </c>
      <c r="B11" s="68" t="s">
        <v>6</v>
      </c>
      <c r="C11" s="69">
        <f>C12+C14+C16</f>
        <v>62641</v>
      </c>
      <c r="E11" s="81"/>
      <c r="F11" s="81"/>
    </row>
    <row r="12" spans="1:6" x14ac:dyDescent="0.3">
      <c r="A12" s="39">
        <v>2100</v>
      </c>
      <c r="B12" s="40" t="s">
        <v>17</v>
      </c>
      <c r="C12" s="57">
        <f>C13</f>
        <v>3934</v>
      </c>
      <c r="E12" s="81"/>
      <c r="F12" s="81"/>
    </row>
    <row r="13" spans="1:6" x14ac:dyDescent="0.3">
      <c r="A13" s="28">
        <v>2122</v>
      </c>
      <c r="B13" s="31" t="s">
        <v>13</v>
      </c>
      <c r="C13" s="46">
        <f>K.Eiduka!C12+E.Liepa!C12+J.Zalais!C12+M.Stange!C12+D.Uļģis!C11</f>
        <v>3934</v>
      </c>
      <c r="E13" s="81"/>
      <c r="F13" s="81"/>
    </row>
    <row r="14" spans="1:6" x14ac:dyDescent="0.3">
      <c r="A14" s="45">
        <v>2200</v>
      </c>
      <c r="B14" s="31" t="s">
        <v>18</v>
      </c>
      <c r="C14" s="46">
        <f>C15</f>
        <v>54920</v>
      </c>
      <c r="E14" s="81"/>
      <c r="F14" s="81"/>
    </row>
    <row r="15" spans="1:6" x14ac:dyDescent="0.3">
      <c r="A15" s="28">
        <v>2238</v>
      </c>
      <c r="B15" s="31" t="s">
        <v>14</v>
      </c>
      <c r="C15" s="46">
        <f>K.Eiduka!C13+E.Liepa!C13+J.Zalais!C13+M.Stange!C13+D.Uļģis!C12</f>
        <v>54920</v>
      </c>
      <c r="E15" s="81"/>
      <c r="F15" s="81"/>
    </row>
    <row r="16" spans="1:6" ht="21.75" customHeight="1" x14ac:dyDescent="0.3">
      <c r="A16" s="39">
        <v>2300</v>
      </c>
      <c r="B16" s="44" t="s">
        <v>19</v>
      </c>
      <c r="C16" s="59">
        <f>SUM(C17:C19)</f>
        <v>3787</v>
      </c>
      <c r="E16" s="81"/>
      <c r="F16" s="81"/>
    </row>
    <row r="17" spans="1:6" hidden="1" x14ac:dyDescent="0.3">
      <c r="A17" s="28">
        <v>2312</v>
      </c>
      <c r="B17" s="31" t="s">
        <v>20</v>
      </c>
      <c r="C17" s="46"/>
      <c r="E17" s="81"/>
      <c r="F17" s="81"/>
    </row>
    <row r="18" spans="1:6" x14ac:dyDescent="0.3">
      <c r="A18" s="32">
        <v>2364</v>
      </c>
      <c r="B18" s="33" t="s">
        <v>21</v>
      </c>
      <c r="C18" s="54">
        <f>K.Eiduka!C15+E.Liepa!C15+J.Zalais!C15+M.Stange!C15+D.Uļģis!C15+D.Uļģis!C14+D.Uļģis!C13</f>
        <v>3787</v>
      </c>
      <c r="E18" s="81"/>
      <c r="F18" s="81"/>
    </row>
    <row r="19" spans="1:6" hidden="1" x14ac:dyDescent="0.3">
      <c r="A19" s="75">
        <v>2389</v>
      </c>
      <c r="B19" s="76" t="s">
        <v>22</v>
      </c>
      <c r="C19" s="77"/>
      <c r="E19" s="81"/>
      <c r="F19" s="81"/>
    </row>
    <row r="20" spans="1:6" ht="15.75" customHeight="1" x14ac:dyDescent="0.3">
      <c r="A20" s="29"/>
      <c r="B20" s="30"/>
      <c r="C20" s="80"/>
      <c r="E20" s="81"/>
      <c r="F20" s="81"/>
    </row>
    <row r="21" spans="1:6" x14ac:dyDescent="0.3">
      <c r="A21" s="21"/>
      <c r="B21" s="22"/>
      <c r="C21" s="60" t="s">
        <v>1</v>
      </c>
      <c r="E21" s="81"/>
      <c r="F21" s="81"/>
    </row>
    <row r="22" spans="1:6" x14ac:dyDescent="0.3">
      <c r="A22" s="155" t="s">
        <v>80</v>
      </c>
      <c r="B22" s="156"/>
      <c r="C22" s="55" t="s">
        <v>29</v>
      </c>
      <c r="E22" s="81"/>
      <c r="F22" s="81"/>
    </row>
    <row r="23" spans="1:6" x14ac:dyDescent="0.3">
      <c r="A23" s="155" t="s">
        <v>2</v>
      </c>
      <c r="B23" s="156"/>
      <c r="C23" s="56">
        <f>C24+C29</f>
        <v>50066</v>
      </c>
      <c r="D23" s="81"/>
      <c r="E23" s="81"/>
      <c r="F23" s="81"/>
    </row>
    <row r="24" spans="1:6" x14ac:dyDescent="0.3">
      <c r="A24" s="67" t="s">
        <v>3</v>
      </c>
      <c r="B24" s="68" t="s">
        <v>4</v>
      </c>
      <c r="C24" s="69">
        <f>C25+C27</f>
        <v>38683</v>
      </c>
      <c r="E24" s="81"/>
      <c r="F24" s="81"/>
    </row>
    <row r="25" spans="1:6" x14ac:dyDescent="0.3">
      <c r="A25" s="39">
        <v>1100</v>
      </c>
      <c r="B25" s="40" t="s">
        <v>15</v>
      </c>
      <c r="C25" s="57">
        <f>C26</f>
        <v>31298</v>
      </c>
      <c r="E25" s="81"/>
      <c r="F25" s="81"/>
    </row>
    <row r="26" spans="1:6" x14ac:dyDescent="0.3">
      <c r="A26" s="27">
        <v>1149</v>
      </c>
      <c r="B26" s="35" t="s">
        <v>11</v>
      </c>
      <c r="C26" s="46">
        <f>K.Eiduka!C22+E.Liepa!C22+J.Zalais!C22+M.Stange!C22+D.Uļģis!C21</f>
        <v>31298</v>
      </c>
      <c r="E26" s="81"/>
      <c r="F26" s="81"/>
    </row>
    <row r="27" spans="1:6" x14ac:dyDescent="0.3">
      <c r="A27" s="41">
        <v>1200</v>
      </c>
      <c r="B27" s="36" t="s">
        <v>16</v>
      </c>
      <c r="C27" s="58">
        <f>C28</f>
        <v>7385</v>
      </c>
      <c r="E27" s="81"/>
      <c r="F27" s="81"/>
    </row>
    <row r="28" spans="1:6" x14ac:dyDescent="0.3">
      <c r="A28" s="17">
        <v>1210</v>
      </c>
      <c r="B28" s="18" t="s">
        <v>12</v>
      </c>
      <c r="C28" s="54">
        <f>K.Eiduka!C23+E.Liepa!C23+J.Zalais!C23+M.Stange!C23+D.Uļģis!C22</f>
        <v>7385</v>
      </c>
      <c r="E28" s="81"/>
      <c r="F28" s="81"/>
    </row>
    <row r="29" spans="1:6" x14ac:dyDescent="0.3">
      <c r="A29" s="67" t="s">
        <v>5</v>
      </c>
      <c r="B29" s="68" t="s">
        <v>6</v>
      </c>
      <c r="C29" s="69">
        <f>C30+C32</f>
        <v>11383</v>
      </c>
      <c r="E29" s="81"/>
      <c r="F29" s="81"/>
    </row>
    <row r="30" spans="1:6" x14ac:dyDescent="0.3">
      <c r="A30" s="39">
        <v>2100</v>
      </c>
      <c r="B30" s="40" t="s">
        <v>17</v>
      </c>
      <c r="C30" s="57">
        <f>C31</f>
        <v>2810</v>
      </c>
      <c r="E30" s="81"/>
      <c r="F30" s="81"/>
    </row>
    <row r="31" spans="1:6" x14ac:dyDescent="0.3">
      <c r="A31" s="28">
        <v>2122</v>
      </c>
      <c r="B31" s="31" t="s">
        <v>13</v>
      </c>
      <c r="C31" s="46">
        <f>K.Eiduka!C25+E.Liepa!C25+J.Zalais!C25+M.Stange!C25+D.Uļģis!C24</f>
        <v>2810</v>
      </c>
      <c r="E31" s="81"/>
      <c r="F31" s="81"/>
    </row>
    <row r="32" spans="1:6" x14ac:dyDescent="0.3">
      <c r="A32" s="41">
        <v>2200</v>
      </c>
      <c r="B32" s="37" t="s">
        <v>18</v>
      </c>
      <c r="C32" s="58">
        <f>C33</f>
        <v>8573</v>
      </c>
      <c r="E32" s="81"/>
      <c r="F32" s="81"/>
    </row>
    <row r="33" spans="1:6" x14ac:dyDescent="0.3">
      <c r="A33" s="32">
        <v>2238</v>
      </c>
      <c r="B33" s="33" t="s">
        <v>14</v>
      </c>
      <c r="C33" s="54">
        <f>K.Eiduka!C26+E.Liepa!C26+J.Zalais!C26+M.Stange!C26+D.Uļģis!C25</f>
        <v>8573</v>
      </c>
      <c r="E33" s="81"/>
      <c r="F33" s="81"/>
    </row>
  </sheetData>
  <mergeCells count="5">
    <mergeCell ref="A1:C1"/>
    <mergeCell ref="A4:B4"/>
    <mergeCell ref="A5:B5"/>
    <mergeCell ref="A22:B22"/>
    <mergeCell ref="A23:B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K.Eiduka</vt:lpstr>
      <vt:lpstr>E.Liepa</vt:lpstr>
      <vt:lpstr>J.Zalais</vt:lpstr>
      <vt:lpstr>M.Stange</vt:lpstr>
      <vt:lpstr>D.Uļģis</vt:lpstr>
      <vt:lpstr>Kopsavilkums</vt:lpstr>
      <vt:lpstr>E.Liepa!Print_Area</vt:lpstr>
      <vt:lpstr>J.Zalais!Print_Area</vt:lpstr>
      <vt:lpstr>K.Eiduka!Print_Area</vt:lpstr>
    </vt:vector>
  </TitlesOfParts>
  <Company>Valsts policija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Rūta Dukaļska</dc:creator>
  <cp:lastModifiedBy>Agnese Strautiņa</cp:lastModifiedBy>
  <cp:lastPrinted>2023-12-27T09:00:53Z</cp:lastPrinted>
  <dcterms:created xsi:type="dcterms:W3CDTF">2020-12-22T13:12:18Z</dcterms:created>
  <dcterms:modified xsi:type="dcterms:W3CDTF">2024-01-08T12:50:37Z</dcterms:modified>
</cp:coreProperties>
</file>