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7"/>
  <workbookPr defaultThemeVersion="124226"/>
  <mc:AlternateContent xmlns:mc="http://schemas.openxmlformats.org/markup-compatibility/2006">
    <mc:Choice Requires="x15">
      <x15ac:absPath xmlns:x15ac="http://schemas.microsoft.com/office/spreadsheetml/2010/11/ac" url="C:\Users\inga.kola\Desktop\VRS_Cenr_prec_060525\"/>
    </mc:Choice>
  </mc:AlternateContent>
  <xr:revisionPtr revIDLastSave="0" documentId="8_{C37F4DDC-6E42-4A69-B2A6-783E810D13AD}" xr6:coauthVersionLast="36" xr6:coauthVersionMax="36" xr10:uidLastSave="{00000000-0000-0000-0000-000000000000}"/>
  <bookViews>
    <workbookView xWindow="0" yWindow="0" windowWidth="23040" windowHeight="8364" activeTab="1" xr2:uid="{00000000-000D-0000-FFFF-FFFF00000000}"/>
  </bookViews>
  <sheets>
    <sheet name="1pielik" sheetId="3" r:id="rId1"/>
    <sheet name="2pielik" sheetId="4" r:id="rId2"/>
    <sheet name="3pielik" sheetId="1" r:id="rId3"/>
    <sheet name="4pielik" sheetId="2" r:id="rId4"/>
  </sheets>
  <definedNames>
    <definedName name="_xlnm.Print_Area" localSheetId="1">'2pielik'!$A$1:$N$480</definedName>
    <definedName name="_xlnm.Print_Area" localSheetId="2">'3pielik'!$A$1:$M$18</definedName>
    <definedName name="_xlnm.Print_Titles" localSheetId="1">'2pielik'!$10:$10</definedName>
  </definedNames>
  <calcPr calcId="191029"/>
</workbook>
</file>

<file path=xl/calcChain.xml><?xml version="1.0" encoding="utf-8"?>
<calcChain xmlns="http://schemas.openxmlformats.org/spreadsheetml/2006/main">
  <c r="M491" i="4" l="1"/>
  <c r="M492" i="4"/>
  <c r="M493" i="4"/>
  <c r="I520" i="4"/>
  <c r="I519" i="4"/>
  <c r="M53" i="4"/>
  <c r="M500" i="4"/>
  <c r="M499" i="4"/>
  <c r="M498" i="4"/>
  <c r="M497" i="4"/>
  <c r="M496" i="4"/>
  <c r="M485" i="4"/>
  <c r="M484" i="4"/>
  <c r="M482" i="4"/>
  <c r="M427" i="4"/>
  <c r="M426" i="4"/>
  <c r="M425" i="4"/>
  <c r="M420" i="4"/>
  <c r="M417" i="4"/>
  <c r="M415" i="4"/>
  <c r="M412" i="4"/>
  <c r="M410" i="4"/>
  <c r="M408" i="4"/>
  <c r="M400" i="4"/>
  <c r="M373" i="4"/>
  <c r="M372" i="4"/>
  <c r="M371" i="4"/>
  <c r="M370" i="4"/>
  <c r="I369" i="4"/>
  <c r="I368" i="4"/>
  <c r="M312" i="4"/>
  <c r="M311" i="4"/>
  <c r="M310" i="4"/>
  <c r="M305" i="4"/>
  <c r="M302" i="4"/>
  <c r="M300" i="4"/>
  <c r="M297" i="4"/>
  <c r="M295" i="4"/>
  <c r="M293" i="4"/>
  <c r="M285" i="4"/>
  <c r="M258" i="4"/>
  <c r="M257" i="4"/>
  <c r="M256" i="4"/>
  <c r="M255" i="4"/>
  <c r="I254" i="4"/>
  <c r="I253" i="4"/>
  <c r="M197" i="4"/>
  <c r="M196" i="4"/>
  <c r="M195" i="4"/>
  <c r="M190" i="4"/>
  <c r="M187" i="4"/>
  <c r="M185" i="4"/>
  <c r="M182" i="4"/>
  <c r="M180" i="4"/>
  <c r="M178" i="4"/>
  <c r="M170" i="4"/>
  <c r="M141" i="4"/>
  <c r="M140" i="4"/>
  <c r="M139" i="4"/>
  <c r="M138" i="4"/>
  <c r="I137" i="4"/>
  <c r="I136" i="4"/>
  <c r="M134" i="4"/>
  <c r="M133" i="4"/>
  <c r="M80" i="4"/>
  <c r="M79" i="4"/>
  <c r="M78" i="4"/>
  <c r="M73" i="4"/>
  <c r="M70" i="4"/>
  <c r="M68" i="4"/>
  <c r="M65" i="4"/>
  <c r="M63" i="4"/>
  <c r="M61" i="4"/>
  <c r="M24" i="4"/>
  <c r="M23" i="4"/>
  <c r="M22" i="4"/>
  <c r="M21" i="4"/>
  <c r="I20" i="4"/>
  <c r="I19" i="4"/>
  <c r="D12" i="2" l="1"/>
  <c r="J15" i="3" s="1"/>
  <c r="M454" i="4"/>
  <c r="M455" i="4"/>
  <c r="M456" i="4"/>
  <c r="M457" i="4"/>
  <c r="M458" i="4"/>
  <c r="M386" i="4"/>
  <c r="M387" i="4"/>
  <c r="M388" i="4"/>
  <c r="M389" i="4"/>
  <c r="M390" i="4"/>
  <c r="M391" i="4"/>
  <c r="M392" i="4"/>
  <c r="M339" i="4"/>
  <c r="M340" i="4"/>
  <c r="M341" i="4"/>
  <c r="M342" i="4"/>
  <c r="M343" i="4"/>
  <c r="M344" i="4"/>
  <c r="M271" i="4"/>
  <c r="M272" i="4"/>
  <c r="M273" i="4"/>
  <c r="M274" i="4"/>
  <c r="M275" i="4"/>
  <c r="M276" i="4"/>
  <c r="M277" i="4"/>
  <c r="M225" i="4"/>
  <c r="M226" i="4"/>
  <c r="M227" i="4"/>
  <c r="M156" i="4"/>
  <c r="M157" i="4"/>
  <c r="M158" i="4"/>
  <c r="M159" i="4"/>
  <c r="M160" i="4"/>
  <c r="M161" i="4"/>
  <c r="M162" i="4"/>
  <c r="M108" i="4"/>
  <c r="M109" i="4"/>
  <c r="M110" i="4"/>
  <c r="M111" i="4"/>
  <c r="M40" i="4"/>
  <c r="M41" i="4"/>
  <c r="M42" i="4"/>
  <c r="M43" i="4"/>
  <c r="M44" i="4"/>
  <c r="M45" i="4"/>
  <c r="M16" i="4"/>
  <c r="M15" i="4" s="1"/>
  <c r="M17" i="4"/>
  <c r="M25" i="4"/>
  <c r="M26" i="4"/>
  <c r="M32" i="4"/>
  <c r="M33" i="4" s="1"/>
  <c r="M35" i="4"/>
  <c r="M36" i="4"/>
  <c r="M37" i="4"/>
  <c r="M38" i="4"/>
  <c r="M39" i="4"/>
  <c r="M46" i="4"/>
  <c r="M47" i="4"/>
  <c r="M62" i="4"/>
  <c r="M64" i="4"/>
  <c r="M66" i="4"/>
  <c r="M69" i="4"/>
  <c r="M71" i="4"/>
  <c r="M74" i="4"/>
  <c r="M76" i="4"/>
  <c r="M87" i="4"/>
  <c r="M91" i="4"/>
  <c r="M92" i="4"/>
  <c r="M97" i="4"/>
  <c r="M98" i="4"/>
  <c r="M99" i="4"/>
  <c r="M101" i="4"/>
  <c r="M102" i="4"/>
  <c r="M103" i="4"/>
  <c r="M104" i="4"/>
  <c r="M105" i="4"/>
  <c r="M106" i="4"/>
  <c r="M107" i="4"/>
  <c r="M112" i="4"/>
  <c r="M113" i="4"/>
  <c r="M116" i="4"/>
  <c r="M115" i="4" s="1"/>
  <c r="M114" i="4" s="1"/>
  <c r="M142" i="4"/>
  <c r="M143" i="4"/>
  <c r="M149" i="4"/>
  <c r="M150" i="4" s="1"/>
  <c r="M152" i="4"/>
  <c r="M153" i="4"/>
  <c r="M154" i="4"/>
  <c r="M155" i="4"/>
  <c r="M163" i="4"/>
  <c r="M164" i="4"/>
  <c r="M179" i="4"/>
  <c r="M181" i="4"/>
  <c r="M183" i="4"/>
  <c r="M186" i="4"/>
  <c r="M188" i="4"/>
  <c r="M191" i="4"/>
  <c r="M193" i="4"/>
  <c r="M204" i="4"/>
  <c r="M208" i="4"/>
  <c r="M209" i="4"/>
  <c r="M214" i="4"/>
  <c r="M215" i="4"/>
  <c r="M216" i="4"/>
  <c r="M218" i="4"/>
  <c r="M219" i="4"/>
  <c r="M220" i="4"/>
  <c r="M221" i="4"/>
  <c r="M222" i="4"/>
  <c r="M223" i="4"/>
  <c r="M224" i="4"/>
  <c r="M228" i="4"/>
  <c r="M229" i="4"/>
  <c r="M230" i="4"/>
  <c r="M233" i="4"/>
  <c r="M232" i="4" s="1"/>
  <c r="M231" i="4" s="1"/>
  <c r="M250" i="4"/>
  <c r="M251" i="4"/>
  <c r="M264" i="4"/>
  <c r="M267" i="4"/>
  <c r="M268" i="4"/>
  <c r="M269" i="4"/>
  <c r="M270" i="4"/>
  <c r="M278" i="4"/>
  <c r="M279" i="4"/>
  <c r="M294" i="4"/>
  <c r="M296" i="4"/>
  <c r="M298" i="4"/>
  <c r="M299" i="4"/>
  <c r="M301" i="4"/>
  <c r="M303" i="4"/>
  <c r="M306" i="4"/>
  <c r="M308" i="4"/>
  <c r="M319" i="4"/>
  <c r="M323" i="4"/>
  <c r="M324" i="4"/>
  <c r="M329" i="4"/>
  <c r="M330" i="4"/>
  <c r="M331" i="4"/>
  <c r="M333" i="4"/>
  <c r="M334" i="4"/>
  <c r="M335" i="4"/>
  <c r="M336" i="4"/>
  <c r="M337" i="4"/>
  <c r="M338" i="4"/>
  <c r="M345" i="4"/>
  <c r="M348" i="4"/>
  <c r="M347" i="4" s="1"/>
  <c r="M346" i="4" s="1"/>
  <c r="M365" i="4"/>
  <c r="M366" i="4"/>
  <c r="M379" i="4"/>
  <c r="M382" i="4"/>
  <c r="M383" i="4"/>
  <c r="M384" i="4"/>
  <c r="M385" i="4"/>
  <c r="M393" i="4"/>
  <c r="M394" i="4"/>
  <c r="M409" i="4"/>
  <c r="M411" i="4"/>
  <c r="M413" i="4"/>
  <c r="M416" i="4"/>
  <c r="M418" i="4"/>
  <c r="M421" i="4"/>
  <c r="M423" i="4"/>
  <c r="M434" i="4"/>
  <c r="M438" i="4"/>
  <c r="M439" i="4"/>
  <c r="M444" i="4"/>
  <c r="M445" i="4"/>
  <c r="M446" i="4"/>
  <c r="M448" i="4"/>
  <c r="M449" i="4"/>
  <c r="M450" i="4"/>
  <c r="M451" i="4"/>
  <c r="M452" i="4"/>
  <c r="M453" i="4"/>
  <c r="M459" i="4"/>
  <c r="M460" i="4"/>
  <c r="M463" i="4"/>
  <c r="M462" i="4" s="1"/>
  <c r="M461" i="4" s="1"/>
  <c r="M481" i="4"/>
  <c r="M489" i="4"/>
  <c r="M488" i="4" s="1"/>
  <c r="M523" i="4"/>
  <c r="M522" i="4" s="1"/>
  <c r="M521" i="4" s="1"/>
  <c r="J15" i="1" s="1"/>
  <c r="M520" i="4"/>
  <c r="M519" i="4"/>
  <c r="P520" i="4"/>
  <c r="K509" i="4"/>
  <c r="K507" i="4"/>
  <c r="F15" i="3"/>
  <c r="M364" i="4" l="1"/>
  <c r="M509" i="4"/>
  <c r="M508" i="4" s="1"/>
  <c r="K511" i="4"/>
  <c r="M507" i="4"/>
  <c r="M506" i="4" s="1"/>
  <c r="M292" i="4"/>
  <c r="M67" i="4"/>
  <c r="M194" i="4"/>
  <c r="M407" i="4"/>
  <c r="M494" i="4"/>
  <c r="F15" i="1" s="1"/>
  <c r="M414" i="4"/>
  <c r="M249" i="4"/>
  <c r="M132" i="4"/>
  <c r="M483" i="4"/>
  <c r="M480" i="4" s="1"/>
  <c r="C15" i="1" s="1"/>
  <c r="M184" i="4"/>
  <c r="M177" i="4"/>
  <c r="M60" i="4"/>
  <c r="M30" i="4"/>
  <c r="M29" i="4" s="1"/>
  <c r="M517" i="4"/>
  <c r="E15" i="1"/>
  <c r="M147" i="4"/>
  <c r="M146" i="4" s="1"/>
  <c r="M265" i="4"/>
  <c r="M262" i="4" s="1"/>
  <c r="M261" i="4" s="1"/>
  <c r="M380" i="4"/>
  <c r="M377" i="4" s="1"/>
  <c r="M376" i="4" s="1"/>
  <c r="K513" i="4"/>
  <c r="M513" i="4" s="1"/>
  <c r="H15" i="3"/>
  <c r="M511" i="4" l="1"/>
  <c r="M510" i="4" s="1"/>
  <c r="M516" i="4"/>
  <c r="I15" i="1"/>
  <c r="M487" i="4"/>
  <c r="M486" i="4" s="1"/>
  <c r="M512" i="4"/>
  <c r="P519" i="4"/>
  <c r="M505" i="4" l="1"/>
  <c r="G15" i="1" s="1"/>
  <c r="M479" i="4"/>
  <c r="M501" i="4" s="1"/>
  <c r="D15" i="1"/>
  <c r="M515" i="4"/>
  <c r="M514" i="4" s="1"/>
  <c r="M424" i="4"/>
  <c r="I422" i="4"/>
  <c r="M369" i="4"/>
  <c r="M368" i="4"/>
  <c r="M309" i="4"/>
  <c r="M254" i="4"/>
  <c r="M253" i="4"/>
  <c r="M252" i="4" s="1"/>
  <c r="M248" i="4" s="1"/>
  <c r="F11" i="3"/>
  <c r="F12" i="3"/>
  <c r="F13" i="3"/>
  <c r="F14" i="3"/>
  <c r="M422" i="4" l="1"/>
  <c r="M419" i="4" s="1"/>
  <c r="M406" i="4" s="1"/>
  <c r="M429" i="4" s="1"/>
  <c r="M428" i="4" s="1"/>
  <c r="M405" i="4" s="1"/>
  <c r="M504" i="4"/>
  <c r="M524" i="4" s="1"/>
  <c r="M525" i="4" s="1"/>
  <c r="M527" i="4" s="1"/>
  <c r="H15" i="1"/>
  <c r="K15" i="1" s="1"/>
  <c r="M260" i="4"/>
  <c r="M259" i="4" s="1"/>
  <c r="M247" i="4" s="1"/>
  <c r="M287" i="4" s="1"/>
  <c r="M367" i="4"/>
  <c r="M363" i="4" s="1"/>
  <c r="M137" i="4"/>
  <c r="M136" i="4"/>
  <c r="M135" i="4" l="1"/>
  <c r="M131" i="4" s="1"/>
  <c r="C12" i="2"/>
  <c r="M15" i="1"/>
  <c r="M145" i="4"/>
  <c r="M144" i="4" s="1"/>
  <c r="M130" i="4" s="1"/>
  <c r="M172" i="4" s="1"/>
  <c r="M375" i="4"/>
  <c r="M374" i="4" s="1"/>
  <c r="M362" i="4" s="1"/>
  <c r="M402" i="4" s="1"/>
  <c r="M77" i="4"/>
  <c r="M20" i="4"/>
  <c r="M19" i="4"/>
  <c r="E12" i="2" l="1"/>
  <c r="I12" i="2" s="1"/>
  <c r="J12" i="2" s="1"/>
  <c r="I15" i="3"/>
  <c r="K15" i="3" s="1"/>
  <c r="M18" i="4"/>
  <c r="M14" i="4" s="1"/>
  <c r="O438" i="4"/>
  <c r="P438" i="4" s="1"/>
  <c r="H12" i="2" l="1"/>
  <c r="M15" i="3"/>
  <c r="O15" i="3" s="1"/>
  <c r="N15" i="3"/>
  <c r="M28" i="4"/>
  <c r="M27" i="4" s="1"/>
  <c r="M13" i="4" s="1"/>
  <c r="M55" i="4" s="1"/>
  <c r="O32" i="4"/>
  <c r="Q32" i="4" s="1"/>
  <c r="F11" i="1"/>
  <c r="R54" i="4"/>
  <c r="U54" i="4"/>
  <c r="O61" i="4"/>
  <c r="I75" i="4"/>
  <c r="P86" i="4"/>
  <c r="I86" i="4" s="1"/>
  <c r="M86" i="4" s="1"/>
  <c r="P88" i="4"/>
  <c r="I88" i="4" s="1"/>
  <c r="M88" i="4" s="1"/>
  <c r="P89" i="4"/>
  <c r="I89" i="4" s="1"/>
  <c r="M89" i="4" s="1"/>
  <c r="O90" i="4"/>
  <c r="P90" i="4" s="1"/>
  <c r="I90" i="4" s="1"/>
  <c r="M90" i="4" s="1"/>
  <c r="O91" i="4"/>
  <c r="P91" i="4" s="1"/>
  <c r="P92" i="4"/>
  <c r="P93" i="4"/>
  <c r="I93" i="4" s="1"/>
  <c r="M93" i="4" s="1"/>
  <c r="O94" i="4"/>
  <c r="P94" i="4" s="1"/>
  <c r="I94" i="4" s="1"/>
  <c r="M94" i="4" s="1"/>
  <c r="I100" i="4"/>
  <c r="M100" i="4" s="1"/>
  <c r="M95" i="4" s="1"/>
  <c r="O149" i="4"/>
  <c r="Q149" i="4" s="1"/>
  <c r="F12" i="1"/>
  <c r="O170" i="4"/>
  <c r="R171" i="4"/>
  <c r="U171" i="4"/>
  <c r="T172" i="4"/>
  <c r="I192" i="4"/>
  <c r="P203" i="4"/>
  <c r="I203" i="4" s="1"/>
  <c r="M203" i="4" s="1"/>
  <c r="P205" i="4"/>
  <c r="I205" i="4" s="1"/>
  <c r="M205" i="4" s="1"/>
  <c r="P206" i="4"/>
  <c r="I206" i="4" s="1"/>
  <c r="M206" i="4" s="1"/>
  <c r="P207" i="4"/>
  <c r="I207" i="4" s="1"/>
  <c r="M207" i="4" s="1"/>
  <c r="P208" i="4"/>
  <c r="P209" i="4"/>
  <c r="P210" i="4"/>
  <c r="I210" i="4" s="1"/>
  <c r="M210" i="4" s="1"/>
  <c r="O211" i="4"/>
  <c r="P211" i="4" s="1"/>
  <c r="I211" i="4" s="1"/>
  <c r="M211" i="4" s="1"/>
  <c r="I217" i="4"/>
  <c r="M217" i="4" s="1"/>
  <c r="M212" i="4" s="1"/>
  <c r="O264" i="4"/>
  <c r="Q264" i="4" s="1"/>
  <c r="F13" i="1"/>
  <c r="R286" i="4"/>
  <c r="U286" i="4"/>
  <c r="I307" i="4"/>
  <c r="P318" i="4"/>
  <c r="I318" i="4" s="1"/>
  <c r="M318" i="4" s="1"/>
  <c r="P320" i="4"/>
  <c r="I320" i="4" s="1"/>
  <c r="M320" i="4" s="1"/>
  <c r="P321" i="4"/>
  <c r="I321" i="4" s="1"/>
  <c r="M321" i="4" s="1"/>
  <c r="O322" i="4"/>
  <c r="P322" i="4" s="1"/>
  <c r="I322" i="4" s="1"/>
  <c r="M322" i="4" s="1"/>
  <c r="P323" i="4"/>
  <c r="P324" i="4"/>
  <c r="P325" i="4"/>
  <c r="I325" i="4" s="1"/>
  <c r="M325" i="4" s="1"/>
  <c r="O326" i="4"/>
  <c r="P326" i="4" s="1"/>
  <c r="I326" i="4" s="1"/>
  <c r="M326" i="4" s="1"/>
  <c r="I332" i="4"/>
  <c r="M332" i="4" s="1"/>
  <c r="M327" i="4" s="1"/>
  <c r="J13" i="1"/>
  <c r="O379" i="4"/>
  <c r="Q379" i="4" s="1"/>
  <c r="F14" i="1"/>
  <c r="O400" i="4"/>
  <c r="R401" i="4"/>
  <c r="U401" i="4"/>
  <c r="T402" i="4"/>
  <c r="P433" i="4"/>
  <c r="I433" i="4" s="1"/>
  <c r="M433" i="4" s="1"/>
  <c r="P435" i="4"/>
  <c r="I435" i="4" s="1"/>
  <c r="M435" i="4" s="1"/>
  <c r="P436" i="4"/>
  <c r="I436" i="4" s="1"/>
  <c r="M436" i="4" s="1"/>
  <c r="P437" i="4"/>
  <c r="I437" i="4" s="1"/>
  <c r="M437" i="4" s="1"/>
  <c r="P439" i="4"/>
  <c r="P440" i="4"/>
  <c r="I440" i="4" s="1"/>
  <c r="M440" i="4" s="1"/>
  <c r="O441" i="4"/>
  <c r="P441" i="4" s="1"/>
  <c r="I441" i="4" s="1"/>
  <c r="M441" i="4" s="1"/>
  <c r="I447" i="4"/>
  <c r="M447" i="4" s="1"/>
  <c r="M442" i="4" s="1"/>
  <c r="J14" i="1"/>
  <c r="M307" i="4" l="1"/>
  <c r="M304" i="4" s="1"/>
  <c r="M291" i="4" s="1"/>
  <c r="M314" i="4" s="1"/>
  <c r="M313" i="4" s="1"/>
  <c r="M290" i="4" s="1"/>
  <c r="M349" i="4" s="1"/>
  <c r="M350" i="4" s="1"/>
  <c r="M192" i="4"/>
  <c r="M189" i="4" s="1"/>
  <c r="M176" i="4" s="1"/>
  <c r="M199" i="4" s="1"/>
  <c r="M198" i="4" s="1"/>
  <c r="M175" i="4" s="1"/>
  <c r="M234" i="4" s="1"/>
  <c r="M235" i="4" s="1"/>
  <c r="M75" i="4"/>
  <c r="M72" i="4" s="1"/>
  <c r="M59" i="4" s="1"/>
  <c r="M82" i="4" s="1"/>
  <c r="M81" i="4" s="1"/>
  <c r="M58" i="4" s="1"/>
  <c r="M201" i="4"/>
  <c r="M200" i="4" s="1"/>
  <c r="M431" i="4"/>
  <c r="M430" i="4" s="1"/>
  <c r="M464" i="4" s="1"/>
  <c r="M465" i="4" s="1"/>
  <c r="M316" i="4"/>
  <c r="M315" i="4" s="1"/>
  <c r="M84" i="4"/>
  <c r="M83" i="4" s="1"/>
  <c r="J11" i="1"/>
  <c r="J12" i="1"/>
  <c r="E14" i="1"/>
  <c r="E12" i="1"/>
  <c r="E11" i="1"/>
  <c r="H11" i="3"/>
  <c r="H12" i="3"/>
  <c r="H13" i="3"/>
  <c r="H14" i="3"/>
  <c r="H16" i="3" l="1"/>
  <c r="M351" i="4"/>
  <c r="M352" i="4" s="1"/>
  <c r="M466" i="4"/>
  <c r="M467" i="4" s="1"/>
  <c r="M236" i="4"/>
  <c r="M237" i="4" s="1"/>
  <c r="M117" i="4"/>
  <c r="M118" i="4" s="1"/>
  <c r="G12" i="1"/>
  <c r="C11" i="1"/>
  <c r="G11" i="1"/>
  <c r="C13" i="1"/>
  <c r="G13" i="1"/>
  <c r="I13" i="1"/>
  <c r="C12" i="1"/>
  <c r="I12" i="1"/>
  <c r="I11" i="1"/>
  <c r="G14" i="1"/>
  <c r="C14" i="1"/>
  <c r="E13" i="1"/>
  <c r="I14" i="1"/>
  <c r="M119" i="4" l="1"/>
  <c r="M120" i="4" s="1"/>
  <c r="D11" i="1"/>
  <c r="H12" i="1"/>
  <c r="D12" i="1"/>
  <c r="H11" i="1"/>
  <c r="D13" i="1" l="1"/>
  <c r="H14" i="1"/>
  <c r="H13" i="1"/>
  <c r="D14" i="1"/>
  <c r="K11" i="1"/>
  <c r="K13" i="1" l="1"/>
  <c r="L13" i="1" s="1"/>
  <c r="M13" i="1" s="1"/>
  <c r="K14" i="1"/>
  <c r="L14" i="1" s="1"/>
  <c r="M14" i="1" s="1"/>
  <c r="K12" i="1"/>
  <c r="L12" i="1" s="1"/>
  <c r="M12" i="1" s="1"/>
  <c r="L11" i="1"/>
  <c r="M11" i="1" s="1"/>
  <c r="C8" i="2"/>
  <c r="C10" i="2" l="1"/>
  <c r="D10" i="2" s="1"/>
  <c r="J13" i="3" s="1"/>
  <c r="C11" i="2"/>
  <c r="I14" i="3" s="1"/>
  <c r="C9" i="2"/>
  <c r="I12" i="3" s="1"/>
  <c r="D8" i="2"/>
  <c r="J11" i="3" s="1"/>
  <c r="I11" i="3"/>
  <c r="D11" i="2" l="1"/>
  <c r="J14" i="3" s="1"/>
  <c r="K14" i="3" s="1"/>
  <c r="N14" i="3" s="1"/>
  <c r="E10" i="2"/>
  <c r="H10" i="2" s="1"/>
  <c r="I13" i="3"/>
  <c r="K13" i="3" s="1"/>
  <c r="M13" i="3" s="1"/>
  <c r="O13" i="3" s="1"/>
  <c r="D9" i="2"/>
  <c r="J12" i="3" s="1"/>
  <c r="K12" i="3" s="1"/>
  <c r="N12" i="3" s="1"/>
  <c r="K11" i="3"/>
  <c r="M11" i="3" s="1"/>
  <c r="E8" i="2"/>
  <c r="H8" i="2" s="1"/>
  <c r="N13" i="3" l="1"/>
  <c r="O11" i="3"/>
  <c r="I10" i="2"/>
  <c r="J10" i="2" s="1"/>
  <c r="E11" i="2"/>
  <c r="I11" i="2" s="1"/>
  <c r="J11" i="2" s="1"/>
  <c r="M14" i="3"/>
  <c r="O14" i="3" s="1"/>
  <c r="M12" i="3"/>
  <c r="M16" i="3" s="1"/>
  <c r="E9" i="2"/>
  <c r="I9" i="2" s="1"/>
  <c r="J9" i="2" s="1"/>
  <c r="N11" i="3"/>
  <c r="I8" i="2"/>
  <c r="J8" i="2" l="1"/>
  <c r="J13" i="2" s="1"/>
  <c r="I13" i="2"/>
  <c r="H11" i="2"/>
  <c r="O12" i="3"/>
  <c r="O16" i="3" s="1"/>
  <c r="H9" i="2"/>
  <c r="H13" i="2" s="1"/>
</calcChain>
</file>

<file path=xl/sharedStrings.xml><?xml version="1.0" encoding="utf-8"?>
<sst xmlns="http://schemas.openxmlformats.org/spreadsheetml/2006/main" count="928" uniqueCount="236">
  <si>
    <t>Nr. p.k.</t>
  </si>
  <si>
    <t>Tiešās izmaksas</t>
  </si>
  <si>
    <t>Netiešās izmaksas</t>
  </si>
  <si>
    <t>EKK 1100</t>
  </si>
  <si>
    <t>EKK 1200</t>
  </si>
  <si>
    <t>EKK 2000</t>
  </si>
  <si>
    <t>EKK 5000</t>
  </si>
  <si>
    <t>apjoms</t>
  </si>
  <si>
    <t>mērvienība</t>
  </si>
  <si>
    <t>stunda</t>
  </si>
  <si>
    <t>Kopā</t>
  </si>
  <si>
    <t>Ieņēmumu prognoze no maksas pakalpojumiem</t>
  </si>
  <si>
    <t>Vienas vienības cena (EUR)</t>
  </si>
  <si>
    <t>Prognozētais</t>
  </si>
  <si>
    <t>bez PVN</t>
  </si>
  <si>
    <t>PVN</t>
  </si>
  <si>
    <t>ar PVN</t>
  </si>
  <si>
    <t>Informācija par maksas pakalpojumu cenu un plānoto ieņēmumu izmaiņām</t>
  </si>
  <si>
    <t>Nr.p.k.</t>
  </si>
  <si>
    <t>Pakalpojuma veids</t>
  </si>
  <si>
    <t>Precizētais cenrādis</t>
  </si>
  <si>
    <t>Paskaidrojums par cenu izmaiņām</t>
  </si>
  <si>
    <t>Plānotie ieņēmumi kopā ar PVN</t>
  </si>
  <si>
    <t>Cena ar PVN</t>
  </si>
  <si>
    <t>14 = (11-6)</t>
  </si>
  <si>
    <t>15=(13-8)</t>
  </si>
  <si>
    <t>Mērvienība</t>
  </si>
  <si>
    <t>Spēkā esošais cenrādis</t>
  </si>
  <si>
    <t>(EUR)</t>
  </si>
  <si>
    <t>Prognozētie ieņēmumi (EUR)</t>
  </si>
  <si>
    <t>Plānotais skaits gadā</t>
  </si>
  <si>
    <t>4. pielikums</t>
  </si>
  <si>
    <t>Maksas pakalpojumu izcenojuma aprēķina kopsavilkums</t>
  </si>
  <si>
    <t>3. pielikums</t>
  </si>
  <si>
    <t>1. pielikums</t>
  </si>
  <si>
    <t xml:space="preserve">    </t>
  </si>
  <si>
    <t xml:space="preserve">                 </t>
  </si>
  <si>
    <r>
      <t>Atalgojums (</t>
    </r>
    <r>
      <rPr>
        <i/>
        <sz val="10"/>
        <rFont val="Times New Roman"/>
        <family val="1"/>
        <charset val="186"/>
      </rPr>
      <t>euro</t>
    </r>
    <r>
      <rPr>
        <sz val="10"/>
        <rFont val="Times New Roman"/>
        <family val="1"/>
        <charset val="186"/>
      </rPr>
      <t>)</t>
    </r>
  </si>
  <si>
    <r>
      <t>Darba devēja valsts sociālās apdrošināšanas obligātās iemaksas (</t>
    </r>
    <r>
      <rPr>
        <i/>
        <sz val="10"/>
        <rFont val="Times New Roman"/>
        <family val="1"/>
        <charset val="186"/>
      </rPr>
      <t>euro</t>
    </r>
    <r>
      <rPr>
        <sz val="10"/>
        <rFont val="Times New Roman"/>
        <family val="1"/>
        <charset val="186"/>
      </rPr>
      <t>)</t>
    </r>
  </si>
  <si>
    <r>
      <t>Preces un pakalpojumi (</t>
    </r>
    <r>
      <rPr>
        <i/>
        <sz val="10"/>
        <rFont val="Times New Roman"/>
        <family val="1"/>
        <charset val="186"/>
      </rPr>
      <t>euro</t>
    </r>
    <r>
      <rPr>
        <sz val="10"/>
        <rFont val="Times New Roman"/>
        <family val="1"/>
        <charset val="186"/>
      </rPr>
      <t>)</t>
    </r>
  </si>
  <si>
    <r>
      <t>Pamatkapitāla veidošana (</t>
    </r>
    <r>
      <rPr>
        <i/>
        <sz val="10"/>
        <rFont val="Times New Roman"/>
        <family val="1"/>
        <charset val="186"/>
      </rPr>
      <t>euro</t>
    </r>
    <r>
      <rPr>
        <sz val="10"/>
        <rFont val="Times New Roman"/>
        <family val="1"/>
        <charset val="186"/>
      </rPr>
      <t>)</t>
    </r>
  </si>
  <si>
    <r>
      <t>Vienas vienības cena bez PVN (</t>
    </r>
    <r>
      <rPr>
        <i/>
        <sz val="10"/>
        <rFont val="Times New Roman"/>
        <family val="1"/>
        <charset val="186"/>
      </rPr>
      <t>euro</t>
    </r>
    <r>
      <rPr>
        <sz val="10"/>
        <rFont val="Times New Roman"/>
        <family val="1"/>
        <charset val="186"/>
      </rPr>
      <t>)</t>
    </r>
  </si>
  <si>
    <r>
      <t>PVN (</t>
    </r>
    <r>
      <rPr>
        <i/>
        <sz val="10"/>
        <rFont val="Times New Roman"/>
        <family val="1"/>
        <charset val="186"/>
      </rPr>
      <t>euro</t>
    </r>
    <r>
      <rPr>
        <sz val="10"/>
        <rFont val="Times New Roman"/>
        <family val="1"/>
        <charset val="186"/>
      </rPr>
      <t>)</t>
    </r>
  </si>
  <si>
    <r>
      <t>Vienas vienības cena ar PVN (</t>
    </r>
    <r>
      <rPr>
        <i/>
        <sz val="10"/>
        <rFont val="Times New Roman"/>
        <family val="1"/>
        <charset val="186"/>
      </rPr>
      <t>euro</t>
    </r>
    <r>
      <rPr>
        <sz val="10"/>
        <rFont val="Times New Roman"/>
        <family val="1"/>
        <charset val="186"/>
      </rPr>
      <t>)</t>
    </r>
  </si>
  <si>
    <r>
      <t xml:space="preserve">Izmaiņas, </t>
    </r>
    <r>
      <rPr>
        <i/>
        <sz val="11"/>
        <color rgb="FF000000"/>
        <rFont val="Times New Roman"/>
        <family val="1"/>
        <charset val="186"/>
      </rPr>
      <t>euro</t>
    </r>
  </si>
  <si>
    <r>
      <t>Cena bez PVN (</t>
    </r>
    <r>
      <rPr>
        <i/>
        <sz val="11"/>
        <color rgb="FF000000"/>
        <rFont val="Times New Roman"/>
        <family val="1"/>
        <charset val="186"/>
      </rPr>
      <t>euro</t>
    </r>
    <r>
      <rPr>
        <sz val="11"/>
        <color rgb="FF000000"/>
        <rFont val="Times New Roman"/>
        <family val="1"/>
        <charset val="186"/>
      </rPr>
      <t>)</t>
    </r>
  </si>
  <si>
    <r>
      <t>PVN (</t>
    </r>
    <r>
      <rPr>
        <i/>
        <sz val="11"/>
        <color rgb="FF000000"/>
        <rFont val="Times New Roman"/>
        <family val="1"/>
        <charset val="186"/>
      </rPr>
      <t>euro</t>
    </r>
    <r>
      <rPr>
        <sz val="11"/>
        <color rgb="FF000000"/>
        <rFont val="Times New Roman"/>
        <family val="1"/>
        <charset val="186"/>
      </rPr>
      <t>)</t>
    </r>
  </si>
  <si>
    <r>
      <t>Cena ar PVN (</t>
    </r>
    <r>
      <rPr>
        <i/>
        <sz val="11"/>
        <color rgb="FF000000"/>
        <rFont val="Times New Roman"/>
        <family val="1"/>
        <charset val="186"/>
      </rPr>
      <t>euro</t>
    </r>
    <r>
      <rPr>
        <sz val="11"/>
        <color rgb="FF000000"/>
        <rFont val="Times New Roman"/>
        <family val="1"/>
        <charset val="186"/>
      </rPr>
      <t>)</t>
    </r>
  </si>
  <si>
    <r>
      <t>Plānotie ieņēmumi kopā ar PVN (</t>
    </r>
    <r>
      <rPr>
        <i/>
        <sz val="11"/>
        <color rgb="FF000000"/>
        <rFont val="Times New Roman"/>
        <family val="1"/>
        <charset val="186"/>
      </rPr>
      <t>euro</t>
    </r>
    <r>
      <rPr>
        <sz val="11"/>
        <color rgb="FF000000"/>
        <rFont val="Times New Roman"/>
        <family val="1"/>
        <charset val="186"/>
      </rPr>
      <t>)</t>
    </r>
  </si>
  <si>
    <t xml:space="preserve">Ministru kabineta noteikumu “Grozījumi Ministru kabineta 2021. gada 24. augusta noteikumos Nr. 572 "Valsts robežsardzes maksas pakalpojuma cenrādis" projekta sākotnējās ietekmes novērtējuma ziņojumam (anotācijai)
</t>
  </si>
  <si>
    <t>jelena.ivanova@rs.gov.lv</t>
  </si>
  <si>
    <t>Ivanova 67075674</t>
  </si>
  <si>
    <t>Ministru kabineta noteikumu “Grozījumi Ministru kabineta 2021. gada 24. augusta noteikumos Nr. 572 "Valsts robežsardzes maksas pakalpojuma cenrādis" projekta sākotnējās ietekmes novērtējuma ziņojumam (anotācijai)</t>
  </si>
  <si>
    <t>Gaisa kuģa AB206B izmantošana (lidojumiem) publiskos pasākumos, kurus organizē privātpersona</t>
  </si>
  <si>
    <t>Gaisa kuģa AW119MKII izmantošana (lidojumiem) publiskos pasākumos, kurus organizē privātpersona</t>
  </si>
  <si>
    <t>Gaisa kuģa AB206B izmantošana (gaidīšana starp lidojumiem uz zemes) publiskos pasākumos, kurus organizē privātpersona</t>
  </si>
  <si>
    <t>Gaisa kuģa AW119MKII izmantošana (gaidīšana starp lidojumiem uz zemes) publiskos pasākumos, kurus organizē privātpersona</t>
  </si>
  <si>
    <t>Pakalpojuma izmaksas kopā (ar PVN):</t>
  </si>
  <si>
    <t>PVN:</t>
  </si>
  <si>
    <t>Pakalpojuma izmaksas kopā:</t>
  </si>
  <si>
    <t>Netiešās izmaksas kopā:</t>
  </si>
  <si>
    <t>Patērētais laiks (h)</t>
  </si>
  <si>
    <t>Vērtība</t>
  </si>
  <si>
    <t>Skaits</t>
  </si>
  <si>
    <t>Amortizācija %</t>
  </si>
  <si>
    <t>Nosaukums</t>
  </si>
  <si>
    <t>Pamatkapitāla veidošana</t>
  </si>
  <si>
    <t>Svīteris  (2 gab.)</t>
  </si>
  <si>
    <t>Ziemas šalle (vilnas)</t>
  </si>
  <si>
    <t>Siksna darba biksēm</t>
  </si>
  <si>
    <t>Puszābaki (ziemas)</t>
  </si>
  <si>
    <t>Darba apavi (vasaras)  (2 pāri)</t>
  </si>
  <si>
    <t>Cimdi (ziemas)</t>
  </si>
  <si>
    <t>Ugunsizturīga virsjaka ar atstarojošiem elementiem (ziemas)</t>
  </si>
  <si>
    <t>Atstarojošā veste (vasaras)</t>
  </si>
  <si>
    <t>Atstarojošā veste</t>
  </si>
  <si>
    <t>Cepure (ziemas)</t>
  </si>
  <si>
    <t>Cepure (vasaras)  (2 gab.)</t>
  </si>
  <si>
    <t>Darba bikses  (2 gab.)</t>
  </si>
  <si>
    <t>Flīsa jaka</t>
  </si>
  <si>
    <t>Termoapakšveļa (krekls un bikses)</t>
  </si>
  <si>
    <t>T-krekls ar īsām piedurknēm</t>
  </si>
  <si>
    <t>T-krekls ar garām piedurknēm</t>
  </si>
  <si>
    <t>Polo T-krekls</t>
  </si>
  <si>
    <t>Normas, gadi</t>
  </si>
  <si>
    <t>Formas tērpi un speciālais apģērbs (Speciālais apģērbs helikoptera mehāniķiem)</t>
  </si>
  <si>
    <t>Krājumi, materiāli, energoresursi, preces, biroja preces un inventārs, kurus neuzskaita kodā 5000</t>
  </si>
  <si>
    <t>Gaisa kuģu tehniskās apkopes dokumentācijas abonēšanu uz 1 gadu</t>
  </si>
  <si>
    <t>Valsts aģentūra “Civilās aviācijas aģentūra” pakalpojumi</t>
  </si>
  <si>
    <t>Pārējie neklasificētie pakalpojumi</t>
  </si>
  <si>
    <t>helio 119</t>
  </si>
  <si>
    <t>Helikoptera OCTA un apkalpes locekļu, pasažieru vietas apdrošināšanas izmaksas nelaimes gadījumiem</t>
  </si>
  <si>
    <t>Apdrošināšanas izdevumi</t>
  </si>
  <si>
    <t>Ikgadējā medicīniskā komisija SIA “AVIAMED”  pilotiem</t>
  </si>
  <si>
    <t>Normatīvajos aktos  noteiktie darba devēja  veselības izdevumi darba ņēmējiem</t>
  </si>
  <si>
    <t>Kvalifikācijas uzturēšanas celšanas izmaksas pilotiem</t>
  </si>
  <si>
    <t>Izdevumi par saņemtajiem mācību pakalpojumiem</t>
  </si>
  <si>
    <t xml:space="preserve">Angara uzturēšana ? </t>
  </si>
  <si>
    <t xml:space="preserve">Patērētas marķētās dīzeļdegvielas (angāra apkures izmaksas 735,4 m2) . 2023.gadā tika norakstīta marķētā dīzeļdegviela par kopējo summu 44992,88 EUR ar PVN. KOPĀ pārvalde ir 2578,9 m2, tātad 1 m2=17,45 euro x 708,85 m2=12 369,43 EUR / gadā/365dienas/24 stundas=1,41 EUR/stunda </t>
  </si>
  <si>
    <t>Kurjerpasta pakalpojumi rezerves daļu iegādei</t>
  </si>
  <si>
    <t>365dienas/24stundas</t>
  </si>
  <si>
    <t>2023.gadā izdevumi</t>
  </si>
  <si>
    <t>Izdevumi par komunālajiem pakalpojumiem</t>
  </si>
  <si>
    <t>Pakalpojumi</t>
  </si>
  <si>
    <t>Preces un pakalpojumi</t>
  </si>
  <si>
    <t>Darba devēja valsts sociālās apdrošināšanas obligātās iemaksas (23,59 % no 1100 un 1221 EKK)</t>
  </si>
  <si>
    <t>Darba devēja valsts sociālās apdrošināšanas obligātās iemaksas, pabalsti un kompensācijas</t>
  </si>
  <si>
    <t>Kapteinis (2.cilv)</t>
  </si>
  <si>
    <t>Majors</t>
  </si>
  <si>
    <t>Piemaksa mēnesī</t>
  </si>
  <si>
    <t>Speciālā dienesta pakāpe</t>
  </si>
  <si>
    <t>Piemaksas par speciālo dienesta pakāpi un diplomātisko rangu</t>
  </si>
  <si>
    <t>speciālists (gaisa kuģu virszemes apkalpošanas un tehniskās apkopes jomā) (46.3 saime, I. līmenis 4. mēnešalgas grupa)</t>
  </si>
  <si>
    <t>vecākais speciālists (gaisa kuģu tehniskās apkopes organizācijas vadītājs) (46.3 saime, III. Līmenis 9. mēnešalgas grupa)</t>
  </si>
  <si>
    <t>Mēnešalga</t>
  </si>
  <si>
    <t>Ieņemamais amats</t>
  </si>
  <si>
    <t>Pārējo darbinieku mēnešalga (darba alga)</t>
  </si>
  <si>
    <t>gaisa kuģa tehniskās apkopes mehāniķis (22.2 saime, IIA. līmenis 13. mēnešalgas grupa)</t>
  </si>
  <si>
    <t>gaisa kuģa tehniskās apkopes inženieris (avioniķis) (22.2 saime, IIIA. līmenis 15. mēnešalgas grupa)</t>
  </si>
  <si>
    <t>gaisa kuģa tehniskās apkopes inženieris (mehāniķis)  (22.2 saime, IIIB. līmenis 15. mēnešalgas grupa)</t>
  </si>
  <si>
    <t>Mēnešalga amatpersonām ar speciālajām dienesta pakāpēm</t>
  </si>
  <si>
    <t>Atalgojums</t>
  </si>
  <si>
    <t>Atlīdzība (tehniskajam personālam -  Aviācijas inženiertehniskais dienests)</t>
  </si>
  <si>
    <t>Tiešās izmaksas kopā:</t>
  </si>
  <si>
    <t xml:space="preserve">gadā </t>
  </si>
  <si>
    <t>6,67</t>
  </si>
  <si>
    <t xml:space="preserve">Helikoptera amortizacija (vērtība 4665664.67 euro / 15 gadi / 365 dienas/ 24 stundas </t>
  </si>
  <si>
    <t>Transportlīdzekļi</t>
  </si>
  <si>
    <t>mēn</t>
  </si>
  <si>
    <t>Helikoptera apkalpes glābšanas veste</t>
  </si>
  <si>
    <t>15 gadi</t>
  </si>
  <si>
    <t>Ceļgala planšete</t>
  </si>
  <si>
    <t>Speciāla apakšveļa kombinezonam lidojumiem virs jūras (flight suit set)</t>
  </si>
  <si>
    <t>Aizsargcepure (ķivere) ar radioaustiņām un mikrofonu</t>
  </si>
  <si>
    <t>Pārējie iepriekš neklasificētie pamatlīdzekļi un ieguldījuma īpašumi</t>
  </si>
  <si>
    <t>Pilotu soma organizators</t>
  </si>
  <si>
    <t>Kombinezons lidojumiem virs jūras (flight suit set)</t>
  </si>
  <si>
    <t>Apakšveļa 1. slānis (2 kompl.)</t>
  </si>
  <si>
    <t>Ziemas cepure</t>
  </si>
  <si>
    <t>Ziemas virsjaka (īsā)</t>
  </si>
  <si>
    <t>Ziemas virsjaka (ādas)</t>
  </si>
  <si>
    <t>Pilota cimdi (vasaras) (2 pāri)</t>
  </si>
  <si>
    <t>Lidotāju puszābaki (ziemas)</t>
  </si>
  <si>
    <t>Lidotāju puszābaki (vasaras)</t>
  </si>
  <si>
    <t>Kombinezons ar laiviņcepuri (2 gab.)</t>
  </si>
  <si>
    <t>Pilota tērps (virsjaka un bikses) ar laiviņcepuri (2 gab.)</t>
  </si>
  <si>
    <t>Pilota krekls (2 gab.)</t>
  </si>
  <si>
    <t>Formas tērpi un speciālais apģērbs (Speciālais apģērbs pilotiem)</t>
  </si>
  <si>
    <t xml:space="preserve">smērvielas 7% no patērētas degvielas </t>
  </si>
  <si>
    <t>Pārējie enerģētiskie materiāli</t>
  </si>
  <si>
    <t xml:space="preserve">aviācijas degviela JET A1 89 kg  </t>
  </si>
  <si>
    <t>Degviela</t>
  </si>
  <si>
    <t>Cena (euro)</t>
  </si>
  <si>
    <t>Izlietots stundā</t>
  </si>
  <si>
    <t>pilnā apmērā, jo 25 EUR par lidojuma stundu</t>
  </si>
  <si>
    <t>Piemaksa par darbu īpašos apstākļos, speciālās piemaksas</t>
  </si>
  <si>
    <t>Samaksa par virsstundu darbu un darbu svētku dienās</t>
  </si>
  <si>
    <t>Piemaksas</t>
  </si>
  <si>
    <t>2.pilots - Helikoptera jaunākais pilots  (22.1 saime, IIB. līmenis 13. mēnešalgas grupa) mēnešalga / 166,92 h x patērētais laiks</t>
  </si>
  <si>
    <t>1116</t>
  </si>
  <si>
    <t>1.pilots - Helikoptera pilots (22.1 saime, IIIB. līmenis 14. mēnešalgas grupa) mēnešalga /166,92 h x patērētais laiks</t>
  </si>
  <si>
    <t>Atlīdzība (pilotiem)</t>
  </si>
  <si>
    <t>kods</t>
  </si>
  <si>
    <t>Izmaksu apjoms gadā viena maksas pakalpojuma veida nodrošināšanai</t>
  </si>
  <si>
    <t>Rādītājs (materiāla/izejvielas nosaukums, atlīdzība un citi izmaksu veidi)</t>
  </si>
  <si>
    <t>EKK</t>
  </si>
  <si>
    <t>Maksas pakalpojuma mērvienība –  viena stunda</t>
  </si>
  <si>
    <r>
      <t>4.</t>
    </r>
    <r>
      <rPr>
        <b/>
        <sz val="7"/>
        <rFont val="Times New Roman"/>
        <family val="1"/>
        <charset val="186"/>
      </rPr>
      <t xml:space="preserve">     </t>
    </r>
    <r>
      <rPr>
        <b/>
        <sz val="12"/>
        <rFont val="Times New Roman"/>
        <family val="1"/>
        <charset val="186"/>
      </rPr>
      <t>Gaisa kuģa AW119MKII izmantošana (gaidīšana starp lidojumiem uz zemes) - iesaistīšana publiskos pasākumos, kurus organizē privātpersona</t>
    </r>
  </si>
  <si>
    <t xml:space="preserve">Helikoptera amortizacija (vērtība 0 euro / 15 gadi / 365 dienas/ 24 stundas </t>
  </si>
  <si>
    <t>1.pilots - Helikoptera pilots (22.1 saime, IIIB. līmenis 14. mēnešalgas grupa) mēnešalga / 166,92 h x patērētais laiks</t>
  </si>
  <si>
    <r>
      <t>3.</t>
    </r>
    <r>
      <rPr>
        <b/>
        <sz val="7"/>
        <rFont val="Times New Roman"/>
        <family val="1"/>
        <charset val="186"/>
      </rPr>
      <t xml:space="preserve">     </t>
    </r>
    <r>
      <rPr>
        <b/>
        <sz val="12"/>
        <rFont val="Times New Roman"/>
        <family val="1"/>
        <charset val="186"/>
      </rPr>
      <t>Gaisa kuģa AB206B izmantošana (gaidīšana starp lidojumiem uz zemes) - iesaistīšana publiskos pasākumos, kurus organizē privātpersona</t>
    </r>
  </si>
  <si>
    <r>
      <t xml:space="preserve">Lidostas un aeronavigācijas pakalpojumi </t>
    </r>
    <r>
      <rPr>
        <i/>
        <sz val="11"/>
        <rFont val="Times New Roman"/>
        <family val="1"/>
        <charset val="186"/>
      </rPr>
      <t xml:space="preserve"> (nodrošina pasūtītājs)*</t>
    </r>
  </si>
  <si>
    <t>Kapteinis (2.cilv.)</t>
  </si>
  <si>
    <t xml:space="preserve">2.pilots - Helikoptera jaunākais pilots  (22.1 saime, IIB. līmenis 13. mēnešalgas grupa) mēnešalga /166,92 h × patērētais laiks     </t>
  </si>
  <si>
    <t xml:space="preserve">1.pilots - Helikoptera pilots (22.1 saime, IIIB. līmenis 14. mēnešalgas grupa) mēnešalga /166,92 h × patērētais laiks     </t>
  </si>
  <si>
    <t>Maksas pakalpojumu izcenojuma aprēķins</t>
  </si>
  <si>
    <t>2. pielikums</t>
  </si>
  <si>
    <t>EKK kods</t>
  </si>
  <si>
    <t>Lidostas un aeronavigācijas pakalpojumi  (nodrošina pasūtītājs )*</t>
  </si>
  <si>
    <t>piemaksa gaisa kuģa apkalpes loceklim × patērētais laiks</t>
  </si>
  <si>
    <r>
      <t xml:space="preserve">Lidostas un aeronavigācijas pakalpojumi  </t>
    </r>
    <r>
      <rPr>
        <i/>
        <sz val="11"/>
        <rFont val="Times New Roman"/>
        <family val="1"/>
        <charset val="186"/>
      </rPr>
      <t>(nodrošina pasūtītājs )*</t>
    </r>
  </si>
  <si>
    <r>
      <t xml:space="preserve">Apsargājamas stāvvietas helikopteram nodrošināšanu un citus pakalpojumus saistītus ar lidlauka infrastruktūras izmantošanu  (Maksimāla cena lidostas pakalpojumiem par vienu lidostas izmantošanas reizi – 250,00 EUR un par pakalpojumiem  12 % (250 euro + (250 euro * 12%) * 1.21=286.30 EUR </t>
    </r>
    <r>
      <rPr>
        <i/>
        <sz val="11"/>
        <rFont val="Times New Roman"/>
        <family val="1"/>
        <charset val="186"/>
      </rPr>
      <t>(nodrošina pasūtītājs )*</t>
    </r>
  </si>
  <si>
    <t>* Lidostas un aeronavigācijas un apsargājamas stāvvietas pakalpojumus nodrošina un apmaksa pasākuma organizators atbilstoši faktiskajai nepieciešamībai</t>
  </si>
  <si>
    <t>** Ieskaitot lidojumus līdz pasākuma vai dislokācijas vietai.</t>
  </si>
  <si>
    <t xml:space="preserve">5. Dokumentu tehniskā ekspertīze
</t>
  </si>
  <si>
    <t>Piezīmes:</t>
  </si>
  <si>
    <t>Atlīdzība (ekspertiem)</t>
  </si>
  <si>
    <t xml:space="preserve"> Biroja preces</t>
  </si>
  <si>
    <t>Datortehnika, sakaru un cita biroja tehnika</t>
  </si>
  <si>
    <t>Dokumentu tehniskā ekspertīze</t>
  </si>
  <si>
    <t>Atlīdzība (tehniskajam personālam)</t>
  </si>
  <si>
    <t xml:space="preserve"> Piemaksa par noteiktu funkciju un uzdevumu izpildi</t>
  </si>
  <si>
    <r>
      <t>PVN</t>
    </r>
    <r>
      <rPr>
        <b/>
        <vertAlign val="superscript"/>
        <sz val="11"/>
        <rFont val="Times New Roman"/>
        <family val="1"/>
        <charset val="186"/>
      </rPr>
      <t xml:space="preserve"> 4</t>
    </r>
    <r>
      <rPr>
        <b/>
        <sz val="11"/>
        <rFont val="Times New Roman"/>
        <family val="1"/>
        <charset val="186"/>
      </rPr>
      <t xml:space="preserve"> :</t>
    </r>
  </si>
  <si>
    <r>
      <t>4</t>
    </r>
    <r>
      <rPr>
        <sz val="12"/>
        <color theme="1"/>
        <rFont val="Times New Roman"/>
        <family val="1"/>
        <charset val="186"/>
      </rPr>
      <t xml:space="preserve"> PVN netiek piemērots saskaņā ar Pievienotās vērtības nodokļa likuma 3.panta astoto daļu</t>
    </r>
  </si>
  <si>
    <t>Dokumentu tehniskā ekspertīzea</t>
  </si>
  <si>
    <t>*** Ja pasākums paredz komandējumu, tad organizators sedz izdevumus, kas saistīti ar komandējumu un aprēķināti saskaņā ar normatīvajiem aktiem par kārtību, kādā atlīdzināmi ar komandējumiem saistītie izdevumi.</t>
  </si>
  <si>
    <r>
      <t>1.</t>
    </r>
    <r>
      <rPr>
        <b/>
        <sz val="7"/>
        <rFont val="Times New Roman"/>
        <family val="1"/>
        <charset val="186"/>
      </rPr>
      <t xml:space="preserve">     </t>
    </r>
    <r>
      <rPr>
        <b/>
        <sz val="12"/>
        <rFont val="Times New Roman"/>
        <family val="1"/>
        <charset val="186"/>
      </rPr>
      <t>Gaisa kuģa AB206B izmantošana (lidojumiem)</t>
    </r>
    <r>
      <rPr>
        <b/>
        <vertAlign val="superscript"/>
        <sz val="12"/>
        <rFont val="Times New Roman"/>
        <family val="1"/>
        <charset val="186"/>
      </rPr>
      <t>(** un ***)</t>
    </r>
    <r>
      <rPr>
        <b/>
        <sz val="12"/>
        <rFont val="Times New Roman"/>
        <family val="1"/>
        <charset val="186"/>
      </rPr>
      <t xml:space="preserve"> - iesaistīšana publiskos pasākumos, kurus organizē privātpersona</t>
    </r>
  </si>
  <si>
    <r>
      <t>2.</t>
    </r>
    <r>
      <rPr>
        <b/>
        <sz val="7"/>
        <rFont val="Times New Roman"/>
        <family val="1"/>
        <charset val="186"/>
      </rPr>
      <t xml:space="preserve">     </t>
    </r>
    <r>
      <rPr>
        <b/>
        <sz val="12"/>
        <rFont val="Times New Roman"/>
        <family val="1"/>
        <charset val="186"/>
      </rPr>
      <t xml:space="preserve">Gaisa kuģa AW119MKII izmantošana (lidojumiem) </t>
    </r>
    <r>
      <rPr>
        <b/>
        <vertAlign val="superscript"/>
        <sz val="12"/>
        <rFont val="Times New Roman"/>
        <family val="1"/>
        <charset val="186"/>
      </rPr>
      <t xml:space="preserve">(** un ***) </t>
    </r>
    <r>
      <rPr>
        <b/>
        <sz val="12"/>
        <rFont val="Times New Roman"/>
        <family val="1"/>
        <charset val="186"/>
      </rPr>
      <t>- iesaistīšana publiskos pasākumos, kurus organizē privātpersona</t>
    </r>
  </si>
  <si>
    <t>Iekārtas, inventāra un aparatūras remonts, tehniskā apkalpošana</t>
  </si>
  <si>
    <t xml:space="preserve">2024.gadā 14.decembrī Ministru kabinets atbalstīja grozījumus noteikumos par Iekšlietu ministrijas sistēmas iestāžu un Ieslodzījuma vietu pārvaldes amatpersonu ar speciālajām dienesta pakāpēm mēnešalgu un speciālo piemaksu noteikšanas kārtību un to apmēru, ar kuriem Iekšlietu ministrijas sistēmas iestāžu amatpersonām ar speciālajām dienesta pakāpēm paredzēta jauna speciālā piemaksa - piemaksa par noteiktu funkciju un uzdevumu izpildi, kā arī pārskatīta amatpersonu mēnešalgu skala, paaugstinot attiecīgajām mēnešalgu grupām noteiktos mēnešalgu minimālos un maksimālos apmērus. Samazinājums sakarā ar  aviācijas degvielas cenu samazināšanos.  </t>
  </si>
  <si>
    <t xml:space="preserve">2024.gadā 14.decembrī Ministru kabinets atbalstīja grozījumus noteikumos par Iekšlietu ministrijas sistēmas iestāžu un Ieslodzījuma vietu pārvaldes amatpersonu ar speciālajām dienesta pakāpēm mēnešalgu un speciālo piemaksu noteikšanas kārtību un to apmēru, ar kuriem Iekšlietu ministrijas sistēmas iestāžu amatpersonām ar speciālajām dienesta pakāpēm paredzēta jauna speciālā piemaksa - piemaksa par noteiktu funkciju un uzdevumu izpildi, kā arī pārskatīta amatpersonu mēnešalgu skala, paaugstinot attiecīgajām mēnešalgu grupām noteiktos mēnešalgu minimālos un maksimālos apmērus. </t>
  </si>
  <si>
    <t>1.pilots - Helikoptera pilots (22.1 saime, IIIB. līmenis 14. mēnešalgas grupa)  –  EUR  2610 / 165,5 h  x 2 (vidējā mēnešalga/vidējais darba stundu skaits mēnesī x piemaksa par virsstundu darbu (100%))</t>
  </si>
  <si>
    <t>2.pilots - Helikoptera jaunākais pilots  (22.1 saime, IIB. līmenis 13. mēnešalgas grupa)  –  EUR  2410/165,5 x 2 (vidējā mēnešalga/vidējais darba stundu skaits mēnesī x piemaksa par virsstundu darbu (100%))</t>
  </si>
  <si>
    <t>majors, piemaksa /165,5 h × patērētais laiks</t>
  </si>
  <si>
    <t>virsleitnants, piemaksa /165,5 h × patērētais laiks</t>
  </si>
  <si>
    <t>piemaksa par noteiktu funkciju un uzdevumu izpildi, 300 euro / 165,5 h x patērētais laiks</t>
  </si>
  <si>
    <t>vērtība × amort.%/12 mēneši /165,5 h × patērētais laiks</t>
  </si>
  <si>
    <t>mēnešalga /165,5 h × patērētais laiks</t>
  </si>
  <si>
    <t xml:space="preserve">mēnešalga /165,5 h × patērētais laiks     </t>
  </si>
  <si>
    <t>mēnešalga/165,5 h x patērētais laiks</t>
  </si>
  <si>
    <t>piemaksas /165,5 h × patērētais laiks</t>
  </si>
  <si>
    <t>1.pilots - Helikoptera pilots (22.1 saime, IIIB. līmenis 14. mēnešalgas grupa) mēnešalga / 165,5 h x patērētais laiks</t>
  </si>
  <si>
    <t>2.pilots - Helikoptera jaunākais pilots  (22.1 saime, IIB. līmenis 13. mēnešalgas grupa) mēnešalga / /165,5 h x patērētais laiks</t>
  </si>
  <si>
    <t>1.pilots - Helikoptera pilots (22.1 saime, IIIB. līmenis 14. mēnešalgas grupa)  –  EUR  2610 / 165,5 x 2 (vidējā mēnešalga/vidējais darba stundu skaits mēnesī x piemaksa par virsstundu darbu (100%))  = EUR 31.53</t>
  </si>
  <si>
    <t>2.pilots - Helikoptera jaunākais pilots  (22.1 saime, IIB. līmenis 13. mēnešalgas grupa)  –  EUR  2410/165,5 x 2 (vidējā mēnešalga/vidējais darba stundu skaits mēnesī x piemaksa par virsstundu darbu (100%))  = EUR 29.11</t>
  </si>
  <si>
    <t>Speciālo iekārtu nolietojums:
Regula 4305DMH ar dokumentu paraugu informācijas sistēmu – 18790,09 euro /5 gadi lietošanas laiks/12 mēn. = 313,17 euro/165,5 h (vidējais darba stundu skaits mēnesī)</t>
  </si>
  <si>
    <t xml:space="preserve">Printeris – vērtība 500,31 euro x 35% nolietojums gadā/12 mēn. = 14,59 euro/165,5 h  (vidējais darba stundu skaits mēnesī) </t>
  </si>
  <si>
    <t>Video spektrālais komparators VSC-8000 – vērtība  101385,90 euro /5 gadi lietošanas laiks/12 mēn. = 1689,77 euro/165,5 h vidējais darba stundu skaits mēnesī)</t>
  </si>
  <si>
    <t xml:space="preserve">Stereomikroskops Leica M80 ar digitālo videokameru Leica DMC2900 – vērtība 14244,12 euro/5 gadi lietošanas laiks/12 mēn. = 237,40 euro/165,5 h  (vidējais darba stundu skaits mēnesī) </t>
  </si>
  <si>
    <t>Skeneris – vērtība 554 euro/5gadi lietošanas laiks/12 mēn. = 9,23 euro /165,5 h (vidējais darba stundu skaits mēnesī)</t>
  </si>
  <si>
    <t>Eiropas Savienības ekspertu apmācības dienas:  714,28 euro/1986 h (vidējais darba stundu skaits gadā) x 1 h (pakalpojuma sniegšanai paredzētais darba laiks stundās)</t>
  </si>
  <si>
    <t>Datortehnikas un iekārtu apkopes vidējās gada izmaksas:
dators –  79,83 euro
monitors –  40,02 euro
UPS – 79,83 euro
skeneris – 40,02 euro
Kopā gadā 239,70 euro/1986h (vidējais darba stundu skaits gadā)x1h (pakalpojuma sniegšanai paredzētais darba laiks stundās)</t>
  </si>
  <si>
    <t>Veiktās ekspertīzes informācijas un attēlu saglabāšana  arhīvā DVD (2x) – 3,84 euro x 2=7,68 euro gadā /1986 h (vidējais darba stundu skaits gadā) x1h (pakalpojuma sniegšanai paredzētais darba laiks stundās)</t>
  </si>
  <si>
    <t>Toneri:
Canon (42,30 euro x 12mēn.=507,60 euro gadā); Laser Jet (346,87 euro x 12 mēn.=4162,44 euro gadā); HP Deskjet (44,08 euro x 12 mēn. = 528,96 euro gadā)  Kopā: 5199 euro/1986 h (vidējais darba stundu skaits gadā) x 1h (pakalpojuma sniegšanai paredzētais darba laiks stundās)</t>
  </si>
  <si>
    <t>Papīrs 3,68 euro x 10 pakas = 36,80 euro gadā /1986 h (vidējais darba stundu skaits gadā) x 1 h (pakalpojuma sniegšanai paredzētais darba laiks stundās)</t>
  </si>
  <si>
    <r>
      <t>Eksperta</t>
    </r>
    <r>
      <rPr>
        <vertAlign val="superscript"/>
        <sz val="11"/>
        <rFont val="Times New Roman"/>
        <family val="1"/>
        <charset val="186"/>
      </rPr>
      <t>1</t>
    </r>
    <r>
      <rPr>
        <sz val="11"/>
        <rFont val="Times New Roman"/>
        <family val="1"/>
        <charset val="186"/>
      </rPr>
      <t xml:space="preserve">  (25.saime, 13.mēnešalgu grupa, III līmenis) mēnešalga – 3255 euro/165,5 h (vidējais darba stundu skaits mēnesī) × patērētais laiks   </t>
    </r>
  </si>
  <si>
    <r>
      <t>Eksperta</t>
    </r>
    <r>
      <rPr>
        <vertAlign val="superscript"/>
        <sz val="11"/>
        <rFont val="Times New Roman"/>
        <family val="1"/>
        <charset val="186"/>
      </rPr>
      <t>1</t>
    </r>
    <r>
      <rPr>
        <sz val="11"/>
        <rFont val="Times New Roman"/>
        <family val="1"/>
        <charset val="186"/>
      </rPr>
      <t xml:space="preserve"> piemaksa par speciālo dienesta pakāpi –  (pulkvežleitnants) 120 euro/165,5 h (vidējais darba stundu skaits mēnesī)</t>
    </r>
  </si>
  <si>
    <r>
      <t>Piemaksa</t>
    </r>
    <r>
      <rPr>
        <vertAlign val="superscript"/>
        <sz val="11"/>
        <rFont val="Times New Roman"/>
        <family val="1"/>
        <charset val="186"/>
      </rPr>
      <t>1</t>
    </r>
    <r>
      <rPr>
        <sz val="11"/>
        <rFont val="Times New Roman"/>
        <family val="1"/>
        <charset val="186"/>
      </rPr>
      <t xml:space="preserve"> par noteiktu funkciju un uzdevumu izpildi, 300 euro / 165,5 h x patērētais laiks</t>
    </r>
  </si>
  <si>
    <r>
      <t>Pārvaldes priekšnieka</t>
    </r>
    <r>
      <rPr>
        <vertAlign val="superscript"/>
        <sz val="11"/>
        <rFont val="Times New Roman"/>
        <family val="1"/>
        <charset val="186"/>
      </rPr>
      <t>3</t>
    </r>
    <r>
      <rPr>
        <sz val="11"/>
        <rFont val="Times New Roman"/>
        <family val="1"/>
        <charset val="186"/>
      </rPr>
      <t xml:space="preserve"> (1.saime, 16.mēnešalgu grupa, VII līmenis) mēnešalga 4830 euro/165,5 h (vidējais darba stundu skaits mēnesī) /60 min. x 3 min. rēķina parakstīšanai </t>
    </r>
  </si>
  <si>
    <r>
      <t>Grāmatvedības darbinieka</t>
    </r>
    <r>
      <rPr>
        <vertAlign val="superscript"/>
        <sz val="11"/>
        <rFont val="Times New Roman"/>
        <family val="1"/>
        <charset val="186"/>
      </rPr>
      <t>2</t>
    </r>
    <r>
      <rPr>
        <sz val="11"/>
        <rFont val="Times New Roman"/>
        <family val="1"/>
        <charset val="186"/>
      </rPr>
      <t xml:space="preserve"> (17.saime, 8.mēnešalgu grupa, III līmenis) mēnešalga 1160 euro/165,5 h (vidējais darba stundu skaits mēnesī) / 60 min.  x 5 min. rēķina izrakstīšanai</t>
    </r>
  </si>
  <si>
    <t>Darba devēja valsts sociālās apdrošināšanas obligātās iemaksas, pabalsti un kompensācijas+B514:L515</t>
  </si>
  <si>
    <r>
      <t>Pārvaldes priekšnieka</t>
    </r>
    <r>
      <rPr>
        <vertAlign val="superscript"/>
        <sz val="11"/>
        <rFont val="Times New Roman"/>
        <family val="1"/>
        <charset val="186"/>
      </rPr>
      <t>3</t>
    </r>
    <r>
      <rPr>
        <sz val="11"/>
        <rFont val="Times New Roman"/>
        <family val="1"/>
        <charset val="186"/>
      </rPr>
      <t xml:space="preserve"> piemaksa par speciālo dienesta pakāpi (ģenerālis) 170 euro /165,5 h (vidējais darba stundu skaits mēnesī)  / 60 min. x 3 min. rēķina parakstīšanai (patērētais laiks)</t>
    </r>
  </si>
  <si>
    <r>
      <t>Piemaksa</t>
    </r>
    <r>
      <rPr>
        <vertAlign val="superscript"/>
        <sz val="11"/>
        <rFont val="Times New Roman"/>
        <family val="1"/>
        <charset val="186"/>
      </rPr>
      <t>3</t>
    </r>
    <r>
      <rPr>
        <sz val="11"/>
        <rFont val="Times New Roman"/>
        <family val="1"/>
        <charset val="186"/>
      </rPr>
      <t xml:space="preserve"> par noteiktu funkciju un uzdevumu izpildi, 300 euro / 165,5 h x patērētais laiks</t>
    </r>
  </si>
  <si>
    <r>
      <t>1</t>
    </r>
    <r>
      <rPr>
        <sz val="12"/>
        <color theme="1"/>
        <rFont val="Times New Roman"/>
        <family val="1"/>
        <charset val="186"/>
      </rPr>
      <t xml:space="preserve"> Saskaņā ar Ministru kabineta 2016.gada 13.decembra noteikumiem Nr.810 ,,Noteikumi par Iekšlietu ministrijas sistēmas iestāžu un Ieslodzījuma vietu pārvaldes amatpersonu ar speciālajām dienesta pakāpēm amatu klasifikāciju” (turpmāk – MK noteikumi Nr.810) Valsts robežsardzes ekspertam – augstākais amata līmenis III. Saskaņā ar Ministru kabineta 2016.gada 13.decembra noteikumiem Nr.806 „Noteikumi par Iekšlietu ministrijas sistēmas iestāžu un Ieslodzījuma vietu pārvaldes amatpersonu ar speciālajām dienesta pakāpēm mēnešalgu un speciālo piemaksu noteikšanas kārtību un to apmēru” (turpmāk – MK noteikumi Nr.806) Valsts robežsardzes ekspertam noteiktā mēnešalga pārsniedz mēnešalgu skalas intervāla minimumu.</t>
    </r>
  </si>
  <si>
    <r>
      <t xml:space="preserve">2 </t>
    </r>
    <r>
      <rPr>
        <sz val="12"/>
        <color theme="1"/>
        <rFont val="Times New Roman"/>
        <family val="1"/>
        <charset val="186"/>
      </rPr>
      <t>Saskaņā ar Ministru kabineta 2022. gada 21. jūnijā  noteikumiem Nr.361 "Noteikumi par valsts un pašvaldību institūciju amatpersonu un darbinieku darba samaksu un tās noteikšanas kārtību”. Valsts robežsardzes Galvenās pārvaldes Finanšu pārvaldes Norēķinu nodaļas vecākā grāmatveža noteiktā mēnešalgas nav zemākas kā nodarbinātajam atbilstošās mēnešalgu grupas 2025.gada intervāla minimums.</t>
    </r>
  </si>
  <si>
    <r>
      <t>3</t>
    </r>
    <r>
      <rPr>
        <sz val="12"/>
        <color theme="1"/>
        <rFont val="Times New Roman"/>
        <family val="1"/>
        <charset val="186"/>
      </rPr>
      <t xml:space="preserve"> Saskaņā ar MK noteikumiem Nr.810 Valsts robežsardzes priekšnieka vietniekam (Galvenās pārvaldes priekšniekam) – augstākais amata līmenis VII. Saskaņā ar MK noteikumiem Nr.806 Valsts robežsardzes priekšnieka vietniekam (Galvenās pārvaldes priekšniekam) noteiktā mēnešalga pārsniedz mēnešalgu skalas intervāla minimumu.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</si>
</sst>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9" x14ac:knownFonts="1">
    <font>
      <sz val="11"/>
      <color theme="1"/>
      <name val="Calibri"/>
      <family val="2"/>
      <charset val="186"/>
      <scheme val="minor"/>
    </font>
    <font>
      <b/>
      <sz val="14"/>
      <color theme="1"/>
      <name val="Times New Roman"/>
      <family val="1"/>
      <charset val="186"/>
    </font>
    <font>
      <sz val="9"/>
      <color theme="1"/>
      <name val="Times New Roman"/>
      <family val="1"/>
      <charset val="186"/>
    </font>
    <font>
      <sz val="11"/>
      <color theme="1"/>
      <name val="Times New Roman"/>
      <family val="1"/>
      <charset val="186"/>
    </font>
    <font>
      <sz val="12"/>
      <color theme="1"/>
      <name val="Times New Roman"/>
      <family val="1"/>
      <charset val="186"/>
    </font>
    <font>
      <sz val="10"/>
      <color theme="1"/>
      <name val="Times New Roman"/>
      <family val="1"/>
      <charset val="186"/>
    </font>
    <font>
      <sz val="8"/>
      <color theme="1"/>
      <name val="Times New Roman"/>
      <family val="1"/>
      <charset val="186"/>
    </font>
    <font>
      <b/>
      <sz val="8"/>
      <color theme="1"/>
      <name val="Times New Roman"/>
      <family val="1"/>
      <charset val="186"/>
    </font>
    <font>
      <sz val="10"/>
      <name val="Times New Roman"/>
      <family val="1"/>
      <charset val="186"/>
    </font>
    <font>
      <u/>
      <sz val="11"/>
      <color theme="10"/>
      <name val="Calibri"/>
      <family val="2"/>
      <charset val="186"/>
      <scheme val="minor"/>
    </font>
    <font>
      <u/>
      <sz val="11"/>
      <color theme="10"/>
      <name val="Times New Roman"/>
      <family val="1"/>
      <charset val="186"/>
    </font>
    <font>
      <b/>
      <sz val="12"/>
      <color rgb="FF000000"/>
      <name val="Times New Roman"/>
      <family val="1"/>
      <charset val="186"/>
    </font>
    <font>
      <b/>
      <sz val="12"/>
      <color theme="1"/>
      <name val="Times New Roman"/>
      <family val="1"/>
      <charset val="186"/>
    </font>
    <font>
      <sz val="12"/>
      <color theme="1"/>
      <name val="Calibri"/>
      <family val="2"/>
      <charset val="186"/>
      <scheme val="minor"/>
    </font>
    <font>
      <i/>
      <sz val="10"/>
      <name val="Times New Roman"/>
      <family val="1"/>
      <charset val="186"/>
    </font>
    <font>
      <b/>
      <sz val="11"/>
      <color theme="1"/>
      <name val="Times New Roman"/>
      <family val="1"/>
      <charset val="186"/>
    </font>
    <font>
      <sz val="11"/>
      <color rgb="FF000000"/>
      <name val="Times New Roman"/>
      <family val="1"/>
      <charset val="186"/>
    </font>
    <font>
      <i/>
      <sz val="11"/>
      <color rgb="FF000000"/>
      <name val="Times New Roman"/>
      <family val="1"/>
      <charset val="186"/>
    </font>
    <font>
      <sz val="11"/>
      <name val="Times New Roman"/>
      <family val="1"/>
    </font>
    <font>
      <sz val="11"/>
      <name val="Times New Roman"/>
      <family val="1"/>
      <charset val="186"/>
    </font>
    <font>
      <b/>
      <sz val="10"/>
      <name val="Times New Roman"/>
      <family val="1"/>
      <charset val="186"/>
    </font>
    <font>
      <i/>
      <sz val="8"/>
      <color rgb="FF000000"/>
      <name val="Times New Roman"/>
      <family val="1"/>
      <charset val="186"/>
    </font>
    <font>
      <i/>
      <sz val="8"/>
      <color theme="1"/>
      <name val="Times New Roman"/>
      <family val="1"/>
      <charset val="186"/>
    </font>
    <font>
      <sz val="11"/>
      <color rgb="FFFF0000"/>
      <name val="Calibri"/>
      <family val="2"/>
      <charset val="186"/>
      <scheme val="minor"/>
    </font>
    <font>
      <b/>
      <sz val="11"/>
      <name val="Times New Roman"/>
      <family val="1"/>
      <charset val="186"/>
    </font>
    <font>
      <sz val="11"/>
      <name val="Calibri"/>
      <family val="2"/>
      <charset val="186"/>
      <scheme val="minor"/>
    </font>
    <font>
      <sz val="11"/>
      <color indexed="8"/>
      <name val="Calibri"/>
      <family val="2"/>
      <charset val="186"/>
    </font>
    <font>
      <sz val="10"/>
      <color indexed="8"/>
      <name val="Times New Roman"/>
      <family val="1"/>
      <charset val="186"/>
    </font>
    <font>
      <i/>
      <sz val="8"/>
      <name val="Times New Roman"/>
      <family val="1"/>
      <charset val="186"/>
    </font>
    <font>
      <b/>
      <sz val="12"/>
      <name val="Times New Roman"/>
      <family val="1"/>
      <charset val="186"/>
    </font>
    <font>
      <b/>
      <sz val="7"/>
      <name val="Times New Roman"/>
      <family val="1"/>
      <charset val="186"/>
    </font>
    <font>
      <i/>
      <sz val="11"/>
      <name val="Times New Roman"/>
      <family val="1"/>
      <charset val="186"/>
    </font>
    <font>
      <sz val="14"/>
      <name val="Times New Roman"/>
      <family val="1"/>
      <charset val="186"/>
    </font>
    <font>
      <sz val="8"/>
      <color theme="1"/>
      <name val="Calibri"/>
      <family val="2"/>
      <charset val="186"/>
      <scheme val="minor"/>
    </font>
    <font>
      <sz val="14"/>
      <color theme="1"/>
      <name val="Times New Roman"/>
      <family val="1"/>
      <charset val="186"/>
    </font>
    <font>
      <vertAlign val="superscript"/>
      <sz val="12"/>
      <color theme="1"/>
      <name val="Times New Roman"/>
      <family val="1"/>
      <charset val="186"/>
    </font>
    <font>
      <vertAlign val="superscript"/>
      <sz val="11"/>
      <name val="Times New Roman"/>
      <family val="1"/>
      <charset val="186"/>
    </font>
    <font>
      <b/>
      <vertAlign val="superscript"/>
      <sz val="11"/>
      <name val="Times New Roman"/>
      <family val="1"/>
      <charset val="186"/>
    </font>
    <font>
      <b/>
      <vertAlign val="superscript"/>
      <sz val="12"/>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rgb="FFBFBFBF"/>
        <bgColor indexed="64"/>
      </patternFill>
    </fill>
    <fill>
      <patternFill patternType="solid">
        <fgColor rgb="FFF2F2F2"/>
        <bgColor indexed="64"/>
      </patternFill>
    </fill>
    <fill>
      <patternFill patternType="solid">
        <fgColor rgb="FFF8CBAD"/>
        <bgColor indexed="64"/>
      </patternFill>
    </fill>
    <fill>
      <patternFill patternType="solid">
        <fgColor rgb="FFC6E0B4"/>
        <bgColor indexed="64"/>
      </patternFill>
    </fill>
    <fill>
      <patternFill patternType="solid">
        <fgColor rgb="FFD9D9D9"/>
        <bgColor indexed="64"/>
      </patternFill>
    </fill>
    <fill>
      <patternFill patternType="solid">
        <fgColor rgb="FFBDD7EE"/>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9" fillId="0" borderId="0" applyNumberFormat="0" applyFill="0" applyBorder="0" applyAlignment="0" applyProtection="0"/>
    <xf numFmtId="0" fontId="26" fillId="0" borderId="0"/>
  </cellStyleXfs>
  <cellXfs count="280">
    <xf numFmtId="0" fontId="0" fillId="0" borderId="0" xfId="0"/>
    <xf numFmtId="0" fontId="3" fillId="0" borderId="0" xfId="0" applyFont="1"/>
    <xf numFmtId="0" fontId="2" fillId="0" borderId="0" xfId="0" applyFont="1"/>
    <xf numFmtId="2" fontId="0" fillId="0" borderId="0" xfId="0" applyNumberFormat="1"/>
    <xf numFmtId="0" fontId="5" fillId="0" borderId="0" xfId="0" applyFont="1"/>
    <xf numFmtId="0" fontId="6" fillId="0" borderId="0" xfId="0" applyFont="1"/>
    <xf numFmtId="0" fontId="1" fillId="0" borderId="0" xfId="0" applyFont="1" applyAlignment="1">
      <alignment horizontal="center" vertical="center"/>
    </xf>
    <xf numFmtId="0" fontId="6" fillId="0" borderId="0" xfId="0" applyFont="1" applyAlignment="1">
      <alignment horizontal="center"/>
    </xf>
    <xf numFmtId="0" fontId="7" fillId="0" borderId="0" xfId="0" applyFont="1" applyAlignment="1">
      <alignment horizontal="center" vertical="center"/>
    </xf>
    <xf numFmtId="0" fontId="4" fillId="0" borderId="0" xfId="0" applyFont="1"/>
    <xf numFmtId="0" fontId="4" fillId="0" borderId="0" xfId="0" applyFont="1" applyAlignment="1">
      <alignment horizontal="center"/>
    </xf>
    <xf numFmtId="0" fontId="10" fillId="0" borderId="0" xfId="1" applyFont="1"/>
    <xf numFmtId="0" fontId="11" fillId="0" borderId="1"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xf numFmtId="0" fontId="8" fillId="0" borderId="1" xfId="0" applyFont="1" applyBorder="1" applyAlignment="1">
      <alignment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2" fontId="8" fillId="0" borderId="1" xfId="0" applyNumberFormat="1" applyFont="1" applyBorder="1" applyAlignment="1">
      <alignment horizontal="center"/>
    </xf>
    <xf numFmtId="0" fontId="3" fillId="0" borderId="1" xfId="0" applyFont="1" applyBorder="1"/>
    <xf numFmtId="0" fontId="0" fillId="0" borderId="0" xfId="0" applyFont="1" applyAlignment="1">
      <alignment horizontal="center"/>
    </xf>
    <xf numFmtId="0" fontId="0" fillId="0" borderId="0" xfId="0" applyFont="1"/>
    <xf numFmtId="0" fontId="3" fillId="0" borderId="0" xfId="0" applyFont="1" applyAlignment="1">
      <alignment horizontal="center" vertical="center"/>
    </xf>
    <xf numFmtId="0" fontId="16" fillId="0" borderId="1" xfId="0" applyFont="1" applyBorder="1" applyAlignment="1">
      <alignment horizontal="center" vertical="center" wrapText="1"/>
    </xf>
    <xf numFmtId="0" fontId="18" fillId="0" borderId="1" xfId="0" applyFont="1" applyFill="1" applyBorder="1" applyAlignment="1">
      <alignment horizontal="left" vertical="center" wrapText="1"/>
    </xf>
    <xf numFmtId="4" fontId="16" fillId="0" borderId="1" xfId="0" applyNumberFormat="1" applyFont="1" applyBorder="1" applyAlignment="1">
      <alignment horizontal="center" vertical="center" wrapText="1"/>
    </xf>
    <xf numFmtId="0" fontId="0" fillId="0" borderId="1" xfId="0" applyFont="1" applyBorder="1" applyAlignment="1">
      <alignment horizontal="center"/>
    </xf>
    <xf numFmtId="0" fontId="0" fillId="0" borderId="1" xfId="0" applyFont="1" applyBorder="1"/>
    <xf numFmtId="0" fontId="0" fillId="2" borderId="0" xfId="0" applyFont="1" applyFill="1"/>
    <xf numFmtId="0" fontId="3" fillId="2" borderId="0" xfId="0" applyFont="1" applyFill="1"/>
    <xf numFmtId="0" fontId="16" fillId="2" borderId="1" xfId="0" applyFont="1" applyFill="1" applyBorder="1" applyAlignment="1">
      <alignment horizontal="center" vertical="center" wrapText="1"/>
    </xf>
    <xf numFmtId="4" fontId="16" fillId="2" borderId="1" xfId="0" applyNumberFormat="1" applyFont="1" applyFill="1" applyBorder="1" applyAlignment="1">
      <alignment horizontal="center" vertical="center" wrapText="1"/>
    </xf>
    <xf numFmtId="0" fontId="0" fillId="2" borderId="1" xfId="0" applyFont="1" applyFill="1" applyBorder="1"/>
    <xf numFmtId="0" fontId="2" fillId="0" borderId="1" xfId="0" applyFont="1" applyBorder="1"/>
    <xf numFmtId="0" fontId="5" fillId="0" borderId="1" xfId="0" applyFont="1" applyBorder="1" applyAlignment="1">
      <alignment horizontal="center"/>
    </xf>
    <xf numFmtId="4" fontId="19" fillId="2"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0" fontId="1" fillId="0" borderId="0" xfId="0" applyFont="1" applyBorder="1" applyAlignment="1">
      <alignment horizontal="center" vertical="center"/>
    </xf>
    <xf numFmtId="0" fontId="8" fillId="0" borderId="3" xfId="0" applyFont="1" applyBorder="1" applyAlignment="1">
      <alignment wrapText="1"/>
    </xf>
    <xf numFmtId="0" fontId="3" fillId="0" borderId="0" xfId="0" applyFont="1" applyAlignment="1">
      <alignment vertical="top"/>
    </xf>
    <xf numFmtId="2" fontId="20" fillId="0" borderId="1" xfId="0" applyNumberFormat="1" applyFont="1" applyBorder="1" applyAlignment="1">
      <alignment horizontal="center"/>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3" fontId="3" fillId="2" borderId="1" xfId="0" applyNumberFormat="1" applyFont="1" applyFill="1" applyBorder="1" applyAlignment="1">
      <alignment horizontal="center"/>
    </xf>
    <xf numFmtId="0" fontId="0" fillId="0" borderId="0" xfId="0" applyAlignment="1">
      <alignment vertical="center" wrapText="1"/>
    </xf>
    <xf numFmtId="4" fontId="0" fillId="0" borderId="0" xfId="0" applyNumberFormat="1" applyAlignment="1">
      <alignment vertical="center" wrapText="1"/>
    </xf>
    <xf numFmtId="0" fontId="0" fillId="0" borderId="0" xfId="0" applyFont="1" applyAlignment="1">
      <alignment vertical="center" wrapText="1"/>
    </xf>
    <xf numFmtId="0" fontId="25" fillId="0" borderId="0" xfId="0" applyFont="1"/>
    <xf numFmtId="0" fontId="0" fillId="0" borderId="0" xfId="0" applyFill="1"/>
    <xf numFmtId="0" fontId="25" fillId="0" borderId="0" xfId="0" applyFont="1" applyAlignment="1">
      <alignment vertical="center"/>
    </xf>
    <xf numFmtId="164" fontId="0" fillId="0" borderId="0" xfId="0" applyNumberFormat="1"/>
    <xf numFmtId="0" fontId="29" fillId="0" borderId="0" xfId="0" applyFont="1" applyAlignment="1">
      <alignment horizontal="justify" vertical="center"/>
    </xf>
    <xf numFmtId="0" fontId="24" fillId="0" borderId="0" xfId="0" applyFont="1" applyBorder="1" applyAlignment="1">
      <alignment vertical="center"/>
    </xf>
    <xf numFmtId="0" fontId="24" fillId="0" borderId="0" xfId="0" applyFont="1" applyBorder="1" applyAlignment="1">
      <alignment horizontal="left" vertical="top"/>
    </xf>
    <xf numFmtId="0" fontId="29" fillId="0" borderId="0" xfId="0" applyFont="1" applyAlignment="1">
      <alignment horizontal="left" vertical="center"/>
    </xf>
    <xf numFmtId="0" fontId="25" fillId="0" borderId="0" xfId="0" applyFont="1" applyAlignment="1">
      <alignment vertical="center" wrapText="1"/>
    </xf>
    <xf numFmtId="0" fontId="32" fillId="0" borderId="0" xfId="0" applyFont="1" applyAlignment="1">
      <alignment vertical="center"/>
    </xf>
    <xf numFmtId="0" fontId="0" fillId="0" borderId="0" xfId="0" applyAlignment="1">
      <alignment horizontal="center"/>
    </xf>
    <xf numFmtId="0" fontId="3" fillId="0" borderId="0" xfId="0" applyFont="1" applyAlignment="1">
      <alignment vertical="top" wrapText="1"/>
    </xf>
    <xf numFmtId="0" fontId="0" fillId="0" borderId="0" xfId="0" applyFill="1" applyBorder="1" applyAlignment="1">
      <alignment vertical="center" wrapText="1"/>
    </xf>
    <xf numFmtId="0" fontId="0" fillId="0" borderId="0" xfId="0" applyFill="1" applyBorder="1" applyAlignment="1">
      <alignment vertical="center"/>
    </xf>
    <xf numFmtId="0" fontId="23" fillId="0" borderId="0" xfId="0" applyFont="1" applyFill="1" applyBorder="1" applyAlignment="1">
      <alignment vertical="center"/>
    </xf>
    <xf numFmtId="0" fontId="23" fillId="0" borderId="0" xfId="0" applyFont="1" applyFill="1" applyBorder="1" applyAlignment="1">
      <alignment horizontal="left" vertical="center"/>
    </xf>
    <xf numFmtId="0" fontId="24" fillId="3" borderId="1" xfId="0" applyFont="1" applyFill="1" applyBorder="1" applyAlignment="1">
      <alignment horizontal="center" vertical="center" wrapText="1"/>
    </xf>
    <xf numFmtId="0" fontId="28" fillId="0" borderId="1" xfId="0" applyFont="1" applyBorder="1" applyAlignment="1">
      <alignment horizontal="center" vertical="center"/>
    </xf>
    <xf numFmtId="0" fontId="19" fillId="8" borderId="1" xfId="0" applyFont="1" applyFill="1" applyBorder="1" applyAlignment="1">
      <alignment vertical="center"/>
    </xf>
    <xf numFmtId="0" fontId="24" fillId="0" borderId="1" xfId="0" applyFont="1" applyBorder="1" applyAlignment="1">
      <alignment vertical="center"/>
    </xf>
    <xf numFmtId="0" fontId="24" fillId="0" borderId="1" xfId="0" applyFont="1" applyBorder="1" applyAlignment="1">
      <alignment horizontal="center" vertical="center"/>
    </xf>
    <xf numFmtId="0" fontId="19" fillId="0" borderId="1" xfId="0" applyFont="1" applyBorder="1" applyAlignment="1">
      <alignment vertical="center"/>
    </xf>
    <xf numFmtId="0" fontId="19" fillId="0" borderId="1" xfId="0" applyFont="1" applyBorder="1" applyAlignment="1">
      <alignment vertical="center" wrapText="1"/>
    </xf>
    <xf numFmtId="0" fontId="19" fillId="0" borderId="1" xfId="0" applyFont="1" applyFill="1" applyBorder="1" applyAlignment="1">
      <alignment horizontal="right" vertical="center"/>
    </xf>
    <xf numFmtId="0" fontId="19" fillId="0" borderId="1" xfId="0" applyFont="1" applyFill="1" applyBorder="1" applyAlignment="1">
      <alignment vertical="center" wrapText="1"/>
    </xf>
    <xf numFmtId="0" fontId="25" fillId="0" borderId="1" xfId="0" applyFont="1" applyBorder="1"/>
    <xf numFmtId="0" fontId="19" fillId="0" borderId="1" xfId="0" applyFont="1" applyFill="1" applyBorder="1" applyAlignment="1">
      <alignment vertical="center"/>
    </xf>
    <xf numFmtId="0" fontId="19" fillId="0" borderId="1" xfId="0" applyFont="1" applyBorder="1" applyAlignment="1">
      <alignment horizontal="right" vertical="center"/>
    </xf>
    <xf numFmtId="0" fontId="19" fillId="7" borderId="1" xfId="0" applyFont="1" applyFill="1" applyBorder="1" applyAlignment="1">
      <alignment horizontal="center" vertical="center" wrapText="1"/>
    </xf>
    <xf numFmtId="0" fontId="19" fillId="0" borderId="1" xfId="0" applyFont="1" applyFill="1" applyBorder="1" applyAlignment="1">
      <alignment horizontal="center" vertical="center" wrapText="1"/>
    </xf>
    <xf numFmtId="9" fontId="19" fillId="0" borderId="1" xfId="0" applyNumberFormat="1" applyFont="1" applyFill="1" applyBorder="1" applyAlignment="1">
      <alignment horizontal="center" vertical="center" wrapText="1"/>
    </xf>
    <xf numFmtId="0" fontId="19" fillId="0" borderId="1" xfId="0" applyFont="1" applyBorder="1" applyAlignment="1">
      <alignment horizontal="center" vertical="center"/>
    </xf>
    <xf numFmtId="0" fontId="24" fillId="3" borderId="4" xfId="0" applyFont="1" applyFill="1" applyBorder="1" applyAlignment="1">
      <alignment horizontal="center" vertical="center" wrapText="1"/>
    </xf>
    <xf numFmtId="0" fontId="0" fillId="0" borderId="0" xfId="0" applyBorder="1" applyAlignment="1">
      <alignment vertical="center" wrapText="1"/>
    </xf>
    <xf numFmtId="4" fontId="27" fillId="0" borderId="7" xfId="2" applyNumberFormat="1" applyFont="1" applyFill="1" applyBorder="1" applyAlignment="1">
      <alignment horizontal="right" vertical="center"/>
    </xf>
    <xf numFmtId="0" fontId="25" fillId="0" borderId="0" xfId="0" applyFont="1" applyBorder="1" applyAlignment="1">
      <alignment vertical="center" wrapText="1"/>
    </xf>
    <xf numFmtId="0" fontId="25" fillId="0" borderId="0" xfId="0" applyFont="1" applyBorder="1" applyAlignment="1">
      <alignment vertical="top"/>
    </xf>
    <xf numFmtId="0" fontId="0" fillId="0" borderId="0" xfId="0" applyBorder="1" applyAlignment="1">
      <alignment vertical="top"/>
    </xf>
    <xf numFmtId="0" fontId="19" fillId="6" borderId="1" xfId="0" applyFont="1" applyFill="1" applyBorder="1" applyAlignment="1">
      <alignment vertical="center"/>
    </xf>
    <xf numFmtId="0" fontId="25" fillId="0" borderId="1" xfId="0" applyFont="1" applyBorder="1" applyAlignment="1">
      <alignment vertical="center"/>
    </xf>
    <xf numFmtId="0" fontId="33" fillId="0" borderId="0" xfId="0" applyFont="1"/>
    <xf numFmtId="0" fontId="4" fillId="0" borderId="0" xfId="0" applyFont="1" applyAlignment="1">
      <alignment horizontal="left" vertical="top" wrapText="1"/>
    </xf>
    <xf numFmtId="0" fontId="4" fillId="0" borderId="0" xfId="0" applyFont="1" applyAlignment="1">
      <alignment vertical="center"/>
    </xf>
    <xf numFmtId="0" fontId="34" fillId="0" borderId="0" xfId="0" applyFont="1"/>
    <xf numFmtId="0" fontId="19" fillId="2" borderId="1" xfId="0" applyFont="1" applyFill="1" applyBorder="1" applyAlignment="1">
      <alignment vertical="center" wrapText="1"/>
    </xf>
    <xf numFmtId="0" fontId="19" fillId="2" borderId="1" xfId="0" applyFont="1" applyFill="1" applyBorder="1" applyAlignment="1">
      <alignment vertical="center"/>
    </xf>
    <xf numFmtId="0" fontId="0" fillId="2" borderId="0" xfId="0" applyFill="1" applyBorder="1" applyAlignment="1">
      <alignment vertical="center"/>
    </xf>
    <xf numFmtId="0" fontId="0" fillId="2" borderId="0" xfId="0" applyFill="1"/>
    <xf numFmtId="0" fontId="19" fillId="0" borderId="1" xfId="0" applyFont="1" applyFill="1" applyBorder="1" applyAlignment="1">
      <alignment vertical="center" wrapText="1"/>
    </xf>
    <xf numFmtId="0" fontId="19" fillId="0" borderId="1" xfId="0" applyFont="1" applyFill="1" applyBorder="1" applyAlignment="1">
      <alignment vertical="center" wrapText="1"/>
    </xf>
    <xf numFmtId="0" fontId="11" fillId="0" borderId="1" xfId="0" applyFont="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vertical="center" wrapText="1"/>
    </xf>
    <xf numFmtId="0" fontId="19" fillId="0" borderId="1" xfId="0" applyFont="1" applyBorder="1" applyAlignment="1">
      <alignment vertical="center"/>
    </xf>
    <xf numFmtId="0" fontId="19" fillId="0" borderId="1" xfId="0" applyFont="1" applyBorder="1" applyAlignment="1">
      <alignment horizontal="right" vertical="center"/>
    </xf>
    <xf numFmtId="0" fontId="19" fillId="7" borderId="1" xfId="0" applyFont="1" applyFill="1" applyBorder="1" applyAlignment="1">
      <alignment horizontal="center" vertical="center" wrapText="1"/>
    </xf>
    <xf numFmtId="0" fontId="19" fillId="0" borderId="1" xfId="0" applyFont="1" applyFill="1" applyBorder="1" applyAlignment="1">
      <alignment vertical="center" wrapText="1"/>
    </xf>
    <xf numFmtId="0" fontId="19" fillId="0" borderId="1" xfId="0" applyFont="1" applyFill="1" applyBorder="1" applyAlignment="1">
      <alignment horizontal="right" vertical="center"/>
    </xf>
    <xf numFmtId="0" fontId="0" fillId="0" borderId="0" xfId="0" applyBorder="1" applyAlignment="1">
      <alignment vertical="center" wrapText="1"/>
    </xf>
    <xf numFmtId="0" fontId="28" fillId="0" borderId="1" xfId="0" applyFont="1" applyBorder="1" applyAlignment="1">
      <alignment horizontal="center" vertical="center"/>
    </xf>
    <xf numFmtId="0" fontId="24" fillId="3" borderId="1" xfId="0" applyFont="1" applyFill="1" applyBorder="1" applyAlignment="1">
      <alignment horizontal="center" vertical="center" wrapText="1"/>
    </xf>
    <xf numFmtId="0" fontId="24" fillId="3" borderId="4" xfId="0" applyFont="1" applyFill="1" applyBorder="1" applyAlignment="1">
      <alignment horizontal="center" vertical="center" wrapText="1"/>
    </xf>
    <xf numFmtId="0" fontId="19" fillId="0" borderId="1" xfId="0" applyFont="1" applyBorder="1" applyAlignment="1">
      <alignment vertical="center" wrapText="1"/>
    </xf>
    <xf numFmtId="0" fontId="19" fillId="0" borderId="1" xfId="0" applyFont="1" applyBorder="1" applyAlignment="1">
      <alignment horizontal="right" vertical="center"/>
    </xf>
    <xf numFmtId="0" fontId="0" fillId="0" borderId="0" xfId="0" applyFill="1" applyBorder="1" applyAlignment="1">
      <alignment vertical="center" wrapText="1"/>
    </xf>
    <xf numFmtId="0" fontId="8" fillId="0" borderId="1" xfId="0" applyFont="1" applyBorder="1" applyAlignment="1">
      <alignment horizontal="center" vertical="center" wrapText="1"/>
    </xf>
    <xf numFmtId="0" fontId="4" fillId="0" borderId="0" xfId="0" applyFont="1" applyAlignment="1">
      <alignment horizontal="justify" vertical="center"/>
    </xf>
    <xf numFmtId="0" fontId="6" fillId="0" borderId="1" xfId="0" applyFont="1" applyBorder="1" applyAlignment="1">
      <alignment horizontal="center"/>
    </xf>
    <xf numFmtId="0" fontId="29" fillId="2" borderId="0" xfId="0" applyFont="1" applyFill="1" applyAlignment="1">
      <alignment horizontal="left" vertical="center"/>
    </xf>
    <xf numFmtId="0" fontId="23" fillId="2" borderId="0" xfId="0" applyFont="1" applyFill="1"/>
    <xf numFmtId="0" fontId="16"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8" fillId="0" borderId="3" xfId="0" applyFont="1" applyBorder="1" applyAlignment="1">
      <alignment vertical="center" wrapText="1"/>
    </xf>
    <xf numFmtId="2" fontId="8" fillId="0" borderId="1" xfId="0" applyNumberFormat="1" applyFont="1" applyBorder="1" applyAlignment="1">
      <alignment horizontal="center" vertical="center"/>
    </xf>
    <xf numFmtId="0" fontId="15" fillId="0" borderId="0" xfId="0" applyFont="1" applyAlignment="1">
      <alignment horizontal="center" vertical="center"/>
    </xf>
    <xf numFmtId="0" fontId="3" fillId="0" borderId="0" xfId="0" applyFont="1" applyAlignment="1">
      <alignment horizontal="right"/>
    </xf>
    <xf numFmtId="0" fontId="3" fillId="0" borderId="0" xfId="0" applyFont="1" applyAlignment="1">
      <alignment horizontal="right" vertical="top" wrapText="1"/>
    </xf>
    <xf numFmtId="0" fontId="16"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2" borderId="4"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8" xfId="0" applyFont="1" applyFill="1" applyBorder="1" applyAlignment="1">
      <alignment horizontal="left" vertical="center" wrapText="1"/>
    </xf>
    <xf numFmtId="0" fontId="35" fillId="0" borderId="0" xfId="0" applyFont="1" applyAlignment="1">
      <alignment horizontal="left" vertical="center" wrapText="1"/>
    </xf>
    <xf numFmtId="0" fontId="19" fillId="0" borderId="1" xfId="0" applyFont="1" applyBorder="1" applyAlignment="1">
      <alignment vertical="center" wrapText="1"/>
    </xf>
    <xf numFmtId="0" fontId="19" fillId="0" borderId="1" xfId="0" applyFont="1" applyBorder="1" applyAlignment="1">
      <alignment horizontal="center" vertical="center"/>
    </xf>
    <xf numFmtId="0" fontId="19" fillId="2" borderId="3"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3" xfId="0" applyFont="1" applyFill="1" applyBorder="1" applyAlignment="1">
      <alignment horizontal="center" vertical="center"/>
    </xf>
    <xf numFmtId="0" fontId="19" fillId="2" borderId="6" xfId="0" applyFont="1" applyFill="1" applyBorder="1" applyAlignment="1">
      <alignment horizontal="center" vertical="center"/>
    </xf>
    <xf numFmtId="0" fontId="19" fillId="2" borderId="3" xfId="0" applyFont="1" applyFill="1" applyBorder="1" applyAlignment="1">
      <alignment horizontal="right" vertical="center"/>
    </xf>
    <xf numFmtId="0" fontId="19" fillId="2" borderId="6" xfId="0" applyFont="1" applyFill="1" applyBorder="1" applyAlignment="1">
      <alignment horizontal="right" vertical="center"/>
    </xf>
    <xf numFmtId="0" fontId="19" fillId="0" borderId="4" xfId="0" applyFont="1" applyFill="1" applyBorder="1" applyAlignment="1">
      <alignment horizontal="right" vertical="center"/>
    </xf>
    <xf numFmtId="0" fontId="19" fillId="0" borderId="8" xfId="0" applyFont="1" applyFill="1" applyBorder="1" applyAlignment="1">
      <alignment horizontal="right" vertical="center"/>
    </xf>
    <xf numFmtId="0" fontId="19" fillId="0" borderId="2" xfId="0" applyFont="1" applyFill="1" applyBorder="1" applyAlignment="1">
      <alignment horizontal="right" vertical="center"/>
    </xf>
    <xf numFmtId="0" fontId="19" fillId="0" borderId="4"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7" borderId="3" xfId="0" applyFont="1" applyFill="1" applyBorder="1" applyAlignment="1">
      <alignment horizontal="center" vertical="center"/>
    </xf>
    <xf numFmtId="0" fontId="19" fillId="7" borderId="5" xfId="0" applyFont="1" applyFill="1" applyBorder="1" applyAlignment="1">
      <alignment horizontal="center" vertical="center"/>
    </xf>
    <xf numFmtId="0" fontId="19" fillId="7" borderId="6" xfId="0" applyFont="1" applyFill="1" applyBorder="1" applyAlignment="1">
      <alignment horizontal="center" vertical="center"/>
    </xf>
    <xf numFmtId="0" fontId="19" fillId="7" borderId="3" xfId="0" applyFont="1" applyFill="1" applyBorder="1" applyAlignment="1">
      <alignment horizontal="center" vertical="center" wrapText="1"/>
    </xf>
    <xf numFmtId="0" fontId="19" fillId="7" borderId="6" xfId="0" applyFont="1" applyFill="1" applyBorder="1" applyAlignment="1">
      <alignment horizontal="center" vertical="center" wrapText="1"/>
    </xf>
    <xf numFmtId="0" fontId="19" fillId="0" borderId="1" xfId="0" applyFont="1" applyBorder="1" applyAlignment="1">
      <alignment horizontal="right" vertical="center"/>
    </xf>
    <xf numFmtId="0" fontId="19" fillId="7" borderId="5" xfId="0" applyFont="1" applyFill="1" applyBorder="1" applyAlignment="1">
      <alignment horizontal="center" vertical="center" wrapText="1"/>
    </xf>
    <xf numFmtId="0" fontId="19" fillId="7" borderId="1" xfId="0" applyFont="1" applyFill="1" applyBorder="1" applyAlignment="1">
      <alignment horizontal="center" vertical="center" wrapText="1"/>
    </xf>
    <xf numFmtId="0" fontId="19" fillId="0" borderId="1" xfId="0" applyFont="1" applyBorder="1" applyAlignment="1">
      <alignment horizontal="left" vertical="center"/>
    </xf>
    <xf numFmtId="0" fontId="19" fillId="7" borderId="1" xfId="0" applyFont="1" applyFill="1" applyBorder="1" applyAlignment="1">
      <alignment horizontal="center" vertical="center"/>
    </xf>
    <xf numFmtId="0" fontId="19" fillId="0" borderId="1" xfId="0" applyFont="1" applyBorder="1" applyAlignment="1">
      <alignment horizontal="center"/>
    </xf>
    <xf numFmtId="0" fontId="24" fillId="4" borderId="3" xfId="0" applyFont="1" applyFill="1" applyBorder="1" applyAlignment="1">
      <alignment horizontal="right" vertical="center"/>
    </xf>
    <xf numFmtId="0" fontId="24" fillId="4" borderId="5" xfId="0" applyFont="1" applyFill="1" applyBorder="1" applyAlignment="1">
      <alignment horizontal="right" vertical="center"/>
    </xf>
    <xf numFmtId="0" fontId="24" fillId="4" borderId="6" xfId="0" applyFont="1" applyFill="1" applyBorder="1" applyAlignment="1">
      <alignment horizontal="right" vertical="center"/>
    </xf>
    <xf numFmtId="0" fontId="20" fillId="3" borderId="3" xfId="0" applyFont="1" applyFill="1" applyBorder="1" applyAlignment="1">
      <alignment horizontal="right" vertical="center"/>
    </xf>
    <xf numFmtId="0" fontId="20" fillId="3" borderId="5" xfId="0" applyFont="1" applyFill="1" applyBorder="1" applyAlignment="1">
      <alignment horizontal="right" vertical="center"/>
    </xf>
    <xf numFmtId="0" fontId="20" fillId="3" borderId="6" xfId="0" applyFont="1" applyFill="1" applyBorder="1" applyAlignment="1">
      <alignment horizontal="right" vertical="center"/>
    </xf>
    <xf numFmtId="0" fontId="19" fillId="0" borderId="4" xfId="0" applyFont="1" applyBorder="1" applyAlignment="1">
      <alignment horizontal="right" vertical="center" wrapText="1"/>
    </xf>
    <xf numFmtId="0" fontId="19" fillId="0" borderId="8" xfId="0" applyFont="1" applyBorder="1" applyAlignment="1">
      <alignment horizontal="right" vertical="center" wrapText="1"/>
    </xf>
    <xf numFmtId="0" fontId="19" fillId="0" borderId="2" xfId="0" applyFont="1" applyBorder="1" applyAlignment="1">
      <alignment horizontal="right" vertical="center" wrapText="1"/>
    </xf>
    <xf numFmtId="0" fontId="24" fillId="3" borderId="4" xfId="0" applyFont="1" applyFill="1" applyBorder="1" applyAlignment="1">
      <alignment horizontal="center" vertical="center" wrapText="1"/>
    </xf>
    <xf numFmtId="0" fontId="24" fillId="3" borderId="2" xfId="0" applyFont="1" applyFill="1" applyBorder="1" applyAlignment="1">
      <alignment horizontal="center" vertical="center" wrapText="1"/>
    </xf>
    <xf numFmtId="0" fontId="24" fillId="8" borderId="3" xfId="0" applyFont="1" applyFill="1" applyBorder="1" applyAlignment="1">
      <alignment horizontal="left" vertical="center" wrapText="1"/>
    </xf>
    <xf numFmtId="0" fontId="24" fillId="8" borderId="5" xfId="0" applyFont="1" applyFill="1" applyBorder="1" applyAlignment="1">
      <alignment horizontal="left" vertical="center" wrapText="1"/>
    </xf>
    <xf numFmtId="0" fontId="24" fillId="8" borderId="6" xfId="0" applyFont="1" applyFill="1" applyBorder="1" applyAlignment="1">
      <alignment horizontal="left" vertical="center" wrapText="1"/>
    </xf>
    <xf numFmtId="0" fontId="24" fillId="8" borderId="3" xfId="0" applyFont="1" applyFill="1" applyBorder="1" applyAlignment="1">
      <alignment horizontal="right" vertical="center"/>
    </xf>
    <xf numFmtId="0" fontId="24" fillId="8" borderId="5" xfId="0" applyFont="1" applyFill="1" applyBorder="1" applyAlignment="1">
      <alignment horizontal="right" vertical="center"/>
    </xf>
    <xf numFmtId="0" fontId="24" fillId="8" borderId="6" xfId="0" applyFont="1" applyFill="1" applyBorder="1" applyAlignment="1">
      <alignment horizontal="right" vertical="center"/>
    </xf>
    <xf numFmtId="0" fontId="24" fillId="6" borderId="3" xfId="0" applyFont="1" applyFill="1" applyBorder="1" applyAlignment="1">
      <alignment horizontal="left" vertical="center"/>
    </xf>
    <xf numFmtId="0" fontId="24" fillId="6" borderId="5" xfId="0" applyFont="1" applyFill="1" applyBorder="1" applyAlignment="1">
      <alignment horizontal="left" vertical="center"/>
    </xf>
    <xf numFmtId="0" fontId="24" fillId="6" borderId="6" xfId="0" applyFont="1" applyFill="1" applyBorder="1" applyAlignment="1">
      <alignment horizontal="left" vertical="center"/>
    </xf>
    <xf numFmtId="0" fontId="24" fillId="6" borderId="3" xfId="0" applyFont="1" applyFill="1" applyBorder="1" applyAlignment="1">
      <alignment horizontal="right" vertical="center"/>
    </xf>
    <xf numFmtId="0" fontId="24" fillId="6" borderId="5" xfId="0" applyFont="1" applyFill="1" applyBorder="1" applyAlignment="1">
      <alignment horizontal="right" vertical="center"/>
    </xf>
    <xf numFmtId="0" fontId="24" fillId="6" borderId="6" xfId="0" applyFont="1" applyFill="1" applyBorder="1" applyAlignment="1">
      <alignment horizontal="right" vertical="center"/>
    </xf>
    <xf numFmtId="0" fontId="15" fillId="0" borderId="0" xfId="0" applyFont="1" applyAlignment="1">
      <alignment horizontal="center" vertical="top"/>
    </xf>
    <xf numFmtId="0" fontId="24" fillId="8" borderId="3" xfId="0" applyFont="1" applyFill="1" applyBorder="1" applyAlignment="1">
      <alignment horizontal="left" vertical="center"/>
    </xf>
    <xf numFmtId="0" fontId="24" fillId="8" borderId="5" xfId="0" applyFont="1" applyFill="1" applyBorder="1" applyAlignment="1">
      <alignment horizontal="left" vertical="center"/>
    </xf>
    <xf numFmtId="0" fontId="24" fillId="8" borderId="6" xfId="0" applyFont="1" applyFill="1" applyBorder="1" applyAlignment="1">
      <alignment horizontal="left" vertical="center"/>
    </xf>
    <xf numFmtId="2" fontId="19" fillId="0" borderId="3" xfId="0" applyNumberFormat="1" applyFont="1" applyBorder="1" applyAlignment="1">
      <alignment horizontal="right" vertical="center"/>
    </xf>
    <xf numFmtId="2" fontId="19" fillId="0" borderId="6" xfId="0" applyNumberFormat="1" applyFont="1" applyBorder="1" applyAlignment="1">
      <alignment horizontal="right" vertical="center"/>
    </xf>
    <xf numFmtId="0" fontId="24" fillId="0" borderId="1" xfId="0" applyFont="1" applyBorder="1" applyAlignment="1">
      <alignment vertical="center" wrapText="1"/>
    </xf>
    <xf numFmtId="0" fontId="24" fillId="0" borderId="3" xfId="0" applyFont="1" applyBorder="1" applyAlignment="1">
      <alignment horizontal="right" vertical="center"/>
    </xf>
    <xf numFmtId="0" fontId="24" fillId="0" borderId="6" xfId="0" applyFont="1" applyBorder="1" applyAlignment="1">
      <alignment horizontal="right" vertical="center"/>
    </xf>
    <xf numFmtId="0" fontId="19" fillId="2" borderId="1" xfId="0" applyFont="1" applyFill="1" applyBorder="1" applyAlignment="1">
      <alignment horizontal="center" vertical="center"/>
    </xf>
    <xf numFmtId="0" fontId="19" fillId="2" borderId="1" xfId="0" applyFont="1" applyFill="1" applyBorder="1" applyAlignment="1">
      <alignment vertical="center" wrapText="1"/>
    </xf>
    <xf numFmtId="0" fontId="19" fillId="2" borderId="1" xfId="0" applyFont="1" applyFill="1" applyBorder="1" applyAlignment="1">
      <alignment horizontal="center" vertical="center" wrapText="1"/>
    </xf>
    <xf numFmtId="0" fontId="24" fillId="6" borderId="1" xfId="0" applyFont="1" applyFill="1" applyBorder="1" applyAlignment="1">
      <alignment horizontal="right" vertical="center"/>
    </xf>
    <xf numFmtId="0" fontId="24" fillId="4" borderId="1" xfId="0" applyFont="1" applyFill="1" applyBorder="1" applyAlignment="1">
      <alignment horizontal="right" vertical="center"/>
    </xf>
    <xf numFmtId="2" fontId="19" fillId="2" borderId="1" xfId="0" applyNumberFormat="1" applyFont="1" applyFill="1" applyBorder="1" applyAlignment="1">
      <alignment horizontal="center" vertical="center" wrapText="1"/>
    </xf>
    <xf numFmtId="0" fontId="19" fillId="7" borderId="3" xfId="0" applyFont="1" applyFill="1" applyBorder="1" applyAlignment="1">
      <alignment horizontal="right" vertical="center"/>
    </xf>
    <xf numFmtId="0" fontId="19" fillId="7" borderId="6" xfId="0" applyFont="1" applyFill="1" applyBorder="1" applyAlignment="1">
      <alignment horizontal="right" vertical="center"/>
    </xf>
    <xf numFmtId="0" fontId="24" fillId="3" borderId="1" xfId="0" applyFont="1" applyFill="1" applyBorder="1" applyAlignment="1">
      <alignment horizontal="center" vertical="center" wrapText="1"/>
    </xf>
    <xf numFmtId="0" fontId="24" fillId="3" borderId="1" xfId="0" applyFont="1" applyFill="1" applyBorder="1" applyAlignment="1">
      <alignment horizontal="center" vertical="center"/>
    </xf>
    <xf numFmtId="0" fontId="19" fillId="7" borderId="5" xfId="0" applyFont="1" applyFill="1" applyBorder="1" applyAlignment="1">
      <alignment horizontal="right" vertical="center"/>
    </xf>
    <xf numFmtId="0" fontId="19" fillId="0" borderId="1" xfId="0" applyFont="1" applyBorder="1" applyAlignment="1">
      <alignment horizontal="left" vertical="center" wrapText="1"/>
    </xf>
    <xf numFmtId="2" fontId="24" fillId="6" borderId="3" xfId="0" applyNumberFormat="1" applyFont="1" applyFill="1" applyBorder="1" applyAlignment="1">
      <alignment horizontal="right" vertical="center"/>
    </xf>
    <xf numFmtId="2" fontId="24" fillId="6" borderId="6" xfId="0" applyNumberFormat="1" applyFont="1" applyFill="1" applyBorder="1" applyAlignment="1">
      <alignment horizontal="right" vertical="center"/>
    </xf>
    <xf numFmtId="0" fontId="19" fillId="0" borderId="3" xfId="0" applyFont="1" applyBorder="1" applyAlignment="1">
      <alignment horizontal="right" vertical="center"/>
    </xf>
    <xf numFmtId="0" fontId="19" fillId="0" borderId="6" xfId="0" applyFont="1" applyBorder="1" applyAlignment="1">
      <alignment horizontal="right" vertical="center"/>
    </xf>
    <xf numFmtId="2" fontId="24" fillId="3" borderId="3" xfId="0" applyNumberFormat="1" applyFont="1" applyFill="1" applyBorder="1" applyAlignment="1">
      <alignment horizontal="right" vertical="center"/>
    </xf>
    <xf numFmtId="2" fontId="24" fillId="3" borderId="6" xfId="0" applyNumberFormat="1" applyFont="1" applyFill="1" applyBorder="1" applyAlignment="1">
      <alignment horizontal="right" vertical="center"/>
    </xf>
    <xf numFmtId="0" fontId="19" fillId="0" borderId="1" xfId="0" applyFont="1" applyFill="1" applyBorder="1" applyAlignment="1">
      <alignment horizontal="center" vertical="center"/>
    </xf>
    <xf numFmtId="0" fontId="19" fillId="0" borderId="3" xfId="0" applyFont="1" applyFill="1" applyBorder="1" applyAlignment="1">
      <alignment horizontal="right" vertical="center"/>
    </xf>
    <xf numFmtId="0" fontId="19" fillId="0" borderId="6" xfId="0" applyFont="1" applyFill="1" applyBorder="1" applyAlignment="1">
      <alignment horizontal="right" vertical="center"/>
    </xf>
    <xf numFmtId="0" fontId="19" fillId="0" borderId="1" xfId="0" applyFont="1" applyFill="1" applyBorder="1" applyAlignment="1">
      <alignment horizontal="left" vertical="center" wrapText="1"/>
    </xf>
    <xf numFmtId="3" fontId="19" fillId="0" borderId="1" xfId="0" applyNumberFormat="1" applyFont="1" applyFill="1" applyBorder="1" applyAlignment="1">
      <alignment horizontal="center" vertical="center"/>
    </xf>
    <xf numFmtId="3" fontId="19" fillId="2" borderId="1" xfId="0" applyNumberFormat="1" applyFont="1" applyFill="1" applyBorder="1" applyAlignment="1">
      <alignment horizontal="center" vertical="center"/>
    </xf>
    <xf numFmtId="0" fontId="19" fillId="0" borderId="1" xfId="0" applyFont="1" applyFill="1" applyBorder="1" applyAlignment="1">
      <alignment horizontal="left" vertical="center"/>
    </xf>
    <xf numFmtId="0" fontId="19" fillId="0" borderId="1" xfId="0" applyFont="1" applyFill="1" applyBorder="1" applyAlignment="1">
      <alignment horizontal="right" vertical="center"/>
    </xf>
    <xf numFmtId="0" fontId="25" fillId="0" borderId="0" xfId="0" applyFont="1" applyBorder="1" applyAlignment="1">
      <alignment vertical="center"/>
    </xf>
    <xf numFmtId="0" fontId="28" fillId="0" borderId="1" xfId="0" applyFont="1" applyBorder="1" applyAlignment="1">
      <alignment horizontal="center" vertical="center"/>
    </xf>
    <xf numFmtId="0" fontId="0" fillId="0" borderId="0" xfId="0" applyFill="1" applyBorder="1" applyAlignment="1">
      <alignment vertical="center" wrapText="1"/>
    </xf>
    <xf numFmtId="0" fontId="19" fillId="0" borderId="1" xfId="0" applyFont="1" applyFill="1" applyBorder="1" applyAlignment="1">
      <alignment vertical="center" wrapText="1"/>
    </xf>
    <xf numFmtId="2" fontId="24" fillId="5" borderId="3" xfId="0" applyNumberFormat="1" applyFont="1" applyFill="1" applyBorder="1" applyAlignment="1">
      <alignment horizontal="right" vertical="center"/>
    </xf>
    <xf numFmtId="2" fontId="24" fillId="5" borderId="6" xfId="0" applyNumberFormat="1" applyFont="1" applyFill="1" applyBorder="1" applyAlignment="1">
      <alignment horizontal="right" vertical="center"/>
    </xf>
    <xf numFmtId="2" fontId="24" fillId="0" borderId="3" xfId="0" applyNumberFormat="1" applyFont="1" applyBorder="1" applyAlignment="1">
      <alignment horizontal="right" vertical="center"/>
    </xf>
    <xf numFmtId="2" fontId="24" fillId="0" borderId="6" xfId="0" applyNumberFormat="1" applyFont="1" applyBorder="1" applyAlignment="1">
      <alignment horizontal="right" vertical="center"/>
    </xf>
    <xf numFmtId="0" fontId="19" fillId="2" borderId="1" xfId="0" applyFont="1" applyFill="1" applyBorder="1" applyAlignment="1">
      <alignment horizontal="center"/>
    </xf>
    <xf numFmtId="3" fontId="19" fillId="0" borderId="1" xfId="0" applyNumberFormat="1" applyFont="1" applyBorder="1" applyAlignment="1">
      <alignment horizontal="right" vertical="center"/>
    </xf>
    <xf numFmtId="0" fontId="19" fillId="0" borderId="3" xfId="0" applyFont="1" applyBorder="1" applyAlignment="1">
      <alignment vertical="center"/>
    </xf>
    <xf numFmtId="0" fontId="19" fillId="0" borderId="6" xfId="0" applyFont="1" applyBorder="1" applyAlignment="1">
      <alignment vertical="center"/>
    </xf>
    <xf numFmtId="0" fontId="24" fillId="5" borderId="1" xfId="0" applyFont="1" applyFill="1" applyBorder="1" applyAlignment="1">
      <alignment horizontal="right" vertical="center"/>
    </xf>
    <xf numFmtId="0" fontId="19" fillId="2" borderId="1" xfId="0" applyFont="1" applyFill="1" applyBorder="1" applyAlignment="1">
      <alignment horizontal="right" vertical="center"/>
    </xf>
    <xf numFmtId="2" fontId="19" fillId="7" borderId="3" xfId="0" applyNumberFormat="1" applyFont="1" applyFill="1" applyBorder="1" applyAlignment="1">
      <alignment horizontal="right" vertical="center"/>
    </xf>
    <xf numFmtId="2" fontId="19" fillId="7" borderId="6" xfId="0" applyNumberFormat="1" applyFont="1" applyFill="1" applyBorder="1" applyAlignment="1">
      <alignment horizontal="right" vertical="center"/>
    </xf>
    <xf numFmtId="0" fontId="0" fillId="0" borderId="0" xfId="0" applyBorder="1" applyAlignment="1">
      <alignment vertical="center" wrapText="1"/>
    </xf>
    <xf numFmtId="0" fontId="25" fillId="0" borderId="5" xfId="0" applyFont="1" applyBorder="1" applyAlignment="1">
      <alignment vertical="center"/>
    </xf>
    <xf numFmtId="3" fontId="19" fillId="2" borderId="1" xfId="0" applyNumberFormat="1" applyFont="1" applyFill="1" applyBorder="1" applyAlignment="1">
      <alignment horizontal="center"/>
    </xf>
    <xf numFmtId="0" fontId="24" fillId="8" borderId="1" xfId="0" applyFont="1" applyFill="1" applyBorder="1" applyAlignment="1">
      <alignment horizontal="right" vertical="center"/>
    </xf>
    <xf numFmtId="2" fontId="19" fillId="2" borderId="3" xfId="0" applyNumberFormat="1" applyFont="1" applyFill="1" applyBorder="1" applyAlignment="1">
      <alignment horizontal="right" vertical="center"/>
    </xf>
    <xf numFmtId="2" fontId="19" fillId="2" borderId="6" xfId="0" applyNumberFormat="1" applyFont="1" applyFill="1" applyBorder="1" applyAlignment="1">
      <alignment horizontal="right" vertical="center"/>
    </xf>
    <xf numFmtId="2" fontId="19" fillId="0" borderId="3" xfId="0" applyNumberFormat="1" applyFont="1" applyFill="1" applyBorder="1" applyAlignment="1">
      <alignment horizontal="right" vertical="center"/>
    </xf>
    <xf numFmtId="2" fontId="19" fillId="0" borderId="6" xfId="0" applyNumberFormat="1" applyFont="1" applyFill="1" applyBorder="1" applyAlignment="1">
      <alignment horizontal="right" vertical="center"/>
    </xf>
    <xf numFmtId="0" fontId="19" fillId="0" borderId="1" xfId="0" applyFont="1" applyBorder="1" applyAlignment="1">
      <alignment horizontal="right" vertical="center" wrapText="1"/>
    </xf>
    <xf numFmtId="0" fontId="19" fillId="0" borderId="1" xfId="0" applyFont="1" applyFill="1" applyBorder="1" applyAlignment="1">
      <alignment horizontal="center" vertical="center" wrapText="1"/>
    </xf>
    <xf numFmtId="2" fontId="24" fillId="8" borderId="3" xfId="0" applyNumberFormat="1" applyFont="1" applyFill="1" applyBorder="1" applyAlignment="1">
      <alignment horizontal="right" vertical="center"/>
    </xf>
    <xf numFmtId="2" fontId="24" fillId="8" borderId="6" xfId="0" applyNumberFormat="1" applyFont="1" applyFill="1" applyBorder="1" applyAlignment="1">
      <alignment horizontal="right" vertical="center"/>
    </xf>
    <xf numFmtId="0" fontId="24" fillId="5" borderId="1" xfId="0" applyFont="1" applyFill="1" applyBorder="1" applyAlignment="1">
      <alignment horizontal="right" vertical="center" indent="1"/>
    </xf>
    <xf numFmtId="3" fontId="19" fillId="0" borderId="1" xfId="0" applyNumberFormat="1" applyFont="1" applyBorder="1" applyAlignment="1">
      <alignment horizontal="center" vertical="center"/>
    </xf>
    <xf numFmtId="0" fontId="19" fillId="2" borderId="9" xfId="0" applyFont="1" applyFill="1" applyBorder="1" applyAlignment="1">
      <alignment horizontal="center" vertical="center"/>
    </xf>
    <xf numFmtId="0" fontId="19" fillId="2" borderId="10" xfId="0" applyFont="1" applyFill="1" applyBorder="1" applyAlignment="1">
      <alignment horizontal="center" vertical="center"/>
    </xf>
    <xf numFmtId="0" fontId="19" fillId="2" borderId="11" xfId="0" applyFont="1" applyFill="1" applyBorder="1" applyAlignment="1">
      <alignment horizontal="center" vertical="center"/>
    </xf>
    <xf numFmtId="0" fontId="19" fillId="2" borderId="12" xfId="0" applyFont="1" applyFill="1" applyBorder="1" applyAlignment="1">
      <alignment horizontal="center" vertical="center"/>
    </xf>
    <xf numFmtId="3" fontId="19" fillId="2" borderId="9" xfId="0" applyNumberFormat="1" applyFont="1" applyFill="1" applyBorder="1" applyAlignment="1">
      <alignment horizontal="center" vertical="center"/>
    </xf>
    <xf numFmtId="3" fontId="19" fillId="2" borderId="10" xfId="0" applyNumberFormat="1" applyFont="1" applyFill="1" applyBorder="1" applyAlignment="1">
      <alignment horizontal="center" vertical="center"/>
    </xf>
    <xf numFmtId="3" fontId="19" fillId="2" borderId="11" xfId="0" applyNumberFormat="1" applyFont="1" applyFill="1" applyBorder="1" applyAlignment="1">
      <alignment horizontal="center" vertical="center"/>
    </xf>
    <xf numFmtId="3" fontId="19" fillId="2" borderId="12" xfId="0" applyNumberFormat="1" applyFont="1" applyFill="1" applyBorder="1" applyAlignment="1">
      <alignment horizontal="center" vertical="center"/>
    </xf>
    <xf numFmtId="164" fontId="19" fillId="0" borderId="1" xfId="0" applyNumberFormat="1" applyFont="1" applyBorder="1" applyAlignment="1">
      <alignment horizontal="center" vertical="center"/>
    </xf>
    <xf numFmtId="0" fontId="25" fillId="0" borderId="1" xfId="0" applyFont="1" applyBorder="1" applyAlignment="1">
      <alignment vertical="center"/>
    </xf>
    <xf numFmtId="0" fontId="25" fillId="0" borderId="3" xfId="0" applyFont="1" applyBorder="1" applyAlignment="1">
      <alignment vertical="center"/>
    </xf>
    <xf numFmtId="0" fontId="25" fillId="0" borderId="6" xfId="0" applyFont="1" applyBorder="1" applyAlignment="1">
      <alignment vertical="center"/>
    </xf>
    <xf numFmtId="2" fontId="19" fillId="0" borderId="3" xfId="0" applyNumberFormat="1" applyFont="1" applyFill="1" applyBorder="1" applyAlignment="1">
      <alignment vertical="center"/>
    </xf>
    <xf numFmtId="2" fontId="19" fillId="0" borderId="6" xfId="0" applyNumberFormat="1" applyFont="1" applyFill="1" applyBorder="1" applyAlignment="1">
      <alignment vertical="center"/>
    </xf>
    <xf numFmtId="0" fontId="19" fillId="0" borderId="3" xfId="0" applyFont="1" applyFill="1" applyBorder="1" applyAlignment="1">
      <alignment vertical="center"/>
    </xf>
    <xf numFmtId="0" fontId="19" fillId="0" borderId="6" xfId="0" applyFont="1" applyFill="1" applyBorder="1" applyAlignment="1">
      <alignment vertical="center"/>
    </xf>
    <xf numFmtId="0" fontId="19" fillId="2" borderId="1" xfId="0" applyFont="1" applyFill="1" applyBorder="1" applyAlignment="1">
      <alignment horizontal="left" vertical="center" wrapText="1"/>
    </xf>
    <xf numFmtId="164" fontId="19" fillId="2" borderId="3" xfId="0" applyNumberFormat="1" applyFont="1" applyFill="1" applyBorder="1" applyAlignment="1">
      <alignment horizontal="center" vertical="center"/>
    </xf>
    <xf numFmtId="164" fontId="19" fillId="2" borderId="1" xfId="0" applyNumberFormat="1" applyFont="1" applyFill="1" applyBorder="1" applyAlignment="1">
      <alignment horizontal="center" vertical="center"/>
    </xf>
    <xf numFmtId="2" fontId="19" fillId="7" borderId="3" xfId="0" applyNumberFormat="1" applyFont="1" applyFill="1" applyBorder="1" applyAlignment="1">
      <alignment horizontal="right" vertical="center" indent="1"/>
    </xf>
    <xf numFmtId="2" fontId="19" fillId="7" borderId="5" xfId="0" applyNumberFormat="1" applyFont="1" applyFill="1" applyBorder="1" applyAlignment="1">
      <alignment horizontal="right" vertical="center" indent="1"/>
    </xf>
    <xf numFmtId="2" fontId="19" fillId="7" borderId="6" xfId="0" applyNumberFormat="1" applyFont="1" applyFill="1" applyBorder="1" applyAlignment="1">
      <alignment horizontal="right" vertical="center" indent="1"/>
    </xf>
    <xf numFmtId="0" fontId="19" fillId="0" borderId="3" xfId="0" applyFont="1" applyFill="1" applyBorder="1" applyAlignment="1">
      <alignment horizontal="right" vertical="center" indent="1"/>
    </xf>
    <xf numFmtId="0" fontId="19" fillId="0" borderId="6" xfId="0" applyFont="1" applyFill="1" applyBorder="1" applyAlignment="1">
      <alignment horizontal="right" vertical="center" indent="1"/>
    </xf>
    <xf numFmtId="0" fontId="4" fillId="0" borderId="0" xfId="0" applyFont="1" applyAlignment="1">
      <alignment horizontal="right"/>
    </xf>
    <xf numFmtId="0" fontId="4" fillId="0" borderId="0" xfId="0" applyFont="1" applyAlignment="1">
      <alignment horizontal="right" vertical="top" wrapText="1"/>
    </xf>
    <xf numFmtId="0" fontId="4" fillId="0" borderId="0" xfId="0" applyFont="1" applyAlignment="1">
      <alignment horizontal="right" vertical="top"/>
    </xf>
    <xf numFmtId="0" fontId="7" fillId="0" borderId="0" xfId="0" applyFont="1" applyAlignment="1">
      <alignment horizontal="center" vertical="center"/>
    </xf>
    <xf numFmtId="0" fontId="8" fillId="0" borderId="1" xfId="0" applyFont="1" applyBorder="1" applyAlignment="1">
      <alignment horizontal="center" vertical="center" wrapText="1"/>
    </xf>
    <xf numFmtId="0" fontId="1" fillId="0" borderId="0" xfId="0" applyFont="1" applyBorder="1" applyAlignment="1">
      <alignment horizontal="center" vertical="center"/>
    </xf>
    <xf numFmtId="0" fontId="12" fillId="0" borderId="1" xfId="0" applyFont="1" applyBorder="1" applyAlignment="1">
      <alignment horizontal="center" vertical="center" wrapText="1"/>
    </xf>
    <xf numFmtId="0" fontId="11" fillId="0" borderId="1" xfId="0" applyFont="1" applyBorder="1" applyAlignment="1">
      <alignment horizontal="center" vertical="center" wrapText="1"/>
    </xf>
  </cellXfs>
  <cellStyles count="3">
    <cellStyle name="Hyperlink" xfId="1" builtinId="8"/>
    <cellStyle name="Normal" xfId="0" builtinId="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showGridLines="0" topLeftCell="B11" zoomScale="70" zoomScaleNormal="70" zoomScalePageLayoutView="85" workbookViewId="0">
      <selection activeCell="P11" sqref="P11:P12"/>
    </sheetView>
  </sheetViews>
  <sheetFormatPr defaultColWidth="9.21875" defaultRowHeight="14.4" x14ac:dyDescent="0.3"/>
  <cols>
    <col min="1" max="1" width="9.21875" style="24"/>
    <col min="2" max="2" width="50.77734375" style="25" customWidth="1"/>
    <col min="3" max="3" width="11" style="25" customWidth="1"/>
    <col min="4" max="7" width="9.21875" style="25"/>
    <col min="8" max="8" width="12.21875" style="25" customWidth="1"/>
    <col min="9" max="12" width="9.21875" style="32"/>
    <col min="13" max="13" width="12" style="32" customWidth="1"/>
    <col min="14" max="14" width="9.21875" style="25"/>
    <col min="15" max="15" width="10.5546875" style="25" customWidth="1"/>
    <col min="16" max="16" width="52.77734375" style="25" customWidth="1"/>
    <col min="17" max="16384" width="9.21875" style="25"/>
  </cols>
  <sheetData>
    <row r="1" spans="1:16" x14ac:dyDescent="0.3">
      <c r="I1" s="126" t="s">
        <v>34</v>
      </c>
      <c r="J1" s="126"/>
      <c r="K1" s="126"/>
      <c r="L1" s="126"/>
      <c r="M1" s="126"/>
      <c r="N1" s="126"/>
      <c r="O1" s="126"/>
      <c r="P1" s="126"/>
    </row>
    <row r="2" spans="1:16" ht="49.5" customHeight="1" x14ac:dyDescent="0.3">
      <c r="I2" s="127" t="s">
        <v>52</v>
      </c>
      <c r="J2" s="127"/>
      <c r="K2" s="127"/>
      <c r="L2" s="127"/>
      <c r="M2" s="127"/>
      <c r="N2" s="127"/>
      <c r="O2" s="127"/>
      <c r="P2" s="127"/>
    </row>
    <row r="3" spans="1:16" x14ac:dyDescent="0.3">
      <c r="A3" s="26"/>
      <c r="M3" s="33"/>
    </row>
    <row r="4" spans="1:16" x14ac:dyDescent="0.3">
      <c r="A4" s="125" t="s">
        <v>17</v>
      </c>
      <c r="B4" s="125"/>
      <c r="C4" s="125"/>
      <c r="D4" s="125"/>
      <c r="E4" s="125"/>
      <c r="F4" s="125"/>
      <c r="G4" s="125"/>
      <c r="H4" s="125"/>
      <c r="I4" s="125"/>
      <c r="J4" s="125"/>
      <c r="K4" s="125"/>
      <c r="L4" s="125"/>
      <c r="M4" s="125"/>
      <c r="N4" s="125"/>
      <c r="O4" s="125"/>
      <c r="P4" s="125"/>
    </row>
    <row r="5" spans="1:16" x14ac:dyDescent="0.3">
      <c r="A5" s="26"/>
    </row>
    <row r="6" spans="1:16" x14ac:dyDescent="0.3">
      <c r="A6" s="26"/>
    </row>
    <row r="7" spans="1:16" x14ac:dyDescent="0.3">
      <c r="A7" s="129" t="s">
        <v>18</v>
      </c>
      <c r="B7" s="129" t="s">
        <v>19</v>
      </c>
      <c r="C7" s="129" t="s">
        <v>26</v>
      </c>
      <c r="D7" s="129" t="s">
        <v>27</v>
      </c>
      <c r="E7" s="129"/>
      <c r="F7" s="129"/>
      <c r="G7" s="129"/>
      <c r="H7" s="129"/>
      <c r="I7" s="128" t="s">
        <v>20</v>
      </c>
      <c r="J7" s="128"/>
      <c r="K7" s="128"/>
      <c r="L7" s="128"/>
      <c r="M7" s="128"/>
      <c r="N7" s="129" t="s">
        <v>44</v>
      </c>
      <c r="O7" s="129"/>
      <c r="P7" s="129" t="s">
        <v>21</v>
      </c>
    </row>
    <row r="8" spans="1:16" ht="55.2" x14ac:dyDescent="0.3">
      <c r="A8" s="129"/>
      <c r="B8" s="129"/>
      <c r="C8" s="129"/>
      <c r="D8" s="129" t="s">
        <v>45</v>
      </c>
      <c r="E8" s="129" t="s">
        <v>46</v>
      </c>
      <c r="F8" s="129" t="s">
        <v>47</v>
      </c>
      <c r="G8" s="129" t="s">
        <v>30</v>
      </c>
      <c r="H8" s="129" t="s">
        <v>48</v>
      </c>
      <c r="I8" s="128" t="s">
        <v>45</v>
      </c>
      <c r="J8" s="128" t="s">
        <v>46</v>
      </c>
      <c r="K8" s="128" t="s">
        <v>47</v>
      </c>
      <c r="L8" s="128" t="s">
        <v>30</v>
      </c>
      <c r="M8" s="128" t="s">
        <v>48</v>
      </c>
      <c r="N8" s="27" t="s">
        <v>23</v>
      </c>
      <c r="O8" s="27" t="s">
        <v>22</v>
      </c>
      <c r="P8" s="129"/>
    </row>
    <row r="9" spans="1:16" ht="27.6" x14ac:dyDescent="0.3">
      <c r="A9" s="129"/>
      <c r="B9" s="129"/>
      <c r="C9" s="129"/>
      <c r="D9" s="129"/>
      <c r="E9" s="129"/>
      <c r="F9" s="129"/>
      <c r="G9" s="129"/>
      <c r="H9" s="129"/>
      <c r="I9" s="128"/>
      <c r="J9" s="128"/>
      <c r="K9" s="128"/>
      <c r="L9" s="128"/>
      <c r="M9" s="128"/>
      <c r="N9" s="27" t="s">
        <v>24</v>
      </c>
      <c r="O9" s="27" t="s">
        <v>25</v>
      </c>
      <c r="P9" s="129"/>
    </row>
    <row r="10" spans="1:16" x14ac:dyDescent="0.3">
      <c r="A10" s="27">
        <v>1</v>
      </c>
      <c r="B10" s="27">
        <v>2</v>
      </c>
      <c r="C10" s="27">
        <v>3</v>
      </c>
      <c r="D10" s="27">
        <v>4</v>
      </c>
      <c r="E10" s="27">
        <v>5</v>
      </c>
      <c r="F10" s="27">
        <v>6</v>
      </c>
      <c r="G10" s="27">
        <v>7</v>
      </c>
      <c r="H10" s="27">
        <v>8</v>
      </c>
      <c r="I10" s="34">
        <v>9</v>
      </c>
      <c r="J10" s="34">
        <v>10</v>
      </c>
      <c r="K10" s="34">
        <v>11</v>
      </c>
      <c r="L10" s="34">
        <v>12</v>
      </c>
      <c r="M10" s="34">
        <v>13</v>
      </c>
      <c r="N10" s="27">
        <v>14</v>
      </c>
      <c r="O10" s="27">
        <v>15</v>
      </c>
      <c r="P10" s="27">
        <v>16</v>
      </c>
    </row>
    <row r="11" spans="1:16" ht="78.45" customHeight="1" x14ac:dyDescent="0.3">
      <c r="A11" s="40">
        <v>1</v>
      </c>
      <c r="B11" s="16" t="s">
        <v>53</v>
      </c>
      <c r="C11" s="122" t="s">
        <v>9</v>
      </c>
      <c r="D11" s="35">
        <v>317.94</v>
      </c>
      <c r="E11" s="35">
        <v>66.77</v>
      </c>
      <c r="F11" s="35">
        <f>D11+E11</f>
        <v>384.71</v>
      </c>
      <c r="G11" s="121">
        <v>4</v>
      </c>
      <c r="H11" s="29">
        <f>G11*F11</f>
        <v>1538.84</v>
      </c>
      <c r="I11" s="39">
        <f>'4pielik'!C8</f>
        <v>308.00000000000006</v>
      </c>
      <c r="J11" s="35">
        <f>'4pielik'!D8</f>
        <v>64.680000000000007</v>
      </c>
      <c r="K11" s="35">
        <f>I11+J11</f>
        <v>372.68000000000006</v>
      </c>
      <c r="L11" s="121">
        <v>4</v>
      </c>
      <c r="M11" s="35">
        <f>L11*K11</f>
        <v>1490.7200000000003</v>
      </c>
      <c r="N11" s="29">
        <f>K11-F11</f>
        <v>-12.029999999999916</v>
      </c>
      <c r="O11" s="29">
        <f>M11-H11</f>
        <v>-48.119999999999663</v>
      </c>
      <c r="P11" s="130" t="s">
        <v>199</v>
      </c>
    </row>
    <row r="12" spans="1:16" ht="78.45" customHeight="1" x14ac:dyDescent="0.3">
      <c r="A12" s="40">
        <v>2</v>
      </c>
      <c r="B12" s="16" t="s">
        <v>54</v>
      </c>
      <c r="C12" s="122" t="s">
        <v>9</v>
      </c>
      <c r="D12" s="35">
        <v>597.92000000000007</v>
      </c>
      <c r="E12" s="35">
        <v>125.56</v>
      </c>
      <c r="F12" s="35">
        <f t="shared" ref="F12:F15" si="0">D12+E12</f>
        <v>723.48</v>
      </c>
      <c r="G12" s="121">
        <v>11</v>
      </c>
      <c r="H12" s="29">
        <f t="shared" ref="H12:H15" si="1">G12*F12</f>
        <v>7958.2800000000007</v>
      </c>
      <c r="I12" s="39">
        <f>'4pielik'!C9</f>
        <v>564.64</v>
      </c>
      <c r="J12" s="35">
        <f>'4pielik'!D9</f>
        <v>118.57</v>
      </c>
      <c r="K12" s="35">
        <f t="shared" ref="K12:K15" si="2">I12+J12</f>
        <v>683.21</v>
      </c>
      <c r="L12" s="121">
        <v>11</v>
      </c>
      <c r="M12" s="35">
        <f t="shared" ref="M12:M15" si="3">L12*K12</f>
        <v>7515.31</v>
      </c>
      <c r="N12" s="29">
        <f t="shared" ref="N12:N15" si="4">K12-F12</f>
        <v>-40.269999999999982</v>
      </c>
      <c r="O12" s="29">
        <f t="shared" ref="O12:O15" si="5">M12-H12</f>
        <v>-442.97000000000025</v>
      </c>
      <c r="P12" s="131"/>
    </row>
    <row r="13" spans="1:16" ht="78.45" customHeight="1" x14ac:dyDescent="0.3">
      <c r="A13" s="40">
        <v>3</v>
      </c>
      <c r="B13" s="16" t="s">
        <v>55</v>
      </c>
      <c r="C13" s="122" t="s">
        <v>9</v>
      </c>
      <c r="D13" s="35">
        <v>130.74</v>
      </c>
      <c r="E13" s="35">
        <v>27.46</v>
      </c>
      <c r="F13" s="35">
        <f t="shared" si="0"/>
        <v>158.20000000000002</v>
      </c>
      <c r="G13" s="121">
        <v>4</v>
      </c>
      <c r="H13" s="29">
        <f t="shared" si="1"/>
        <v>632.80000000000007</v>
      </c>
      <c r="I13" s="39">
        <f>'4pielik'!C10</f>
        <v>141.94</v>
      </c>
      <c r="J13" s="35">
        <f>'4pielik'!D10</f>
        <v>29.81</v>
      </c>
      <c r="K13" s="35">
        <f t="shared" si="2"/>
        <v>171.75</v>
      </c>
      <c r="L13" s="121">
        <v>4</v>
      </c>
      <c r="M13" s="35">
        <f t="shared" si="3"/>
        <v>687</v>
      </c>
      <c r="N13" s="29">
        <f t="shared" si="4"/>
        <v>13.549999999999983</v>
      </c>
      <c r="O13" s="29">
        <f t="shared" si="5"/>
        <v>54.199999999999932</v>
      </c>
      <c r="P13" s="130" t="s">
        <v>200</v>
      </c>
    </row>
    <row r="14" spans="1:16" ht="78.45" customHeight="1" x14ac:dyDescent="0.3">
      <c r="A14" s="40">
        <v>4</v>
      </c>
      <c r="B14" s="123" t="s">
        <v>56</v>
      </c>
      <c r="C14" s="122" t="s">
        <v>9</v>
      </c>
      <c r="D14" s="35">
        <v>286.13</v>
      </c>
      <c r="E14" s="35">
        <v>60.09</v>
      </c>
      <c r="F14" s="35">
        <f t="shared" si="0"/>
        <v>346.22</v>
      </c>
      <c r="G14" s="121">
        <v>44</v>
      </c>
      <c r="H14" s="29">
        <f t="shared" si="1"/>
        <v>15233.68</v>
      </c>
      <c r="I14" s="35">
        <f>'4pielik'!C11</f>
        <v>298.54999999999995</v>
      </c>
      <c r="J14" s="35">
        <f>'4pielik'!D11</f>
        <v>62.7</v>
      </c>
      <c r="K14" s="35">
        <f t="shared" si="2"/>
        <v>361.24999999999994</v>
      </c>
      <c r="L14" s="121">
        <v>44</v>
      </c>
      <c r="M14" s="35">
        <f t="shared" si="3"/>
        <v>15894.999999999998</v>
      </c>
      <c r="N14" s="29">
        <f t="shared" si="4"/>
        <v>15.029999999999916</v>
      </c>
      <c r="O14" s="29">
        <f t="shared" si="5"/>
        <v>661.31999999999789</v>
      </c>
      <c r="P14" s="132"/>
    </row>
    <row r="15" spans="1:16" ht="78.45" customHeight="1" x14ac:dyDescent="0.3">
      <c r="A15" s="116">
        <v>5</v>
      </c>
      <c r="B15" s="123" t="s">
        <v>189</v>
      </c>
      <c r="C15" s="122" t="s">
        <v>9</v>
      </c>
      <c r="D15" s="35">
        <v>34.85</v>
      </c>
      <c r="E15" s="35">
        <v>0</v>
      </c>
      <c r="F15" s="35">
        <f t="shared" si="0"/>
        <v>34.85</v>
      </c>
      <c r="G15" s="121">
        <v>1</v>
      </c>
      <c r="H15" s="29">
        <f t="shared" si="1"/>
        <v>34.85</v>
      </c>
      <c r="I15" s="124">
        <f>'4pielik'!$C$12</f>
        <v>47.024088620342397</v>
      </c>
      <c r="J15" s="35">
        <f>'4pielik'!$D$12</f>
        <v>0</v>
      </c>
      <c r="K15" s="35">
        <f t="shared" si="2"/>
        <v>47.024088620342397</v>
      </c>
      <c r="L15" s="121">
        <v>1</v>
      </c>
      <c r="M15" s="35">
        <f t="shared" si="3"/>
        <v>47.024088620342397</v>
      </c>
      <c r="N15" s="29">
        <f t="shared" si="4"/>
        <v>12.174088620342395</v>
      </c>
      <c r="O15" s="29">
        <f t="shared" si="5"/>
        <v>12.174088620342395</v>
      </c>
      <c r="P15" s="131"/>
    </row>
    <row r="16" spans="1:16" x14ac:dyDescent="0.3">
      <c r="A16" s="30"/>
      <c r="B16" s="28" t="s">
        <v>10</v>
      </c>
      <c r="C16" s="31"/>
      <c r="D16" s="36"/>
      <c r="E16" s="36"/>
      <c r="F16" s="36"/>
      <c r="G16" s="36"/>
      <c r="H16" s="47">
        <f>SUM(H11:H15)</f>
        <v>25398.449999999997</v>
      </c>
      <c r="I16" s="36"/>
      <c r="J16" s="36"/>
      <c r="K16" s="36"/>
      <c r="L16" s="36"/>
      <c r="M16" s="47">
        <f>SUM(M11:M15)</f>
        <v>25635.054088620342</v>
      </c>
      <c r="N16" s="23"/>
      <c r="O16" s="47">
        <f>SUM(O11:O15)</f>
        <v>236.60408862034029</v>
      </c>
      <c r="P16" s="31"/>
    </row>
    <row r="18" spans="1:15" customFormat="1" ht="23.1" customHeight="1" x14ac:dyDescent="0.3">
      <c r="A18" s="61"/>
      <c r="B18" s="9"/>
      <c r="C18" s="9"/>
      <c r="G18" s="9"/>
      <c r="H18" s="2"/>
      <c r="I18" s="2"/>
      <c r="N18" s="9"/>
    </row>
    <row r="19" spans="1:15" customFormat="1" ht="17.100000000000001" customHeight="1" x14ac:dyDescent="0.3">
      <c r="A19" s="61"/>
      <c r="D19" s="91"/>
      <c r="E19" s="91"/>
      <c r="F19" s="91"/>
    </row>
    <row r="20" spans="1:15" customFormat="1" ht="31.35" customHeight="1" x14ac:dyDescent="0.35">
      <c r="A20" s="61"/>
      <c r="B20" s="92"/>
      <c r="D20" s="91"/>
      <c r="E20" s="91"/>
      <c r="F20" s="91"/>
      <c r="N20" s="93"/>
      <c r="O20" s="94"/>
    </row>
    <row r="21" spans="1:15" customFormat="1" x14ac:dyDescent="0.3"/>
    <row r="22" spans="1:15" customFormat="1" x14ac:dyDescent="0.3"/>
    <row r="23" spans="1:15" customFormat="1" x14ac:dyDescent="0.3"/>
    <row r="24" spans="1:15" customFormat="1" x14ac:dyDescent="0.3">
      <c r="B24" s="4" t="s">
        <v>51</v>
      </c>
    </row>
    <row r="25" spans="1:15" customFormat="1" x14ac:dyDescent="0.3">
      <c r="B25" s="4" t="s">
        <v>50</v>
      </c>
    </row>
    <row r="26" spans="1:15" x14ac:dyDescent="0.3">
      <c r="B26" s="1"/>
    </row>
    <row r="27" spans="1:15" x14ac:dyDescent="0.3">
      <c r="B27" s="11"/>
    </row>
  </sheetData>
  <mergeCells count="22">
    <mergeCell ref="P13:P15"/>
    <mergeCell ref="K8:K9"/>
    <mergeCell ref="B7:B9"/>
    <mergeCell ref="C7:C9"/>
    <mergeCell ref="D7:H7"/>
    <mergeCell ref="P11:P12"/>
    <mergeCell ref="A4:P4"/>
    <mergeCell ref="I1:P1"/>
    <mergeCell ref="I2:P2"/>
    <mergeCell ref="L8:L9"/>
    <mergeCell ref="P7:P9"/>
    <mergeCell ref="D8:D9"/>
    <mergeCell ref="E8:E9"/>
    <mergeCell ref="F8:F9"/>
    <mergeCell ref="G8:G9"/>
    <mergeCell ref="H8:H9"/>
    <mergeCell ref="I8:I9"/>
    <mergeCell ref="J8:J9"/>
    <mergeCell ref="A7:A9"/>
    <mergeCell ref="N7:O7"/>
    <mergeCell ref="M8:M9"/>
    <mergeCell ref="I7:M7"/>
  </mergeCells>
  <pageMargins left="0.98425196850393704" right="0.78740157480314965" top="1.1811023622047245" bottom="0.78740157480314965" header="0.31496062992125984" footer="0.31496062992125984"/>
  <pageSetup paperSize="9" scale="62" fitToHeight="0" orientation="landscape" r:id="rId1"/>
  <headerFooter differentFirst="1">
    <oddHeader>&amp;C&amp;"Times New Roman,Regular"&amp;12&amp;P</oddHeader>
    <oddFooter>&amp;L&amp;"Times New Roman,Regular"&amp;10IEMAnotp1</oddFooter>
    <firstFooter>&amp;L&amp;"Times New Roman,Regular"&amp;10IEMAnotp1</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534"/>
  <sheetViews>
    <sheetView showGridLines="0" tabSelected="1" showWhiteSpace="0" topLeftCell="A529" zoomScale="85" zoomScaleNormal="85" zoomScalePageLayoutView="55" workbookViewId="0">
      <selection activeCell="A533" sqref="A533:N533"/>
    </sheetView>
  </sheetViews>
  <sheetFormatPr defaultRowHeight="14.4" x14ac:dyDescent="0.3"/>
  <cols>
    <col min="1" max="1" width="9.5546875" customWidth="1"/>
    <col min="2" max="2" width="37" customWidth="1"/>
    <col min="3" max="3" width="13.77734375" customWidth="1"/>
    <col min="4" max="4" width="20.77734375" customWidth="1"/>
    <col min="5" max="5" width="8.21875" customWidth="1"/>
    <col min="6" max="6" width="5.5546875" customWidth="1"/>
    <col min="7" max="7" width="3.21875" customWidth="1"/>
    <col min="8" max="8" width="11.21875" customWidth="1"/>
    <col min="9" max="9" width="8.44140625" customWidth="1"/>
    <col min="10" max="10" width="9.77734375" customWidth="1"/>
    <col min="11" max="11" width="6" customWidth="1"/>
    <col min="12" max="12" width="12.6640625" customWidth="1"/>
    <col min="13" max="13" width="5.44140625" customWidth="1"/>
    <col min="14" max="14" width="12.6640625" customWidth="1"/>
    <col min="15" max="15" width="18.44140625" hidden="1" customWidth="1"/>
    <col min="16" max="16" width="19.21875" hidden="1" customWidth="1"/>
    <col min="17" max="17" width="4.21875" hidden="1" customWidth="1"/>
    <col min="18" max="18" width="11.21875" hidden="1" customWidth="1"/>
    <col min="19" max="19" width="11.5546875" hidden="1" customWidth="1"/>
    <col min="20" max="20" width="5.5546875" hidden="1" customWidth="1"/>
    <col min="21" max="21" width="12.21875" hidden="1" customWidth="1"/>
    <col min="22" max="22" width="6.77734375" hidden="1" customWidth="1"/>
    <col min="23" max="23" width="5.44140625" hidden="1" customWidth="1"/>
    <col min="24" max="27" width="0" hidden="1" customWidth="1"/>
    <col min="28" max="28" width="8.77734375" hidden="1" customWidth="1"/>
    <col min="29" max="31" width="0" hidden="1" customWidth="1"/>
  </cols>
  <sheetData>
    <row r="1" spans="1:15" x14ac:dyDescent="0.3">
      <c r="D1" s="126" t="s">
        <v>176</v>
      </c>
      <c r="E1" s="126"/>
      <c r="F1" s="126"/>
      <c r="G1" s="126"/>
      <c r="H1" s="126"/>
      <c r="I1" s="126"/>
      <c r="J1" s="126"/>
      <c r="K1" s="126"/>
      <c r="L1" s="126"/>
      <c r="M1" s="126"/>
      <c r="N1" s="126"/>
    </row>
    <row r="2" spans="1:15" ht="51.6" customHeight="1" x14ac:dyDescent="0.3">
      <c r="D2" s="62"/>
      <c r="E2" s="62"/>
      <c r="F2" s="62"/>
      <c r="G2" s="62"/>
      <c r="H2" s="127" t="s">
        <v>52</v>
      </c>
      <c r="I2" s="127"/>
      <c r="J2" s="127"/>
      <c r="K2" s="127"/>
      <c r="L2" s="127"/>
      <c r="M2" s="127"/>
      <c r="N2" s="127"/>
    </row>
    <row r="4" spans="1:15" x14ac:dyDescent="0.3">
      <c r="A4" s="183" t="s">
        <v>175</v>
      </c>
      <c r="B4" s="183"/>
      <c r="C4" s="183"/>
      <c r="D4" s="183"/>
      <c r="E4" s="183"/>
      <c r="F4" s="183"/>
      <c r="G4" s="183"/>
      <c r="H4" s="183"/>
      <c r="I4" s="183"/>
      <c r="J4" s="183"/>
      <c r="K4" s="183"/>
      <c r="L4" s="183"/>
      <c r="M4" s="183"/>
      <c r="N4" s="183"/>
    </row>
    <row r="5" spans="1:15" ht="18" x14ac:dyDescent="0.3">
      <c r="A5" s="60"/>
      <c r="B5" s="51"/>
      <c r="C5" s="51"/>
      <c r="D5" s="51"/>
      <c r="E5" s="51"/>
      <c r="F5" s="51"/>
      <c r="G5" s="51"/>
      <c r="H5" s="51"/>
      <c r="I5" s="51"/>
      <c r="J5" s="51"/>
      <c r="K5" s="51"/>
      <c r="L5" s="51"/>
      <c r="M5" s="51"/>
      <c r="N5" s="51"/>
    </row>
    <row r="6" spans="1:15" ht="18" x14ac:dyDescent="0.3">
      <c r="A6" s="58" t="s">
        <v>196</v>
      </c>
      <c r="B6" s="51"/>
      <c r="C6" s="51"/>
      <c r="D6" s="51"/>
      <c r="E6" s="51"/>
      <c r="F6" s="51"/>
      <c r="G6" s="51"/>
      <c r="H6" s="51"/>
      <c r="I6" s="51"/>
      <c r="J6" s="51"/>
      <c r="K6" s="51"/>
      <c r="L6" s="51"/>
      <c r="M6" s="51"/>
      <c r="N6" s="51"/>
    </row>
    <row r="7" spans="1:15" ht="15.6" x14ac:dyDescent="0.3">
      <c r="A7" s="55"/>
      <c r="B7" s="51"/>
      <c r="C7" s="51"/>
      <c r="D7" s="51"/>
      <c r="E7" s="51"/>
      <c r="F7" s="51"/>
      <c r="G7" s="51"/>
      <c r="H7" s="51"/>
      <c r="I7" s="51"/>
      <c r="J7" s="51"/>
      <c r="K7" s="51"/>
      <c r="L7" s="51"/>
      <c r="M7" s="51"/>
      <c r="N7" s="51"/>
    </row>
    <row r="8" spans="1:15" x14ac:dyDescent="0.3">
      <c r="A8" s="57" t="s">
        <v>166</v>
      </c>
      <c r="B8" s="56"/>
      <c r="C8" s="51"/>
      <c r="D8" s="51"/>
      <c r="E8" s="51"/>
      <c r="F8" s="51"/>
      <c r="G8" s="51"/>
      <c r="H8" s="51"/>
      <c r="I8" s="51"/>
      <c r="J8" s="51"/>
      <c r="K8" s="51"/>
      <c r="L8" s="51"/>
      <c r="M8" s="51"/>
      <c r="N8" s="51"/>
    </row>
    <row r="9" spans="1:15" ht="15.6" x14ac:dyDescent="0.3">
      <c r="A9" s="55"/>
      <c r="B9" s="51"/>
      <c r="C9" s="51"/>
      <c r="D9" s="51"/>
      <c r="E9" s="51"/>
      <c r="F9" s="51"/>
      <c r="G9" s="51"/>
      <c r="H9" s="51"/>
      <c r="I9" s="51"/>
      <c r="J9" s="51"/>
      <c r="K9" s="51"/>
      <c r="L9" s="51"/>
      <c r="M9" s="51"/>
      <c r="N9" s="51"/>
    </row>
    <row r="10" spans="1:15" ht="37.5" customHeight="1" x14ac:dyDescent="0.3">
      <c r="A10" s="83" t="s">
        <v>177</v>
      </c>
      <c r="B10" s="67" t="s">
        <v>164</v>
      </c>
      <c r="C10" s="201" t="s">
        <v>163</v>
      </c>
      <c r="D10" s="201"/>
      <c r="E10" s="201"/>
      <c r="F10" s="201"/>
      <c r="G10" s="201"/>
      <c r="H10" s="201"/>
      <c r="I10" s="201"/>
      <c r="J10" s="201"/>
      <c r="K10" s="201"/>
      <c r="L10" s="201"/>
      <c r="M10" s="201"/>
      <c r="N10" s="201"/>
      <c r="O10" s="84"/>
    </row>
    <row r="11" spans="1:15" x14ac:dyDescent="0.3">
      <c r="A11" s="68">
        <v>1</v>
      </c>
      <c r="B11" s="68">
        <v>2</v>
      </c>
      <c r="C11" s="219">
        <v>3</v>
      </c>
      <c r="D11" s="219"/>
      <c r="E11" s="219"/>
      <c r="F11" s="219"/>
      <c r="G11" s="219"/>
      <c r="H11" s="219"/>
      <c r="I11" s="219"/>
      <c r="J11" s="219"/>
      <c r="K11" s="219"/>
      <c r="L11" s="219"/>
      <c r="M11" s="219"/>
      <c r="N11" s="219"/>
      <c r="O11" s="234"/>
    </row>
    <row r="12" spans="1:15" x14ac:dyDescent="0.3">
      <c r="A12" s="184" t="s">
        <v>1</v>
      </c>
      <c r="B12" s="185"/>
      <c r="C12" s="185"/>
      <c r="D12" s="185"/>
      <c r="E12" s="185"/>
      <c r="F12" s="185"/>
      <c r="G12" s="185"/>
      <c r="H12" s="185"/>
      <c r="I12" s="185"/>
      <c r="J12" s="185"/>
      <c r="K12" s="185"/>
      <c r="L12" s="185"/>
      <c r="M12" s="185"/>
      <c r="N12" s="186"/>
      <c r="O12" s="234"/>
    </row>
    <row r="13" spans="1:15" x14ac:dyDescent="0.3">
      <c r="A13" s="70">
        <v>1000</v>
      </c>
      <c r="B13" s="189" t="s">
        <v>161</v>
      </c>
      <c r="C13" s="189"/>
      <c r="D13" s="189"/>
      <c r="E13" s="189"/>
      <c r="F13" s="189"/>
      <c r="G13" s="189"/>
      <c r="H13" s="189"/>
      <c r="I13" s="189"/>
      <c r="J13" s="189"/>
      <c r="K13" s="189"/>
      <c r="L13" s="189"/>
      <c r="M13" s="190">
        <f>M14+M27</f>
        <v>142.56</v>
      </c>
      <c r="N13" s="191"/>
      <c r="O13" s="234"/>
    </row>
    <row r="14" spans="1:15" x14ac:dyDescent="0.3">
      <c r="A14" s="71">
        <v>1100</v>
      </c>
      <c r="B14" s="189" t="s">
        <v>121</v>
      </c>
      <c r="C14" s="189"/>
      <c r="D14" s="189"/>
      <c r="E14" s="189"/>
      <c r="F14" s="189"/>
      <c r="G14" s="189"/>
      <c r="H14" s="189"/>
      <c r="I14" s="189"/>
      <c r="J14" s="189"/>
      <c r="K14" s="189"/>
      <c r="L14" s="189"/>
      <c r="M14" s="190">
        <f>ROUND(M15+M18,2)</f>
        <v>115.35</v>
      </c>
      <c r="N14" s="191"/>
      <c r="O14" s="234"/>
    </row>
    <row r="15" spans="1:15" ht="14.55" hidden="1" customHeight="1" x14ac:dyDescent="0.3">
      <c r="A15" s="72"/>
      <c r="B15" s="73"/>
      <c r="C15" s="158" t="s">
        <v>115</v>
      </c>
      <c r="D15" s="158"/>
      <c r="E15" s="158"/>
      <c r="F15" s="158"/>
      <c r="G15" s="158"/>
      <c r="H15" s="158"/>
      <c r="I15" s="156" t="s">
        <v>114</v>
      </c>
      <c r="J15" s="156"/>
      <c r="K15" s="156" t="s">
        <v>61</v>
      </c>
      <c r="L15" s="156"/>
      <c r="M15" s="198">
        <f>M16+M17</f>
        <v>0</v>
      </c>
      <c r="N15" s="199"/>
      <c r="O15" s="234"/>
    </row>
    <row r="16" spans="1:15" s="52" customFormat="1" ht="28.05" hidden="1" customHeight="1" x14ac:dyDescent="0.3">
      <c r="A16" s="74" t="s">
        <v>159</v>
      </c>
      <c r="B16" s="75" t="s">
        <v>120</v>
      </c>
      <c r="C16" s="213" t="s">
        <v>174</v>
      </c>
      <c r="D16" s="213"/>
      <c r="E16" s="213"/>
      <c r="F16" s="213"/>
      <c r="G16" s="213"/>
      <c r="H16" s="213"/>
      <c r="I16" s="214"/>
      <c r="J16" s="214"/>
      <c r="K16" s="210">
        <v>1</v>
      </c>
      <c r="L16" s="210"/>
      <c r="M16" s="211">
        <f>ROUND(I16/166.92*K16,2)</f>
        <v>0</v>
      </c>
      <c r="N16" s="212"/>
      <c r="O16" s="234"/>
    </row>
    <row r="17" spans="1:17" s="52" customFormat="1" ht="28.05" hidden="1" customHeight="1" x14ac:dyDescent="0.3">
      <c r="A17" s="74" t="s">
        <v>159</v>
      </c>
      <c r="B17" s="75" t="s">
        <v>120</v>
      </c>
      <c r="C17" s="213" t="s">
        <v>173</v>
      </c>
      <c r="D17" s="213"/>
      <c r="E17" s="213"/>
      <c r="F17" s="213"/>
      <c r="G17" s="213"/>
      <c r="H17" s="213"/>
      <c r="I17" s="214"/>
      <c r="J17" s="214"/>
      <c r="K17" s="210">
        <v>1</v>
      </c>
      <c r="L17" s="210"/>
      <c r="M17" s="211">
        <f>ROUND(I17/166.92*K17,2)</f>
        <v>0</v>
      </c>
      <c r="N17" s="212"/>
      <c r="O17" s="63"/>
    </row>
    <row r="18" spans="1:17" x14ac:dyDescent="0.3">
      <c r="A18" s="76"/>
      <c r="B18" s="76"/>
      <c r="C18" s="158" t="s">
        <v>157</v>
      </c>
      <c r="D18" s="158"/>
      <c r="E18" s="158"/>
      <c r="F18" s="158"/>
      <c r="G18" s="158"/>
      <c r="H18" s="158"/>
      <c r="I18" s="156" t="s">
        <v>109</v>
      </c>
      <c r="J18" s="156"/>
      <c r="K18" s="156" t="s">
        <v>61</v>
      </c>
      <c r="L18" s="156"/>
      <c r="M18" s="198">
        <f>SUM(M19:N26)</f>
        <v>115.35</v>
      </c>
      <c r="N18" s="199"/>
      <c r="O18" s="48"/>
    </row>
    <row r="19" spans="1:17" s="98" customFormat="1" ht="47.55" customHeight="1" x14ac:dyDescent="0.3">
      <c r="A19" s="96">
        <v>1142</v>
      </c>
      <c r="B19" s="95" t="s">
        <v>156</v>
      </c>
      <c r="C19" s="193" t="s">
        <v>201</v>
      </c>
      <c r="D19" s="193"/>
      <c r="E19" s="193"/>
      <c r="F19" s="193"/>
      <c r="G19" s="193"/>
      <c r="H19" s="193"/>
      <c r="I19" s="194">
        <f>ROUND(2610/165.5*2,2)</f>
        <v>31.54</v>
      </c>
      <c r="J19" s="194"/>
      <c r="K19" s="192">
        <v>1</v>
      </c>
      <c r="L19" s="192"/>
      <c r="M19" s="141">
        <f>I19*K19</f>
        <v>31.54</v>
      </c>
      <c r="N19" s="142"/>
      <c r="O19" s="97"/>
    </row>
    <row r="20" spans="1:17" s="98" customFormat="1" ht="57.45" customHeight="1" x14ac:dyDescent="0.3">
      <c r="A20" s="96">
        <v>1142</v>
      </c>
      <c r="B20" s="95" t="s">
        <v>156</v>
      </c>
      <c r="C20" s="193" t="s">
        <v>202</v>
      </c>
      <c r="D20" s="193"/>
      <c r="E20" s="193"/>
      <c r="F20" s="193"/>
      <c r="G20" s="193"/>
      <c r="H20" s="193"/>
      <c r="I20" s="197">
        <f>ROUND(2410/165.5*2,2)</f>
        <v>29.12</v>
      </c>
      <c r="J20" s="197"/>
      <c r="K20" s="192">
        <v>1</v>
      </c>
      <c r="L20" s="192"/>
      <c r="M20" s="141">
        <f>I20*K20</f>
        <v>29.12</v>
      </c>
      <c r="N20" s="142"/>
      <c r="O20" s="97"/>
    </row>
    <row r="21" spans="1:17" s="52" customFormat="1" ht="27.6" x14ac:dyDescent="0.3">
      <c r="A21" s="77">
        <v>1143</v>
      </c>
      <c r="B21" s="75" t="s">
        <v>111</v>
      </c>
      <c r="C21" s="193" t="s">
        <v>203</v>
      </c>
      <c r="D21" s="193"/>
      <c r="E21" s="193"/>
      <c r="F21" s="193"/>
      <c r="G21" s="193"/>
      <c r="H21" s="193"/>
      <c r="I21" s="194">
        <v>106</v>
      </c>
      <c r="J21" s="194"/>
      <c r="K21" s="192">
        <v>1</v>
      </c>
      <c r="L21" s="192"/>
      <c r="M21" s="141">
        <f>ROUND(I21/165.5*K21,2)</f>
        <v>0.64</v>
      </c>
      <c r="N21" s="142"/>
      <c r="O21" s="64"/>
    </row>
    <row r="22" spans="1:17" s="52" customFormat="1" ht="27.6" x14ac:dyDescent="0.3">
      <c r="A22" s="77">
        <v>1143</v>
      </c>
      <c r="B22" s="75" t="s">
        <v>111</v>
      </c>
      <c r="C22" s="193" t="s">
        <v>204</v>
      </c>
      <c r="D22" s="193"/>
      <c r="E22" s="193"/>
      <c r="F22" s="193"/>
      <c r="G22" s="193"/>
      <c r="H22" s="193"/>
      <c r="I22" s="192">
        <v>71</v>
      </c>
      <c r="J22" s="192"/>
      <c r="K22" s="192">
        <v>1</v>
      </c>
      <c r="L22" s="192"/>
      <c r="M22" s="141">
        <f>ROUND(I22/165.5*K22,2)</f>
        <v>0.43</v>
      </c>
      <c r="N22" s="142"/>
      <c r="O22" s="64"/>
    </row>
    <row r="23" spans="1:17" s="52" customFormat="1" ht="27.6" x14ac:dyDescent="0.3">
      <c r="A23" s="77">
        <v>1145</v>
      </c>
      <c r="B23" s="99" t="s">
        <v>155</v>
      </c>
      <c r="C23" s="136" t="s">
        <v>205</v>
      </c>
      <c r="D23" s="137"/>
      <c r="E23" s="137"/>
      <c r="F23" s="137"/>
      <c r="G23" s="137"/>
      <c r="H23" s="138"/>
      <c r="I23" s="139">
        <v>300</v>
      </c>
      <c r="J23" s="140"/>
      <c r="K23" s="139">
        <v>1</v>
      </c>
      <c r="L23" s="140"/>
      <c r="M23" s="141">
        <f>ROUND(I23/165.5*K23,2)</f>
        <v>1.81</v>
      </c>
      <c r="N23" s="142"/>
      <c r="O23" s="64"/>
    </row>
    <row r="24" spans="1:17" s="52" customFormat="1" ht="28.05" customHeight="1" x14ac:dyDescent="0.3">
      <c r="A24" s="77">
        <v>1145</v>
      </c>
      <c r="B24" s="99" t="s">
        <v>155</v>
      </c>
      <c r="C24" s="136" t="s">
        <v>205</v>
      </c>
      <c r="D24" s="137"/>
      <c r="E24" s="137"/>
      <c r="F24" s="137"/>
      <c r="G24" s="137"/>
      <c r="H24" s="138"/>
      <c r="I24" s="139">
        <v>300</v>
      </c>
      <c r="J24" s="140"/>
      <c r="K24" s="139">
        <v>1</v>
      </c>
      <c r="L24" s="140"/>
      <c r="M24" s="141">
        <f>ROUND(I24/165.5*K24,2)</f>
        <v>1.81</v>
      </c>
      <c r="N24" s="142"/>
      <c r="O24" s="64"/>
    </row>
    <row r="25" spans="1:17" s="52" customFormat="1" ht="27.6" x14ac:dyDescent="0.3">
      <c r="A25" s="77">
        <v>1145</v>
      </c>
      <c r="B25" s="75" t="s">
        <v>155</v>
      </c>
      <c r="C25" s="193" t="s">
        <v>179</v>
      </c>
      <c r="D25" s="193"/>
      <c r="E25" s="193"/>
      <c r="F25" s="193"/>
      <c r="G25" s="193"/>
      <c r="H25" s="193"/>
      <c r="I25" s="194">
        <v>25</v>
      </c>
      <c r="J25" s="194"/>
      <c r="K25" s="192">
        <v>1</v>
      </c>
      <c r="L25" s="192"/>
      <c r="M25" s="238">
        <f>I25</f>
        <v>25</v>
      </c>
      <c r="N25" s="239"/>
      <c r="O25" s="65" t="s">
        <v>154</v>
      </c>
    </row>
    <row r="26" spans="1:17" s="52" customFormat="1" ht="27.6" x14ac:dyDescent="0.3">
      <c r="A26" s="77">
        <v>1145</v>
      </c>
      <c r="B26" s="75" t="s">
        <v>155</v>
      </c>
      <c r="C26" s="221" t="s">
        <v>179</v>
      </c>
      <c r="D26" s="221"/>
      <c r="E26" s="221"/>
      <c r="F26" s="221"/>
      <c r="G26" s="221"/>
      <c r="H26" s="221"/>
      <c r="I26" s="210">
        <v>25</v>
      </c>
      <c r="J26" s="210"/>
      <c r="K26" s="210">
        <v>1</v>
      </c>
      <c r="L26" s="210"/>
      <c r="M26" s="240">
        <f>I26</f>
        <v>25</v>
      </c>
      <c r="N26" s="241"/>
      <c r="O26" s="66" t="s">
        <v>154</v>
      </c>
    </row>
    <row r="27" spans="1:17" x14ac:dyDescent="0.3">
      <c r="A27" s="71">
        <v>1200</v>
      </c>
      <c r="B27" s="189" t="s">
        <v>106</v>
      </c>
      <c r="C27" s="189"/>
      <c r="D27" s="189"/>
      <c r="E27" s="189"/>
      <c r="F27" s="189"/>
      <c r="G27" s="189"/>
      <c r="H27" s="189"/>
      <c r="I27" s="189"/>
      <c r="J27" s="189"/>
      <c r="K27" s="189"/>
      <c r="L27" s="189"/>
      <c r="M27" s="190">
        <f>ROUND(M28,2)</f>
        <v>27.21</v>
      </c>
      <c r="N27" s="191"/>
      <c r="O27" s="48"/>
    </row>
    <row r="28" spans="1:17" x14ac:dyDescent="0.3">
      <c r="A28" s="78">
        <v>1210</v>
      </c>
      <c r="B28" s="134" t="s">
        <v>105</v>
      </c>
      <c r="C28" s="134"/>
      <c r="D28" s="134"/>
      <c r="E28" s="134"/>
      <c r="F28" s="134"/>
      <c r="G28" s="134"/>
      <c r="H28" s="134"/>
      <c r="I28" s="134"/>
      <c r="J28" s="134"/>
      <c r="K28" s="134"/>
      <c r="L28" s="134"/>
      <c r="M28" s="206">
        <f>ROUND(M14*0.2359,2)</f>
        <v>27.21</v>
      </c>
      <c r="N28" s="207"/>
      <c r="O28" s="48"/>
    </row>
    <row r="29" spans="1:17" x14ac:dyDescent="0.3">
      <c r="A29" s="70">
        <v>2000</v>
      </c>
      <c r="B29" s="189" t="s">
        <v>104</v>
      </c>
      <c r="C29" s="189"/>
      <c r="D29" s="189"/>
      <c r="E29" s="189"/>
      <c r="F29" s="189"/>
      <c r="G29" s="189"/>
      <c r="H29" s="189"/>
      <c r="I29" s="189"/>
      <c r="J29" s="189"/>
      <c r="K29" s="189"/>
      <c r="L29" s="189"/>
      <c r="M29" s="224">
        <f>ROUND(M30+M47,2)</f>
        <v>104.73</v>
      </c>
      <c r="N29" s="225"/>
      <c r="O29" s="48"/>
    </row>
    <row r="30" spans="1:17" x14ac:dyDescent="0.3">
      <c r="A30" s="71">
        <v>2300</v>
      </c>
      <c r="B30" s="189" t="s">
        <v>86</v>
      </c>
      <c r="C30" s="189"/>
      <c r="D30" s="189"/>
      <c r="E30" s="189"/>
      <c r="F30" s="189"/>
      <c r="G30" s="189"/>
      <c r="H30" s="189"/>
      <c r="I30" s="189"/>
      <c r="J30" s="189"/>
      <c r="K30" s="189"/>
      <c r="L30" s="189"/>
      <c r="M30" s="224">
        <f>SUM(M32:N46)</f>
        <v>93.978000000000023</v>
      </c>
      <c r="N30" s="225"/>
      <c r="O30" s="48"/>
    </row>
    <row r="31" spans="1:17" ht="27.6" x14ac:dyDescent="0.3">
      <c r="A31" s="73"/>
      <c r="B31" s="72"/>
      <c r="C31" s="158" t="s">
        <v>65</v>
      </c>
      <c r="D31" s="158"/>
      <c r="E31" s="158"/>
      <c r="F31" s="158"/>
      <c r="G31" s="158"/>
      <c r="H31" s="158"/>
      <c r="I31" s="79" t="s">
        <v>153</v>
      </c>
      <c r="J31" s="79" t="s">
        <v>152</v>
      </c>
      <c r="K31" s="156" t="s">
        <v>61</v>
      </c>
      <c r="L31" s="156"/>
      <c r="M31" s="232"/>
      <c r="N31" s="233"/>
      <c r="O31" s="48"/>
    </row>
    <row r="32" spans="1:17" ht="34.5" customHeight="1" x14ac:dyDescent="0.3">
      <c r="A32" s="73">
        <v>2322</v>
      </c>
      <c r="B32" s="72" t="s">
        <v>151</v>
      </c>
      <c r="C32" s="216" t="s">
        <v>150</v>
      </c>
      <c r="D32" s="216"/>
      <c r="E32" s="216"/>
      <c r="F32" s="216"/>
      <c r="G32" s="216"/>
      <c r="H32" s="216"/>
      <c r="I32" s="80">
        <v>89</v>
      </c>
      <c r="J32" s="80">
        <v>0.98199999999999998</v>
      </c>
      <c r="K32" s="135">
        <v>1</v>
      </c>
      <c r="L32" s="135"/>
      <c r="M32" s="260">
        <f>I32*J32</f>
        <v>87.397999999999996</v>
      </c>
      <c r="N32" s="261"/>
      <c r="O32" s="48">
        <f>120</f>
        <v>120</v>
      </c>
      <c r="P32">
        <v>0.8</v>
      </c>
      <c r="Q32">
        <f>O32*P32</f>
        <v>96</v>
      </c>
    </row>
    <row r="33" spans="1:15" ht="26.55" customHeight="1" x14ac:dyDescent="0.3">
      <c r="A33" s="73">
        <v>2329</v>
      </c>
      <c r="B33" s="72" t="s">
        <v>149</v>
      </c>
      <c r="C33" s="216" t="s">
        <v>148</v>
      </c>
      <c r="D33" s="216"/>
      <c r="E33" s="216"/>
      <c r="F33" s="216"/>
      <c r="G33" s="216"/>
      <c r="H33" s="216"/>
      <c r="I33" s="81">
        <v>7.0000000000000007E-2</v>
      </c>
      <c r="J33" s="80"/>
      <c r="K33" s="135">
        <v>1</v>
      </c>
      <c r="L33" s="135"/>
      <c r="M33" s="270">
        <f>ROUND(M32*I33,2)</f>
        <v>6.12</v>
      </c>
      <c r="N33" s="271"/>
      <c r="O33" s="48"/>
    </row>
    <row r="34" spans="1:15" ht="27.6" x14ac:dyDescent="0.3">
      <c r="A34" s="154">
        <v>2364</v>
      </c>
      <c r="B34" s="134" t="s">
        <v>147</v>
      </c>
      <c r="C34" s="158" t="s">
        <v>65</v>
      </c>
      <c r="D34" s="158"/>
      <c r="E34" s="158"/>
      <c r="F34" s="158"/>
      <c r="G34" s="158"/>
      <c r="H34" s="79" t="s">
        <v>84</v>
      </c>
      <c r="I34" s="158" t="s">
        <v>62</v>
      </c>
      <c r="J34" s="158"/>
      <c r="K34" s="156" t="s">
        <v>61</v>
      </c>
      <c r="L34" s="156"/>
      <c r="M34" s="198"/>
      <c r="N34" s="199"/>
      <c r="O34" s="48"/>
    </row>
    <row r="35" spans="1:15" s="25" customFormat="1" x14ac:dyDescent="0.3">
      <c r="A35" s="154"/>
      <c r="B35" s="134"/>
      <c r="C35" s="157" t="s">
        <v>146</v>
      </c>
      <c r="D35" s="157"/>
      <c r="E35" s="157"/>
      <c r="F35" s="157"/>
      <c r="G35" s="157"/>
      <c r="H35" s="82">
        <v>1</v>
      </c>
      <c r="I35" s="135">
        <v>33.549999999999997</v>
      </c>
      <c r="J35" s="135"/>
      <c r="K35" s="135">
        <v>1</v>
      </c>
      <c r="L35" s="135"/>
      <c r="M35" s="187">
        <f>ROUND(I35*2/H35/365/24*2,2)</f>
        <v>0.02</v>
      </c>
      <c r="N35" s="188"/>
      <c r="O35" s="50"/>
    </row>
    <row r="36" spans="1:15" s="25" customFormat="1" x14ac:dyDescent="0.3">
      <c r="A36" s="154"/>
      <c r="B36" s="134"/>
      <c r="C36" s="157" t="s">
        <v>145</v>
      </c>
      <c r="D36" s="157"/>
      <c r="E36" s="157"/>
      <c r="F36" s="157"/>
      <c r="G36" s="157"/>
      <c r="H36" s="82">
        <v>4</v>
      </c>
      <c r="I36" s="135">
        <v>350.9</v>
      </c>
      <c r="J36" s="135"/>
      <c r="K36" s="135">
        <v>1</v>
      </c>
      <c r="L36" s="135"/>
      <c r="M36" s="187">
        <f>ROUND(I36*2/H36/365/24*2,2)</f>
        <v>0.04</v>
      </c>
      <c r="N36" s="188"/>
      <c r="O36" s="50"/>
    </row>
    <row r="37" spans="1:15" s="25" customFormat="1" x14ac:dyDescent="0.3">
      <c r="A37" s="154"/>
      <c r="B37" s="134"/>
      <c r="C37" s="157" t="s">
        <v>144</v>
      </c>
      <c r="D37" s="157"/>
      <c r="E37" s="157"/>
      <c r="F37" s="157"/>
      <c r="G37" s="157"/>
      <c r="H37" s="82">
        <v>4</v>
      </c>
      <c r="I37" s="135">
        <v>1057.1600000000001</v>
      </c>
      <c r="J37" s="135"/>
      <c r="K37" s="135">
        <v>1</v>
      </c>
      <c r="L37" s="135"/>
      <c r="M37" s="187">
        <f>ROUND(I37*2/H37/365/24*2,2)</f>
        <v>0.12</v>
      </c>
      <c r="N37" s="188"/>
      <c r="O37" s="50"/>
    </row>
    <row r="38" spans="1:15" s="25" customFormat="1" x14ac:dyDescent="0.3">
      <c r="A38" s="154"/>
      <c r="B38" s="134"/>
      <c r="C38" s="157" t="s">
        <v>143</v>
      </c>
      <c r="D38" s="157"/>
      <c r="E38" s="157"/>
      <c r="F38" s="157"/>
      <c r="G38" s="157"/>
      <c r="H38" s="82">
        <v>3</v>
      </c>
      <c r="I38" s="135">
        <v>112.05</v>
      </c>
      <c r="J38" s="135"/>
      <c r="K38" s="135">
        <v>1</v>
      </c>
      <c r="L38" s="135"/>
      <c r="M38" s="187">
        <f>ROUND(I38/H38/365/24*2,2)</f>
        <v>0.01</v>
      </c>
      <c r="N38" s="188"/>
      <c r="O38" s="50"/>
    </row>
    <row r="39" spans="1:15" s="25" customFormat="1" x14ac:dyDescent="0.3">
      <c r="A39" s="154"/>
      <c r="B39" s="134"/>
      <c r="C39" s="157" t="s">
        <v>142</v>
      </c>
      <c r="D39" s="157"/>
      <c r="E39" s="157"/>
      <c r="F39" s="157"/>
      <c r="G39" s="157"/>
      <c r="H39" s="82">
        <v>3</v>
      </c>
      <c r="I39" s="135">
        <v>159.72</v>
      </c>
      <c r="J39" s="135"/>
      <c r="K39" s="135">
        <v>1</v>
      </c>
      <c r="L39" s="135"/>
      <c r="M39" s="187">
        <f>ROUND(I39/H39/365/24*2,2)</f>
        <v>0.01</v>
      </c>
      <c r="N39" s="188"/>
      <c r="O39" s="50"/>
    </row>
    <row r="40" spans="1:15" s="25" customFormat="1" x14ac:dyDescent="0.3">
      <c r="A40" s="154"/>
      <c r="B40" s="134"/>
      <c r="C40" s="157" t="s">
        <v>141</v>
      </c>
      <c r="D40" s="157"/>
      <c r="E40" s="157"/>
      <c r="F40" s="157"/>
      <c r="G40" s="157"/>
      <c r="H40" s="82">
        <v>2</v>
      </c>
      <c r="I40" s="135">
        <v>38.72</v>
      </c>
      <c r="J40" s="135"/>
      <c r="K40" s="135">
        <v>1</v>
      </c>
      <c r="L40" s="135"/>
      <c r="M40" s="187">
        <f t="shared" ref="M40:M45" si="0">ROUND(I40/H40/365/24*2,2)</f>
        <v>0</v>
      </c>
      <c r="N40" s="188"/>
      <c r="O40" s="50"/>
    </row>
    <row r="41" spans="1:15" s="25" customFormat="1" x14ac:dyDescent="0.3">
      <c r="A41" s="154"/>
      <c r="B41" s="134"/>
      <c r="C41" s="157" t="s">
        <v>140</v>
      </c>
      <c r="D41" s="157"/>
      <c r="E41" s="157"/>
      <c r="F41" s="157"/>
      <c r="G41" s="157"/>
      <c r="H41" s="82">
        <v>5</v>
      </c>
      <c r="I41" s="135">
        <v>907.5</v>
      </c>
      <c r="J41" s="135"/>
      <c r="K41" s="135">
        <v>1</v>
      </c>
      <c r="L41" s="135"/>
      <c r="M41" s="187">
        <f t="shared" si="0"/>
        <v>0.04</v>
      </c>
      <c r="N41" s="188"/>
      <c r="O41" s="50"/>
    </row>
    <row r="42" spans="1:15" s="25" customFormat="1" x14ac:dyDescent="0.3">
      <c r="A42" s="154"/>
      <c r="B42" s="134"/>
      <c r="C42" s="157" t="s">
        <v>139</v>
      </c>
      <c r="D42" s="157"/>
      <c r="E42" s="157"/>
      <c r="F42" s="157"/>
      <c r="G42" s="157"/>
      <c r="H42" s="82">
        <v>4</v>
      </c>
      <c r="I42" s="135">
        <v>249.96</v>
      </c>
      <c r="J42" s="135"/>
      <c r="K42" s="135">
        <v>1</v>
      </c>
      <c r="L42" s="135"/>
      <c r="M42" s="187">
        <f t="shared" si="0"/>
        <v>0.01</v>
      </c>
      <c r="N42" s="188"/>
      <c r="O42" s="50"/>
    </row>
    <row r="43" spans="1:15" s="25" customFormat="1" x14ac:dyDescent="0.3">
      <c r="A43" s="154"/>
      <c r="B43" s="134"/>
      <c r="C43" s="157" t="s">
        <v>138</v>
      </c>
      <c r="D43" s="157"/>
      <c r="E43" s="157"/>
      <c r="F43" s="157"/>
      <c r="G43" s="157"/>
      <c r="H43" s="82">
        <v>2</v>
      </c>
      <c r="I43" s="135">
        <v>16</v>
      </c>
      <c r="J43" s="135"/>
      <c r="K43" s="135">
        <v>1</v>
      </c>
      <c r="L43" s="135"/>
      <c r="M43" s="187">
        <f t="shared" si="0"/>
        <v>0</v>
      </c>
      <c r="N43" s="188"/>
      <c r="O43" s="50"/>
    </row>
    <row r="44" spans="1:15" s="25" customFormat="1" x14ac:dyDescent="0.3">
      <c r="A44" s="154"/>
      <c r="B44" s="134"/>
      <c r="C44" s="157" t="s">
        <v>137</v>
      </c>
      <c r="D44" s="157"/>
      <c r="E44" s="157"/>
      <c r="F44" s="157"/>
      <c r="G44" s="157"/>
      <c r="H44" s="82">
        <v>1</v>
      </c>
      <c r="I44" s="135">
        <v>89.74</v>
      </c>
      <c r="J44" s="135"/>
      <c r="K44" s="135">
        <v>1</v>
      </c>
      <c r="L44" s="135"/>
      <c r="M44" s="187">
        <f t="shared" si="0"/>
        <v>0.02</v>
      </c>
      <c r="N44" s="188"/>
      <c r="O44" s="50"/>
    </row>
    <row r="45" spans="1:15" s="25" customFormat="1" x14ac:dyDescent="0.3">
      <c r="A45" s="154"/>
      <c r="B45" s="134"/>
      <c r="C45" s="157" t="s">
        <v>136</v>
      </c>
      <c r="D45" s="157"/>
      <c r="E45" s="157"/>
      <c r="F45" s="157"/>
      <c r="G45" s="157"/>
      <c r="H45" s="82">
        <v>4</v>
      </c>
      <c r="I45" s="135">
        <v>3261.98</v>
      </c>
      <c r="J45" s="135"/>
      <c r="K45" s="135">
        <v>1</v>
      </c>
      <c r="L45" s="135"/>
      <c r="M45" s="187">
        <f t="shared" si="0"/>
        <v>0.19</v>
      </c>
      <c r="N45" s="188"/>
      <c r="O45" s="50"/>
    </row>
    <row r="46" spans="1:15" s="25" customFormat="1" x14ac:dyDescent="0.3">
      <c r="A46" s="154"/>
      <c r="B46" s="134"/>
      <c r="C46" s="157" t="s">
        <v>135</v>
      </c>
      <c r="D46" s="157"/>
      <c r="E46" s="157"/>
      <c r="F46" s="157"/>
      <c r="G46" s="157"/>
      <c r="H46" s="82">
        <v>6</v>
      </c>
      <c r="I46" s="135">
        <v>107.97</v>
      </c>
      <c r="J46" s="135"/>
      <c r="K46" s="135">
        <v>1</v>
      </c>
      <c r="L46" s="135"/>
      <c r="M46" s="187">
        <f>ROUND(I46/H46/365/24*2,2)</f>
        <v>0</v>
      </c>
      <c r="N46" s="188"/>
      <c r="O46" s="50"/>
    </row>
    <row r="47" spans="1:15" x14ac:dyDescent="0.3">
      <c r="A47" s="70">
        <v>5000</v>
      </c>
      <c r="B47" s="189" t="s">
        <v>66</v>
      </c>
      <c r="C47" s="189"/>
      <c r="D47" s="189"/>
      <c r="E47" s="189"/>
      <c r="F47" s="189"/>
      <c r="G47" s="189"/>
      <c r="H47" s="189"/>
      <c r="I47" s="189"/>
      <c r="J47" s="189"/>
      <c r="K47" s="189"/>
      <c r="L47" s="189"/>
      <c r="M47" s="224">
        <f>SUM(M49:N54)</f>
        <v>10.75</v>
      </c>
      <c r="N47" s="225"/>
      <c r="O47" s="49"/>
    </row>
    <row r="48" spans="1:15" x14ac:dyDescent="0.3">
      <c r="A48" s="73"/>
      <c r="B48" s="73"/>
      <c r="C48" s="158" t="s">
        <v>65</v>
      </c>
      <c r="D48" s="158"/>
      <c r="E48" s="156" t="s">
        <v>64</v>
      </c>
      <c r="F48" s="156"/>
      <c r="G48" s="156" t="s">
        <v>63</v>
      </c>
      <c r="H48" s="156"/>
      <c r="I48" s="158" t="s">
        <v>62</v>
      </c>
      <c r="J48" s="158"/>
      <c r="K48" s="156" t="s">
        <v>61</v>
      </c>
      <c r="L48" s="156"/>
      <c r="M48" s="232"/>
      <c r="N48" s="233"/>
    </row>
    <row r="49" spans="1:23" ht="31.5" customHeight="1" x14ac:dyDescent="0.3">
      <c r="A49" s="154">
        <v>5239</v>
      </c>
      <c r="B49" s="203" t="s">
        <v>134</v>
      </c>
      <c r="C49" s="193" t="s">
        <v>133</v>
      </c>
      <c r="D49" s="193"/>
      <c r="E49" s="226">
        <v>10</v>
      </c>
      <c r="F49" s="226"/>
      <c r="G49" s="226">
        <v>1</v>
      </c>
      <c r="H49" s="226"/>
      <c r="I49" s="226">
        <v>3360.17</v>
      </c>
      <c r="J49" s="226"/>
      <c r="K49" s="226">
        <v>1</v>
      </c>
      <c r="L49" s="226"/>
      <c r="M49" s="238">
        <v>7.67</v>
      </c>
      <c r="N49" s="239"/>
      <c r="O49" s="234"/>
      <c r="V49" t="s">
        <v>130</v>
      </c>
    </row>
    <row r="50" spans="1:23" ht="29.55" customHeight="1" x14ac:dyDescent="0.3">
      <c r="A50" s="154"/>
      <c r="B50" s="203"/>
      <c r="C50" s="193" t="s">
        <v>132</v>
      </c>
      <c r="D50" s="193"/>
      <c r="E50" s="226">
        <v>10</v>
      </c>
      <c r="F50" s="226"/>
      <c r="G50" s="226">
        <v>1</v>
      </c>
      <c r="H50" s="226"/>
      <c r="I50" s="226">
        <v>507.84</v>
      </c>
      <c r="J50" s="226"/>
      <c r="K50" s="226">
        <v>1</v>
      </c>
      <c r="L50" s="226"/>
      <c r="M50" s="238">
        <v>1.1599999999999999</v>
      </c>
      <c r="N50" s="239"/>
      <c r="O50" s="234"/>
      <c r="V50" t="s">
        <v>128</v>
      </c>
    </row>
    <row r="51" spans="1:23" x14ac:dyDescent="0.3">
      <c r="A51" s="154"/>
      <c r="B51" s="203"/>
      <c r="C51" s="193" t="s">
        <v>131</v>
      </c>
      <c r="D51" s="193"/>
      <c r="E51" s="226">
        <v>10</v>
      </c>
      <c r="F51" s="226"/>
      <c r="G51" s="226">
        <v>1</v>
      </c>
      <c r="H51" s="226"/>
      <c r="I51" s="226">
        <v>317.02</v>
      </c>
      <c r="J51" s="226"/>
      <c r="K51" s="226">
        <v>1</v>
      </c>
      <c r="L51" s="226"/>
      <c r="M51" s="238">
        <v>0.72</v>
      </c>
      <c r="N51" s="239"/>
      <c r="O51" s="234"/>
      <c r="V51" t="s">
        <v>130</v>
      </c>
    </row>
    <row r="52" spans="1:23" x14ac:dyDescent="0.3">
      <c r="A52" s="154"/>
      <c r="B52" s="203"/>
      <c r="C52" s="193" t="s">
        <v>129</v>
      </c>
      <c r="D52" s="193"/>
      <c r="E52" s="226">
        <v>10</v>
      </c>
      <c r="F52" s="226"/>
      <c r="G52" s="226">
        <v>1</v>
      </c>
      <c r="H52" s="226"/>
      <c r="I52" s="226">
        <v>525.14</v>
      </c>
      <c r="J52" s="226"/>
      <c r="K52" s="226">
        <v>1</v>
      </c>
      <c r="L52" s="226"/>
      <c r="M52" s="238">
        <v>1.2</v>
      </c>
      <c r="N52" s="239"/>
      <c r="O52" s="234"/>
      <c r="V52" t="s">
        <v>128</v>
      </c>
    </row>
    <row r="53" spans="1:23" ht="31.5" customHeight="1" x14ac:dyDescent="0.3">
      <c r="A53" s="73">
        <v>5231</v>
      </c>
      <c r="B53" s="73" t="s">
        <v>127</v>
      </c>
      <c r="C53" s="193" t="s">
        <v>168</v>
      </c>
      <c r="D53" s="193"/>
      <c r="E53" s="226">
        <v>0</v>
      </c>
      <c r="F53" s="226"/>
      <c r="G53" s="226">
        <v>1</v>
      </c>
      <c r="H53" s="226"/>
      <c r="I53" s="236">
        <v>361265.96</v>
      </c>
      <c r="J53" s="236"/>
      <c r="K53" s="226">
        <v>1</v>
      </c>
      <c r="L53" s="226"/>
      <c r="M53" s="231">
        <f>ROUND(I53*E53/100/12/165.5*K53,2)</f>
        <v>0</v>
      </c>
      <c r="N53" s="231"/>
      <c r="O53" s="234">
        <v>6628.38</v>
      </c>
      <c r="P53">
        <v>308651</v>
      </c>
      <c r="Q53">
        <v>206</v>
      </c>
      <c r="S53">
        <v>4762827.67</v>
      </c>
      <c r="T53">
        <v>119</v>
      </c>
      <c r="V53">
        <v>180</v>
      </c>
    </row>
    <row r="54" spans="1:23" ht="26.55" customHeight="1" x14ac:dyDescent="0.3">
      <c r="A54" s="73"/>
      <c r="B54" s="73"/>
      <c r="C54" s="193" t="s">
        <v>206</v>
      </c>
      <c r="D54" s="193"/>
      <c r="E54" s="226"/>
      <c r="F54" s="226"/>
      <c r="G54" s="226"/>
      <c r="H54" s="226"/>
      <c r="I54" s="236"/>
      <c r="J54" s="236"/>
      <c r="K54" s="226"/>
      <c r="L54" s="226"/>
      <c r="M54" s="231"/>
      <c r="N54" s="231"/>
      <c r="O54" s="234"/>
      <c r="P54">
        <v>413878.99</v>
      </c>
      <c r="Q54">
        <v>206</v>
      </c>
      <c r="R54" s="54">
        <f>SUM(P53:P54)/2</f>
        <v>361264.995</v>
      </c>
      <c r="S54">
        <v>4568501.67</v>
      </c>
      <c r="T54">
        <v>119</v>
      </c>
      <c r="U54" s="54">
        <f>SUM(S53:S54)/2</f>
        <v>4665664.67</v>
      </c>
      <c r="V54" t="s">
        <v>125</v>
      </c>
      <c r="W54" t="s">
        <v>124</v>
      </c>
    </row>
    <row r="55" spans="1:23" x14ac:dyDescent="0.3">
      <c r="A55" s="237" t="s">
        <v>123</v>
      </c>
      <c r="B55" s="237"/>
      <c r="C55" s="237"/>
      <c r="D55" s="237"/>
      <c r="E55" s="237"/>
      <c r="F55" s="237"/>
      <c r="G55" s="237"/>
      <c r="H55" s="237"/>
      <c r="I55" s="237"/>
      <c r="J55" s="237"/>
      <c r="K55" s="237"/>
      <c r="L55" s="237"/>
      <c r="M55" s="244">
        <f>M13+M29+M47</f>
        <v>258.04000000000002</v>
      </c>
      <c r="N55" s="245"/>
    </row>
    <row r="56" spans="1:23" x14ac:dyDescent="0.3">
      <c r="A56" s="53"/>
      <c r="B56" s="53"/>
      <c r="C56" s="218"/>
      <c r="D56" s="218"/>
      <c r="E56" s="218"/>
      <c r="F56" s="218"/>
      <c r="G56" s="218"/>
      <c r="H56" s="218"/>
      <c r="I56" s="218"/>
      <c r="J56" s="218"/>
      <c r="K56" s="218"/>
      <c r="L56" s="218"/>
      <c r="M56" s="235"/>
      <c r="N56" s="235"/>
    </row>
    <row r="57" spans="1:23" x14ac:dyDescent="0.3">
      <c r="A57" s="177" t="s">
        <v>2</v>
      </c>
      <c r="B57" s="178"/>
      <c r="C57" s="178"/>
      <c r="D57" s="178"/>
      <c r="E57" s="178"/>
      <c r="F57" s="178"/>
      <c r="G57" s="178"/>
      <c r="H57" s="178"/>
      <c r="I57" s="178"/>
      <c r="J57" s="178"/>
      <c r="K57" s="178"/>
      <c r="L57" s="178"/>
      <c r="M57" s="178"/>
      <c r="N57" s="179"/>
    </row>
    <row r="58" spans="1:23" x14ac:dyDescent="0.3">
      <c r="A58" s="70">
        <v>1000</v>
      </c>
      <c r="B58" s="189" t="s">
        <v>122</v>
      </c>
      <c r="C58" s="189"/>
      <c r="D58" s="189"/>
      <c r="E58" s="189"/>
      <c r="F58" s="189"/>
      <c r="G58" s="189"/>
      <c r="H58" s="189"/>
      <c r="I58" s="189"/>
      <c r="J58" s="189"/>
      <c r="K58" s="189"/>
      <c r="L58" s="189"/>
      <c r="M58" s="224">
        <f>M59+M81</f>
        <v>9.1</v>
      </c>
      <c r="N58" s="225"/>
    </row>
    <row r="59" spans="1:23" x14ac:dyDescent="0.3">
      <c r="A59" s="71">
        <v>1100</v>
      </c>
      <c r="B59" s="189" t="s">
        <v>121</v>
      </c>
      <c r="C59" s="189"/>
      <c r="D59" s="189"/>
      <c r="E59" s="189"/>
      <c r="F59" s="189"/>
      <c r="G59" s="189"/>
      <c r="H59" s="189"/>
      <c r="I59" s="189"/>
      <c r="J59" s="189"/>
      <c r="K59" s="189"/>
      <c r="L59" s="189"/>
      <c r="M59" s="190">
        <f>ROUND(M60+M67+M72+M77,2)</f>
        <v>7.36</v>
      </c>
      <c r="N59" s="191"/>
    </row>
    <row r="60" spans="1:23" x14ac:dyDescent="0.3">
      <c r="A60" s="154">
        <v>1116</v>
      </c>
      <c r="B60" s="134" t="s">
        <v>120</v>
      </c>
      <c r="C60" s="158" t="s">
        <v>115</v>
      </c>
      <c r="D60" s="158"/>
      <c r="E60" s="158"/>
      <c r="F60" s="158"/>
      <c r="G60" s="158"/>
      <c r="H60" s="158"/>
      <c r="I60" s="156" t="s">
        <v>114</v>
      </c>
      <c r="J60" s="156"/>
      <c r="K60" s="156" t="s">
        <v>61</v>
      </c>
      <c r="L60" s="156"/>
      <c r="M60" s="198">
        <f>M61+M63+M65</f>
        <v>3.09</v>
      </c>
      <c r="N60" s="199"/>
    </row>
    <row r="61" spans="1:23" s="52" customFormat="1" ht="39.75" customHeight="1" x14ac:dyDescent="0.3">
      <c r="A61" s="154"/>
      <c r="B61" s="134"/>
      <c r="C61" s="193" t="s">
        <v>119</v>
      </c>
      <c r="D61" s="193"/>
      <c r="E61" s="193"/>
      <c r="F61" s="193"/>
      <c r="G61" s="193"/>
      <c r="H61" s="193"/>
      <c r="I61" s="215">
        <v>2875</v>
      </c>
      <c r="J61" s="215"/>
      <c r="K61" s="192">
        <v>3.3000000000000002E-2</v>
      </c>
      <c r="L61" s="192"/>
      <c r="M61" s="231">
        <f>ROUND(I61/165.5*K61,2)</f>
        <v>0.56999999999999995</v>
      </c>
      <c r="N61" s="231"/>
      <c r="O61" s="220">
        <f>I61/166.92*K61</f>
        <v>0.56838605319913738</v>
      </c>
    </row>
    <row r="62" spans="1:23" s="52" customFormat="1" ht="30.75" customHeight="1" x14ac:dyDescent="0.3">
      <c r="A62" s="154"/>
      <c r="B62" s="134"/>
      <c r="C62" s="193" t="s">
        <v>207</v>
      </c>
      <c r="D62" s="193"/>
      <c r="E62" s="193"/>
      <c r="F62" s="193"/>
      <c r="G62" s="193"/>
      <c r="H62" s="193"/>
      <c r="I62" s="215"/>
      <c r="J62" s="215"/>
      <c r="K62" s="192"/>
      <c r="L62" s="192"/>
      <c r="M62" s="231">
        <f>ROUND(I62/167*K62,2)</f>
        <v>0</v>
      </c>
      <c r="N62" s="231"/>
      <c r="O62" s="220"/>
    </row>
    <row r="63" spans="1:23" s="52" customFormat="1" ht="29.25" customHeight="1" x14ac:dyDescent="0.3">
      <c r="A63" s="154"/>
      <c r="B63" s="134"/>
      <c r="C63" s="193" t="s">
        <v>118</v>
      </c>
      <c r="D63" s="193"/>
      <c r="E63" s="193"/>
      <c r="F63" s="193"/>
      <c r="G63" s="193"/>
      <c r="H63" s="193"/>
      <c r="I63" s="215">
        <v>2845</v>
      </c>
      <c r="J63" s="215"/>
      <c r="K63" s="192">
        <v>8.3000000000000004E-2</v>
      </c>
      <c r="L63" s="192"/>
      <c r="M63" s="231">
        <f>ROUND(I63/165.5*K63,2)</f>
        <v>1.43</v>
      </c>
      <c r="N63" s="231"/>
      <c r="O63" s="220"/>
    </row>
    <row r="64" spans="1:23" s="52" customFormat="1" ht="31.5" customHeight="1" x14ac:dyDescent="0.3">
      <c r="A64" s="154"/>
      <c r="B64" s="134"/>
      <c r="C64" s="193" t="s">
        <v>208</v>
      </c>
      <c r="D64" s="193"/>
      <c r="E64" s="193"/>
      <c r="F64" s="193"/>
      <c r="G64" s="193"/>
      <c r="H64" s="193"/>
      <c r="I64" s="215"/>
      <c r="J64" s="215"/>
      <c r="K64" s="192"/>
      <c r="L64" s="192"/>
      <c r="M64" s="231">
        <f t="shared" ref="M64" si="1">ROUND(I64/167*K64,2)</f>
        <v>0</v>
      </c>
      <c r="N64" s="231"/>
      <c r="O64" s="220"/>
    </row>
    <row r="65" spans="1:15" s="52" customFormat="1" ht="31.5" customHeight="1" x14ac:dyDescent="0.3">
      <c r="A65" s="154"/>
      <c r="B65" s="134"/>
      <c r="C65" s="193" t="s">
        <v>117</v>
      </c>
      <c r="D65" s="193"/>
      <c r="E65" s="193"/>
      <c r="F65" s="193"/>
      <c r="G65" s="193"/>
      <c r="H65" s="193"/>
      <c r="I65" s="215">
        <v>2175</v>
      </c>
      <c r="J65" s="215"/>
      <c r="K65" s="192">
        <v>8.3000000000000004E-2</v>
      </c>
      <c r="L65" s="192"/>
      <c r="M65" s="231">
        <f>ROUND(I65/165.5*K65,2)</f>
        <v>1.0900000000000001</v>
      </c>
      <c r="N65" s="231"/>
      <c r="O65" s="220"/>
    </row>
    <row r="66" spans="1:15" s="52" customFormat="1" ht="25.05" customHeight="1" x14ac:dyDescent="0.3">
      <c r="A66" s="154"/>
      <c r="B66" s="134"/>
      <c r="C66" s="193" t="s">
        <v>208</v>
      </c>
      <c r="D66" s="193"/>
      <c r="E66" s="193"/>
      <c r="F66" s="193"/>
      <c r="G66" s="193"/>
      <c r="H66" s="193"/>
      <c r="I66" s="215"/>
      <c r="J66" s="215"/>
      <c r="K66" s="192"/>
      <c r="L66" s="192"/>
      <c r="M66" s="231">
        <f t="shared" ref="M66" si="2">ROUND(I66/167*K66,2)</f>
        <v>0</v>
      </c>
      <c r="N66" s="231"/>
      <c r="O66" s="220"/>
    </row>
    <row r="67" spans="1:15" x14ac:dyDescent="0.3">
      <c r="A67" s="154">
        <v>1119</v>
      </c>
      <c r="B67" s="134" t="s">
        <v>116</v>
      </c>
      <c r="C67" s="158" t="s">
        <v>115</v>
      </c>
      <c r="D67" s="158"/>
      <c r="E67" s="158"/>
      <c r="F67" s="158"/>
      <c r="G67" s="158"/>
      <c r="H67" s="158"/>
      <c r="I67" s="156" t="s">
        <v>114</v>
      </c>
      <c r="J67" s="156"/>
      <c r="K67" s="156" t="s">
        <v>61</v>
      </c>
      <c r="L67" s="156"/>
      <c r="M67" s="198">
        <f>M68+M70</f>
        <v>4.0200000000000005</v>
      </c>
      <c r="N67" s="199"/>
      <c r="O67" s="48"/>
    </row>
    <row r="68" spans="1:15" s="52" customFormat="1" ht="36.6" customHeight="1" x14ac:dyDescent="0.3">
      <c r="A68" s="154"/>
      <c r="B68" s="134"/>
      <c r="C68" s="193" t="s">
        <v>113</v>
      </c>
      <c r="D68" s="193"/>
      <c r="E68" s="193"/>
      <c r="F68" s="193"/>
      <c r="G68" s="193"/>
      <c r="H68" s="193"/>
      <c r="I68" s="215">
        <v>1990</v>
      </c>
      <c r="J68" s="215"/>
      <c r="K68" s="192">
        <v>0.33</v>
      </c>
      <c r="L68" s="192"/>
      <c r="M68" s="231">
        <f>ROUND(I68/165.5*K68,2)</f>
        <v>3.97</v>
      </c>
      <c r="N68" s="231"/>
      <c r="O68" s="220"/>
    </row>
    <row r="69" spans="1:15" s="52" customFormat="1" ht="36.6" customHeight="1" x14ac:dyDescent="0.3">
      <c r="A69" s="154"/>
      <c r="B69" s="134"/>
      <c r="C69" s="193" t="s">
        <v>209</v>
      </c>
      <c r="D69" s="193"/>
      <c r="E69" s="193"/>
      <c r="F69" s="193"/>
      <c r="G69" s="193"/>
      <c r="H69" s="193"/>
      <c r="I69" s="215"/>
      <c r="J69" s="215"/>
      <c r="K69" s="192"/>
      <c r="L69" s="192"/>
      <c r="M69" s="231">
        <f>ROUND(I69/167*K69,2)</f>
        <v>0</v>
      </c>
      <c r="N69" s="231"/>
      <c r="O69" s="220"/>
    </row>
    <row r="70" spans="1:15" s="52" customFormat="1" ht="36.6" customHeight="1" x14ac:dyDescent="0.3">
      <c r="A70" s="154"/>
      <c r="B70" s="134"/>
      <c r="C70" s="193" t="s">
        <v>112</v>
      </c>
      <c r="D70" s="193"/>
      <c r="E70" s="193"/>
      <c r="F70" s="193"/>
      <c r="G70" s="193"/>
      <c r="H70" s="193"/>
      <c r="I70" s="215">
        <v>755</v>
      </c>
      <c r="J70" s="215"/>
      <c r="K70" s="192">
        <v>0.01</v>
      </c>
      <c r="L70" s="192"/>
      <c r="M70" s="231">
        <f>ROUND(I70/165.5*K70,2)</f>
        <v>0.05</v>
      </c>
      <c r="N70" s="231"/>
      <c r="O70" s="220"/>
    </row>
    <row r="71" spans="1:15" s="52" customFormat="1" ht="36.6" customHeight="1" x14ac:dyDescent="0.3">
      <c r="A71" s="154"/>
      <c r="B71" s="134"/>
      <c r="C71" s="193" t="s">
        <v>209</v>
      </c>
      <c r="D71" s="193"/>
      <c r="E71" s="193"/>
      <c r="F71" s="193"/>
      <c r="G71" s="193"/>
      <c r="H71" s="193"/>
      <c r="I71" s="215"/>
      <c r="J71" s="215"/>
      <c r="K71" s="192"/>
      <c r="L71" s="192"/>
      <c r="M71" s="231">
        <f>ROUND(I71/167*K71,2)</f>
        <v>0</v>
      </c>
      <c r="N71" s="231"/>
      <c r="O71" s="220"/>
    </row>
    <row r="72" spans="1:15" ht="15.75" customHeight="1" x14ac:dyDescent="0.3">
      <c r="A72" s="154">
        <v>1143</v>
      </c>
      <c r="B72" s="134" t="s">
        <v>111</v>
      </c>
      <c r="C72" s="158" t="s">
        <v>110</v>
      </c>
      <c r="D72" s="158"/>
      <c r="E72" s="158"/>
      <c r="F72" s="158"/>
      <c r="G72" s="158"/>
      <c r="H72" s="158"/>
      <c r="I72" s="156" t="s">
        <v>109</v>
      </c>
      <c r="J72" s="156"/>
      <c r="K72" s="156" t="s">
        <v>61</v>
      </c>
      <c r="L72" s="156"/>
      <c r="M72" s="198">
        <f>M73+M75</f>
        <v>0.1</v>
      </c>
      <c r="N72" s="199"/>
      <c r="O72" s="48"/>
    </row>
    <row r="73" spans="1:15" s="52" customFormat="1" x14ac:dyDescent="0.3">
      <c r="A73" s="154"/>
      <c r="B73" s="134"/>
      <c r="C73" s="221" t="s">
        <v>108</v>
      </c>
      <c r="D73" s="221"/>
      <c r="E73" s="221"/>
      <c r="F73" s="221"/>
      <c r="G73" s="221"/>
      <c r="H73" s="221"/>
      <c r="I73" s="210">
        <v>106</v>
      </c>
      <c r="J73" s="210"/>
      <c r="K73" s="210">
        <v>3.3000000000000002E-2</v>
      </c>
      <c r="L73" s="210"/>
      <c r="M73" s="217">
        <f>ROUND(I73/165.5*K73,2)</f>
        <v>0.02</v>
      </c>
      <c r="N73" s="217"/>
      <c r="O73" s="220"/>
    </row>
    <row r="74" spans="1:15" s="52" customFormat="1" ht="15.75" customHeight="1" x14ac:dyDescent="0.3">
      <c r="A74" s="154"/>
      <c r="B74" s="134"/>
      <c r="C74" s="221" t="s">
        <v>210</v>
      </c>
      <c r="D74" s="221"/>
      <c r="E74" s="221"/>
      <c r="F74" s="221"/>
      <c r="G74" s="221"/>
      <c r="H74" s="221"/>
      <c r="I74" s="210"/>
      <c r="J74" s="210"/>
      <c r="K74" s="210"/>
      <c r="L74" s="210"/>
      <c r="M74" s="217">
        <f>ROUND(I74/167*K74,2)</f>
        <v>0</v>
      </c>
      <c r="N74" s="217"/>
      <c r="O74" s="220"/>
    </row>
    <row r="75" spans="1:15" s="52" customFormat="1" x14ac:dyDescent="0.3">
      <c r="A75" s="154"/>
      <c r="B75" s="134"/>
      <c r="C75" s="221" t="s">
        <v>172</v>
      </c>
      <c r="D75" s="221"/>
      <c r="E75" s="221"/>
      <c r="F75" s="221"/>
      <c r="G75" s="221"/>
      <c r="H75" s="221"/>
      <c r="I75" s="210">
        <f>78*2</f>
        <v>156</v>
      </c>
      <c r="J75" s="210"/>
      <c r="K75" s="210">
        <v>8.3000000000000004E-2</v>
      </c>
      <c r="L75" s="210"/>
      <c r="M75" s="217">
        <f>ROUND(I75/165.5*K75,2)</f>
        <v>0.08</v>
      </c>
      <c r="N75" s="217"/>
      <c r="O75" s="220"/>
    </row>
    <row r="76" spans="1:15" s="52" customFormat="1" ht="15.75" customHeight="1" x14ac:dyDescent="0.3">
      <c r="A76" s="154"/>
      <c r="B76" s="134"/>
      <c r="C76" s="221" t="s">
        <v>210</v>
      </c>
      <c r="D76" s="221"/>
      <c r="E76" s="221"/>
      <c r="F76" s="221"/>
      <c r="G76" s="221"/>
      <c r="H76" s="221"/>
      <c r="I76" s="210"/>
      <c r="J76" s="210"/>
      <c r="K76" s="210"/>
      <c r="L76" s="210"/>
      <c r="M76" s="217">
        <f>ROUND(I76/167*K76,2)</f>
        <v>0</v>
      </c>
      <c r="N76" s="217"/>
      <c r="O76" s="220"/>
    </row>
    <row r="77" spans="1:15" s="52" customFormat="1" ht="15.75" customHeight="1" x14ac:dyDescent="0.3">
      <c r="A77" s="143">
        <v>1145</v>
      </c>
      <c r="B77" s="146" t="s">
        <v>155</v>
      </c>
      <c r="C77" s="149" t="s">
        <v>191</v>
      </c>
      <c r="D77" s="150"/>
      <c r="E77" s="150"/>
      <c r="F77" s="150"/>
      <c r="G77" s="150"/>
      <c r="H77" s="151"/>
      <c r="I77" s="152" t="s">
        <v>109</v>
      </c>
      <c r="J77" s="153"/>
      <c r="K77" s="152" t="s">
        <v>61</v>
      </c>
      <c r="L77" s="155"/>
      <c r="M77" s="202">
        <f>N78+N80+M79</f>
        <v>0.15</v>
      </c>
      <c r="N77" s="202"/>
      <c r="O77" s="199"/>
    </row>
    <row r="78" spans="1:15" s="52" customFormat="1" ht="28.5" customHeight="1" x14ac:dyDescent="0.3">
      <c r="A78" s="144"/>
      <c r="B78" s="147"/>
      <c r="C78" s="136" t="s">
        <v>205</v>
      </c>
      <c r="D78" s="137"/>
      <c r="E78" s="137"/>
      <c r="F78" s="137"/>
      <c r="G78" s="137"/>
      <c r="H78" s="138"/>
      <c r="I78" s="139">
        <v>300</v>
      </c>
      <c r="J78" s="140"/>
      <c r="K78" s="139">
        <v>3.3000000000000002E-2</v>
      </c>
      <c r="L78" s="140"/>
      <c r="M78" s="141">
        <f>ROUND(I78/165.5*K78,2)</f>
        <v>0.06</v>
      </c>
      <c r="N78" s="142"/>
      <c r="O78" s="64"/>
    </row>
    <row r="79" spans="1:15" s="52" customFormat="1" ht="28.5" customHeight="1" x14ac:dyDescent="0.3">
      <c r="A79" s="144"/>
      <c r="B79" s="147"/>
      <c r="C79" s="136" t="s">
        <v>205</v>
      </c>
      <c r="D79" s="137"/>
      <c r="E79" s="137"/>
      <c r="F79" s="137"/>
      <c r="G79" s="137"/>
      <c r="H79" s="138"/>
      <c r="I79" s="139">
        <v>300</v>
      </c>
      <c r="J79" s="140"/>
      <c r="K79" s="139">
        <v>8.3000000000000004E-2</v>
      </c>
      <c r="L79" s="140"/>
      <c r="M79" s="141">
        <f>ROUND(I79/165.5*K79,2)</f>
        <v>0.15</v>
      </c>
      <c r="N79" s="142"/>
      <c r="O79" s="64"/>
    </row>
    <row r="80" spans="1:15" s="52" customFormat="1" ht="28.5" customHeight="1" x14ac:dyDescent="0.3">
      <c r="A80" s="145"/>
      <c r="B80" s="148"/>
      <c r="C80" s="136" t="s">
        <v>205</v>
      </c>
      <c r="D80" s="137"/>
      <c r="E80" s="137"/>
      <c r="F80" s="137"/>
      <c r="G80" s="137"/>
      <c r="H80" s="138"/>
      <c r="I80" s="139">
        <v>300</v>
      </c>
      <c r="J80" s="140"/>
      <c r="K80" s="139">
        <v>8.3000000000000004E-2</v>
      </c>
      <c r="L80" s="140"/>
      <c r="M80" s="141">
        <f>ROUND(I80/165.5*K80,2)</f>
        <v>0.15</v>
      </c>
      <c r="N80" s="142"/>
      <c r="O80" s="64"/>
    </row>
    <row r="81" spans="1:19" x14ac:dyDescent="0.3">
      <c r="A81" s="71">
        <v>1200</v>
      </c>
      <c r="B81" s="189" t="s">
        <v>106</v>
      </c>
      <c r="C81" s="189"/>
      <c r="D81" s="189"/>
      <c r="E81" s="189"/>
      <c r="F81" s="189"/>
      <c r="G81" s="189"/>
      <c r="H81" s="189"/>
      <c r="I81" s="189"/>
      <c r="J81" s="189"/>
      <c r="K81" s="189"/>
      <c r="L81" s="189"/>
      <c r="M81" s="224">
        <f>ROUND(M82,2)</f>
        <v>1.74</v>
      </c>
      <c r="N81" s="225"/>
      <c r="O81" s="48"/>
    </row>
    <row r="82" spans="1:19" x14ac:dyDescent="0.3">
      <c r="A82" s="78">
        <v>1210</v>
      </c>
      <c r="B82" s="134" t="s">
        <v>105</v>
      </c>
      <c r="C82" s="134"/>
      <c r="D82" s="134"/>
      <c r="E82" s="134"/>
      <c r="F82" s="134"/>
      <c r="G82" s="134"/>
      <c r="H82" s="134"/>
      <c r="I82" s="134"/>
      <c r="J82" s="134"/>
      <c r="K82" s="134"/>
      <c r="L82" s="134"/>
      <c r="M82" s="187">
        <f>ROUND(M59*0.2359,2)</f>
        <v>1.74</v>
      </c>
      <c r="N82" s="188"/>
      <c r="O82" s="48"/>
    </row>
    <row r="83" spans="1:19" x14ac:dyDescent="0.3">
      <c r="A83" s="70">
        <v>2000</v>
      </c>
      <c r="B83" s="189" t="s">
        <v>104</v>
      </c>
      <c r="C83" s="189"/>
      <c r="D83" s="189"/>
      <c r="E83" s="189"/>
      <c r="F83" s="189"/>
      <c r="G83" s="189"/>
      <c r="H83" s="189"/>
      <c r="I83" s="189"/>
      <c r="J83" s="189"/>
      <c r="K83" s="189"/>
      <c r="L83" s="189"/>
      <c r="M83" s="224">
        <f>ROUND(M84+M95,2)</f>
        <v>40.86</v>
      </c>
      <c r="N83" s="225"/>
      <c r="O83" s="48"/>
    </row>
    <row r="84" spans="1:19" x14ac:dyDescent="0.3">
      <c r="A84" s="71">
        <v>2200</v>
      </c>
      <c r="B84" s="189" t="s">
        <v>103</v>
      </c>
      <c r="C84" s="189"/>
      <c r="D84" s="189"/>
      <c r="E84" s="189"/>
      <c r="F84" s="189"/>
      <c r="G84" s="189"/>
      <c r="H84" s="189"/>
      <c r="I84" s="189"/>
      <c r="J84" s="189"/>
      <c r="K84" s="189"/>
      <c r="L84" s="189"/>
      <c r="M84" s="190">
        <f>SUM(M86:N94)</f>
        <v>40.669999999999995</v>
      </c>
      <c r="N84" s="191"/>
      <c r="O84" s="48"/>
    </row>
    <row r="85" spans="1:19" x14ac:dyDescent="0.3">
      <c r="A85" s="154">
        <v>2220</v>
      </c>
      <c r="B85" s="134" t="s">
        <v>102</v>
      </c>
      <c r="C85" s="158" t="s">
        <v>65</v>
      </c>
      <c r="D85" s="158"/>
      <c r="E85" s="158"/>
      <c r="F85" s="158"/>
      <c r="G85" s="158"/>
      <c r="H85" s="158"/>
      <c r="I85" s="156" t="s">
        <v>62</v>
      </c>
      <c r="J85" s="156"/>
      <c r="K85" s="156" t="s">
        <v>61</v>
      </c>
      <c r="L85" s="156"/>
      <c r="M85" s="198"/>
      <c r="N85" s="199"/>
      <c r="O85" s="48" t="s">
        <v>101</v>
      </c>
      <c r="P85" t="s">
        <v>100</v>
      </c>
    </row>
    <row r="86" spans="1:19" s="51" customFormat="1" x14ac:dyDescent="0.3">
      <c r="A86" s="154"/>
      <c r="B86" s="134"/>
      <c r="C86" s="134" t="s">
        <v>99</v>
      </c>
      <c r="D86" s="134"/>
      <c r="E86" s="134"/>
      <c r="F86" s="134"/>
      <c r="G86" s="134"/>
      <c r="H86" s="134"/>
      <c r="I86" s="135">
        <f>P86</f>
        <v>4.59</v>
      </c>
      <c r="J86" s="135"/>
      <c r="K86" s="135">
        <v>1</v>
      </c>
      <c r="L86" s="135"/>
      <c r="M86" s="228">
        <f t="shared" ref="M86:M94" si="3">I86*K86</f>
        <v>4.59</v>
      </c>
      <c r="N86" s="229"/>
      <c r="O86" s="85">
        <v>40170.910000000003</v>
      </c>
      <c r="P86" s="51">
        <f>ROUND(O86/365/24,2)</f>
        <v>4.59</v>
      </c>
    </row>
    <row r="87" spans="1:19" s="51" customFormat="1" ht="62.55" customHeight="1" x14ac:dyDescent="0.3">
      <c r="A87" s="154"/>
      <c r="B87" s="134"/>
      <c r="C87" s="134" t="s">
        <v>98</v>
      </c>
      <c r="D87" s="134"/>
      <c r="E87" s="134"/>
      <c r="F87" s="134"/>
      <c r="G87" s="134"/>
      <c r="H87" s="134"/>
      <c r="I87" s="135">
        <v>1.41</v>
      </c>
      <c r="J87" s="135"/>
      <c r="K87" s="135">
        <v>1</v>
      </c>
      <c r="L87" s="135"/>
      <c r="M87" s="228">
        <f t="shared" si="3"/>
        <v>1.41</v>
      </c>
      <c r="N87" s="229"/>
      <c r="O87" s="86" t="s">
        <v>97</v>
      </c>
    </row>
    <row r="88" spans="1:19" s="51" customFormat="1" ht="27.6" x14ac:dyDescent="0.3">
      <c r="A88" s="73">
        <v>2235</v>
      </c>
      <c r="B88" s="73" t="s">
        <v>96</v>
      </c>
      <c r="C88" s="134" t="s">
        <v>95</v>
      </c>
      <c r="D88" s="134"/>
      <c r="E88" s="134"/>
      <c r="F88" s="134"/>
      <c r="G88" s="134"/>
      <c r="H88" s="134"/>
      <c r="I88" s="135">
        <f>P88</f>
        <v>33.409999999999997</v>
      </c>
      <c r="J88" s="135"/>
      <c r="K88" s="135">
        <v>1</v>
      </c>
      <c r="L88" s="135"/>
      <c r="M88" s="228">
        <f t="shared" si="3"/>
        <v>33.409999999999997</v>
      </c>
      <c r="N88" s="229"/>
      <c r="O88" s="87">
        <v>292695.89</v>
      </c>
      <c r="P88" s="51">
        <f t="shared" ref="P88:P94" si="4">ROUND(O88/365/24,2)</f>
        <v>33.409999999999997</v>
      </c>
    </row>
    <row r="89" spans="1:19" ht="27.6" x14ac:dyDescent="0.3">
      <c r="A89" s="73">
        <v>2234</v>
      </c>
      <c r="B89" s="73" t="s">
        <v>94</v>
      </c>
      <c r="C89" s="134" t="s">
        <v>93</v>
      </c>
      <c r="D89" s="134"/>
      <c r="E89" s="134"/>
      <c r="F89" s="134"/>
      <c r="G89" s="134"/>
      <c r="H89" s="134"/>
      <c r="I89" s="135">
        <f>P89</f>
        <v>1</v>
      </c>
      <c r="J89" s="135"/>
      <c r="K89" s="135">
        <v>1</v>
      </c>
      <c r="L89" s="135"/>
      <c r="M89" s="228">
        <f t="shared" si="3"/>
        <v>1</v>
      </c>
      <c r="N89" s="229"/>
      <c r="O89" s="88">
        <v>8720</v>
      </c>
      <c r="P89">
        <f t="shared" si="4"/>
        <v>1</v>
      </c>
    </row>
    <row r="90" spans="1:19" x14ac:dyDescent="0.3">
      <c r="A90" s="73">
        <v>2247</v>
      </c>
      <c r="B90" s="73" t="s">
        <v>92</v>
      </c>
      <c r="C90" s="134" t="s">
        <v>91</v>
      </c>
      <c r="D90" s="134"/>
      <c r="E90" s="134"/>
      <c r="F90" s="134"/>
      <c r="G90" s="134"/>
      <c r="H90" s="134"/>
      <c r="I90" s="135">
        <f>P90</f>
        <v>0.23</v>
      </c>
      <c r="J90" s="135"/>
      <c r="K90" s="135">
        <v>1</v>
      </c>
      <c r="L90" s="135"/>
      <c r="M90" s="228">
        <f t="shared" si="3"/>
        <v>0.23</v>
      </c>
      <c r="N90" s="229"/>
      <c r="O90" s="84">
        <f>1250+1550/2</f>
        <v>2025</v>
      </c>
      <c r="P90">
        <f t="shared" si="4"/>
        <v>0.23</v>
      </c>
      <c r="R90">
        <v>2920</v>
      </c>
      <c r="S90" t="s">
        <v>90</v>
      </c>
    </row>
    <row r="91" spans="1:19" ht="71.55" customHeight="1" x14ac:dyDescent="0.3">
      <c r="A91" s="242">
        <v>2239</v>
      </c>
      <c r="B91" s="203" t="s">
        <v>89</v>
      </c>
      <c r="C91" s="193" t="s">
        <v>181</v>
      </c>
      <c r="D91" s="193"/>
      <c r="E91" s="193"/>
      <c r="F91" s="193"/>
      <c r="G91" s="193"/>
      <c r="H91" s="193"/>
      <c r="I91" s="135"/>
      <c r="J91" s="135"/>
      <c r="K91" s="135"/>
      <c r="L91" s="135"/>
      <c r="M91" s="228">
        <f t="shared" si="3"/>
        <v>0</v>
      </c>
      <c r="N91" s="229"/>
      <c r="O91" s="3">
        <f>250*1.12</f>
        <v>280</v>
      </c>
      <c r="P91">
        <f t="shared" si="4"/>
        <v>0.03</v>
      </c>
    </row>
    <row r="92" spans="1:19" x14ac:dyDescent="0.3">
      <c r="A92" s="242"/>
      <c r="B92" s="203"/>
      <c r="C92" s="134" t="s">
        <v>171</v>
      </c>
      <c r="D92" s="134"/>
      <c r="E92" s="134"/>
      <c r="F92" s="134"/>
      <c r="G92" s="134"/>
      <c r="H92" s="134"/>
      <c r="I92" s="135"/>
      <c r="J92" s="135"/>
      <c r="K92" s="135"/>
      <c r="L92" s="135"/>
      <c r="M92" s="228">
        <f t="shared" si="3"/>
        <v>0</v>
      </c>
      <c r="N92" s="229"/>
      <c r="O92">
        <v>369.2</v>
      </c>
      <c r="P92">
        <f t="shared" si="4"/>
        <v>0.04</v>
      </c>
    </row>
    <row r="93" spans="1:19" x14ac:dyDescent="0.3">
      <c r="A93" s="242"/>
      <c r="B93" s="203"/>
      <c r="C93" s="134" t="s">
        <v>88</v>
      </c>
      <c r="D93" s="134"/>
      <c r="E93" s="134"/>
      <c r="F93" s="134"/>
      <c r="G93" s="134"/>
      <c r="H93" s="134"/>
      <c r="I93" s="135">
        <f>P93</f>
        <v>0.01</v>
      </c>
      <c r="J93" s="135"/>
      <c r="K93" s="135">
        <v>1</v>
      </c>
      <c r="L93" s="135"/>
      <c r="M93" s="228">
        <f t="shared" si="3"/>
        <v>0.01</v>
      </c>
      <c r="N93" s="229"/>
      <c r="O93">
        <v>130</v>
      </c>
      <c r="P93">
        <f t="shared" si="4"/>
        <v>0.01</v>
      </c>
    </row>
    <row r="94" spans="1:19" x14ac:dyDescent="0.3">
      <c r="A94" s="242"/>
      <c r="B94" s="203"/>
      <c r="C94" s="134" t="s">
        <v>87</v>
      </c>
      <c r="D94" s="134"/>
      <c r="E94" s="134"/>
      <c r="F94" s="134"/>
      <c r="G94" s="134"/>
      <c r="H94" s="134"/>
      <c r="I94" s="135">
        <f>P94</f>
        <v>0.02</v>
      </c>
      <c r="J94" s="135"/>
      <c r="K94" s="135">
        <v>1</v>
      </c>
      <c r="L94" s="135"/>
      <c r="M94" s="228">
        <f t="shared" si="3"/>
        <v>0.02</v>
      </c>
      <c r="N94" s="229"/>
      <c r="O94">
        <f>239.47*1.21/2</f>
        <v>144.87934999999999</v>
      </c>
      <c r="P94">
        <f t="shared" si="4"/>
        <v>0.02</v>
      </c>
    </row>
    <row r="95" spans="1:19" x14ac:dyDescent="0.3">
      <c r="A95" s="71">
        <v>2300</v>
      </c>
      <c r="B95" s="189" t="s">
        <v>86</v>
      </c>
      <c r="C95" s="189"/>
      <c r="D95" s="189"/>
      <c r="E95" s="189"/>
      <c r="F95" s="189"/>
      <c r="G95" s="189"/>
      <c r="H95" s="189"/>
      <c r="I95" s="189"/>
      <c r="J95" s="189"/>
      <c r="K95" s="189"/>
      <c r="L95" s="189"/>
      <c r="M95" s="224">
        <f>SUM(M97:N113)</f>
        <v>0.19000000000000003</v>
      </c>
      <c r="N95" s="225"/>
      <c r="O95" s="48"/>
    </row>
    <row r="96" spans="1:19" s="25" customFormat="1" ht="27.6" x14ac:dyDescent="0.3">
      <c r="A96" s="154">
        <v>2364</v>
      </c>
      <c r="B96" s="134" t="s">
        <v>85</v>
      </c>
      <c r="C96" s="158" t="s">
        <v>65</v>
      </c>
      <c r="D96" s="158"/>
      <c r="E96" s="158"/>
      <c r="F96" s="158"/>
      <c r="G96" s="158"/>
      <c r="H96" s="79" t="s">
        <v>84</v>
      </c>
      <c r="I96" s="158" t="s">
        <v>62</v>
      </c>
      <c r="J96" s="158"/>
      <c r="K96" s="156" t="s">
        <v>61</v>
      </c>
      <c r="L96" s="156"/>
      <c r="M96" s="198"/>
      <c r="N96" s="199"/>
      <c r="O96" s="50"/>
    </row>
    <row r="97" spans="1:15" s="25" customFormat="1" x14ac:dyDescent="0.3">
      <c r="A97" s="154"/>
      <c r="B97" s="134"/>
      <c r="C97" s="157" t="s">
        <v>83</v>
      </c>
      <c r="D97" s="157"/>
      <c r="E97" s="157"/>
      <c r="F97" s="157"/>
      <c r="G97" s="157"/>
      <c r="H97" s="82">
        <v>1</v>
      </c>
      <c r="I97" s="135">
        <v>50.07</v>
      </c>
      <c r="J97" s="135"/>
      <c r="K97" s="135">
        <v>1</v>
      </c>
      <c r="L97" s="135"/>
      <c r="M97" s="187">
        <f>ROUND(I97/H97/365/24*3,2)</f>
        <v>0.02</v>
      </c>
      <c r="N97" s="188"/>
      <c r="O97" s="50"/>
    </row>
    <row r="98" spans="1:15" s="25" customFormat="1" x14ac:dyDescent="0.3">
      <c r="A98" s="154"/>
      <c r="B98" s="134"/>
      <c r="C98" s="157" t="s">
        <v>82</v>
      </c>
      <c r="D98" s="157"/>
      <c r="E98" s="157"/>
      <c r="F98" s="157"/>
      <c r="G98" s="157"/>
      <c r="H98" s="82">
        <v>1</v>
      </c>
      <c r="I98" s="135">
        <v>20.239999999999998</v>
      </c>
      <c r="J98" s="135"/>
      <c r="K98" s="135">
        <v>1</v>
      </c>
      <c r="L98" s="135"/>
      <c r="M98" s="187">
        <f>ROUND(I98/H98/365/24*3,2)</f>
        <v>0.01</v>
      </c>
      <c r="N98" s="188"/>
      <c r="O98" s="50"/>
    </row>
    <row r="99" spans="1:15" s="25" customFormat="1" x14ac:dyDescent="0.3">
      <c r="A99" s="154"/>
      <c r="B99" s="134"/>
      <c r="C99" s="157" t="s">
        <v>81</v>
      </c>
      <c r="D99" s="157"/>
      <c r="E99" s="157"/>
      <c r="F99" s="157"/>
      <c r="G99" s="157"/>
      <c r="H99" s="82">
        <v>1</v>
      </c>
      <c r="I99" s="135">
        <v>17.260000000000002</v>
      </c>
      <c r="J99" s="135"/>
      <c r="K99" s="135">
        <v>1</v>
      </c>
      <c r="L99" s="135"/>
      <c r="M99" s="187">
        <f>ROUND(I99/H99/365/24*3,2)</f>
        <v>0.01</v>
      </c>
      <c r="N99" s="188"/>
      <c r="O99" s="50"/>
    </row>
    <row r="100" spans="1:15" s="25" customFormat="1" x14ac:dyDescent="0.3">
      <c r="A100" s="154"/>
      <c r="B100" s="134"/>
      <c r="C100" s="157" t="s">
        <v>80</v>
      </c>
      <c r="D100" s="157"/>
      <c r="E100" s="157"/>
      <c r="F100" s="157"/>
      <c r="G100" s="157"/>
      <c r="H100" s="82">
        <v>2</v>
      </c>
      <c r="I100" s="135">
        <f>39.77+39.77</f>
        <v>79.540000000000006</v>
      </c>
      <c r="J100" s="135"/>
      <c r="K100" s="135">
        <v>1</v>
      </c>
      <c r="L100" s="135"/>
      <c r="M100" s="187">
        <f>ROUND(I100/H100/365/24*3,2)</f>
        <v>0.01</v>
      </c>
      <c r="N100" s="188"/>
      <c r="O100" s="50"/>
    </row>
    <row r="101" spans="1:15" s="25" customFormat="1" x14ac:dyDescent="0.3">
      <c r="A101" s="154"/>
      <c r="B101" s="134"/>
      <c r="C101" s="157" t="s">
        <v>79</v>
      </c>
      <c r="D101" s="157"/>
      <c r="E101" s="157"/>
      <c r="F101" s="157"/>
      <c r="G101" s="157"/>
      <c r="H101" s="82">
        <v>4</v>
      </c>
      <c r="I101" s="135">
        <v>93.75</v>
      </c>
      <c r="J101" s="135"/>
      <c r="K101" s="135">
        <v>1</v>
      </c>
      <c r="L101" s="135"/>
      <c r="M101" s="187">
        <f>ROUND(I101/H101/365/24*3,2)</f>
        <v>0.01</v>
      </c>
      <c r="N101" s="188"/>
      <c r="O101" s="50"/>
    </row>
    <row r="102" spans="1:15" s="25" customFormat="1" x14ac:dyDescent="0.3">
      <c r="A102" s="154"/>
      <c r="B102" s="134"/>
      <c r="C102" s="157" t="s">
        <v>78</v>
      </c>
      <c r="D102" s="157"/>
      <c r="E102" s="157"/>
      <c r="F102" s="157"/>
      <c r="G102" s="157"/>
      <c r="H102" s="82">
        <v>2</v>
      </c>
      <c r="I102" s="135">
        <v>111</v>
      </c>
      <c r="J102" s="135"/>
      <c r="K102" s="135">
        <v>1</v>
      </c>
      <c r="L102" s="135"/>
      <c r="M102" s="187">
        <f>ROUND(I102/H102/365/24*2*3,2)</f>
        <v>0.04</v>
      </c>
      <c r="N102" s="188"/>
      <c r="O102" s="50"/>
    </row>
    <row r="103" spans="1:15" s="25" customFormat="1" x14ac:dyDescent="0.3">
      <c r="A103" s="154"/>
      <c r="B103" s="134"/>
      <c r="C103" s="157" t="s">
        <v>77</v>
      </c>
      <c r="D103" s="157"/>
      <c r="E103" s="157"/>
      <c r="F103" s="157"/>
      <c r="G103" s="157"/>
      <c r="H103" s="82">
        <v>5</v>
      </c>
      <c r="I103" s="135">
        <v>28.31</v>
      </c>
      <c r="J103" s="135"/>
      <c r="K103" s="135">
        <v>1</v>
      </c>
      <c r="L103" s="135"/>
      <c r="M103" s="187">
        <f>ROUND(I103/H103/365/24*2*3,2)</f>
        <v>0</v>
      </c>
      <c r="N103" s="188"/>
      <c r="O103" s="50"/>
    </row>
    <row r="104" spans="1:15" s="25" customFormat="1" x14ac:dyDescent="0.3">
      <c r="A104" s="154"/>
      <c r="B104" s="134"/>
      <c r="C104" s="157" t="s">
        <v>76</v>
      </c>
      <c r="D104" s="157"/>
      <c r="E104" s="157"/>
      <c r="F104" s="157"/>
      <c r="G104" s="157"/>
      <c r="H104" s="82">
        <v>3</v>
      </c>
      <c r="I104" s="135">
        <v>42</v>
      </c>
      <c r="J104" s="135"/>
      <c r="K104" s="135">
        <v>1</v>
      </c>
      <c r="L104" s="135"/>
      <c r="M104" s="187">
        <f>ROUND(I104/H104/365/24*3,2)</f>
        <v>0</v>
      </c>
      <c r="N104" s="188"/>
      <c r="O104" s="50"/>
    </row>
    <row r="105" spans="1:15" s="25" customFormat="1" x14ac:dyDescent="0.3">
      <c r="A105" s="154"/>
      <c r="B105" s="134"/>
      <c r="C105" s="157" t="s">
        <v>75</v>
      </c>
      <c r="D105" s="157"/>
      <c r="E105" s="157"/>
      <c r="F105" s="157"/>
      <c r="G105" s="157"/>
      <c r="H105" s="82">
        <v>4</v>
      </c>
      <c r="I105" s="135">
        <v>68.25</v>
      </c>
      <c r="J105" s="135"/>
      <c r="K105" s="135">
        <v>1</v>
      </c>
      <c r="L105" s="135"/>
      <c r="M105" s="187">
        <f>ROUND(I105/H105/365/24*3,2)</f>
        <v>0.01</v>
      </c>
      <c r="N105" s="188"/>
      <c r="O105" s="50"/>
    </row>
    <row r="106" spans="1:15" s="25" customFormat="1" x14ac:dyDescent="0.3">
      <c r="A106" s="154"/>
      <c r="B106" s="134"/>
      <c r="C106" s="157" t="s">
        <v>74</v>
      </c>
      <c r="D106" s="157"/>
      <c r="E106" s="157"/>
      <c r="F106" s="157"/>
      <c r="G106" s="157"/>
      <c r="H106" s="82">
        <v>4</v>
      </c>
      <c r="I106" s="135">
        <v>23.24</v>
      </c>
      <c r="J106" s="135"/>
      <c r="K106" s="135">
        <v>1</v>
      </c>
      <c r="L106" s="135"/>
      <c r="M106" s="187">
        <f>ROUND(I106/H106/365/24*3,2)</f>
        <v>0</v>
      </c>
      <c r="N106" s="188"/>
      <c r="O106" s="50"/>
    </row>
    <row r="107" spans="1:15" s="25" customFormat="1" x14ac:dyDescent="0.3">
      <c r="A107" s="154"/>
      <c r="B107" s="134"/>
      <c r="C107" s="157" t="s">
        <v>73</v>
      </c>
      <c r="D107" s="157"/>
      <c r="E107" s="157"/>
      <c r="F107" s="157"/>
      <c r="G107" s="157"/>
      <c r="H107" s="82">
        <v>4</v>
      </c>
      <c r="I107" s="135">
        <v>246</v>
      </c>
      <c r="J107" s="135"/>
      <c r="K107" s="135">
        <v>1</v>
      </c>
      <c r="L107" s="135"/>
      <c r="M107" s="187">
        <f>ROUND(I107/H107/365/24*3,2)</f>
        <v>0.02</v>
      </c>
      <c r="N107" s="188"/>
      <c r="O107" s="50"/>
    </row>
    <row r="108" spans="1:15" s="25" customFormat="1" x14ac:dyDescent="0.3">
      <c r="A108" s="154"/>
      <c r="B108" s="134"/>
      <c r="C108" s="157" t="s">
        <v>72</v>
      </c>
      <c r="D108" s="157"/>
      <c r="E108" s="157"/>
      <c r="F108" s="157"/>
      <c r="G108" s="157"/>
      <c r="H108" s="82">
        <v>1</v>
      </c>
      <c r="I108" s="135">
        <v>43.5</v>
      </c>
      <c r="J108" s="135"/>
      <c r="K108" s="135">
        <v>1</v>
      </c>
      <c r="L108" s="135"/>
      <c r="M108" s="187">
        <f t="shared" ref="M108:M111" si="5">ROUND(I108/H108/365/24*3,2)</f>
        <v>0.01</v>
      </c>
      <c r="N108" s="188"/>
      <c r="O108" s="50"/>
    </row>
    <row r="109" spans="1:15" s="25" customFormat="1" x14ac:dyDescent="0.3">
      <c r="A109" s="154"/>
      <c r="B109" s="134"/>
      <c r="C109" s="157" t="s">
        <v>71</v>
      </c>
      <c r="D109" s="157"/>
      <c r="E109" s="157"/>
      <c r="F109" s="157"/>
      <c r="G109" s="157"/>
      <c r="H109" s="82">
        <v>2</v>
      </c>
      <c r="I109" s="135">
        <v>111</v>
      </c>
      <c r="J109" s="135"/>
      <c r="K109" s="135">
        <v>1</v>
      </c>
      <c r="L109" s="135"/>
      <c r="M109" s="187">
        <f t="shared" si="5"/>
        <v>0.02</v>
      </c>
      <c r="N109" s="188"/>
      <c r="O109" s="50"/>
    </row>
    <row r="110" spans="1:15" s="25" customFormat="1" x14ac:dyDescent="0.3">
      <c r="A110" s="154"/>
      <c r="B110" s="134"/>
      <c r="C110" s="157" t="s">
        <v>70</v>
      </c>
      <c r="D110" s="157"/>
      <c r="E110" s="157"/>
      <c r="F110" s="157"/>
      <c r="G110" s="157"/>
      <c r="H110" s="82">
        <v>4</v>
      </c>
      <c r="I110" s="135">
        <v>141.75</v>
      </c>
      <c r="J110" s="135"/>
      <c r="K110" s="135">
        <v>1</v>
      </c>
      <c r="L110" s="135"/>
      <c r="M110" s="187">
        <f t="shared" si="5"/>
        <v>0.01</v>
      </c>
      <c r="N110" s="188"/>
      <c r="O110" s="50"/>
    </row>
    <row r="111" spans="1:15" s="25" customFormat="1" x14ac:dyDescent="0.3">
      <c r="A111" s="154"/>
      <c r="B111" s="134"/>
      <c r="C111" s="157" t="s">
        <v>69</v>
      </c>
      <c r="D111" s="157"/>
      <c r="E111" s="157"/>
      <c r="F111" s="157"/>
      <c r="G111" s="157"/>
      <c r="H111" s="82">
        <v>1</v>
      </c>
      <c r="I111" s="135">
        <v>16.489999999999998</v>
      </c>
      <c r="J111" s="135"/>
      <c r="K111" s="135">
        <v>1</v>
      </c>
      <c r="L111" s="135"/>
      <c r="M111" s="187">
        <f t="shared" si="5"/>
        <v>0.01</v>
      </c>
      <c r="N111" s="188"/>
      <c r="O111" s="50"/>
    </row>
    <row r="112" spans="1:15" s="25" customFormat="1" x14ac:dyDescent="0.3">
      <c r="A112" s="154"/>
      <c r="B112" s="134"/>
      <c r="C112" s="157" t="s">
        <v>68</v>
      </c>
      <c r="D112" s="157"/>
      <c r="E112" s="157"/>
      <c r="F112" s="157"/>
      <c r="G112" s="157"/>
      <c r="H112" s="82">
        <v>4</v>
      </c>
      <c r="I112" s="135">
        <v>23.25</v>
      </c>
      <c r="J112" s="135"/>
      <c r="K112" s="135">
        <v>1</v>
      </c>
      <c r="L112" s="135"/>
      <c r="M112" s="187">
        <f>ROUND(I112/H112/365/24*3,2)</f>
        <v>0</v>
      </c>
      <c r="N112" s="188"/>
      <c r="O112" s="50"/>
    </row>
    <row r="113" spans="1:15" s="25" customFormat="1" ht="14.55" customHeight="1" x14ac:dyDescent="0.3">
      <c r="A113" s="154"/>
      <c r="B113" s="134"/>
      <c r="C113" s="157" t="s">
        <v>67</v>
      </c>
      <c r="D113" s="157"/>
      <c r="E113" s="157"/>
      <c r="F113" s="157"/>
      <c r="G113" s="157"/>
      <c r="H113" s="82">
        <v>3</v>
      </c>
      <c r="I113" s="135">
        <v>63.75</v>
      </c>
      <c r="J113" s="135"/>
      <c r="K113" s="135">
        <v>1</v>
      </c>
      <c r="L113" s="135"/>
      <c r="M113" s="187">
        <f>ROUND(I113/H113/365/24*2*3,2)</f>
        <v>0.01</v>
      </c>
      <c r="N113" s="188"/>
      <c r="O113" s="50"/>
    </row>
    <row r="114" spans="1:15" x14ac:dyDescent="0.3">
      <c r="A114" s="70">
        <v>5000</v>
      </c>
      <c r="B114" s="189" t="s">
        <v>66</v>
      </c>
      <c r="C114" s="189"/>
      <c r="D114" s="189"/>
      <c r="E114" s="189"/>
      <c r="F114" s="189"/>
      <c r="G114" s="189"/>
      <c r="H114" s="189"/>
      <c r="I114" s="189"/>
      <c r="J114" s="189"/>
      <c r="K114" s="189"/>
      <c r="L114" s="189"/>
      <c r="M114" s="190">
        <f>ROUND(M115,2)</f>
        <v>0</v>
      </c>
      <c r="N114" s="191"/>
      <c r="O114" s="49"/>
    </row>
    <row r="115" spans="1:15" ht="15" customHeight="1" x14ac:dyDescent="0.3">
      <c r="A115" s="73"/>
      <c r="B115" s="73"/>
      <c r="C115" s="158" t="s">
        <v>65</v>
      </c>
      <c r="D115" s="158"/>
      <c r="E115" s="156" t="s">
        <v>64</v>
      </c>
      <c r="F115" s="156"/>
      <c r="G115" s="156" t="s">
        <v>63</v>
      </c>
      <c r="H115" s="156"/>
      <c r="I115" s="158" t="s">
        <v>62</v>
      </c>
      <c r="J115" s="158"/>
      <c r="K115" s="156" t="s">
        <v>61</v>
      </c>
      <c r="L115" s="156"/>
      <c r="M115" s="198">
        <f>M116</f>
        <v>0</v>
      </c>
      <c r="N115" s="199"/>
    </row>
    <row r="116" spans="1:15" ht="23.1" customHeight="1" x14ac:dyDescent="0.3">
      <c r="A116" s="73"/>
      <c r="B116" s="73"/>
      <c r="C116" s="134"/>
      <c r="D116" s="134"/>
      <c r="E116" s="154"/>
      <c r="F116" s="154"/>
      <c r="G116" s="154"/>
      <c r="H116" s="154"/>
      <c r="I116" s="227"/>
      <c r="J116" s="227"/>
      <c r="K116" s="154">
        <v>1</v>
      </c>
      <c r="L116" s="154"/>
      <c r="M116" s="206">
        <f>ROUND(I116*E116/100/12/166.92*K116,2)</f>
        <v>0</v>
      </c>
      <c r="N116" s="207"/>
      <c r="O116" s="84">
        <v>6628.38</v>
      </c>
    </row>
    <row r="117" spans="1:15" x14ac:dyDescent="0.3">
      <c r="A117" s="195" t="s">
        <v>60</v>
      </c>
      <c r="B117" s="195"/>
      <c r="C117" s="195"/>
      <c r="D117" s="195"/>
      <c r="E117" s="195"/>
      <c r="F117" s="195"/>
      <c r="G117" s="195"/>
      <c r="H117" s="195"/>
      <c r="I117" s="195"/>
      <c r="J117" s="195"/>
      <c r="K117" s="195"/>
      <c r="L117" s="195"/>
      <c r="M117" s="204">
        <f>M58+M83+M114</f>
        <v>49.96</v>
      </c>
      <c r="N117" s="205"/>
      <c r="O117" s="48"/>
    </row>
    <row r="118" spans="1:15" x14ac:dyDescent="0.3">
      <c r="A118" s="230" t="s">
        <v>59</v>
      </c>
      <c r="B118" s="230"/>
      <c r="C118" s="230"/>
      <c r="D118" s="230"/>
      <c r="E118" s="230"/>
      <c r="F118" s="230"/>
      <c r="G118" s="230"/>
      <c r="H118" s="230"/>
      <c r="I118" s="230"/>
      <c r="J118" s="230"/>
      <c r="K118" s="230"/>
      <c r="L118" s="230"/>
      <c r="M118" s="222">
        <f>M117+M55</f>
        <v>308</v>
      </c>
      <c r="N118" s="223"/>
      <c r="O118" s="48"/>
    </row>
    <row r="119" spans="1:15" x14ac:dyDescent="0.3">
      <c r="A119" s="196" t="s">
        <v>58</v>
      </c>
      <c r="B119" s="196"/>
      <c r="C119" s="196"/>
      <c r="D119" s="196"/>
      <c r="E119" s="196"/>
      <c r="F119" s="196"/>
      <c r="G119" s="196"/>
      <c r="H119" s="196"/>
      <c r="I119" s="196"/>
      <c r="J119" s="196"/>
      <c r="K119" s="196"/>
      <c r="L119" s="196"/>
      <c r="M119" s="160">
        <f>ROUND(M118*0.21,2)</f>
        <v>64.680000000000007</v>
      </c>
      <c r="N119" s="162"/>
      <c r="O119" s="48"/>
    </row>
    <row r="120" spans="1:15" x14ac:dyDescent="0.3">
      <c r="A120" s="163" t="s">
        <v>57</v>
      </c>
      <c r="B120" s="164"/>
      <c r="C120" s="164"/>
      <c r="D120" s="164"/>
      <c r="E120" s="164"/>
      <c r="F120" s="164"/>
      <c r="G120" s="164"/>
      <c r="H120" s="164"/>
      <c r="I120" s="164"/>
      <c r="J120" s="164"/>
      <c r="K120" s="164"/>
      <c r="L120" s="165"/>
      <c r="M120" s="208">
        <f>M118+M119</f>
        <v>372.68</v>
      </c>
      <c r="N120" s="209"/>
      <c r="O120" s="48"/>
    </row>
    <row r="121" spans="1:15" x14ac:dyDescent="0.3">
      <c r="A121" s="59"/>
      <c r="B121" s="59"/>
      <c r="C121" s="59"/>
      <c r="D121" s="59"/>
      <c r="E121" s="59"/>
      <c r="F121" s="59"/>
      <c r="G121" s="59"/>
      <c r="H121" s="59"/>
      <c r="I121" s="59"/>
      <c r="J121" s="59"/>
      <c r="K121" s="59"/>
      <c r="L121" s="59"/>
      <c r="M121" s="59"/>
      <c r="N121" s="59"/>
      <c r="O121" s="48"/>
    </row>
    <row r="122" spans="1:15" ht="18" x14ac:dyDescent="0.3">
      <c r="A122" s="58" t="s">
        <v>197</v>
      </c>
      <c r="B122" s="51"/>
      <c r="C122" s="51"/>
      <c r="D122" s="51"/>
      <c r="E122" s="51"/>
      <c r="F122" s="51"/>
      <c r="G122" s="51"/>
      <c r="H122" s="51"/>
      <c r="I122" s="51"/>
      <c r="J122" s="51"/>
      <c r="K122" s="51"/>
      <c r="L122" s="51"/>
      <c r="M122" s="51"/>
      <c r="N122" s="51"/>
    </row>
    <row r="123" spans="1:15" ht="15.6" x14ac:dyDescent="0.3">
      <c r="A123" s="55"/>
      <c r="B123" s="51"/>
      <c r="C123" s="51"/>
      <c r="D123" s="51"/>
      <c r="E123" s="51"/>
      <c r="F123" s="51"/>
      <c r="G123" s="51"/>
      <c r="H123" s="51"/>
      <c r="I123" s="51"/>
      <c r="J123" s="51"/>
      <c r="K123" s="51"/>
      <c r="L123" s="51"/>
      <c r="M123" s="51"/>
      <c r="N123" s="51"/>
    </row>
    <row r="124" spans="1:15" x14ac:dyDescent="0.3">
      <c r="A124" s="57" t="s">
        <v>166</v>
      </c>
      <c r="B124" s="56"/>
      <c r="C124" s="51"/>
      <c r="D124" s="51"/>
      <c r="E124" s="51"/>
      <c r="F124" s="51"/>
      <c r="G124" s="51"/>
      <c r="H124" s="51"/>
      <c r="I124" s="51"/>
      <c r="J124" s="51"/>
      <c r="K124" s="51"/>
      <c r="L124" s="51"/>
      <c r="M124" s="51"/>
      <c r="N124" s="51"/>
    </row>
    <row r="125" spans="1:15" ht="15.6" x14ac:dyDescent="0.3">
      <c r="A125" s="55"/>
      <c r="B125" s="51"/>
      <c r="C125" s="51"/>
      <c r="D125" s="51"/>
      <c r="E125" s="51"/>
      <c r="F125" s="51"/>
      <c r="G125" s="51"/>
      <c r="H125" s="51"/>
      <c r="I125" s="51"/>
      <c r="J125" s="51"/>
      <c r="K125" s="51"/>
      <c r="L125" s="51"/>
      <c r="M125" s="51"/>
      <c r="N125" s="51"/>
    </row>
    <row r="126" spans="1:15" x14ac:dyDescent="0.3">
      <c r="A126" s="67" t="s">
        <v>165</v>
      </c>
      <c r="B126" s="200" t="s">
        <v>164</v>
      </c>
      <c r="C126" s="201" t="s">
        <v>163</v>
      </c>
      <c r="D126" s="201"/>
      <c r="E126" s="201"/>
      <c r="F126" s="201"/>
      <c r="G126" s="201"/>
      <c r="H126" s="201"/>
      <c r="I126" s="201"/>
      <c r="J126" s="201"/>
      <c r="K126" s="201"/>
      <c r="L126" s="201"/>
      <c r="M126" s="201"/>
      <c r="N126" s="201"/>
    </row>
    <row r="127" spans="1:15" x14ac:dyDescent="0.3">
      <c r="A127" s="67" t="s">
        <v>162</v>
      </c>
      <c r="B127" s="200"/>
      <c r="C127" s="201"/>
      <c r="D127" s="201"/>
      <c r="E127" s="201"/>
      <c r="F127" s="201"/>
      <c r="G127" s="201"/>
      <c r="H127" s="201"/>
      <c r="I127" s="201"/>
      <c r="J127" s="201"/>
      <c r="K127" s="201"/>
      <c r="L127" s="201"/>
      <c r="M127" s="201"/>
      <c r="N127" s="201"/>
    </row>
    <row r="128" spans="1:15" x14ac:dyDescent="0.3">
      <c r="A128" s="68">
        <v>1</v>
      </c>
      <c r="B128" s="68">
        <v>2</v>
      </c>
      <c r="C128" s="219">
        <v>3</v>
      </c>
      <c r="D128" s="219"/>
      <c r="E128" s="219"/>
      <c r="F128" s="219"/>
      <c r="G128" s="219"/>
      <c r="H128" s="219"/>
      <c r="I128" s="219"/>
      <c r="J128" s="219"/>
      <c r="K128" s="219"/>
      <c r="L128" s="219"/>
      <c r="M128" s="219"/>
      <c r="N128" s="219"/>
    </row>
    <row r="129" spans="1:15" x14ac:dyDescent="0.3">
      <c r="A129" s="171" t="s">
        <v>1</v>
      </c>
      <c r="B129" s="172"/>
      <c r="C129" s="172"/>
      <c r="D129" s="172"/>
      <c r="E129" s="172"/>
      <c r="F129" s="172"/>
      <c r="G129" s="172"/>
      <c r="H129" s="172"/>
      <c r="I129" s="172"/>
      <c r="J129" s="172"/>
      <c r="K129" s="172"/>
      <c r="L129" s="172"/>
      <c r="M129" s="172"/>
      <c r="N129" s="173"/>
    </row>
    <row r="130" spans="1:15" x14ac:dyDescent="0.3">
      <c r="A130" s="70">
        <v>1000</v>
      </c>
      <c r="B130" s="189" t="s">
        <v>161</v>
      </c>
      <c r="C130" s="189"/>
      <c r="D130" s="189"/>
      <c r="E130" s="189"/>
      <c r="F130" s="189"/>
      <c r="G130" s="189"/>
      <c r="H130" s="189"/>
      <c r="I130" s="189"/>
      <c r="J130" s="189"/>
      <c r="K130" s="189"/>
      <c r="L130" s="189"/>
      <c r="M130" s="190">
        <f>M131+M144</f>
        <v>142.56</v>
      </c>
      <c r="N130" s="191"/>
    </row>
    <row r="131" spans="1:15" x14ac:dyDescent="0.3">
      <c r="A131" s="71">
        <v>1100</v>
      </c>
      <c r="B131" s="189" t="s">
        <v>121</v>
      </c>
      <c r="C131" s="189"/>
      <c r="D131" s="189"/>
      <c r="E131" s="189"/>
      <c r="F131" s="189"/>
      <c r="G131" s="189"/>
      <c r="H131" s="189"/>
      <c r="I131" s="189"/>
      <c r="J131" s="189"/>
      <c r="K131" s="189"/>
      <c r="L131" s="189"/>
      <c r="M131" s="190">
        <f>ROUND(M132+M135,2)</f>
        <v>115.35</v>
      </c>
      <c r="N131" s="191"/>
    </row>
    <row r="132" spans="1:15" x14ac:dyDescent="0.3">
      <c r="A132" s="72"/>
      <c r="B132" s="73"/>
      <c r="C132" s="158" t="s">
        <v>115</v>
      </c>
      <c r="D132" s="158"/>
      <c r="E132" s="158"/>
      <c r="F132" s="158"/>
      <c r="G132" s="158"/>
      <c r="H132" s="158"/>
      <c r="I132" s="156" t="s">
        <v>114</v>
      </c>
      <c r="J132" s="156"/>
      <c r="K132" s="156" t="s">
        <v>61</v>
      </c>
      <c r="L132" s="156"/>
      <c r="M132" s="198">
        <f>M133+M134</f>
        <v>0</v>
      </c>
      <c r="N132" s="199"/>
    </row>
    <row r="133" spans="1:15" s="52" customFormat="1" ht="27.6" hidden="1" x14ac:dyDescent="0.3">
      <c r="A133" s="74" t="s">
        <v>159</v>
      </c>
      <c r="B133" s="75" t="s">
        <v>120</v>
      </c>
      <c r="C133" s="213" t="s">
        <v>211</v>
      </c>
      <c r="D133" s="213"/>
      <c r="E133" s="213"/>
      <c r="F133" s="213"/>
      <c r="G133" s="213"/>
      <c r="H133" s="213"/>
      <c r="I133" s="214"/>
      <c r="J133" s="214"/>
      <c r="K133" s="210">
        <v>1</v>
      </c>
      <c r="L133" s="210"/>
      <c r="M133" s="211">
        <f>ROUND(I133/165.5*K133,2)</f>
        <v>0</v>
      </c>
      <c r="N133" s="212"/>
    </row>
    <row r="134" spans="1:15" s="52" customFormat="1" ht="27.6" hidden="1" x14ac:dyDescent="0.3">
      <c r="A134" s="74" t="s">
        <v>159</v>
      </c>
      <c r="B134" s="75" t="s">
        <v>120</v>
      </c>
      <c r="C134" s="213" t="s">
        <v>212</v>
      </c>
      <c r="D134" s="213"/>
      <c r="E134" s="213"/>
      <c r="F134" s="213"/>
      <c r="G134" s="213"/>
      <c r="H134" s="213"/>
      <c r="I134" s="214"/>
      <c r="J134" s="214"/>
      <c r="K134" s="210">
        <v>1</v>
      </c>
      <c r="L134" s="210"/>
      <c r="M134" s="211">
        <f>ROUND(I134/165.5*K134,2)</f>
        <v>0</v>
      </c>
      <c r="N134" s="212"/>
      <c r="O134" s="63"/>
    </row>
    <row r="135" spans="1:15" x14ac:dyDescent="0.3">
      <c r="A135" s="76"/>
      <c r="B135" s="76"/>
      <c r="C135" s="158" t="s">
        <v>157</v>
      </c>
      <c r="D135" s="158"/>
      <c r="E135" s="158"/>
      <c r="F135" s="158"/>
      <c r="G135" s="158"/>
      <c r="H135" s="158"/>
      <c r="I135" s="156" t="s">
        <v>109</v>
      </c>
      <c r="J135" s="156"/>
      <c r="K135" s="156" t="s">
        <v>61</v>
      </c>
      <c r="L135" s="156"/>
      <c r="M135" s="198">
        <f>SUM(M136:N143)</f>
        <v>115.35</v>
      </c>
      <c r="N135" s="199"/>
      <c r="O135" s="48"/>
    </row>
    <row r="136" spans="1:15" s="98" customFormat="1" ht="43.05" customHeight="1" x14ac:dyDescent="0.3">
      <c r="A136" s="96">
        <v>1142</v>
      </c>
      <c r="B136" s="95" t="s">
        <v>156</v>
      </c>
      <c r="C136" s="193" t="s">
        <v>213</v>
      </c>
      <c r="D136" s="193"/>
      <c r="E136" s="193"/>
      <c r="F136" s="193"/>
      <c r="G136" s="193"/>
      <c r="H136" s="193"/>
      <c r="I136" s="194">
        <f>ROUND(2610/165.5*2,2)</f>
        <v>31.54</v>
      </c>
      <c r="J136" s="194"/>
      <c r="K136" s="192">
        <v>1</v>
      </c>
      <c r="L136" s="192"/>
      <c r="M136" s="141">
        <f>I136*K136</f>
        <v>31.54</v>
      </c>
      <c r="N136" s="142"/>
      <c r="O136" s="97"/>
    </row>
    <row r="137" spans="1:15" s="98" customFormat="1" ht="43.05" customHeight="1" x14ac:dyDescent="0.3">
      <c r="A137" s="96">
        <v>1142</v>
      </c>
      <c r="B137" s="95" t="s">
        <v>156</v>
      </c>
      <c r="C137" s="193" t="s">
        <v>214</v>
      </c>
      <c r="D137" s="193"/>
      <c r="E137" s="193"/>
      <c r="F137" s="193"/>
      <c r="G137" s="193"/>
      <c r="H137" s="193"/>
      <c r="I137" s="197">
        <f>ROUND(2410/165.5*2,2)</f>
        <v>29.12</v>
      </c>
      <c r="J137" s="197"/>
      <c r="K137" s="192">
        <v>1</v>
      </c>
      <c r="L137" s="192"/>
      <c r="M137" s="141">
        <f>I137*K137</f>
        <v>29.12</v>
      </c>
      <c r="N137" s="142"/>
      <c r="O137" s="97"/>
    </row>
    <row r="138" spans="1:15" s="52" customFormat="1" ht="30" customHeight="1" x14ac:dyDescent="0.3">
      <c r="A138" s="77">
        <v>1143</v>
      </c>
      <c r="B138" s="75" t="s">
        <v>111</v>
      </c>
      <c r="C138" s="193" t="s">
        <v>203</v>
      </c>
      <c r="D138" s="193"/>
      <c r="E138" s="193"/>
      <c r="F138" s="193"/>
      <c r="G138" s="193"/>
      <c r="H138" s="193"/>
      <c r="I138" s="194">
        <v>106</v>
      </c>
      <c r="J138" s="194"/>
      <c r="K138" s="192">
        <v>1</v>
      </c>
      <c r="L138" s="192"/>
      <c r="M138" s="141">
        <f>ROUND(I138/165.5*K138,2)</f>
        <v>0.64</v>
      </c>
      <c r="N138" s="142"/>
      <c r="O138" s="64"/>
    </row>
    <row r="139" spans="1:15" s="52" customFormat="1" ht="30" customHeight="1" x14ac:dyDescent="0.3">
      <c r="A139" s="77">
        <v>1143</v>
      </c>
      <c r="B139" s="75" t="s">
        <v>111</v>
      </c>
      <c r="C139" s="193" t="s">
        <v>204</v>
      </c>
      <c r="D139" s="193"/>
      <c r="E139" s="193"/>
      <c r="F139" s="193"/>
      <c r="G139" s="193"/>
      <c r="H139" s="193"/>
      <c r="I139" s="192">
        <v>71</v>
      </c>
      <c r="J139" s="192"/>
      <c r="K139" s="192">
        <v>1</v>
      </c>
      <c r="L139" s="192"/>
      <c r="M139" s="141">
        <f>ROUND(I139/165.5*K139,2)</f>
        <v>0.43</v>
      </c>
      <c r="N139" s="142"/>
      <c r="O139" s="64"/>
    </row>
    <row r="140" spans="1:15" s="52" customFormat="1" ht="28.05" customHeight="1" x14ac:dyDescent="0.3">
      <c r="A140" s="77">
        <v>1145</v>
      </c>
      <c r="B140" s="99" t="s">
        <v>155</v>
      </c>
      <c r="C140" s="136" t="s">
        <v>205</v>
      </c>
      <c r="D140" s="137"/>
      <c r="E140" s="137"/>
      <c r="F140" s="137"/>
      <c r="G140" s="137"/>
      <c r="H140" s="138"/>
      <c r="I140" s="139">
        <v>300</v>
      </c>
      <c r="J140" s="140"/>
      <c r="K140" s="139">
        <v>1</v>
      </c>
      <c r="L140" s="140"/>
      <c r="M140" s="141">
        <f>ROUND(I140/165.5*K140,2)</f>
        <v>1.81</v>
      </c>
      <c r="N140" s="142"/>
      <c r="O140" s="64"/>
    </row>
    <row r="141" spans="1:15" s="52" customFormat="1" ht="28.05" customHeight="1" x14ac:dyDescent="0.3">
      <c r="A141" s="77">
        <v>1145</v>
      </c>
      <c r="B141" s="99" t="s">
        <v>155</v>
      </c>
      <c r="C141" s="136" t="s">
        <v>205</v>
      </c>
      <c r="D141" s="137"/>
      <c r="E141" s="137"/>
      <c r="F141" s="137"/>
      <c r="G141" s="137"/>
      <c r="H141" s="138"/>
      <c r="I141" s="139">
        <v>300</v>
      </c>
      <c r="J141" s="140"/>
      <c r="K141" s="139">
        <v>1</v>
      </c>
      <c r="L141" s="140"/>
      <c r="M141" s="141">
        <f>ROUND(I141/165.5*K141,2)</f>
        <v>1.81</v>
      </c>
      <c r="N141" s="142"/>
      <c r="O141" s="64"/>
    </row>
    <row r="142" spans="1:15" s="52" customFormat="1" ht="27.6" x14ac:dyDescent="0.3">
      <c r="A142" s="77">
        <v>1145</v>
      </c>
      <c r="B142" s="75" t="s">
        <v>155</v>
      </c>
      <c r="C142" s="221" t="s">
        <v>179</v>
      </c>
      <c r="D142" s="221"/>
      <c r="E142" s="221"/>
      <c r="F142" s="221"/>
      <c r="G142" s="221"/>
      <c r="H142" s="221"/>
      <c r="I142" s="243">
        <v>25</v>
      </c>
      <c r="J142" s="243"/>
      <c r="K142" s="210">
        <v>1</v>
      </c>
      <c r="L142" s="210"/>
      <c r="M142" s="141">
        <f t="shared" ref="M142:M143" si="6">I142*K142</f>
        <v>25</v>
      </c>
      <c r="N142" s="142"/>
      <c r="O142" s="65" t="s">
        <v>154</v>
      </c>
    </row>
    <row r="143" spans="1:15" s="52" customFormat="1" ht="27.6" x14ac:dyDescent="0.3">
      <c r="A143" s="77">
        <v>1145</v>
      </c>
      <c r="B143" s="75" t="s">
        <v>155</v>
      </c>
      <c r="C143" s="221" t="s">
        <v>179</v>
      </c>
      <c r="D143" s="221"/>
      <c r="E143" s="221"/>
      <c r="F143" s="221"/>
      <c r="G143" s="221"/>
      <c r="H143" s="221"/>
      <c r="I143" s="210">
        <v>25</v>
      </c>
      <c r="J143" s="210"/>
      <c r="K143" s="210">
        <v>1</v>
      </c>
      <c r="L143" s="210"/>
      <c r="M143" s="141">
        <f t="shared" si="6"/>
        <v>25</v>
      </c>
      <c r="N143" s="142"/>
      <c r="O143" s="66" t="s">
        <v>154</v>
      </c>
    </row>
    <row r="144" spans="1:15" x14ac:dyDescent="0.3">
      <c r="A144" s="71">
        <v>1200</v>
      </c>
      <c r="B144" s="189" t="s">
        <v>106</v>
      </c>
      <c r="C144" s="189"/>
      <c r="D144" s="189"/>
      <c r="E144" s="189"/>
      <c r="F144" s="189"/>
      <c r="G144" s="189"/>
      <c r="H144" s="189"/>
      <c r="I144" s="189"/>
      <c r="J144" s="189"/>
      <c r="K144" s="189"/>
      <c r="L144" s="189"/>
      <c r="M144" s="190">
        <f>ROUND(M145,2)</f>
        <v>27.21</v>
      </c>
      <c r="N144" s="191"/>
      <c r="O144" s="48"/>
    </row>
    <row r="145" spans="1:17" ht="21" customHeight="1" x14ac:dyDescent="0.3">
      <c r="A145" s="78">
        <v>1210</v>
      </c>
      <c r="B145" s="134" t="s">
        <v>105</v>
      </c>
      <c r="C145" s="134"/>
      <c r="D145" s="134"/>
      <c r="E145" s="134"/>
      <c r="F145" s="134"/>
      <c r="G145" s="134"/>
      <c r="H145" s="134"/>
      <c r="I145" s="134"/>
      <c r="J145" s="134"/>
      <c r="K145" s="134"/>
      <c r="L145" s="134"/>
      <c r="M145" s="206">
        <f>ROUND(M131*0.2359,2)</f>
        <v>27.21</v>
      </c>
      <c r="N145" s="207"/>
      <c r="O145" s="48"/>
    </row>
    <row r="146" spans="1:17" x14ac:dyDescent="0.3">
      <c r="A146" s="70">
        <v>2000</v>
      </c>
      <c r="B146" s="189" t="s">
        <v>104</v>
      </c>
      <c r="C146" s="189"/>
      <c r="D146" s="189"/>
      <c r="E146" s="189"/>
      <c r="F146" s="189"/>
      <c r="G146" s="189"/>
      <c r="H146" s="189"/>
      <c r="I146" s="189"/>
      <c r="J146" s="189"/>
      <c r="K146" s="189"/>
      <c r="L146" s="189"/>
      <c r="M146" s="224">
        <f>ROUND(M147,2)</f>
        <v>204.31</v>
      </c>
      <c r="N146" s="225"/>
      <c r="O146" s="48"/>
    </row>
    <row r="147" spans="1:17" x14ac:dyDescent="0.3">
      <c r="A147" s="71">
        <v>2300</v>
      </c>
      <c r="B147" s="189" t="s">
        <v>86</v>
      </c>
      <c r="C147" s="189"/>
      <c r="D147" s="189"/>
      <c r="E147" s="189"/>
      <c r="F147" s="189"/>
      <c r="G147" s="189"/>
      <c r="H147" s="189"/>
      <c r="I147" s="189"/>
      <c r="J147" s="189"/>
      <c r="K147" s="189"/>
      <c r="L147" s="189"/>
      <c r="M147" s="224">
        <f>SUM(M149:N163)</f>
        <v>204.30799999999999</v>
      </c>
      <c r="N147" s="225"/>
      <c r="O147" s="48"/>
    </row>
    <row r="148" spans="1:17" ht="27.6" x14ac:dyDescent="0.3">
      <c r="A148" s="73"/>
      <c r="B148" s="72"/>
      <c r="C148" s="158" t="s">
        <v>65</v>
      </c>
      <c r="D148" s="158"/>
      <c r="E148" s="158"/>
      <c r="F148" s="158"/>
      <c r="G148" s="158"/>
      <c r="H148" s="158"/>
      <c r="I148" s="79" t="s">
        <v>153</v>
      </c>
      <c r="J148" s="79" t="s">
        <v>152</v>
      </c>
      <c r="K148" s="156" t="s">
        <v>61</v>
      </c>
      <c r="L148" s="156"/>
      <c r="M148" s="232"/>
      <c r="N148" s="233"/>
      <c r="O148" s="48"/>
    </row>
    <row r="149" spans="1:17" ht="31.5" customHeight="1" x14ac:dyDescent="0.3">
      <c r="A149" s="73">
        <v>2322</v>
      </c>
      <c r="B149" s="72" t="s">
        <v>151</v>
      </c>
      <c r="C149" s="216" t="s">
        <v>150</v>
      </c>
      <c r="D149" s="216"/>
      <c r="E149" s="216"/>
      <c r="F149" s="216"/>
      <c r="G149" s="216"/>
      <c r="H149" s="216"/>
      <c r="I149" s="80">
        <v>194</v>
      </c>
      <c r="J149" s="80">
        <v>0.98199999999999998</v>
      </c>
      <c r="K149" s="217">
        <v>1</v>
      </c>
      <c r="L149" s="217"/>
      <c r="M149" s="260">
        <f>I149*J149</f>
        <v>190.50800000000001</v>
      </c>
      <c r="N149" s="261"/>
      <c r="O149" s="48">
        <f>120</f>
        <v>120</v>
      </c>
      <c r="P149">
        <v>0.8</v>
      </c>
      <c r="Q149">
        <f>O149*P149</f>
        <v>96</v>
      </c>
    </row>
    <row r="150" spans="1:17" x14ac:dyDescent="0.3">
      <c r="A150" s="73">
        <v>2329</v>
      </c>
      <c r="B150" s="72" t="s">
        <v>149</v>
      </c>
      <c r="C150" s="216" t="s">
        <v>148</v>
      </c>
      <c r="D150" s="216"/>
      <c r="E150" s="216"/>
      <c r="F150" s="216"/>
      <c r="G150" s="216"/>
      <c r="H150" s="216"/>
      <c r="I150" s="81">
        <v>7.0000000000000007E-2</v>
      </c>
      <c r="J150" s="80"/>
      <c r="K150" s="217">
        <v>1</v>
      </c>
      <c r="L150" s="217"/>
      <c r="M150" s="262">
        <f>ROUND(M149*I150,2)</f>
        <v>13.34</v>
      </c>
      <c r="N150" s="263"/>
      <c r="O150" s="48"/>
    </row>
    <row r="151" spans="1:17" ht="27.6" x14ac:dyDescent="0.3">
      <c r="A151" s="154">
        <v>2364</v>
      </c>
      <c r="B151" s="134" t="s">
        <v>147</v>
      </c>
      <c r="C151" s="158" t="s">
        <v>65</v>
      </c>
      <c r="D151" s="158"/>
      <c r="E151" s="158"/>
      <c r="F151" s="158"/>
      <c r="G151" s="158"/>
      <c r="H151" s="79" t="s">
        <v>84</v>
      </c>
      <c r="I151" s="158" t="s">
        <v>62</v>
      </c>
      <c r="J151" s="158"/>
      <c r="K151" s="156" t="s">
        <v>61</v>
      </c>
      <c r="L151" s="156"/>
      <c r="M151" s="198"/>
      <c r="N151" s="199"/>
      <c r="O151" s="48"/>
    </row>
    <row r="152" spans="1:17" s="25" customFormat="1" x14ac:dyDescent="0.3">
      <c r="A152" s="154"/>
      <c r="B152" s="134"/>
      <c r="C152" s="157" t="s">
        <v>146</v>
      </c>
      <c r="D152" s="157"/>
      <c r="E152" s="157"/>
      <c r="F152" s="157"/>
      <c r="G152" s="157"/>
      <c r="H152" s="82">
        <v>1</v>
      </c>
      <c r="I152" s="135">
        <v>33.549999999999997</v>
      </c>
      <c r="J152" s="135"/>
      <c r="K152" s="135">
        <v>1</v>
      </c>
      <c r="L152" s="135"/>
      <c r="M152" s="187">
        <f>ROUND(I152*2/H152/365/24*2,2)</f>
        <v>0.02</v>
      </c>
      <c r="N152" s="188"/>
      <c r="O152" s="50"/>
    </row>
    <row r="153" spans="1:17" s="25" customFormat="1" x14ac:dyDescent="0.3">
      <c r="A153" s="154"/>
      <c r="B153" s="134"/>
      <c r="C153" s="157" t="s">
        <v>145</v>
      </c>
      <c r="D153" s="157"/>
      <c r="E153" s="157"/>
      <c r="F153" s="157"/>
      <c r="G153" s="157"/>
      <c r="H153" s="82">
        <v>4</v>
      </c>
      <c r="I153" s="135">
        <v>350.9</v>
      </c>
      <c r="J153" s="135"/>
      <c r="K153" s="135">
        <v>1</v>
      </c>
      <c r="L153" s="135"/>
      <c r="M153" s="187">
        <f>ROUND(I153*2/H153/365/24*2,2)</f>
        <v>0.04</v>
      </c>
      <c r="N153" s="188"/>
      <c r="O153" s="50"/>
    </row>
    <row r="154" spans="1:17" s="25" customFormat="1" x14ac:dyDescent="0.3">
      <c r="A154" s="154"/>
      <c r="B154" s="134"/>
      <c r="C154" s="157" t="s">
        <v>144</v>
      </c>
      <c r="D154" s="157"/>
      <c r="E154" s="157"/>
      <c r="F154" s="157"/>
      <c r="G154" s="157"/>
      <c r="H154" s="82">
        <v>4</v>
      </c>
      <c r="I154" s="135">
        <v>1057.1600000000001</v>
      </c>
      <c r="J154" s="135"/>
      <c r="K154" s="135">
        <v>1</v>
      </c>
      <c r="L154" s="135"/>
      <c r="M154" s="187">
        <f>ROUND(I154*2/H154/365/24*2,2)</f>
        <v>0.12</v>
      </c>
      <c r="N154" s="188"/>
      <c r="O154" s="50"/>
    </row>
    <row r="155" spans="1:17" s="25" customFormat="1" x14ac:dyDescent="0.3">
      <c r="A155" s="154"/>
      <c r="B155" s="134"/>
      <c r="C155" s="157" t="s">
        <v>143</v>
      </c>
      <c r="D155" s="157"/>
      <c r="E155" s="157"/>
      <c r="F155" s="157"/>
      <c r="G155" s="157"/>
      <c r="H155" s="82">
        <v>3</v>
      </c>
      <c r="I155" s="135">
        <v>112.05</v>
      </c>
      <c r="J155" s="135"/>
      <c r="K155" s="135">
        <v>1</v>
      </c>
      <c r="L155" s="135"/>
      <c r="M155" s="187">
        <f>ROUND(I155/H155/365/24*2,2)</f>
        <v>0.01</v>
      </c>
      <c r="N155" s="188"/>
      <c r="O155" s="50"/>
    </row>
    <row r="156" spans="1:17" s="25" customFormat="1" x14ac:dyDescent="0.3">
      <c r="A156" s="154"/>
      <c r="B156" s="134"/>
      <c r="C156" s="157" t="s">
        <v>142</v>
      </c>
      <c r="D156" s="157"/>
      <c r="E156" s="157"/>
      <c r="F156" s="157"/>
      <c r="G156" s="157"/>
      <c r="H156" s="82">
        <v>3</v>
      </c>
      <c r="I156" s="135">
        <v>159.72</v>
      </c>
      <c r="J156" s="135"/>
      <c r="K156" s="135">
        <v>1</v>
      </c>
      <c r="L156" s="135"/>
      <c r="M156" s="187">
        <f t="shared" ref="M156:M162" si="7">ROUND(I156/H156/365/24*2,2)</f>
        <v>0.01</v>
      </c>
      <c r="N156" s="188"/>
      <c r="O156" s="50"/>
    </row>
    <row r="157" spans="1:17" s="25" customFormat="1" x14ac:dyDescent="0.3">
      <c r="A157" s="154"/>
      <c r="B157" s="134"/>
      <c r="C157" s="157" t="s">
        <v>141</v>
      </c>
      <c r="D157" s="157"/>
      <c r="E157" s="157"/>
      <c r="F157" s="157"/>
      <c r="G157" s="157"/>
      <c r="H157" s="82">
        <v>2</v>
      </c>
      <c r="I157" s="135">
        <v>38.72</v>
      </c>
      <c r="J157" s="135"/>
      <c r="K157" s="135">
        <v>1</v>
      </c>
      <c r="L157" s="135"/>
      <c r="M157" s="187">
        <f t="shared" si="7"/>
        <v>0</v>
      </c>
      <c r="N157" s="188"/>
      <c r="O157" s="50"/>
    </row>
    <row r="158" spans="1:17" s="25" customFormat="1" x14ac:dyDescent="0.3">
      <c r="A158" s="154"/>
      <c r="B158" s="134"/>
      <c r="C158" s="157" t="s">
        <v>140</v>
      </c>
      <c r="D158" s="157"/>
      <c r="E158" s="157"/>
      <c r="F158" s="157"/>
      <c r="G158" s="157"/>
      <c r="H158" s="82">
        <v>5</v>
      </c>
      <c r="I158" s="135">
        <v>907.5</v>
      </c>
      <c r="J158" s="135"/>
      <c r="K158" s="135">
        <v>1</v>
      </c>
      <c r="L158" s="135"/>
      <c r="M158" s="187">
        <f t="shared" si="7"/>
        <v>0.04</v>
      </c>
      <c r="N158" s="188"/>
      <c r="O158" s="50"/>
    </row>
    <row r="159" spans="1:17" s="25" customFormat="1" x14ac:dyDescent="0.3">
      <c r="A159" s="154"/>
      <c r="B159" s="134"/>
      <c r="C159" s="157" t="s">
        <v>139</v>
      </c>
      <c r="D159" s="157"/>
      <c r="E159" s="157"/>
      <c r="F159" s="157"/>
      <c r="G159" s="157"/>
      <c r="H159" s="82">
        <v>4</v>
      </c>
      <c r="I159" s="135">
        <v>249.96</v>
      </c>
      <c r="J159" s="135"/>
      <c r="K159" s="135">
        <v>1</v>
      </c>
      <c r="L159" s="135"/>
      <c r="M159" s="187">
        <f t="shared" si="7"/>
        <v>0.01</v>
      </c>
      <c r="N159" s="188"/>
      <c r="O159" s="50"/>
    </row>
    <row r="160" spans="1:17" s="25" customFormat="1" x14ac:dyDescent="0.3">
      <c r="A160" s="154"/>
      <c r="B160" s="134"/>
      <c r="C160" s="157" t="s">
        <v>138</v>
      </c>
      <c r="D160" s="157"/>
      <c r="E160" s="157"/>
      <c r="F160" s="157"/>
      <c r="G160" s="157"/>
      <c r="H160" s="82">
        <v>2</v>
      </c>
      <c r="I160" s="135">
        <v>16</v>
      </c>
      <c r="J160" s="135"/>
      <c r="K160" s="135">
        <v>1</v>
      </c>
      <c r="L160" s="135"/>
      <c r="M160" s="187">
        <f t="shared" si="7"/>
        <v>0</v>
      </c>
      <c r="N160" s="188"/>
      <c r="O160" s="50"/>
    </row>
    <row r="161" spans="1:23" s="25" customFormat="1" x14ac:dyDescent="0.3">
      <c r="A161" s="154"/>
      <c r="B161" s="134"/>
      <c r="C161" s="157" t="s">
        <v>137</v>
      </c>
      <c r="D161" s="157"/>
      <c r="E161" s="157"/>
      <c r="F161" s="157"/>
      <c r="G161" s="157"/>
      <c r="H161" s="82">
        <v>1</v>
      </c>
      <c r="I161" s="135">
        <v>89.74</v>
      </c>
      <c r="J161" s="135"/>
      <c r="K161" s="135">
        <v>1</v>
      </c>
      <c r="L161" s="135"/>
      <c r="M161" s="187">
        <f t="shared" si="7"/>
        <v>0.02</v>
      </c>
      <c r="N161" s="188"/>
      <c r="O161" s="50"/>
    </row>
    <row r="162" spans="1:23" s="25" customFormat="1" x14ac:dyDescent="0.3">
      <c r="A162" s="154"/>
      <c r="B162" s="134"/>
      <c r="C162" s="157" t="s">
        <v>136</v>
      </c>
      <c r="D162" s="157"/>
      <c r="E162" s="157"/>
      <c r="F162" s="157"/>
      <c r="G162" s="157"/>
      <c r="H162" s="82">
        <v>4</v>
      </c>
      <c r="I162" s="135">
        <v>3261.98</v>
      </c>
      <c r="J162" s="135"/>
      <c r="K162" s="135">
        <v>1</v>
      </c>
      <c r="L162" s="135"/>
      <c r="M162" s="187">
        <f t="shared" si="7"/>
        <v>0.19</v>
      </c>
      <c r="N162" s="188"/>
      <c r="O162" s="50"/>
    </row>
    <row r="163" spans="1:23" s="25" customFormat="1" x14ac:dyDescent="0.3">
      <c r="A163" s="154"/>
      <c r="B163" s="134"/>
      <c r="C163" s="157" t="s">
        <v>135</v>
      </c>
      <c r="D163" s="157"/>
      <c r="E163" s="157"/>
      <c r="F163" s="157"/>
      <c r="G163" s="157"/>
      <c r="H163" s="82">
        <v>6</v>
      </c>
      <c r="I163" s="135">
        <v>107.97</v>
      </c>
      <c r="J163" s="135"/>
      <c r="K163" s="135">
        <v>1</v>
      </c>
      <c r="L163" s="135"/>
      <c r="M163" s="187">
        <f>ROUND(I163/H163/365/24*2,2)</f>
        <v>0</v>
      </c>
      <c r="N163" s="188"/>
      <c r="O163" s="50"/>
    </row>
    <row r="164" spans="1:23" x14ac:dyDescent="0.3">
      <c r="A164" s="70">
        <v>5000</v>
      </c>
      <c r="B164" s="189" t="s">
        <v>66</v>
      </c>
      <c r="C164" s="189"/>
      <c r="D164" s="189"/>
      <c r="E164" s="189"/>
      <c r="F164" s="189"/>
      <c r="G164" s="189"/>
      <c r="H164" s="189"/>
      <c r="I164" s="189"/>
      <c r="J164" s="189"/>
      <c r="K164" s="189"/>
      <c r="L164" s="189"/>
      <c r="M164" s="224">
        <f>SUM(M166:N171)</f>
        <v>167.45</v>
      </c>
      <c r="N164" s="225"/>
      <c r="O164" s="49"/>
    </row>
    <row r="165" spans="1:23" ht="15" customHeight="1" x14ac:dyDescent="0.3">
      <c r="A165" s="73"/>
      <c r="B165" s="73"/>
      <c r="C165" s="158" t="s">
        <v>65</v>
      </c>
      <c r="D165" s="158"/>
      <c r="E165" s="156" t="s">
        <v>64</v>
      </c>
      <c r="F165" s="156"/>
      <c r="G165" s="156" t="s">
        <v>63</v>
      </c>
      <c r="H165" s="156"/>
      <c r="I165" s="158" t="s">
        <v>62</v>
      </c>
      <c r="J165" s="158"/>
      <c r="K165" s="156" t="s">
        <v>61</v>
      </c>
      <c r="L165" s="156"/>
      <c r="M165" s="198"/>
      <c r="N165" s="199"/>
    </row>
    <row r="166" spans="1:23" ht="30" customHeight="1" x14ac:dyDescent="0.3">
      <c r="A166" s="154">
        <v>5239</v>
      </c>
      <c r="B166" s="203" t="s">
        <v>134</v>
      </c>
      <c r="C166" s="134" t="s">
        <v>133</v>
      </c>
      <c r="D166" s="134"/>
      <c r="E166" s="159">
        <v>10</v>
      </c>
      <c r="F166" s="159"/>
      <c r="G166" s="159">
        <v>1</v>
      </c>
      <c r="H166" s="159"/>
      <c r="I166" s="159">
        <v>3360.17</v>
      </c>
      <c r="J166" s="159"/>
      <c r="K166" s="159">
        <v>1</v>
      </c>
      <c r="L166" s="159"/>
      <c r="M166" s="187">
        <v>7.67</v>
      </c>
      <c r="N166" s="188"/>
      <c r="O166" s="234"/>
      <c r="V166" t="s">
        <v>130</v>
      </c>
    </row>
    <row r="167" spans="1:23" ht="30.6" customHeight="1" x14ac:dyDescent="0.3">
      <c r="A167" s="154"/>
      <c r="B167" s="203"/>
      <c r="C167" s="134" t="s">
        <v>132</v>
      </c>
      <c r="D167" s="134"/>
      <c r="E167" s="159">
        <v>10</v>
      </c>
      <c r="F167" s="159"/>
      <c r="G167" s="159">
        <v>1</v>
      </c>
      <c r="H167" s="159"/>
      <c r="I167" s="159">
        <v>507.84</v>
      </c>
      <c r="J167" s="159"/>
      <c r="K167" s="159">
        <v>1</v>
      </c>
      <c r="L167" s="159"/>
      <c r="M167" s="187">
        <v>1.1599999999999999</v>
      </c>
      <c r="N167" s="188"/>
      <c r="O167" s="234"/>
      <c r="V167" t="s">
        <v>128</v>
      </c>
    </row>
    <row r="168" spans="1:23" x14ac:dyDescent="0.3">
      <c r="A168" s="154"/>
      <c r="B168" s="203"/>
      <c r="C168" s="134" t="s">
        <v>131</v>
      </c>
      <c r="D168" s="134"/>
      <c r="E168" s="159">
        <v>10</v>
      </c>
      <c r="F168" s="159"/>
      <c r="G168" s="159">
        <v>1</v>
      </c>
      <c r="H168" s="159"/>
      <c r="I168" s="159">
        <v>317.02</v>
      </c>
      <c r="J168" s="159"/>
      <c r="K168" s="159">
        <v>1</v>
      </c>
      <c r="L168" s="159"/>
      <c r="M168" s="187">
        <v>0.72</v>
      </c>
      <c r="N168" s="188"/>
      <c r="O168" s="234"/>
      <c r="V168" t="s">
        <v>130</v>
      </c>
    </row>
    <row r="169" spans="1:23" ht="25.05" customHeight="1" x14ac:dyDescent="0.3">
      <c r="A169" s="154"/>
      <c r="B169" s="203"/>
      <c r="C169" s="134" t="s">
        <v>129</v>
      </c>
      <c r="D169" s="134"/>
      <c r="E169" s="159">
        <v>10</v>
      </c>
      <c r="F169" s="159"/>
      <c r="G169" s="159">
        <v>1</v>
      </c>
      <c r="H169" s="159"/>
      <c r="I169" s="159">
        <v>525.14</v>
      </c>
      <c r="J169" s="159"/>
      <c r="K169" s="159">
        <v>1</v>
      </c>
      <c r="L169" s="159"/>
      <c r="M169" s="187">
        <v>1.2</v>
      </c>
      <c r="N169" s="188"/>
      <c r="O169" s="234"/>
      <c r="V169" t="s">
        <v>128</v>
      </c>
    </row>
    <row r="170" spans="1:23" ht="47.1" customHeight="1" x14ac:dyDescent="0.3">
      <c r="A170" s="242">
        <v>5231</v>
      </c>
      <c r="B170" s="203" t="s">
        <v>127</v>
      </c>
      <c r="C170" s="193" t="s">
        <v>126</v>
      </c>
      <c r="D170" s="193"/>
      <c r="E170" s="226">
        <v>6.67</v>
      </c>
      <c r="F170" s="226"/>
      <c r="G170" s="226">
        <v>1</v>
      </c>
      <c r="H170" s="226"/>
      <c r="I170" s="236">
        <v>4665664.67</v>
      </c>
      <c r="J170" s="236"/>
      <c r="K170" s="226">
        <v>1</v>
      </c>
      <c r="L170" s="226"/>
      <c r="M170" s="231">
        <f>ROUND(I170*E170/100/12/165.5*K170,2)</f>
        <v>156.69999999999999</v>
      </c>
      <c r="N170" s="231"/>
      <c r="O170" s="234">
        <f>I170/15/365/24</f>
        <v>35.507341476407909</v>
      </c>
      <c r="P170">
        <v>308651</v>
      </c>
      <c r="Q170">
        <v>206</v>
      </c>
      <c r="S170">
        <v>4762827.67</v>
      </c>
      <c r="T170">
        <v>119</v>
      </c>
      <c r="V170">
        <v>180</v>
      </c>
    </row>
    <row r="171" spans="1:23" ht="31.05" customHeight="1" x14ac:dyDescent="0.3">
      <c r="A171" s="242"/>
      <c r="B171" s="203"/>
      <c r="C171" s="193" t="s">
        <v>206</v>
      </c>
      <c r="D171" s="193"/>
      <c r="E171" s="226"/>
      <c r="F171" s="226"/>
      <c r="G171" s="226"/>
      <c r="H171" s="226"/>
      <c r="I171" s="236"/>
      <c r="J171" s="236"/>
      <c r="K171" s="226"/>
      <c r="L171" s="226"/>
      <c r="M171" s="231"/>
      <c r="N171" s="231"/>
      <c r="O171" s="234"/>
      <c r="P171">
        <v>413878.99</v>
      </c>
      <c r="Q171">
        <v>206</v>
      </c>
      <c r="R171" s="54">
        <f>SUM(P170:P171)/2</f>
        <v>361264.995</v>
      </c>
      <c r="S171">
        <v>4568501.67</v>
      </c>
      <c r="T171">
        <v>119</v>
      </c>
      <c r="U171" s="54">
        <f>SUM(S170:S171)/2</f>
        <v>4665664.67</v>
      </c>
      <c r="V171" t="s">
        <v>125</v>
      </c>
      <c r="W171" t="s">
        <v>124</v>
      </c>
    </row>
    <row r="172" spans="1:23" x14ac:dyDescent="0.3">
      <c r="A172" s="174" t="s">
        <v>123</v>
      </c>
      <c r="B172" s="175"/>
      <c r="C172" s="175"/>
      <c r="D172" s="175"/>
      <c r="E172" s="175"/>
      <c r="F172" s="175"/>
      <c r="G172" s="175"/>
      <c r="H172" s="175"/>
      <c r="I172" s="175"/>
      <c r="J172" s="175"/>
      <c r="K172" s="175"/>
      <c r="L172" s="176"/>
      <c r="M172" s="244">
        <f>ROUND(M146+M130+M164,2)</f>
        <v>514.32000000000005</v>
      </c>
      <c r="N172" s="245"/>
      <c r="T172" t="e">
        <f>#REF!/167</f>
        <v>#REF!</v>
      </c>
    </row>
    <row r="173" spans="1:23" x14ac:dyDescent="0.3">
      <c r="A173" s="53"/>
      <c r="B173" s="53"/>
      <c r="C173" s="218"/>
      <c r="D173" s="218"/>
      <c r="E173" s="218"/>
      <c r="F173" s="218"/>
      <c r="G173" s="218"/>
      <c r="H173" s="218"/>
      <c r="I173" s="218"/>
      <c r="J173" s="218"/>
      <c r="K173" s="218"/>
      <c r="L173" s="218"/>
      <c r="M173" s="235"/>
      <c r="N173" s="235"/>
    </row>
    <row r="174" spans="1:23" x14ac:dyDescent="0.3">
      <c r="A174" s="177" t="s">
        <v>2</v>
      </c>
      <c r="B174" s="178"/>
      <c r="C174" s="178"/>
      <c r="D174" s="178"/>
      <c r="E174" s="178"/>
      <c r="F174" s="178"/>
      <c r="G174" s="178"/>
      <c r="H174" s="178"/>
      <c r="I174" s="178"/>
      <c r="J174" s="178"/>
      <c r="K174" s="178"/>
      <c r="L174" s="178"/>
      <c r="M174" s="178"/>
      <c r="N174" s="179"/>
    </row>
    <row r="175" spans="1:23" x14ac:dyDescent="0.3">
      <c r="A175" s="70">
        <v>1000</v>
      </c>
      <c r="B175" s="189" t="s">
        <v>122</v>
      </c>
      <c r="C175" s="189"/>
      <c r="D175" s="189"/>
      <c r="E175" s="189"/>
      <c r="F175" s="189"/>
      <c r="G175" s="189"/>
      <c r="H175" s="189"/>
      <c r="I175" s="189"/>
      <c r="J175" s="189"/>
      <c r="K175" s="189"/>
      <c r="L175" s="189"/>
      <c r="M175" s="224">
        <f>M176+M198</f>
        <v>9.36</v>
      </c>
      <c r="N175" s="225"/>
    </row>
    <row r="176" spans="1:23" x14ac:dyDescent="0.3">
      <c r="A176" s="71">
        <v>1100</v>
      </c>
      <c r="B176" s="189" t="s">
        <v>121</v>
      </c>
      <c r="C176" s="189"/>
      <c r="D176" s="189"/>
      <c r="E176" s="189"/>
      <c r="F176" s="189"/>
      <c r="G176" s="189"/>
      <c r="H176" s="189"/>
      <c r="I176" s="189"/>
      <c r="J176" s="189"/>
      <c r="K176" s="189"/>
      <c r="L176" s="189"/>
      <c r="M176" s="190">
        <f>M177+M184+M189+M194</f>
        <v>7.57</v>
      </c>
      <c r="N176" s="191"/>
    </row>
    <row r="177" spans="1:15" x14ac:dyDescent="0.3">
      <c r="A177" s="154">
        <v>1116</v>
      </c>
      <c r="B177" s="134" t="s">
        <v>120</v>
      </c>
      <c r="C177" s="158" t="s">
        <v>115</v>
      </c>
      <c r="D177" s="158"/>
      <c r="E177" s="158"/>
      <c r="F177" s="158"/>
      <c r="G177" s="158"/>
      <c r="H177" s="158"/>
      <c r="I177" s="156" t="s">
        <v>114</v>
      </c>
      <c r="J177" s="156"/>
      <c r="K177" s="156" t="s">
        <v>61</v>
      </c>
      <c r="L177" s="156"/>
      <c r="M177" s="198">
        <f>M178+M180+M182</f>
        <v>3.09</v>
      </c>
      <c r="N177" s="199"/>
      <c r="O177" s="48"/>
    </row>
    <row r="178" spans="1:15" s="52" customFormat="1" ht="35.549999999999997" customHeight="1" x14ac:dyDescent="0.3">
      <c r="A178" s="154"/>
      <c r="B178" s="134"/>
      <c r="C178" s="193" t="s">
        <v>119</v>
      </c>
      <c r="D178" s="193"/>
      <c r="E178" s="193"/>
      <c r="F178" s="193"/>
      <c r="G178" s="193"/>
      <c r="H178" s="193"/>
      <c r="I178" s="215">
        <v>2875</v>
      </c>
      <c r="J178" s="215"/>
      <c r="K178" s="192">
        <v>3.3000000000000002E-2</v>
      </c>
      <c r="L178" s="192"/>
      <c r="M178" s="231">
        <f>ROUND(I178/165.5*K178,2)</f>
        <v>0.56999999999999995</v>
      </c>
      <c r="N178" s="231"/>
      <c r="O178" s="220"/>
    </row>
    <row r="179" spans="1:15" s="52" customFormat="1" ht="24" customHeight="1" x14ac:dyDescent="0.3">
      <c r="A179" s="154"/>
      <c r="B179" s="134"/>
      <c r="C179" s="193" t="s">
        <v>207</v>
      </c>
      <c r="D179" s="193"/>
      <c r="E179" s="193"/>
      <c r="F179" s="193"/>
      <c r="G179" s="193"/>
      <c r="H179" s="193"/>
      <c r="I179" s="215"/>
      <c r="J179" s="215"/>
      <c r="K179" s="192"/>
      <c r="L179" s="192"/>
      <c r="M179" s="231">
        <f>ROUND(I179/167*K179,2)</f>
        <v>0</v>
      </c>
      <c r="N179" s="231"/>
      <c r="O179" s="220"/>
    </row>
    <row r="180" spans="1:15" s="52" customFormat="1" ht="28.05" customHeight="1" x14ac:dyDescent="0.3">
      <c r="A180" s="154"/>
      <c r="B180" s="134"/>
      <c r="C180" s="193" t="s">
        <v>118</v>
      </c>
      <c r="D180" s="193"/>
      <c r="E180" s="193"/>
      <c r="F180" s="193"/>
      <c r="G180" s="193"/>
      <c r="H180" s="193"/>
      <c r="I180" s="215">
        <v>2845</v>
      </c>
      <c r="J180" s="215"/>
      <c r="K180" s="192">
        <v>8.3000000000000004E-2</v>
      </c>
      <c r="L180" s="192"/>
      <c r="M180" s="231">
        <f>ROUND(I180/165.5*K180,2)</f>
        <v>1.43</v>
      </c>
      <c r="N180" s="231"/>
      <c r="O180" s="220"/>
    </row>
    <row r="181" spans="1:15" s="52" customFormat="1" x14ac:dyDescent="0.3">
      <c r="A181" s="154"/>
      <c r="B181" s="134"/>
      <c r="C181" s="193" t="s">
        <v>208</v>
      </c>
      <c r="D181" s="193"/>
      <c r="E181" s="193"/>
      <c r="F181" s="193"/>
      <c r="G181" s="193"/>
      <c r="H181" s="193"/>
      <c r="I181" s="215"/>
      <c r="J181" s="215"/>
      <c r="K181" s="192"/>
      <c r="L181" s="192"/>
      <c r="M181" s="231">
        <f>ROUND(I181/167*K181,2)</f>
        <v>0</v>
      </c>
      <c r="N181" s="231"/>
      <c r="O181" s="220"/>
    </row>
    <row r="182" spans="1:15" s="52" customFormat="1" ht="27.45" customHeight="1" x14ac:dyDescent="0.3">
      <c r="A182" s="154"/>
      <c r="B182" s="134"/>
      <c r="C182" s="193" t="s">
        <v>117</v>
      </c>
      <c r="D182" s="193"/>
      <c r="E182" s="193"/>
      <c r="F182" s="193"/>
      <c r="G182" s="193"/>
      <c r="H182" s="193"/>
      <c r="I182" s="215">
        <v>2175</v>
      </c>
      <c r="J182" s="215"/>
      <c r="K182" s="192">
        <v>8.3000000000000004E-2</v>
      </c>
      <c r="L182" s="192"/>
      <c r="M182" s="231">
        <f>ROUND(I182/165.5*K182,2)</f>
        <v>1.0900000000000001</v>
      </c>
      <c r="N182" s="231"/>
      <c r="O182" s="220"/>
    </row>
    <row r="183" spans="1:15" s="52" customFormat="1" x14ac:dyDescent="0.3">
      <c r="A183" s="154"/>
      <c r="B183" s="134"/>
      <c r="C183" s="193" t="s">
        <v>208</v>
      </c>
      <c r="D183" s="193"/>
      <c r="E183" s="193"/>
      <c r="F183" s="193"/>
      <c r="G183" s="193"/>
      <c r="H183" s="193"/>
      <c r="I183" s="215"/>
      <c r="J183" s="215"/>
      <c r="K183" s="192"/>
      <c r="L183" s="192"/>
      <c r="M183" s="231">
        <f>ROUND(I183/167*K183,2)</f>
        <v>0</v>
      </c>
      <c r="N183" s="231"/>
      <c r="O183" s="220"/>
    </row>
    <row r="184" spans="1:15" x14ac:dyDescent="0.3">
      <c r="A184" s="154">
        <v>1119</v>
      </c>
      <c r="B184" s="134" t="s">
        <v>116</v>
      </c>
      <c r="C184" s="158" t="s">
        <v>115</v>
      </c>
      <c r="D184" s="158"/>
      <c r="E184" s="158"/>
      <c r="F184" s="158"/>
      <c r="G184" s="158"/>
      <c r="H184" s="158"/>
      <c r="I184" s="156" t="s">
        <v>114</v>
      </c>
      <c r="J184" s="156"/>
      <c r="K184" s="156" t="s">
        <v>61</v>
      </c>
      <c r="L184" s="156"/>
      <c r="M184" s="198">
        <f>M185+M187</f>
        <v>4.0200000000000005</v>
      </c>
      <c r="N184" s="199"/>
      <c r="O184" s="48"/>
    </row>
    <row r="185" spans="1:15" s="52" customFormat="1" ht="29.1" customHeight="1" x14ac:dyDescent="0.3">
      <c r="A185" s="154"/>
      <c r="B185" s="134"/>
      <c r="C185" s="193" t="s">
        <v>113</v>
      </c>
      <c r="D185" s="193"/>
      <c r="E185" s="193"/>
      <c r="F185" s="193"/>
      <c r="G185" s="193"/>
      <c r="H185" s="193"/>
      <c r="I185" s="215">
        <v>1990</v>
      </c>
      <c r="J185" s="215"/>
      <c r="K185" s="192">
        <v>0.33</v>
      </c>
      <c r="L185" s="192"/>
      <c r="M185" s="231">
        <f>ROUND(I185/165.5*K185,2)</f>
        <v>3.97</v>
      </c>
      <c r="N185" s="231"/>
      <c r="O185" s="220"/>
    </row>
    <row r="186" spans="1:15" s="52" customFormat="1" ht="15" customHeight="1" x14ac:dyDescent="0.3">
      <c r="A186" s="154"/>
      <c r="B186" s="134"/>
      <c r="C186" s="193" t="s">
        <v>209</v>
      </c>
      <c r="D186" s="193"/>
      <c r="E186" s="193"/>
      <c r="F186" s="193"/>
      <c r="G186" s="193"/>
      <c r="H186" s="193"/>
      <c r="I186" s="215"/>
      <c r="J186" s="215"/>
      <c r="K186" s="192"/>
      <c r="L186" s="192"/>
      <c r="M186" s="231">
        <f>ROUND(I186/167*K186,2)</f>
        <v>0</v>
      </c>
      <c r="N186" s="231"/>
      <c r="O186" s="220"/>
    </row>
    <row r="187" spans="1:15" s="52" customFormat="1" ht="28.05" customHeight="1" x14ac:dyDescent="0.3">
      <c r="A187" s="154"/>
      <c r="B187" s="134"/>
      <c r="C187" s="193" t="s">
        <v>112</v>
      </c>
      <c r="D187" s="193"/>
      <c r="E187" s="193"/>
      <c r="F187" s="193"/>
      <c r="G187" s="193"/>
      <c r="H187" s="193"/>
      <c r="I187" s="215">
        <v>755</v>
      </c>
      <c r="J187" s="215"/>
      <c r="K187" s="192">
        <v>0.01</v>
      </c>
      <c r="L187" s="192"/>
      <c r="M187" s="231">
        <f>ROUND(I187/165.5*K187,2)</f>
        <v>0.05</v>
      </c>
      <c r="N187" s="231"/>
      <c r="O187" s="220"/>
    </row>
    <row r="188" spans="1:15" s="52" customFormat="1" ht="15" customHeight="1" x14ac:dyDescent="0.3">
      <c r="A188" s="154"/>
      <c r="B188" s="134"/>
      <c r="C188" s="193" t="s">
        <v>209</v>
      </c>
      <c r="D188" s="193"/>
      <c r="E188" s="193"/>
      <c r="F188" s="193"/>
      <c r="G188" s="193"/>
      <c r="H188" s="193"/>
      <c r="I188" s="215"/>
      <c r="J188" s="215"/>
      <c r="K188" s="192"/>
      <c r="L188" s="192"/>
      <c r="M188" s="231">
        <f>ROUND(I188/167*K188,2)</f>
        <v>0</v>
      </c>
      <c r="N188" s="231"/>
      <c r="O188" s="220"/>
    </row>
    <row r="189" spans="1:15" ht="15.75" customHeight="1" x14ac:dyDescent="0.3">
      <c r="A189" s="154">
        <v>1143</v>
      </c>
      <c r="B189" s="134" t="s">
        <v>111</v>
      </c>
      <c r="C189" s="158" t="s">
        <v>110</v>
      </c>
      <c r="D189" s="158"/>
      <c r="E189" s="158"/>
      <c r="F189" s="158"/>
      <c r="G189" s="158"/>
      <c r="H189" s="158"/>
      <c r="I189" s="156" t="s">
        <v>109</v>
      </c>
      <c r="J189" s="156"/>
      <c r="K189" s="156" t="s">
        <v>61</v>
      </c>
      <c r="L189" s="156"/>
      <c r="M189" s="198">
        <f>M190+M192</f>
        <v>0.1</v>
      </c>
      <c r="N189" s="199"/>
      <c r="O189" s="48"/>
    </row>
    <row r="190" spans="1:15" s="52" customFormat="1" x14ac:dyDescent="0.3">
      <c r="A190" s="154"/>
      <c r="B190" s="134"/>
      <c r="C190" s="193" t="s">
        <v>108</v>
      </c>
      <c r="D190" s="193"/>
      <c r="E190" s="193"/>
      <c r="F190" s="193"/>
      <c r="G190" s="193"/>
      <c r="H190" s="193"/>
      <c r="I190" s="192">
        <v>106</v>
      </c>
      <c r="J190" s="192"/>
      <c r="K190" s="192">
        <v>3.3000000000000002E-2</v>
      </c>
      <c r="L190" s="192"/>
      <c r="M190" s="231">
        <f>ROUND(I190/165.5*K190,2)</f>
        <v>0.02</v>
      </c>
      <c r="N190" s="231"/>
      <c r="O190" s="220"/>
    </row>
    <row r="191" spans="1:15" s="52" customFormat="1" ht="15.75" customHeight="1" x14ac:dyDescent="0.3">
      <c r="A191" s="154"/>
      <c r="B191" s="134"/>
      <c r="C191" s="193" t="s">
        <v>210</v>
      </c>
      <c r="D191" s="193"/>
      <c r="E191" s="193"/>
      <c r="F191" s="193"/>
      <c r="G191" s="193"/>
      <c r="H191" s="193"/>
      <c r="I191" s="192"/>
      <c r="J191" s="192"/>
      <c r="K191" s="192"/>
      <c r="L191" s="192"/>
      <c r="M191" s="231">
        <f>ROUND(I191/167*K191,2)</f>
        <v>0</v>
      </c>
      <c r="N191" s="231"/>
      <c r="O191" s="220"/>
    </row>
    <row r="192" spans="1:15" s="52" customFormat="1" x14ac:dyDescent="0.3">
      <c r="A192" s="154"/>
      <c r="B192" s="134"/>
      <c r="C192" s="193" t="s">
        <v>107</v>
      </c>
      <c r="D192" s="193"/>
      <c r="E192" s="193"/>
      <c r="F192" s="193"/>
      <c r="G192" s="193"/>
      <c r="H192" s="193"/>
      <c r="I192" s="192">
        <f>78*2</f>
        <v>156</v>
      </c>
      <c r="J192" s="192"/>
      <c r="K192" s="192">
        <v>8.3000000000000004E-2</v>
      </c>
      <c r="L192" s="192"/>
      <c r="M192" s="231">
        <f>ROUND(I192/165.5*K192,2)</f>
        <v>0.08</v>
      </c>
      <c r="N192" s="231"/>
      <c r="O192" s="220"/>
    </row>
    <row r="193" spans="1:19" s="52" customFormat="1" ht="15.75" customHeight="1" x14ac:dyDescent="0.3">
      <c r="A193" s="154"/>
      <c r="B193" s="134"/>
      <c r="C193" s="193" t="s">
        <v>210</v>
      </c>
      <c r="D193" s="193"/>
      <c r="E193" s="193"/>
      <c r="F193" s="193"/>
      <c r="G193" s="193"/>
      <c r="H193" s="193"/>
      <c r="I193" s="192"/>
      <c r="J193" s="192"/>
      <c r="K193" s="192"/>
      <c r="L193" s="192"/>
      <c r="M193" s="231">
        <f>ROUND(I193/167*K193,2)</f>
        <v>0</v>
      </c>
      <c r="N193" s="231"/>
      <c r="O193" s="220"/>
    </row>
    <row r="194" spans="1:19" s="52" customFormat="1" ht="15.75" customHeight="1" x14ac:dyDescent="0.3">
      <c r="A194" s="143">
        <v>1145</v>
      </c>
      <c r="B194" s="146" t="s">
        <v>155</v>
      </c>
      <c r="C194" s="149" t="s">
        <v>191</v>
      </c>
      <c r="D194" s="150"/>
      <c r="E194" s="150"/>
      <c r="F194" s="150"/>
      <c r="G194" s="150"/>
      <c r="H194" s="151"/>
      <c r="I194" s="152" t="s">
        <v>109</v>
      </c>
      <c r="J194" s="153"/>
      <c r="K194" s="152" t="s">
        <v>61</v>
      </c>
      <c r="L194" s="155"/>
      <c r="M194" s="202">
        <f>SUM(M195:N197)</f>
        <v>0.36</v>
      </c>
      <c r="N194" s="202"/>
      <c r="O194" s="199"/>
    </row>
    <row r="195" spans="1:19" s="52" customFormat="1" ht="28.95" customHeight="1" x14ac:dyDescent="0.3">
      <c r="A195" s="144"/>
      <c r="B195" s="147"/>
      <c r="C195" s="136" t="s">
        <v>205</v>
      </c>
      <c r="D195" s="137"/>
      <c r="E195" s="137"/>
      <c r="F195" s="137"/>
      <c r="G195" s="137"/>
      <c r="H195" s="138"/>
      <c r="I195" s="139">
        <v>300</v>
      </c>
      <c r="J195" s="140"/>
      <c r="K195" s="139">
        <v>3.3000000000000002E-2</v>
      </c>
      <c r="L195" s="140"/>
      <c r="M195" s="141">
        <f>ROUND(I195/165.5*K195,2)</f>
        <v>0.06</v>
      </c>
      <c r="N195" s="142"/>
      <c r="O195" s="64"/>
    </row>
    <row r="196" spans="1:19" s="52" customFormat="1" ht="28.95" customHeight="1" x14ac:dyDescent="0.3">
      <c r="A196" s="144"/>
      <c r="B196" s="147"/>
      <c r="C196" s="136" t="s">
        <v>205</v>
      </c>
      <c r="D196" s="137"/>
      <c r="E196" s="137"/>
      <c r="F196" s="137"/>
      <c r="G196" s="137"/>
      <c r="H196" s="138"/>
      <c r="I196" s="139">
        <v>300</v>
      </c>
      <c r="J196" s="140"/>
      <c r="K196" s="139">
        <v>8.3000000000000004E-2</v>
      </c>
      <c r="L196" s="140"/>
      <c r="M196" s="141">
        <f>ROUND(I196/165.5*K196,2)</f>
        <v>0.15</v>
      </c>
      <c r="N196" s="142"/>
      <c r="O196" s="64"/>
    </row>
    <row r="197" spans="1:19" s="52" customFormat="1" ht="28.95" customHeight="1" x14ac:dyDescent="0.3">
      <c r="A197" s="145"/>
      <c r="B197" s="148"/>
      <c r="C197" s="136" t="s">
        <v>205</v>
      </c>
      <c r="D197" s="137"/>
      <c r="E197" s="137"/>
      <c r="F197" s="137"/>
      <c r="G197" s="137"/>
      <c r="H197" s="138"/>
      <c r="I197" s="139">
        <v>300</v>
      </c>
      <c r="J197" s="140"/>
      <c r="K197" s="139">
        <v>8.3000000000000004E-2</v>
      </c>
      <c r="L197" s="140"/>
      <c r="M197" s="141">
        <f>ROUND(I197/165.5*K197,2)</f>
        <v>0.15</v>
      </c>
      <c r="N197" s="142"/>
      <c r="O197" s="64"/>
    </row>
    <row r="198" spans="1:19" x14ac:dyDescent="0.3">
      <c r="A198" s="71">
        <v>1200</v>
      </c>
      <c r="B198" s="189" t="s">
        <v>106</v>
      </c>
      <c r="C198" s="189"/>
      <c r="D198" s="189"/>
      <c r="E198" s="189"/>
      <c r="F198" s="189"/>
      <c r="G198" s="189"/>
      <c r="H198" s="189"/>
      <c r="I198" s="189"/>
      <c r="J198" s="189"/>
      <c r="K198" s="189"/>
      <c r="L198" s="189"/>
      <c r="M198" s="224">
        <f>M199</f>
        <v>1.79</v>
      </c>
      <c r="N198" s="225"/>
      <c r="O198" s="48"/>
    </row>
    <row r="199" spans="1:19" x14ac:dyDescent="0.3">
      <c r="A199" s="78">
        <v>1210</v>
      </c>
      <c r="B199" s="134" t="s">
        <v>105</v>
      </c>
      <c r="C199" s="134"/>
      <c r="D199" s="134"/>
      <c r="E199" s="134"/>
      <c r="F199" s="134"/>
      <c r="G199" s="134"/>
      <c r="H199" s="134"/>
      <c r="I199" s="134"/>
      <c r="J199" s="134"/>
      <c r="K199" s="134"/>
      <c r="L199" s="134"/>
      <c r="M199" s="187">
        <f>ROUND(M176*0.2359,2)</f>
        <v>1.79</v>
      </c>
      <c r="N199" s="188"/>
      <c r="O199" s="48"/>
    </row>
    <row r="200" spans="1:19" x14ac:dyDescent="0.3">
      <c r="A200" s="70">
        <v>2000</v>
      </c>
      <c r="B200" s="189" t="s">
        <v>104</v>
      </c>
      <c r="C200" s="189"/>
      <c r="D200" s="189"/>
      <c r="E200" s="189"/>
      <c r="F200" s="189"/>
      <c r="G200" s="189"/>
      <c r="H200" s="189"/>
      <c r="I200" s="189"/>
      <c r="J200" s="189"/>
      <c r="K200" s="189"/>
      <c r="L200" s="189"/>
      <c r="M200" s="190">
        <f>M201+M212</f>
        <v>40.959999999999994</v>
      </c>
      <c r="N200" s="191"/>
      <c r="O200" s="48"/>
    </row>
    <row r="201" spans="1:19" x14ac:dyDescent="0.3">
      <c r="A201" s="71">
        <v>2200</v>
      </c>
      <c r="B201" s="189" t="s">
        <v>103</v>
      </c>
      <c r="C201" s="189"/>
      <c r="D201" s="189"/>
      <c r="E201" s="189"/>
      <c r="F201" s="189"/>
      <c r="G201" s="189"/>
      <c r="H201" s="189"/>
      <c r="I201" s="189"/>
      <c r="J201" s="189"/>
      <c r="K201" s="189"/>
      <c r="L201" s="189"/>
      <c r="M201" s="190">
        <f>SUM(M203:N211)</f>
        <v>40.769999999999996</v>
      </c>
      <c r="N201" s="191"/>
      <c r="O201" s="48"/>
    </row>
    <row r="202" spans="1:19" x14ac:dyDescent="0.3">
      <c r="A202" s="154">
        <v>2220</v>
      </c>
      <c r="B202" s="134" t="s">
        <v>102</v>
      </c>
      <c r="C202" s="158" t="s">
        <v>65</v>
      </c>
      <c r="D202" s="158"/>
      <c r="E202" s="158"/>
      <c r="F202" s="158"/>
      <c r="G202" s="158"/>
      <c r="H202" s="158"/>
      <c r="I202" s="156" t="s">
        <v>62</v>
      </c>
      <c r="J202" s="156"/>
      <c r="K202" s="156" t="s">
        <v>61</v>
      </c>
      <c r="L202" s="156"/>
      <c r="M202" s="198"/>
      <c r="N202" s="199"/>
      <c r="O202" s="48" t="s">
        <v>101</v>
      </c>
      <c r="P202" t="s">
        <v>100</v>
      </c>
    </row>
    <row r="203" spans="1:19" s="51" customFormat="1" x14ac:dyDescent="0.3">
      <c r="A203" s="154"/>
      <c r="B203" s="134"/>
      <c r="C203" s="134" t="s">
        <v>99</v>
      </c>
      <c r="D203" s="134"/>
      <c r="E203" s="134"/>
      <c r="F203" s="134"/>
      <c r="G203" s="134"/>
      <c r="H203" s="134"/>
      <c r="I203" s="135">
        <f>P203</f>
        <v>4.59</v>
      </c>
      <c r="J203" s="135"/>
      <c r="K203" s="135">
        <v>1</v>
      </c>
      <c r="L203" s="135"/>
      <c r="M203" s="228">
        <f t="shared" ref="M203:M211" si="8">I203*K203</f>
        <v>4.59</v>
      </c>
      <c r="N203" s="229"/>
      <c r="O203" s="85">
        <v>40170.910000000003</v>
      </c>
      <c r="P203" s="51">
        <f>ROUND(O203/365/24,2)</f>
        <v>4.59</v>
      </c>
    </row>
    <row r="204" spans="1:19" s="51" customFormat="1" ht="69" customHeight="1" x14ac:dyDescent="0.3">
      <c r="A204" s="154"/>
      <c r="B204" s="134"/>
      <c r="C204" s="134" t="s">
        <v>98</v>
      </c>
      <c r="D204" s="134"/>
      <c r="E204" s="134"/>
      <c r="F204" s="134"/>
      <c r="G204" s="134"/>
      <c r="H204" s="134"/>
      <c r="I204" s="135">
        <v>1.41</v>
      </c>
      <c r="J204" s="135"/>
      <c r="K204" s="135">
        <v>1</v>
      </c>
      <c r="L204" s="135"/>
      <c r="M204" s="228">
        <f t="shared" si="8"/>
        <v>1.41</v>
      </c>
      <c r="N204" s="229"/>
      <c r="O204" s="86"/>
    </row>
    <row r="205" spans="1:19" s="51" customFormat="1" ht="27.6" x14ac:dyDescent="0.3">
      <c r="A205" s="73">
        <v>2235</v>
      </c>
      <c r="B205" s="73" t="s">
        <v>96</v>
      </c>
      <c r="C205" s="134" t="s">
        <v>95</v>
      </c>
      <c r="D205" s="134"/>
      <c r="E205" s="134"/>
      <c r="F205" s="134"/>
      <c r="G205" s="134"/>
      <c r="H205" s="134"/>
      <c r="I205" s="135">
        <f>P205</f>
        <v>33.409999999999997</v>
      </c>
      <c r="J205" s="135"/>
      <c r="K205" s="135">
        <v>1</v>
      </c>
      <c r="L205" s="135"/>
      <c r="M205" s="228">
        <f t="shared" si="8"/>
        <v>33.409999999999997</v>
      </c>
      <c r="N205" s="229"/>
      <c r="O205" s="87">
        <v>292695.89</v>
      </c>
      <c r="P205" s="51">
        <f t="shared" ref="P205:P211" si="9">ROUND(O205/365/24,2)</f>
        <v>33.409999999999997</v>
      </c>
    </row>
    <row r="206" spans="1:19" ht="27.6" x14ac:dyDescent="0.3">
      <c r="A206" s="73">
        <v>2234</v>
      </c>
      <c r="B206" s="73" t="s">
        <v>94</v>
      </c>
      <c r="C206" s="134" t="s">
        <v>93</v>
      </c>
      <c r="D206" s="134"/>
      <c r="E206" s="134"/>
      <c r="F206" s="134"/>
      <c r="G206" s="134"/>
      <c r="H206" s="134"/>
      <c r="I206" s="135">
        <f>P206</f>
        <v>1</v>
      </c>
      <c r="J206" s="135"/>
      <c r="K206" s="135">
        <v>1</v>
      </c>
      <c r="L206" s="135"/>
      <c r="M206" s="228">
        <f t="shared" si="8"/>
        <v>1</v>
      </c>
      <c r="N206" s="229"/>
      <c r="O206" s="88">
        <v>8720</v>
      </c>
      <c r="P206">
        <f t="shared" si="9"/>
        <v>1</v>
      </c>
    </row>
    <row r="207" spans="1:19" ht="31.05" customHeight="1" x14ac:dyDescent="0.3">
      <c r="A207" s="73">
        <v>2247</v>
      </c>
      <c r="B207" s="73" t="s">
        <v>92</v>
      </c>
      <c r="C207" s="134" t="s">
        <v>91</v>
      </c>
      <c r="D207" s="134"/>
      <c r="E207" s="134"/>
      <c r="F207" s="134"/>
      <c r="G207" s="134"/>
      <c r="H207" s="134"/>
      <c r="I207" s="135">
        <f>P207</f>
        <v>0.33</v>
      </c>
      <c r="J207" s="135"/>
      <c r="K207" s="135">
        <v>1</v>
      </c>
      <c r="L207" s="135"/>
      <c r="M207" s="228">
        <f t="shared" si="8"/>
        <v>0.33</v>
      </c>
      <c r="N207" s="229"/>
      <c r="O207" s="84">
        <v>2920</v>
      </c>
      <c r="P207">
        <f t="shared" si="9"/>
        <v>0.33</v>
      </c>
      <c r="R207">
        <v>2920</v>
      </c>
      <c r="S207" t="s">
        <v>90</v>
      </c>
    </row>
    <row r="208" spans="1:19" ht="78.599999999999994" customHeight="1" x14ac:dyDescent="0.3">
      <c r="A208" s="242">
        <v>2239</v>
      </c>
      <c r="B208" s="203" t="s">
        <v>89</v>
      </c>
      <c r="C208" s="193" t="s">
        <v>181</v>
      </c>
      <c r="D208" s="193"/>
      <c r="E208" s="193"/>
      <c r="F208" s="193"/>
      <c r="G208" s="193"/>
      <c r="H208" s="193"/>
      <c r="I208" s="135"/>
      <c r="J208" s="135"/>
      <c r="K208" s="135"/>
      <c r="L208" s="135"/>
      <c r="M208" s="228">
        <f t="shared" si="8"/>
        <v>0</v>
      </c>
      <c r="N208" s="229"/>
      <c r="O208">
        <v>286.29000000000002</v>
      </c>
      <c r="P208">
        <f t="shared" si="9"/>
        <v>0.03</v>
      </c>
    </row>
    <row r="209" spans="1:16" x14ac:dyDescent="0.3">
      <c r="A209" s="242"/>
      <c r="B209" s="203"/>
      <c r="C209" s="134" t="s">
        <v>178</v>
      </c>
      <c r="D209" s="134"/>
      <c r="E209" s="134"/>
      <c r="F209" s="134"/>
      <c r="G209" s="134"/>
      <c r="H209" s="134"/>
      <c r="I209" s="135"/>
      <c r="J209" s="135"/>
      <c r="K209" s="135"/>
      <c r="L209" s="135"/>
      <c r="M209" s="228">
        <f t="shared" si="8"/>
        <v>0</v>
      </c>
      <c r="N209" s="229"/>
      <c r="O209">
        <v>369.2</v>
      </c>
      <c r="P209">
        <f t="shared" si="9"/>
        <v>0.04</v>
      </c>
    </row>
    <row r="210" spans="1:16" ht="18.600000000000001" customHeight="1" x14ac:dyDescent="0.3">
      <c r="A210" s="242"/>
      <c r="B210" s="203"/>
      <c r="C210" s="134" t="s">
        <v>88</v>
      </c>
      <c r="D210" s="134"/>
      <c r="E210" s="134"/>
      <c r="F210" s="134"/>
      <c r="G210" s="134"/>
      <c r="H210" s="134"/>
      <c r="I210" s="135">
        <f>P210</f>
        <v>0.01</v>
      </c>
      <c r="J210" s="135"/>
      <c r="K210" s="135">
        <v>1</v>
      </c>
      <c r="L210" s="135"/>
      <c r="M210" s="228">
        <f t="shared" si="8"/>
        <v>0.01</v>
      </c>
      <c r="N210" s="229"/>
      <c r="O210">
        <v>130</v>
      </c>
      <c r="P210">
        <f t="shared" si="9"/>
        <v>0.01</v>
      </c>
    </row>
    <row r="211" spans="1:16" x14ac:dyDescent="0.3">
      <c r="A211" s="242"/>
      <c r="B211" s="203"/>
      <c r="C211" s="134" t="s">
        <v>87</v>
      </c>
      <c r="D211" s="134"/>
      <c r="E211" s="134"/>
      <c r="F211" s="134"/>
      <c r="G211" s="134"/>
      <c r="H211" s="134"/>
      <c r="I211" s="135">
        <f>P211</f>
        <v>0.02</v>
      </c>
      <c r="J211" s="135"/>
      <c r="K211" s="135">
        <v>1</v>
      </c>
      <c r="L211" s="135"/>
      <c r="M211" s="228">
        <f t="shared" si="8"/>
        <v>0.02</v>
      </c>
      <c r="N211" s="229"/>
      <c r="O211">
        <f>239.47*1.21/2</f>
        <v>144.87934999999999</v>
      </c>
      <c r="P211">
        <f t="shared" si="9"/>
        <v>0.02</v>
      </c>
    </row>
    <row r="212" spans="1:16" x14ac:dyDescent="0.3">
      <c r="A212" s="71">
        <v>2300</v>
      </c>
      <c r="B212" s="189" t="s">
        <v>86</v>
      </c>
      <c r="C212" s="189"/>
      <c r="D212" s="189"/>
      <c r="E212" s="189"/>
      <c r="F212" s="189"/>
      <c r="G212" s="189"/>
      <c r="H212" s="189"/>
      <c r="I212" s="189"/>
      <c r="J212" s="189"/>
      <c r="K212" s="189"/>
      <c r="L212" s="189"/>
      <c r="M212" s="224">
        <f>SUM(M214:N230)</f>
        <v>0.19000000000000003</v>
      </c>
      <c r="N212" s="225"/>
      <c r="O212" s="48"/>
    </row>
    <row r="213" spans="1:16" s="25" customFormat="1" ht="27.6" x14ac:dyDescent="0.3">
      <c r="A213" s="154">
        <v>2364</v>
      </c>
      <c r="B213" s="134" t="s">
        <v>85</v>
      </c>
      <c r="C213" s="158" t="s">
        <v>65</v>
      </c>
      <c r="D213" s="158"/>
      <c r="E213" s="158"/>
      <c r="F213" s="158"/>
      <c r="G213" s="158"/>
      <c r="H213" s="79" t="s">
        <v>84</v>
      </c>
      <c r="I213" s="158" t="s">
        <v>62</v>
      </c>
      <c r="J213" s="158"/>
      <c r="K213" s="156" t="s">
        <v>61</v>
      </c>
      <c r="L213" s="156"/>
      <c r="M213" s="198"/>
      <c r="N213" s="199"/>
      <c r="O213" s="50"/>
    </row>
    <row r="214" spans="1:16" s="25" customFormat="1" x14ac:dyDescent="0.3">
      <c r="A214" s="154"/>
      <c r="B214" s="134"/>
      <c r="C214" s="157" t="s">
        <v>83</v>
      </c>
      <c r="D214" s="157"/>
      <c r="E214" s="157"/>
      <c r="F214" s="157"/>
      <c r="G214" s="157"/>
      <c r="H214" s="82">
        <v>1</v>
      </c>
      <c r="I214" s="135">
        <v>50.07</v>
      </c>
      <c r="J214" s="135"/>
      <c r="K214" s="135">
        <v>1</v>
      </c>
      <c r="L214" s="135"/>
      <c r="M214" s="187">
        <f>ROUND(I214/H214/365/24*3,2)</f>
        <v>0.02</v>
      </c>
      <c r="N214" s="188"/>
      <c r="O214" s="50"/>
    </row>
    <row r="215" spans="1:16" s="25" customFormat="1" x14ac:dyDescent="0.3">
      <c r="A215" s="154"/>
      <c r="B215" s="134"/>
      <c r="C215" s="157" t="s">
        <v>82</v>
      </c>
      <c r="D215" s="157"/>
      <c r="E215" s="157"/>
      <c r="F215" s="157"/>
      <c r="G215" s="157"/>
      <c r="H215" s="82">
        <v>1</v>
      </c>
      <c r="I215" s="135">
        <v>20.239999999999998</v>
      </c>
      <c r="J215" s="135"/>
      <c r="K215" s="135">
        <v>1</v>
      </c>
      <c r="L215" s="135"/>
      <c r="M215" s="187">
        <f>ROUND(I215/H215/365/24*3,2)</f>
        <v>0.01</v>
      </c>
      <c r="N215" s="188"/>
      <c r="O215" s="50"/>
    </row>
    <row r="216" spans="1:16" s="25" customFormat="1" x14ac:dyDescent="0.3">
      <c r="A216" s="154"/>
      <c r="B216" s="134"/>
      <c r="C216" s="157" t="s">
        <v>81</v>
      </c>
      <c r="D216" s="157"/>
      <c r="E216" s="157"/>
      <c r="F216" s="157"/>
      <c r="G216" s="157"/>
      <c r="H216" s="82">
        <v>1</v>
      </c>
      <c r="I216" s="135">
        <v>17.260000000000002</v>
      </c>
      <c r="J216" s="135"/>
      <c r="K216" s="135">
        <v>1</v>
      </c>
      <c r="L216" s="135"/>
      <c r="M216" s="187">
        <f>ROUND(I216/H216/365/24*3,2)</f>
        <v>0.01</v>
      </c>
      <c r="N216" s="188"/>
      <c r="O216" s="50"/>
    </row>
    <row r="217" spans="1:16" s="25" customFormat="1" x14ac:dyDescent="0.3">
      <c r="A217" s="154"/>
      <c r="B217" s="134"/>
      <c r="C217" s="157" t="s">
        <v>80</v>
      </c>
      <c r="D217" s="157"/>
      <c r="E217" s="157"/>
      <c r="F217" s="157"/>
      <c r="G217" s="157"/>
      <c r="H217" s="82">
        <v>2</v>
      </c>
      <c r="I217" s="135">
        <f>39.77+39.77</f>
        <v>79.540000000000006</v>
      </c>
      <c r="J217" s="135"/>
      <c r="K217" s="135">
        <v>1</v>
      </c>
      <c r="L217" s="135"/>
      <c r="M217" s="187">
        <f>ROUND(I217/H217/365/24*3,2)</f>
        <v>0.01</v>
      </c>
      <c r="N217" s="188"/>
      <c r="O217" s="50"/>
    </row>
    <row r="218" spans="1:16" s="25" customFormat="1" x14ac:dyDescent="0.3">
      <c r="A218" s="154"/>
      <c r="B218" s="134"/>
      <c r="C218" s="157" t="s">
        <v>79</v>
      </c>
      <c r="D218" s="157"/>
      <c r="E218" s="157"/>
      <c r="F218" s="157"/>
      <c r="G218" s="157"/>
      <c r="H218" s="82">
        <v>4</v>
      </c>
      <c r="I218" s="135">
        <v>93.75</v>
      </c>
      <c r="J218" s="135"/>
      <c r="K218" s="135">
        <v>1</v>
      </c>
      <c r="L218" s="135"/>
      <c r="M218" s="187">
        <f>ROUND(I218/H218/365/24*3,2)</f>
        <v>0.01</v>
      </c>
      <c r="N218" s="188"/>
      <c r="O218" s="50"/>
    </row>
    <row r="219" spans="1:16" s="25" customFormat="1" x14ac:dyDescent="0.3">
      <c r="A219" s="154"/>
      <c r="B219" s="134"/>
      <c r="C219" s="157" t="s">
        <v>78</v>
      </c>
      <c r="D219" s="157"/>
      <c r="E219" s="157"/>
      <c r="F219" s="157"/>
      <c r="G219" s="157"/>
      <c r="H219" s="82">
        <v>2</v>
      </c>
      <c r="I219" s="135">
        <v>111</v>
      </c>
      <c r="J219" s="135"/>
      <c r="K219" s="135">
        <v>1</v>
      </c>
      <c r="L219" s="135"/>
      <c r="M219" s="187">
        <f>ROUND(I219/H219/365/24*2*3,2)</f>
        <v>0.04</v>
      </c>
      <c r="N219" s="188"/>
      <c r="O219" s="50"/>
    </row>
    <row r="220" spans="1:16" s="25" customFormat="1" x14ac:dyDescent="0.3">
      <c r="A220" s="154"/>
      <c r="B220" s="134"/>
      <c r="C220" s="157" t="s">
        <v>77</v>
      </c>
      <c r="D220" s="157"/>
      <c r="E220" s="157"/>
      <c r="F220" s="157"/>
      <c r="G220" s="157"/>
      <c r="H220" s="82">
        <v>5</v>
      </c>
      <c r="I220" s="135">
        <v>28.31</v>
      </c>
      <c r="J220" s="135"/>
      <c r="K220" s="135">
        <v>1</v>
      </c>
      <c r="L220" s="135"/>
      <c r="M220" s="187">
        <f>ROUND(I220/H220/365/24*2*3,2)</f>
        <v>0</v>
      </c>
      <c r="N220" s="188"/>
      <c r="O220" s="50"/>
    </row>
    <row r="221" spans="1:16" s="25" customFormat="1" x14ac:dyDescent="0.3">
      <c r="A221" s="154"/>
      <c r="B221" s="134"/>
      <c r="C221" s="157" t="s">
        <v>76</v>
      </c>
      <c r="D221" s="157"/>
      <c r="E221" s="157"/>
      <c r="F221" s="157"/>
      <c r="G221" s="157"/>
      <c r="H221" s="82">
        <v>3</v>
      </c>
      <c r="I221" s="135">
        <v>42</v>
      </c>
      <c r="J221" s="135"/>
      <c r="K221" s="135">
        <v>1</v>
      </c>
      <c r="L221" s="135"/>
      <c r="M221" s="187">
        <f>ROUND(I221/H221/365/24*3,2)</f>
        <v>0</v>
      </c>
      <c r="N221" s="188"/>
      <c r="O221" s="50"/>
    </row>
    <row r="222" spans="1:16" s="25" customFormat="1" x14ac:dyDescent="0.3">
      <c r="A222" s="154"/>
      <c r="B222" s="134"/>
      <c r="C222" s="157" t="s">
        <v>75</v>
      </c>
      <c r="D222" s="157"/>
      <c r="E222" s="157"/>
      <c r="F222" s="157"/>
      <c r="G222" s="157"/>
      <c r="H222" s="82">
        <v>4</v>
      </c>
      <c r="I222" s="135">
        <v>68.25</v>
      </c>
      <c r="J222" s="135"/>
      <c r="K222" s="135">
        <v>1</v>
      </c>
      <c r="L222" s="135"/>
      <c r="M222" s="187">
        <f>ROUND(I222/H222/365/24*3,2)</f>
        <v>0.01</v>
      </c>
      <c r="N222" s="188"/>
      <c r="O222" s="50"/>
    </row>
    <row r="223" spans="1:16" s="25" customFormat="1" x14ac:dyDescent="0.3">
      <c r="A223" s="154"/>
      <c r="B223" s="134"/>
      <c r="C223" s="157" t="s">
        <v>74</v>
      </c>
      <c r="D223" s="157"/>
      <c r="E223" s="157"/>
      <c r="F223" s="157"/>
      <c r="G223" s="157"/>
      <c r="H223" s="82">
        <v>4</v>
      </c>
      <c r="I223" s="135">
        <v>23.24</v>
      </c>
      <c r="J223" s="135"/>
      <c r="K223" s="135">
        <v>1</v>
      </c>
      <c r="L223" s="135"/>
      <c r="M223" s="187">
        <f>ROUND(I223/H223/365/24*3,2)</f>
        <v>0</v>
      </c>
      <c r="N223" s="188"/>
      <c r="O223" s="50"/>
    </row>
    <row r="224" spans="1:16" s="25" customFormat="1" x14ac:dyDescent="0.3">
      <c r="A224" s="154"/>
      <c r="B224" s="134"/>
      <c r="C224" s="157" t="s">
        <v>73</v>
      </c>
      <c r="D224" s="157"/>
      <c r="E224" s="157"/>
      <c r="F224" s="157"/>
      <c r="G224" s="157"/>
      <c r="H224" s="82">
        <v>4</v>
      </c>
      <c r="I224" s="135">
        <v>246</v>
      </c>
      <c r="J224" s="135"/>
      <c r="K224" s="135">
        <v>1</v>
      </c>
      <c r="L224" s="135"/>
      <c r="M224" s="187">
        <f>ROUND(I224/H224/365/24*3,2)</f>
        <v>0.02</v>
      </c>
      <c r="N224" s="188"/>
      <c r="O224" s="50"/>
    </row>
    <row r="225" spans="1:15" s="25" customFormat="1" x14ac:dyDescent="0.3">
      <c r="A225" s="154"/>
      <c r="B225" s="134"/>
      <c r="C225" s="157" t="s">
        <v>72</v>
      </c>
      <c r="D225" s="157"/>
      <c r="E225" s="157"/>
      <c r="F225" s="157"/>
      <c r="G225" s="157"/>
      <c r="H225" s="82">
        <v>1</v>
      </c>
      <c r="I225" s="135">
        <v>43.5</v>
      </c>
      <c r="J225" s="135"/>
      <c r="K225" s="135">
        <v>1</v>
      </c>
      <c r="L225" s="135"/>
      <c r="M225" s="187">
        <f t="shared" ref="M225:M227" si="10">ROUND(I225/H225/365/24*3,2)</f>
        <v>0.01</v>
      </c>
      <c r="N225" s="188"/>
      <c r="O225" s="50"/>
    </row>
    <row r="226" spans="1:15" s="25" customFormat="1" x14ac:dyDescent="0.3">
      <c r="A226" s="154"/>
      <c r="B226" s="134"/>
      <c r="C226" s="157" t="s">
        <v>71</v>
      </c>
      <c r="D226" s="157"/>
      <c r="E226" s="157"/>
      <c r="F226" s="157"/>
      <c r="G226" s="157"/>
      <c r="H226" s="82">
        <v>2</v>
      </c>
      <c r="I226" s="135">
        <v>111</v>
      </c>
      <c r="J226" s="135"/>
      <c r="K226" s="135">
        <v>1</v>
      </c>
      <c r="L226" s="135"/>
      <c r="M226" s="187">
        <f t="shared" si="10"/>
        <v>0.02</v>
      </c>
      <c r="N226" s="188"/>
      <c r="O226" s="50"/>
    </row>
    <row r="227" spans="1:15" s="25" customFormat="1" x14ac:dyDescent="0.3">
      <c r="A227" s="154"/>
      <c r="B227" s="134"/>
      <c r="C227" s="157" t="s">
        <v>70</v>
      </c>
      <c r="D227" s="157"/>
      <c r="E227" s="157"/>
      <c r="F227" s="157"/>
      <c r="G227" s="157"/>
      <c r="H227" s="82">
        <v>4</v>
      </c>
      <c r="I227" s="135">
        <v>141.75</v>
      </c>
      <c r="J227" s="135"/>
      <c r="K227" s="135">
        <v>1</v>
      </c>
      <c r="L227" s="135"/>
      <c r="M227" s="187">
        <f t="shared" si="10"/>
        <v>0.01</v>
      </c>
      <c r="N227" s="188"/>
      <c r="O227" s="50"/>
    </row>
    <row r="228" spans="1:15" s="25" customFormat="1" x14ac:dyDescent="0.3">
      <c r="A228" s="154"/>
      <c r="B228" s="134"/>
      <c r="C228" s="157" t="s">
        <v>69</v>
      </c>
      <c r="D228" s="157"/>
      <c r="E228" s="157"/>
      <c r="F228" s="157"/>
      <c r="G228" s="157"/>
      <c r="H228" s="82">
        <v>1</v>
      </c>
      <c r="I228" s="135">
        <v>16.489999999999998</v>
      </c>
      <c r="J228" s="135"/>
      <c r="K228" s="135">
        <v>1</v>
      </c>
      <c r="L228" s="135"/>
      <c r="M228" s="187">
        <f>ROUND(I228/H228/365/24*3,2)</f>
        <v>0.01</v>
      </c>
      <c r="N228" s="188"/>
      <c r="O228" s="50"/>
    </row>
    <row r="229" spans="1:15" s="25" customFormat="1" x14ac:dyDescent="0.3">
      <c r="A229" s="154"/>
      <c r="B229" s="134"/>
      <c r="C229" s="157" t="s">
        <v>68</v>
      </c>
      <c r="D229" s="157"/>
      <c r="E229" s="157"/>
      <c r="F229" s="157"/>
      <c r="G229" s="157"/>
      <c r="H229" s="82">
        <v>4</v>
      </c>
      <c r="I229" s="135">
        <v>23.25</v>
      </c>
      <c r="J229" s="135"/>
      <c r="K229" s="135">
        <v>1</v>
      </c>
      <c r="L229" s="135"/>
      <c r="M229" s="187">
        <f>ROUND(I229/H229/365/24*3,2)</f>
        <v>0</v>
      </c>
      <c r="N229" s="188"/>
      <c r="O229" s="50"/>
    </row>
    <row r="230" spans="1:15" s="25" customFormat="1" ht="14.55" customHeight="1" x14ac:dyDescent="0.3">
      <c r="A230" s="154"/>
      <c r="B230" s="134"/>
      <c r="C230" s="157" t="s">
        <v>67</v>
      </c>
      <c r="D230" s="157"/>
      <c r="E230" s="157"/>
      <c r="F230" s="157"/>
      <c r="G230" s="157"/>
      <c r="H230" s="82">
        <v>3</v>
      </c>
      <c r="I230" s="135">
        <v>63.75</v>
      </c>
      <c r="J230" s="135"/>
      <c r="K230" s="135">
        <v>1</v>
      </c>
      <c r="L230" s="135"/>
      <c r="M230" s="187">
        <f>ROUND(I230/H230/365/24*2*3,2)</f>
        <v>0.01</v>
      </c>
      <c r="N230" s="188"/>
      <c r="O230" s="50"/>
    </row>
    <row r="231" spans="1:15" x14ac:dyDescent="0.3">
      <c r="A231" s="70">
        <v>5000</v>
      </c>
      <c r="B231" s="189" t="s">
        <v>66</v>
      </c>
      <c r="C231" s="189"/>
      <c r="D231" s="189"/>
      <c r="E231" s="189"/>
      <c r="F231" s="189"/>
      <c r="G231" s="189"/>
      <c r="H231" s="189"/>
      <c r="I231" s="189"/>
      <c r="J231" s="189"/>
      <c r="K231" s="189"/>
      <c r="L231" s="189"/>
      <c r="M231" s="190">
        <f>M232</f>
        <v>0</v>
      </c>
      <c r="N231" s="191"/>
      <c r="O231" s="49"/>
    </row>
    <row r="232" spans="1:15" ht="15" customHeight="1" x14ac:dyDescent="0.3">
      <c r="A232" s="73"/>
      <c r="B232" s="73"/>
      <c r="C232" s="158" t="s">
        <v>65</v>
      </c>
      <c r="D232" s="158"/>
      <c r="E232" s="156" t="s">
        <v>64</v>
      </c>
      <c r="F232" s="156"/>
      <c r="G232" s="156" t="s">
        <v>63</v>
      </c>
      <c r="H232" s="156"/>
      <c r="I232" s="158" t="s">
        <v>62</v>
      </c>
      <c r="J232" s="158"/>
      <c r="K232" s="156" t="s">
        <v>61</v>
      </c>
      <c r="L232" s="156"/>
      <c r="M232" s="198">
        <f>M233</f>
        <v>0</v>
      </c>
      <c r="N232" s="199"/>
    </row>
    <row r="233" spans="1:15" ht="23.1" customHeight="1" x14ac:dyDescent="0.3">
      <c r="A233" s="73"/>
      <c r="B233" s="73"/>
      <c r="C233" s="134"/>
      <c r="D233" s="134"/>
      <c r="E233" s="154"/>
      <c r="F233" s="154"/>
      <c r="G233" s="154"/>
      <c r="H233" s="154"/>
      <c r="I233" s="227"/>
      <c r="J233" s="227"/>
      <c r="K233" s="154">
        <v>1</v>
      </c>
      <c r="L233" s="154"/>
      <c r="M233" s="206">
        <f>ROUND(I233*E233/100/12/167*K233,2)</f>
        <v>0</v>
      </c>
      <c r="N233" s="207"/>
      <c r="O233" s="84">
        <v>6628.38</v>
      </c>
    </row>
    <row r="234" spans="1:15" x14ac:dyDescent="0.3">
      <c r="A234" s="180" t="s">
        <v>60</v>
      </c>
      <c r="B234" s="181"/>
      <c r="C234" s="181"/>
      <c r="D234" s="181"/>
      <c r="E234" s="181"/>
      <c r="F234" s="181"/>
      <c r="G234" s="181"/>
      <c r="H234" s="181"/>
      <c r="I234" s="181"/>
      <c r="J234" s="181"/>
      <c r="K234" s="181"/>
      <c r="L234" s="182"/>
      <c r="M234" s="204">
        <f>M175+M200+M231</f>
        <v>50.319999999999993</v>
      </c>
      <c r="N234" s="205"/>
      <c r="O234" s="48"/>
    </row>
    <row r="235" spans="1:15" x14ac:dyDescent="0.3">
      <c r="A235" s="246" t="s">
        <v>59</v>
      </c>
      <c r="B235" s="246"/>
      <c r="C235" s="246"/>
      <c r="D235" s="246"/>
      <c r="E235" s="246"/>
      <c r="F235" s="246"/>
      <c r="G235" s="246"/>
      <c r="H235" s="246"/>
      <c r="I235" s="246"/>
      <c r="J235" s="246"/>
      <c r="K235" s="246"/>
      <c r="L235" s="246"/>
      <c r="M235" s="222">
        <f>M234+M172</f>
        <v>564.6400000000001</v>
      </c>
      <c r="N235" s="223"/>
      <c r="O235" s="48"/>
    </row>
    <row r="236" spans="1:15" x14ac:dyDescent="0.3">
      <c r="A236" s="196" t="s">
        <v>58</v>
      </c>
      <c r="B236" s="196"/>
      <c r="C236" s="196"/>
      <c r="D236" s="196"/>
      <c r="E236" s="196"/>
      <c r="F236" s="196"/>
      <c r="G236" s="196"/>
      <c r="H236" s="196"/>
      <c r="I236" s="196"/>
      <c r="J236" s="196"/>
      <c r="K236" s="196"/>
      <c r="L236" s="196"/>
      <c r="M236" s="160">
        <f>ROUND(M235*0.21,2)</f>
        <v>118.57</v>
      </c>
      <c r="N236" s="162"/>
      <c r="O236" s="48"/>
    </row>
    <row r="237" spans="1:15" x14ac:dyDescent="0.3">
      <c r="A237" s="163" t="s">
        <v>57</v>
      </c>
      <c r="B237" s="164"/>
      <c r="C237" s="164"/>
      <c r="D237" s="164"/>
      <c r="E237" s="164"/>
      <c r="F237" s="164"/>
      <c r="G237" s="164"/>
      <c r="H237" s="164"/>
      <c r="I237" s="164"/>
      <c r="J237" s="164"/>
      <c r="K237" s="164"/>
      <c r="L237" s="165"/>
      <c r="M237" s="208">
        <f>M235+M236</f>
        <v>683.21</v>
      </c>
      <c r="N237" s="209"/>
      <c r="O237" s="48"/>
    </row>
    <row r="238" spans="1:15" x14ac:dyDescent="0.3">
      <c r="A238" s="51"/>
      <c r="B238" s="51"/>
      <c r="C238" s="51"/>
      <c r="D238" s="51"/>
      <c r="E238" s="51"/>
      <c r="F238" s="51"/>
      <c r="G238" s="51"/>
      <c r="H238" s="51"/>
      <c r="I238" s="51"/>
      <c r="J238" s="51"/>
      <c r="K238" s="51"/>
      <c r="L238" s="51"/>
      <c r="M238" s="51"/>
      <c r="N238" s="51"/>
    </row>
    <row r="239" spans="1:15" ht="15.6" x14ac:dyDescent="0.3">
      <c r="A239" s="58" t="s">
        <v>170</v>
      </c>
      <c r="B239" s="51"/>
      <c r="C239" s="51"/>
      <c r="D239" s="51"/>
      <c r="E239" s="51"/>
      <c r="F239" s="51"/>
      <c r="G239" s="51"/>
      <c r="H239" s="51"/>
      <c r="I239" s="51"/>
      <c r="J239" s="51"/>
      <c r="K239" s="51"/>
      <c r="L239" s="51"/>
      <c r="M239" s="51"/>
      <c r="N239" s="51"/>
    </row>
    <row r="240" spans="1:15" ht="15.6" x14ac:dyDescent="0.3">
      <c r="A240" s="55"/>
      <c r="B240" s="51"/>
      <c r="C240" s="51"/>
      <c r="D240" s="51"/>
      <c r="E240" s="51"/>
      <c r="F240" s="51"/>
      <c r="G240" s="51"/>
      <c r="H240" s="51"/>
      <c r="I240" s="51"/>
      <c r="J240" s="51"/>
      <c r="K240" s="51"/>
      <c r="L240" s="51"/>
      <c r="M240" s="51"/>
      <c r="N240" s="51"/>
    </row>
    <row r="241" spans="1:15" x14ac:dyDescent="0.3">
      <c r="A241" s="57" t="s">
        <v>166</v>
      </c>
      <c r="B241" s="56"/>
      <c r="C241" s="51"/>
      <c r="D241" s="51"/>
      <c r="E241" s="51"/>
      <c r="F241" s="51"/>
      <c r="G241" s="51"/>
      <c r="H241" s="51"/>
      <c r="I241" s="51"/>
      <c r="J241" s="51"/>
      <c r="K241" s="51"/>
      <c r="L241" s="51"/>
      <c r="M241" s="51"/>
      <c r="N241" s="51"/>
    </row>
    <row r="242" spans="1:15" ht="15.6" x14ac:dyDescent="0.3">
      <c r="A242" s="55"/>
      <c r="B242" s="51"/>
      <c r="C242" s="51"/>
      <c r="D242" s="51"/>
      <c r="E242" s="51"/>
      <c r="F242" s="51"/>
      <c r="G242" s="51"/>
      <c r="H242" s="51"/>
      <c r="I242" s="51"/>
      <c r="J242" s="51"/>
      <c r="K242" s="51"/>
      <c r="L242" s="51"/>
      <c r="M242" s="51"/>
      <c r="N242" s="51"/>
    </row>
    <row r="243" spans="1:15" x14ac:dyDescent="0.3">
      <c r="A243" s="67" t="s">
        <v>165</v>
      </c>
      <c r="B243" s="200" t="s">
        <v>164</v>
      </c>
      <c r="C243" s="201" t="s">
        <v>163</v>
      </c>
      <c r="D243" s="201"/>
      <c r="E243" s="201"/>
      <c r="F243" s="201"/>
      <c r="G243" s="201"/>
      <c r="H243" s="201"/>
      <c r="I243" s="201"/>
      <c r="J243" s="201"/>
      <c r="K243" s="201"/>
      <c r="L243" s="201"/>
      <c r="M243" s="201"/>
      <c r="N243" s="201"/>
    </row>
    <row r="244" spans="1:15" x14ac:dyDescent="0.3">
      <c r="A244" s="67" t="s">
        <v>162</v>
      </c>
      <c r="B244" s="200"/>
      <c r="C244" s="201"/>
      <c r="D244" s="201"/>
      <c r="E244" s="201"/>
      <c r="F244" s="201"/>
      <c r="G244" s="201"/>
      <c r="H244" s="201"/>
      <c r="I244" s="201"/>
      <c r="J244" s="201"/>
      <c r="K244" s="201"/>
      <c r="L244" s="201"/>
      <c r="M244" s="201"/>
      <c r="N244" s="201"/>
    </row>
    <row r="245" spans="1:15" x14ac:dyDescent="0.3">
      <c r="A245" s="68">
        <v>1</v>
      </c>
      <c r="B245" s="68">
        <v>2</v>
      </c>
      <c r="C245" s="219">
        <v>3</v>
      </c>
      <c r="D245" s="219"/>
      <c r="E245" s="219"/>
      <c r="F245" s="219"/>
      <c r="G245" s="219"/>
      <c r="H245" s="219"/>
      <c r="I245" s="219"/>
      <c r="J245" s="219"/>
      <c r="K245" s="219"/>
      <c r="L245" s="219"/>
      <c r="M245" s="219"/>
      <c r="N245" s="219"/>
    </row>
    <row r="246" spans="1:15" ht="14.55" customHeight="1" x14ac:dyDescent="0.3">
      <c r="A246" s="171" t="s">
        <v>1</v>
      </c>
      <c r="B246" s="172"/>
      <c r="C246" s="172"/>
      <c r="D246" s="172"/>
      <c r="E246" s="172"/>
      <c r="F246" s="172"/>
      <c r="G246" s="172"/>
      <c r="H246" s="172"/>
      <c r="I246" s="172"/>
      <c r="J246" s="172"/>
      <c r="K246" s="172"/>
      <c r="L246" s="172"/>
      <c r="M246" s="172"/>
      <c r="N246" s="173"/>
    </row>
    <row r="247" spans="1:15" x14ac:dyDescent="0.3">
      <c r="A247" s="70">
        <v>1000</v>
      </c>
      <c r="B247" s="189" t="s">
        <v>161</v>
      </c>
      <c r="C247" s="189"/>
      <c r="D247" s="189"/>
      <c r="E247" s="189"/>
      <c r="F247" s="189"/>
      <c r="G247" s="189"/>
      <c r="H247" s="189"/>
      <c r="I247" s="189"/>
      <c r="J247" s="189"/>
      <c r="K247" s="189"/>
      <c r="L247" s="189"/>
      <c r="M247" s="190">
        <f>M248+M259</f>
        <v>80.77</v>
      </c>
      <c r="N247" s="191"/>
    </row>
    <row r="248" spans="1:15" x14ac:dyDescent="0.3">
      <c r="A248" s="71">
        <v>1100</v>
      </c>
      <c r="B248" s="189" t="s">
        <v>121</v>
      </c>
      <c r="C248" s="189"/>
      <c r="D248" s="189"/>
      <c r="E248" s="189"/>
      <c r="F248" s="189"/>
      <c r="G248" s="189"/>
      <c r="H248" s="189"/>
      <c r="I248" s="189"/>
      <c r="J248" s="189"/>
      <c r="K248" s="189"/>
      <c r="L248" s="189"/>
      <c r="M248" s="190">
        <f>ROUND(M249+M252,2)</f>
        <v>65.349999999999994</v>
      </c>
      <c r="N248" s="191"/>
    </row>
    <row r="249" spans="1:15" ht="15" hidden="1" customHeight="1" x14ac:dyDescent="0.3">
      <c r="A249" s="72"/>
      <c r="B249" s="73"/>
      <c r="C249" s="158" t="s">
        <v>115</v>
      </c>
      <c r="D249" s="158"/>
      <c r="E249" s="158"/>
      <c r="F249" s="158"/>
      <c r="G249" s="158"/>
      <c r="H249" s="158"/>
      <c r="I249" s="156" t="s">
        <v>114</v>
      </c>
      <c r="J249" s="156"/>
      <c r="K249" s="156" t="s">
        <v>61</v>
      </c>
      <c r="L249" s="156"/>
      <c r="M249" s="198">
        <f>M250+M251</f>
        <v>0</v>
      </c>
      <c r="N249" s="199"/>
    </row>
    <row r="250" spans="1:15" s="52" customFormat="1" ht="45.6" hidden="1" customHeight="1" x14ac:dyDescent="0.3">
      <c r="A250" s="74" t="s">
        <v>159</v>
      </c>
      <c r="B250" s="75" t="s">
        <v>120</v>
      </c>
      <c r="C250" s="213" t="s">
        <v>169</v>
      </c>
      <c r="D250" s="213"/>
      <c r="E250" s="213"/>
      <c r="F250" s="213"/>
      <c r="G250" s="213"/>
      <c r="H250" s="213"/>
      <c r="I250" s="214"/>
      <c r="J250" s="214"/>
      <c r="K250" s="210">
        <v>1</v>
      </c>
      <c r="L250" s="210"/>
      <c r="M250" s="211">
        <f>ROUND(I250/166.92*K250,2)</f>
        <v>0</v>
      </c>
      <c r="N250" s="212"/>
      <c r="O250" s="63"/>
    </row>
    <row r="251" spans="1:15" s="52" customFormat="1" ht="47.1" hidden="1" customHeight="1" x14ac:dyDescent="0.3">
      <c r="A251" s="74" t="s">
        <v>159</v>
      </c>
      <c r="B251" s="75" t="s">
        <v>120</v>
      </c>
      <c r="C251" s="213" t="s">
        <v>158</v>
      </c>
      <c r="D251" s="213"/>
      <c r="E251" s="213"/>
      <c r="F251" s="213"/>
      <c r="G251" s="213"/>
      <c r="H251" s="213"/>
      <c r="I251" s="214"/>
      <c r="J251" s="214"/>
      <c r="K251" s="210">
        <v>1</v>
      </c>
      <c r="L251" s="210"/>
      <c r="M251" s="211">
        <f>ROUND(I251/166.92*K251,2)</f>
        <v>0</v>
      </c>
      <c r="N251" s="212"/>
      <c r="O251" s="63"/>
    </row>
    <row r="252" spans="1:15" ht="24" customHeight="1" x14ac:dyDescent="0.3">
      <c r="A252" s="76"/>
      <c r="B252" s="76"/>
      <c r="C252" s="158" t="s">
        <v>157</v>
      </c>
      <c r="D252" s="158"/>
      <c r="E252" s="158"/>
      <c r="F252" s="158"/>
      <c r="G252" s="158"/>
      <c r="H252" s="158"/>
      <c r="I252" s="156" t="s">
        <v>109</v>
      </c>
      <c r="J252" s="156"/>
      <c r="K252" s="156" t="s">
        <v>61</v>
      </c>
      <c r="L252" s="156"/>
      <c r="M252" s="198">
        <f>SUM(M253:N258)</f>
        <v>65.349999999999994</v>
      </c>
      <c r="N252" s="199"/>
      <c r="O252" s="48"/>
    </row>
    <row r="253" spans="1:15" s="98" customFormat="1" ht="60.6" customHeight="1" x14ac:dyDescent="0.3">
      <c r="A253" s="96">
        <v>1142</v>
      </c>
      <c r="B253" s="95" t="s">
        <v>156</v>
      </c>
      <c r="C253" s="193" t="s">
        <v>213</v>
      </c>
      <c r="D253" s="193"/>
      <c r="E253" s="193"/>
      <c r="F253" s="193"/>
      <c r="G253" s="193"/>
      <c r="H253" s="193"/>
      <c r="I253" s="194">
        <f>ROUND(2610/165.5*2,2)</f>
        <v>31.54</v>
      </c>
      <c r="J253" s="194"/>
      <c r="K253" s="192">
        <v>1</v>
      </c>
      <c r="L253" s="192"/>
      <c r="M253" s="141">
        <f>I253*K253</f>
        <v>31.54</v>
      </c>
      <c r="N253" s="142"/>
      <c r="O253" s="97"/>
    </row>
    <row r="254" spans="1:15" s="98" customFormat="1" ht="60.6" customHeight="1" x14ac:dyDescent="0.3">
      <c r="A254" s="96">
        <v>1142</v>
      </c>
      <c r="B254" s="95" t="s">
        <v>156</v>
      </c>
      <c r="C254" s="193" t="s">
        <v>214</v>
      </c>
      <c r="D254" s="193"/>
      <c r="E254" s="193"/>
      <c r="F254" s="193"/>
      <c r="G254" s="193"/>
      <c r="H254" s="193"/>
      <c r="I254" s="197">
        <f>ROUND(2410/165.5*2,2)</f>
        <v>29.12</v>
      </c>
      <c r="J254" s="197"/>
      <c r="K254" s="192">
        <v>1</v>
      </c>
      <c r="L254" s="192"/>
      <c r="M254" s="141">
        <f>I254*K254</f>
        <v>29.12</v>
      </c>
      <c r="N254" s="142"/>
      <c r="O254" s="97"/>
    </row>
    <row r="255" spans="1:15" s="52" customFormat="1" ht="28.05" customHeight="1" x14ac:dyDescent="0.3">
      <c r="A255" s="77">
        <v>1143</v>
      </c>
      <c r="B255" s="75" t="s">
        <v>111</v>
      </c>
      <c r="C255" s="193" t="s">
        <v>203</v>
      </c>
      <c r="D255" s="193"/>
      <c r="E255" s="193"/>
      <c r="F255" s="193"/>
      <c r="G255" s="193"/>
      <c r="H255" s="193"/>
      <c r="I255" s="194">
        <v>106</v>
      </c>
      <c r="J255" s="194"/>
      <c r="K255" s="192">
        <v>1</v>
      </c>
      <c r="L255" s="192"/>
      <c r="M255" s="141">
        <f>ROUND(I255/165.5*K255,2)</f>
        <v>0.64</v>
      </c>
      <c r="N255" s="142"/>
      <c r="O255" s="64"/>
    </row>
    <row r="256" spans="1:15" s="52" customFormat="1" ht="28.05" customHeight="1" x14ac:dyDescent="0.3">
      <c r="A256" s="77">
        <v>1143</v>
      </c>
      <c r="B256" s="75" t="s">
        <v>111</v>
      </c>
      <c r="C256" s="193" t="s">
        <v>204</v>
      </c>
      <c r="D256" s="193"/>
      <c r="E256" s="193"/>
      <c r="F256" s="193"/>
      <c r="G256" s="193"/>
      <c r="H256" s="193"/>
      <c r="I256" s="192">
        <v>71</v>
      </c>
      <c r="J256" s="192"/>
      <c r="K256" s="192">
        <v>1</v>
      </c>
      <c r="L256" s="192"/>
      <c r="M256" s="141">
        <f>ROUND(I256/165.5*K256,2)</f>
        <v>0.43</v>
      </c>
      <c r="N256" s="142"/>
      <c r="O256" s="64"/>
    </row>
    <row r="257" spans="1:17" s="52" customFormat="1" ht="28.05" customHeight="1" x14ac:dyDescent="0.3">
      <c r="A257" s="77">
        <v>1145</v>
      </c>
      <c r="B257" s="100" t="s">
        <v>155</v>
      </c>
      <c r="C257" s="136" t="s">
        <v>205</v>
      </c>
      <c r="D257" s="137"/>
      <c r="E257" s="137"/>
      <c r="F257" s="137"/>
      <c r="G257" s="137"/>
      <c r="H257" s="138"/>
      <c r="I257" s="139">
        <v>300</v>
      </c>
      <c r="J257" s="140"/>
      <c r="K257" s="139">
        <v>1</v>
      </c>
      <c r="L257" s="140"/>
      <c r="M257" s="141">
        <f>ROUND(I257/165.5*K257,2)</f>
        <v>1.81</v>
      </c>
      <c r="N257" s="142"/>
      <c r="O257" s="64"/>
    </row>
    <row r="258" spans="1:17" s="52" customFormat="1" ht="28.05" customHeight="1" x14ac:dyDescent="0.3">
      <c r="A258" s="77">
        <v>1145</v>
      </c>
      <c r="B258" s="100" t="s">
        <v>155</v>
      </c>
      <c r="C258" s="136" t="s">
        <v>205</v>
      </c>
      <c r="D258" s="137"/>
      <c r="E258" s="137"/>
      <c r="F258" s="137"/>
      <c r="G258" s="137"/>
      <c r="H258" s="138"/>
      <c r="I258" s="139">
        <v>300</v>
      </c>
      <c r="J258" s="140"/>
      <c r="K258" s="139">
        <v>1</v>
      </c>
      <c r="L258" s="140"/>
      <c r="M258" s="141">
        <f>ROUND(I258/165.5*K258,2)</f>
        <v>1.81</v>
      </c>
      <c r="N258" s="142"/>
      <c r="O258" s="64"/>
    </row>
    <row r="259" spans="1:17" x14ac:dyDescent="0.3">
      <c r="A259" s="71">
        <v>1200</v>
      </c>
      <c r="B259" s="189" t="s">
        <v>106</v>
      </c>
      <c r="C259" s="189"/>
      <c r="D259" s="189"/>
      <c r="E259" s="189"/>
      <c r="F259" s="189"/>
      <c r="G259" s="189"/>
      <c r="H259" s="189"/>
      <c r="I259" s="189"/>
      <c r="J259" s="189"/>
      <c r="K259" s="189"/>
      <c r="L259" s="189"/>
      <c r="M259" s="190">
        <f>ROUND(M260,2)</f>
        <v>15.42</v>
      </c>
      <c r="N259" s="191"/>
      <c r="O259" s="48"/>
    </row>
    <row r="260" spans="1:17" ht="21" customHeight="1" x14ac:dyDescent="0.3">
      <c r="A260" s="78">
        <v>1210</v>
      </c>
      <c r="B260" s="134" t="s">
        <v>105</v>
      </c>
      <c r="C260" s="134"/>
      <c r="D260" s="134"/>
      <c r="E260" s="134"/>
      <c r="F260" s="134"/>
      <c r="G260" s="134"/>
      <c r="H260" s="134"/>
      <c r="I260" s="134"/>
      <c r="J260" s="134"/>
      <c r="K260" s="134"/>
      <c r="L260" s="134"/>
      <c r="M260" s="206">
        <f>ROUND(M248*0.2359,2)</f>
        <v>15.42</v>
      </c>
      <c r="N260" s="207"/>
      <c r="O260" s="48"/>
    </row>
    <row r="261" spans="1:17" x14ac:dyDescent="0.3">
      <c r="A261" s="70">
        <v>2000</v>
      </c>
      <c r="B261" s="189" t="s">
        <v>104</v>
      </c>
      <c r="C261" s="189"/>
      <c r="D261" s="189"/>
      <c r="E261" s="189"/>
      <c r="F261" s="189"/>
      <c r="G261" s="189"/>
      <c r="H261" s="189"/>
      <c r="I261" s="189"/>
      <c r="J261" s="189"/>
      <c r="K261" s="189"/>
      <c r="L261" s="189"/>
      <c r="M261" s="224">
        <f>ROUND(M262,2)</f>
        <v>0.46</v>
      </c>
      <c r="N261" s="225"/>
      <c r="O261" s="48"/>
    </row>
    <row r="262" spans="1:17" x14ac:dyDescent="0.3">
      <c r="A262" s="71">
        <v>2300</v>
      </c>
      <c r="B262" s="189" t="s">
        <v>86</v>
      </c>
      <c r="C262" s="189"/>
      <c r="D262" s="189"/>
      <c r="E262" s="189"/>
      <c r="F262" s="189"/>
      <c r="G262" s="189"/>
      <c r="H262" s="189"/>
      <c r="I262" s="189"/>
      <c r="J262" s="189"/>
      <c r="K262" s="189"/>
      <c r="L262" s="189"/>
      <c r="M262" s="224">
        <f>SUM(M264:N278)</f>
        <v>0.46</v>
      </c>
      <c r="N262" s="225"/>
      <c r="O262" s="48"/>
    </row>
    <row r="263" spans="1:17" ht="27.6" x14ac:dyDescent="0.3">
      <c r="A263" s="73"/>
      <c r="B263" s="72"/>
      <c r="C263" s="158" t="s">
        <v>65</v>
      </c>
      <c r="D263" s="158"/>
      <c r="E263" s="158"/>
      <c r="F263" s="158"/>
      <c r="G263" s="158"/>
      <c r="H263" s="158"/>
      <c r="I263" s="79" t="s">
        <v>153</v>
      </c>
      <c r="J263" s="79" t="s">
        <v>152</v>
      </c>
      <c r="K263" s="156" t="s">
        <v>61</v>
      </c>
      <c r="L263" s="156"/>
      <c r="M263" s="232"/>
      <c r="N263" s="233"/>
      <c r="O263" s="48"/>
    </row>
    <row r="264" spans="1:17" x14ac:dyDescent="0.3">
      <c r="A264" s="73">
        <v>2322</v>
      </c>
      <c r="B264" s="72" t="s">
        <v>151</v>
      </c>
      <c r="C264" s="216" t="s">
        <v>150</v>
      </c>
      <c r="D264" s="216"/>
      <c r="E264" s="216"/>
      <c r="F264" s="216"/>
      <c r="G264" s="216"/>
      <c r="H264" s="216"/>
      <c r="I264" s="80">
        <v>0</v>
      </c>
      <c r="J264" s="80">
        <v>0.98199999999999998</v>
      </c>
      <c r="K264" s="217">
        <v>1</v>
      </c>
      <c r="L264" s="217"/>
      <c r="M264" s="260">
        <f>I264*J264</f>
        <v>0</v>
      </c>
      <c r="N264" s="261"/>
      <c r="O264" s="48">
        <f>120</f>
        <v>120</v>
      </c>
      <c r="P264">
        <v>0.8</v>
      </c>
      <c r="Q264">
        <f>O264*P264</f>
        <v>96</v>
      </c>
    </row>
    <row r="265" spans="1:17" x14ac:dyDescent="0.3">
      <c r="A265" s="73">
        <v>2329</v>
      </c>
      <c r="B265" s="72" t="s">
        <v>149</v>
      </c>
      <c r="C265" s="216" t="s">
        <v>148</v>
      </c>
      <c r="D265" s="216"/>
      <c r="E265" s="216"/>
      <c r="F265" s="216"/>
      <c r="G265" s="216"/>
      <c r="H265" s="216"/>
      <c r="I265" s="81">
        <v>7.0000000000000007E-2</v>
      </c>
      <c r="J265" s="80"/>
      <c r="K265" s="217">
        <v>1</v>
      </c>
      <c r="L265" s="217"/>
      <c r="M265" s="270">
        <f>ROUND(M264*I265,2)</f>
        <v>0</v>
      </c>
      <c r="N265" s="271"/>
      <c r="O265" s="48"/>
    </row>
    <row r="266" spans="1:17" ht="27.6" x14ac:dyDescent="0.3">
      <c r="A266" s="154">
        <v>2364</v>
      </c>
      <c r="B266" s="134" t="s">
        <v>147</v>
      </c>
      <c r="C266" s="158" t="s">
        <v>65</v>
      </c>
      <c r="D266" s="158"/>
      <c r="E266" s="158"/>
      <c r="F266" s="158"/>
      <c r="G266" s="158"/>
      <c r="H266" s="79" t="s">
        <v>84</v>
      </c>
      <c r="I266" s="158" t="s">
        <v>62</v>
      </c>
      <c r="J266" s="158"/>
      <c r="K266" s="156" t="s">
        <v>61</v>
      </c>
      <c r="L266" s="156"/>
      <c r="M266" s="198"/>
      <c r="N266" s="199"/>
      <c r="O266" s="48"/>
    </row>
    <row r="267" spans="1:17" s="25" customFormat="1" x14ac:dyDescent="0.3">
      <c r="A267" s="154"/>
      <c r="B267" s="134"/>
      <c r="C267" s="157" t="s">
        <v>146</v>
      </c>
      <c r="D267" s="157"/>
      <c r="E267" s="157"/>
      <c r="F267" s="157"/>
      <c r="G267" s="157"/>
      <c r="H267" s="82">
        <v>1</v>
      </c>
      <c r="I267" s="135">
        <v>33.549999999999997</v>
      </c>
      <c r="J267" s="135"/>
      <c r="K267" s="135">
        <v>1</v>
      </c>
      <c r="L267" s="135"/>
      <c r="M267" s="187">
        <f>ROUND(I267*2/H267/365/24*2,2)</f>
        <v>0.02</v>
      </c>
      <c r="N267" s="188"/>
      <c r="O267" s="50"/>
    </row>
    <row r="268" spans="1:17" s="25" customFormat="1" x14ac:dyDescent="0.3">
      <c r="A268" s="154"/>
      <c r="B268" s="134"/>
      <c r="C268" s="157" t="s">
        <v>145</v>
      </c>
      <c r="D268" s="157"/>
      <c r="E268" s="157"/>
      <c r="F268" s="157"/>
      <c r="G268" s="157"/>
      <c r="H268" s="82">
        <v>4</v>
      </c>
      <c r="I268" s="135">
        <v>350.9</v>
      </c>
      <c r="J268" s="135"/>
      <c r="K268" s="135">
        <v>1</v>
      </c>
      <c r="L268" s="135"/>
      <c r="M268" s="187">
        <f>ROUND(I268*2/H268/365/24*2,2)</f>
        <v>0.04</v>
      </c>
      <c r="N268" s="188"/>
      <c r="O268" s="50"/>
    </row>
    <row r="269" spans="1:17" s="25" customFormat="1" x14ac:dyDescent="0.3">
      <c r="A269" s="154"/>
      <c r="B269" s="134"/>
      <c r="C269" s="157" t="s">
        <v>144</v>
      </c>
      <c r="D269" s="157"/>
      <c r="E269" s="157"/>
      <c r="F269" s="157"/>
      <c r="G269" s="157"/>
      <c r="H269" s="82">
        <v>4</v>
      </c>
      <c r="I269" s="135">
        <v>1057.1600000000001</v>
      </c>
      <c r="J269" s="135"/>
      <c r="K269" s="135">
        <v>1</v>
      </c>
      <c r="L269" s="135"/>
      <c r="M269" s="187">
        <f>ROUND(I269*2/H269/365/24*2,2)</f>
        <v>0.12</v>
      </c>
      <c r="N269" s="188"/>
      <c r="O269" s="50"/>
    </row>
    <row r="270" spans="1:17" s="25" customFormat="1" x14ac:dyDescent="0.3">
      <c r="A270" s="154"/>
      <c r="B270" s="134"/>
      <c r="C270" s="157" t="s">
        <v>143</v>
      </c>
      <c r="D270" s="157"/>
      <c r="E270" s="157"/>
      <c r="F270" s="157"/>
      <c r="G270" s="157"/>
      <c r="H270" s="82">
        <v>3</v>
      </c>
      <c r="I270" s="135">
        <v>112.05</v>
      </c>
      <c r="J270" s="135"/>
      <c r="K270" s="135">
        <v>1</v>
      </c>
      <c r="L270" s="135"/>
      <c r="M270" s="187">
        <f>ROUND(I270/H270/365/24*2,2)</f>
        <v>0.01</v>
      </c>
      <c r="N270" s="188"/>
      <c r="O270" s="50"/>
    </row>
    <row r="271" spans="1:17" s="25" customFormat="1" x14ac:dyDescent="0.3">
      <c r="A271" s="154"/>
      <c r="B271" s="134"/>
      <c r="C271" s="157" t="s">
        <v>142</v>
      </c>
      <c r="D271" s="157"/>
      <c r="E271" s="157"/>
      <c r="F271" s="157"/>
      <c r="G271" s="157"/>
      <c r="H271" s="82">
        <v>3</v>
      </c>
      <c r="I271" s="135">
        <v>159.72</v>
      </c>
      <c r="J271" s="135"/>
      <c r="K271" s="135">
        <v>1</v>
      </c>
      <c r="L271" s="135"/>
      <c r="M271" s="187">
        <f t="shared" ref="M271:M277" si="11">ROUND(I271/H271/365/24*2,2)</f>
        <v>0.01</v>
      </c>
      <c r="N271" s="188"/>
      <c r="O271" s="50"/>
    </row>
    <row r="272" spans="1:17" s="25" customFormat="1" x14ac:dyDescent="0.3">
      <c r="A272" s="154"/>
      <c r="B272" s="134"/>
      <c r="C272" s="157" t="s">
        <v>141</v>
      </c>
      <c r="D272" s="157"/>
      <c r="E272" s="157"/>
      <c r="F272" s="157"/>
      <c r="G272" s="157"/>
      <c r="H272" s="82">
        <v>2</v>
      </c>
      <c r="I272" s="135">
        <v>38.72</v>
      </c>
      <c r="J272" s="135"/>
      <c r="K272" s="135">
        <v>1</v>
      </c>
      <c r="L272" s="135"/>
      <c r="M272" s="187">
        <f t="shared" si="11"/>
        <v>0</v>
      </c>
      <c r="N272" s="188"/>
      <c r="O272" s="50"/>
    </row>
    <row r="273" spans="1:23" s="25" customFormat="1" x14ac:dyDescent="0.3">
      <c r="A273" s="154"/>
      <c r="B273" s="134"/>
      <c r="C273" s="157" t="s">
        <v>140</v>
      </c>
      <c r="D273" s="157"/>
      <c r="E273" s="157"/>
      <c r="F273" s="157"/>
      <c r="G273" s="157"/>
      <c r="H273" s="82">
        <v>5</v>
      </c>
      <c r="I273" s="135">
        <v>907.5</v>
      </c>
      <c r="J273" s="135"/>
      <c r="K273" s="135">
        <v>1</v>
      </c>
      <c r="L273" s="135"/>
      <c r="M273" s="187">
        <f t="shared" si="11"/>
        <v>0.04</v>
      </c>
      <c r="N273" s="188"/>
      <c r="O273" s="50"/>
    </row>
    <row r="274" spans="1:23" s="25" customFormat="1" x14ac:dyDescent="0.3">
      <c r="A274" s="154"/>
      <c r="B274" s="134"/>
      <c r="C274" s="157" t="s">
        <v>139</v>
      </c>
      <c r="D274" s="157"/>
      <c r="E274" s="157"/>
      <c r="F274" s="157"/>
      <c r="G274" s="157"/>
      <c r="H274" s="82">
        <v>4</v>
      </c>
      <c r="I274" s="135">
        <v>249.96</v>
      </c>
      <c r="J274" s="135"/>
      <c r="K274" s="135">
        <v>1</v>
      </c>
      <c r="L274" s="135"/>
      <c r="M274" s="187">
        <f t="shared" si="11"/>
        <v>0.01</v>
      </c>
      <c r="N274" s="188"/>
      <c r="O274" s="50"/>
    </row>
    <row r="275" spans="1:23" s="25" customFormat="1" x14ac:dyDescent="0.3">
      <c r="A275" s="154"/>
      <c r="B275" s="134"/>
      <c r="C275" s="157" t="s">
        <v>138</v>
      </c>
      <c r="D275" s="157"/>
      <c r="E275" s="157"/>
      <c r="F275" s="157"/>
      <c r="G275" s="157"/>
      <c r="H275" s="82">
        <v>2</v>
      </c>
      <c r="I275" s="135">
        <v>16</v>
      </c>
      <c r="J275" s="135"/>
      <c r="K275" s="135">
        <v>1</v>
      </c>
      <c r="L275" s="135"/>
      <c r="M275" s="187">
        <f t="shared" si="11"/>
        <v>0</v>
      </c>
      <c r="N275" s="188"/>
      <c r="O275" s="50"/>
    </row>
    <row r="276" spans="1:23" s="25" customFormat="1" x14ac:dyDescent="0.3">
      <c r="A276" s="154"/>
      <c r="B276" s="134"/>
      <c r="C276" s="157" t="s">
        <v>137</v>
      </c>
      <c r="D276" s="157"/>
      <c r="E276" s="157"/>
      <c r="F276" s="157"/>
      <c r="G276" s="157"/>
      <c r="H276" s="82">
        <v>1</v>
      </c>
      <c r="I276" s="135">
        <v>89.74</v>
      </c>
      <c r="J276" s="135"/>
      <c r="K276" s="135">
        <v>1</v>
      </c>
      <c r="L276" s="135"/>
      <c r="M276" s="187">
        <f t="shared" si="11"/>
        <v>0.02</v>
      </c>
      <c r="N276" s="188"/>
      <c r="O276" s="50"/>
    </row>
    <row r="277" spans="1:23" s="25" customFormat="1" x14ac:dyDescent="0.3">
      <c r="A277" s="154"/>
      <c r="B277" s="134"/>
      <c r="C277" s="157" t="s">
        <v>136</v>
      </c>
      <c r="D277" s="157"/>
      <c r="E277" s="157"/>
      <c r="F277" s="157"/>
      <c r="G277" s="157"/>
      <c r="H277" s="82">
        <v>4</v>
      </c>
      <c r="I277" s="135">
        <v>3261.98</v>
      </c>
      <c r="J277" s="135"/>
      <c r="K277" s="135">
        <v>1</v>
      </c>
      <c r="L277" s="135"/>
      <c r="M277" s="187">
        <f t="shared" si="11"/>
        <v>0.19</v>
      </c>
      <c r="N277" s="188"/>
      <c r="O277" s="50"/>
    </row>
    <row r="278" spans="1:23" s="25" customFormat="1" x14ac:dyDescent="0.3">
      <c r="A278" s="154"/>
      <c r="B278" s="134"/>
      <c r="C278" s="157" t="s">
        <v>135</v>
      </c>
      <c r="D278" s="157"/>
      <c r="E278" s="157"/>
      <c r="F278" s="157"/>
      <c r="G278" s="157"/>
      <c r="H278" s="82">
        <v>6</v>
      </c>
      <c r="I278" s="135">
        <v>107.97</v>
      </c>
      <c r="J278" s="135"/>
      <c r="K278" s="135">
        <v>1</v>
      </c>
      <c r="L278" s="135"/>
      <c r="M278" s="187">
        <f>ROUND(I278/H278/365/24*2,2)</f>
        <v>0</v>
      </c>
      <c r="N278" s="188"/>
      <c r="O278" s="50"/>
    </row>
    <row r="279" spans="1:23" x14ac:dyDescent="0.3">
      <c r="A279" s="70">
        <v>5000</v>
      </c>
      <c r="B279" s="189" t="s">
        <v>66</v>
      </c>
      <c r="C279" s="189"/>
      <c r="D279" s="189"/>
      <c r="E279" s="189"/>
      <c r="F279" s="189"/>
      <c r="G279" s="189"/>
      <c r="H279" s="189"/>
      <c r="I279" s="189"/>
      <c r="J279" s="189"/>
      <c r="K279" s="189"/>
      <c r="L279" s="189"/>
      <c r="M279" s="224">
        <f>SUM(M281:N286)</f>
        <v>10.75</v>
      </c>
      <c r="N279" s="225"/>
      <c r="O279" s="49"/>
    </row>
    <row r="280" spans="1:23" ht="15" customHeight="1" x14ac:dyDescent="0.3">
      <c r="A280" s="73"/>
      <c r="B280" s="73"/>
      <c r="C280" s="158" t="s">
        <v>65</v>
      </c>
      <c r="D280" s="158"/>
      <c r="E280" s="156" t="s">
        <v>64</v>
      </c>
      <c r="F280" s="156"/>
      <c r="G280" s="156" t="s">
        <v>63</v>
      </c>
      <c r="H280" s="156"/>
      <c r="I280" s="158" t="s">
        <v>62</v>
      </c>
      <c r="J280" s="158"/>
      <c r="K280" s="156" t="s">
        <v>61</v>
      </c>
      <c r="L280" s="156"/>
      <c r="M280" s="232"/>
      <c r="N280" s="233"/>
    </row>
    <row r="281" spans="1:23" ht="26.55" customHeight="1" x14ac:dyDescent="0.3">
      <c r="A281" s="154">
        <v>5239</v>
      </c>
      <c r="B281" s="203" t="s">
        <v>134</v>
      </c>
      <c r="C281" s="134" t="s">
        <v>133</v>
      </c>
      <c r="D281" s="134"/>
      <c r="E281" s="159">
        <v>10</v>
      </c>
      <c r="F281" s="159"/>
      <c r="G281" s="159">
        <v>1</v>
      </c>
      <c r="H281" s="159"/>
      <c r="I281" s="159">
        <v>3360.17</v>
      </c>
      <c r="J281" s="159"/>
      <c r="K281" s="159">
        <v>1</v>
      </c>
      <c r="L281" s="159"/>
      <c r="M281" s="187">
        <v>7.67</v>
      </c>
      <c r="N281" s="188"/>
      <c r="O281" s="234"/>
      <c r="V281" t="s">
        <v>130</v>
      </c>
    </row>
    <row r="282" spans="1:23" x14ac:dyDescent="0.3">
      <c r="A282" s="154"/>
      <c r="B282" s="203"/>
      <c r="C282" s="134" t="s">
        <v>132</v>
      </c>
      <c r="D282" s="134"/>
      <c r="E282" s="159">
        <v>10</v>
      </c>
      <c r="F282" s="159"/>
      <c r="G282" s="159">
        <v>1</v>
      </c>
      <c r="H282" s="159"/>
      <c r="I282" s="159">
        <v>507.84</v>
      </c>
      <c r="J282" s="159"/>
      <c r="K282" s="159">
        <v>1</v>
      </c>
      <c r="L282" s="159"/>
      <c r="M282" s="187">
        <v>1.1599999999999999</v>
      </c>
      <c r="N282" s="188"/>
      <c r="O282" s="234"/>
      <c r="V282" t="s">
        <v>128</v>
      </c>
    </row>
    <row r="283" spans="1:23" x14ac:dyDescent="0.3">
      <c r="A283" s="154"/>
      <c r="B283" s="203"/>
      <c r="C283" s="134" t="s">
        <v>131</v>
      </c>
      <c r="D283" s="134"/>
      <c r="E283" s="159">
        <v>10</v>
      </c>
      <c r="F283" s="159"/>
      <c r="G283" s="159">
        <v>1</v>
      </c>
      <c r="H283" s="159"/>
      <c r="I283" s="159">
        <v>317.02</v>
      </c>
      <c r="J283" s="159"/>
      <c r="K283" s="159">
        <v>1</v>
      </c>
      <c r="L283" s="159"/>
      <c r="M283" s="187">
        <v>0.72</v>
      </c>
      <c r="N283" s="188"/>
      <c r="O283" s="234"/>
      <c r="V283" t="s">
        <v>130</v>
      </c>
    </row>
    <row r="284" spans="1:23" ht="26.55" customHeight="1" x14ac:dyDescent="0.3">
      <c r="A284" s="154"/>
      <c r="B284" s="203"/>
      <c r="C284" s="134" t="s">
        <v>129</v>
      </c>
      <c r="D284" s="134"/>
      <c r="E284" s="159">
        <v>10</v>
      </c>
      <c r="F284" s="159"/>
      <c r="G284" s="159">
        <v>1</v>
      </c>
      <c r="H284" s="159"/>
      <c r="I284" s="159">
        <v>525.14</v>
      </c>
      <c r="J284" s="159"/>
      <c r="K284" s="159">
        <v>1</v>
      </c>
      <c r="L284" s="159"/>
      <c r="M284" s="187">
        <v>1.2</v>
      </c>
      <c r="N284" s="188"/>
      <c r="O284" s="234"/>
      <c r="V284" t="s">
        <v>128</v>
      </c>
    </row>
    <row r="285" spans="1:23" ht="37.5" customHeight="1" x14ac:dyDescent="0.3">
      <c r="A285" s="73">
        <v>5231</v>
      </c>
      <c r="B285" s="73" t="s">
        <v>127</v>
      </c>
      <c r="C285" s="134" t="s">
        <v>168</v>
      </c>
      <c r="D285" s="134"/>
      <c r="E285" s="135">
        <v>0</v>
      </c>
      <c r="F285" s="135"/>
      <c r="G285" s="135">
        <v>1</v>
      </c>
      <c r="H285" s="135"/>
      <c r="I285" s="247">
        <v>361265.96</v>
      </c>
      <c r="J285" s="247"/>
      <c r="K285" s="135">
        <v>1</v>
      </c>
      <c r="L285" s="135"/>
      <c r="M285" s="154">
        <f>ROUND(I285*E285/100/12/165.5*K285,2)</f>
        <v>0</v>
      </c>
      <c r="N285" s="154"/>
      <c r="O285" s="234">
        <v>6628.38</v>
      </c>
      <c r="P285">
        <v>308651</v>
      </c>
      <c r="Q285">
        <v>206</v>
      </c>
      <c r="S285">
        <v>4762827.67</v>
      </c>
      <c r="T285">
        <v>119</v>
      </c>
      <c r="V285">
        <v>180</v>
      </c>
    </row>
    <row r="286" spans="1:23" ht="31.05" customHeight="1" x14ac:dyDescent="0.3">
      <c r="A286" s="73"/>
      <c r="B286" s="73"/>
      <c r="C286" s="193" t="s">
        <v>206</v>
      </c>
      <c r="D286" s="193"/>
      <c r="E286" s="135"/>
      <c r="F286" s="135"/>
      <c r="G286" s="135"/>
      <c r="H286" s="135"/>
      <c r="I286" s="247"/>
      <c r="J286" s="247"/>
      <c r="K286" s="135"/>
      <c r="L286" s="135"/>
      <c r="M286" s="154"/>
      <c r="N286" s="154"/>
      <c r="O286" s="234"/>
      <c r="P286">
        <v>413878.99</v>
      </c>
      <c r="Q286">
        <v>206</v>
      </c>
      <c r="R286" s="54">
        <f>SUM(P285:P286)/2</f>
        <v>361264.995</v>
      </c>
      <c r="S286">
        <v>4568501.67</v>
      </c>
      <c r="T286">
        <v>119</v>
      </c>
      <c r="U286" s="54">
        <f>SUM(S285:S286)/2</f>
        <v>4665664.67</v>
      </c>
      <c r="V286" t="s">
        <v>125</v>
      </c>
      <c r="W286" t="s">
        <v>124</v>
      </c>
    </row>
    <row r="287" spans="1:23" x14ac:dyDescent="0.3">
      <c r="A287" s="174" t="s">
        <v>123</v>
      </c>
      <c r="B287" s="175"/>
      <c r="C287" s="175"/>
      <c r="D287" s="175"/>
      <c r="E287" s="175"/>
      <c r="F287" s="175"/>
      <c r="G287" s="175"/>
      <c r="H287" s="175"/>
      <c r="I287" s="175"/>
      <c r="J287" s="175"/>
      <c r="K287" s="175"/>
      <c r="L287" s="176"/>
      <c r="M287" s="244">
        <f>ROUND(M261+M247+M279,2)</f>
        <v>91.98</v>
      </c>
      <c r="N287" s="245"/>
      <c r="O287" s="48"/>
    </row>
    <row r="288" spans="1:23" x14ac:dyDescent="0.3">
      <c r="A288" s="53"/>
      <c r="B288" s="53"/>
      <c r="C288" s="218"/>
      <c r="D288" s="218"/>
      <c r="E288" s="218"/>
      <c r="F288" s="218"/>
      <c r="G288" s="218"/>
      <c r="H288" s="218"/>
      <c r="I288" s="218"/>
      <c r="J288" s="218"/>
      <c r="K288" s="218"/>
      <c r="L288" s="218"/>
      <c r="M288" s="235"/>
      <c r="N288" s="235"/>
    </row>
    <row r="289" spans="1:15" x14ac:dyDescent="0.3">
      <c r="A289" s="180" t="s">
        <v>2</v>
      </c>
      <c r="B289" s="181"/>
      <c r="C289" s="181"/>
      <c r="D289" s="181"/>
      <c r="E289" s="181"/>
      <c r="F289" s="181"/>
      <c r="G289" s="181"/>
      <c r="H289" s="181"/>
      <c r="I289" s="181"/>
      <c r="J289" s="181"/>
      <c r="K289" s="181"/>
      <c r="L289" s="181"/>
      <c r="M289" s="182"/>
      <c r="N289" s="89"/>
    </row>
    <row r="290" spans="1:15" x14ac:dyDescent="0.3">
      <c r="A290" s="70">
        <v>1000</v>
      </c>
      <c r="B290" s="189" t="s">
        <v>122</v>
      </c>
      <c r="C290" s="189"/>
      <c r="D290" s="189"/>
      <c r="E290" s="189"/>
      <c r="F290" s="189"/>
      <c r="G290" s="189"/>
      <c r="H290" s="189"/>
      <c r="I290" s="189"/>
      <c r="J290" s="189"/>
      <c r="K290" s="189"/>
      <c r="L290" s="189"/>
      <c r="M290" s="224">
        <f>M291+M313</f>
        <v>9.1</v>
      </c>
      <c r="N290" s="225"/>
    </row>
    <row r="291" spans="1:15" x14ac:dyDescent="0.3">
      <c r="A291" s="71">
        <v>1100</v>
      </c>
      <c r="B291" s="189" t="s">
        <v>121</v>
      </c>
      <c r="C291" s="189"/>
      <c r="D291" s="189"/>
      <c r="E291" s="189"/>
      <c r="F291" s="189"/>
      <c r="G291" s="189"/>
      <c r="H291" s="189"/>
      <c r="I291" s="189"/>
      <c r="J291" s="189"/>
      <c r="K291" s="189"/>
      <c r="L291" s="189"/>
      <c r="M291" s="190">
        <f>ROUND(M292+M299+M304+M309,2)</f>
        <v>7.36</v>
      </c>
      <c r="N291" s="191"/>
    </row>
    <row r="292" spans="1:15" x14ac:dyDescent="0.3">
      <c r="A292" s="154">
        <v>1116</v>
      </c>
      <c r="B292" s="134" t="s">
        <v>120</v>
      </c>
      <c r="C292" s="158" t="s">
        <v>115</v>
      </c>
      <c r="D292" s="158"/>
      <c r="E292" s="158"/>
      <c r="F292" s="158"/>
      <c r="G292" s="158"/>
      <c r="H292" s="158"/>
      <c r="I292" s="156" t="s">
        <v>114</v>
      </c>
      <c r="J292" s="156"/>
      <c r="K292" s="156" t="s">
        <v>61</v>
      </c>
      <c r="L292" s="156"/>
      <c r="M292" s="198">
        <f>M293+M295+M297</f>
        <v>3.09</v>
      </c>
      <c r="N292" s="199"/>
    </row>
    <row r="293" spans="1:15" s="52" customFormat="1" ht="32.549999999999997" customHeight="1" x14ac:dyDescent="0.3">
      <c r="A293" s="154"/>
      <c r="B293" s="134"/>
      <c r="C293" s="193" t="s">
        <v>119</v>
      </c>
      <c r="D293" s="193"/>
      <c r="E293" s="193"/>
      <c r="F293" s="193"/>
      <c r="G293" s="193"/>
      <c r="H293" s="193"/>
      <c r="I293" s="215">
        <v>2875</v>
      </c>
      <c r="J293" s="215"/>
      <c r="K293" s="192">
        <v>3.3000000000000002E-2</v>
      </c>
      <c r="L293" s="192"/>
      <c r="M293" s="231">
        <f>ROUND(I293/165.5*K293,2)</f>
        <v>0.56999999999999995</v>
      </c>
      <c r="N293" s="231"/>
    </row>
    <row r="294" spans="1:15" s="52" customFormat="1" ht="17.100000000000001" customHeight="1" x14ac:dyDescent="0.3">
      <c r="A294" s="154"/>
      <c r="B294" s="134"/>
      <c r="C294" s="193" t="s">
        <v>207</v>
      </c>
      <c r="D294" s="193"/>
      <c r="E294" s="193"/>
      <c r="F294" s="193"/>
      <c r="G294" s="193"/>
      <c r="H294" s="193"/>
      <c r="I294" s="215"/>
      <c r="J294" s="215"/>
      <c r="K294" s="192"/>
      <c r="L294" s="192"/>
      <c r="M294" s="231">
        <f>ROUND(I294/167*K294,2)</f>
        <v>0</v>
      </c>
      <c r="N294" s="231"/>
    </row>
    <row r="295" spans="1:15" s="52" customFormat="1" ht="29.1" customHeight="1" x14ac:dyDescent="0.3">
      <c r="A295" s="154"/>
      <c r="B295" s="134"/>
      <c r="C295" s="193" t="s">
        <v>118</v>
      </c>
      <c r="D295" s="193"/>
      <c r="E295" s="193"/>
      <c r="F295" s="193"/>
      <c r="G295" s="193"/>
      <c r="H295" s="193"/>
      <c r="I295" s="215">
        <v>2845</v>
      </c>
      <c r="J295" s="215"/>
      <c r="K295" s="192">
        <v>8.3000000000000004E-2</v>
      </c>
      <c r="L295" s="192"/>
      <c r="M295" s="231">
        <f>ROUND(I295/165.5*K295,2)</f>
        <v>1.43</v>
      </c>
      <c r="N295" s="231"/>
      <c r="O295" s="220"/>
    </row>
    <row r="296" spans="1:15" s="52" customFormat="1" ht="14.55" customHeight="1" x14ac:dyDescent="0.3">
      <c r="A296" s="154"/>
      <c r="B296" s="134"/>
      <c r="C296" s="193" t="s">
        <v>208</v>
      </c>
      <c r="D296" s="193"/>
      <c r="E296" s="193"/>
      <c r="F296" s="193"/>
      <c r="G296" s="193"/>
      <c r="H296" s="193"/>
      <c r="I296" s="215"/>
      <c r="J296" s="215"/>
      <c r="K296" s="192"/>
      <c r="L296" s="192"/>
      <c r="M296" s="231">
        <f t="shared" ref="M296" si="12">ROUND(I296/167*K296,2)</f>
        <v>0</v>
      </c>
      <c r="N296" s="231"/>
      <c r="O296" s="220"/>
    </row>
    <row r="297" spans="1:15" s="52" customFormat="1" ht="30" customHeight="1" x14ac:dyDescent="0.3">
      <c r="A297" s="154"/>
      <c r="B297" s="134"/>
      <c r="C297" s="193" t="s">
        <v>117</v>
      </c>
      <c r="D297" s="193"/>
      <c r="E297" s="193"/>
      <c r="F297" s="193"/>
      <c r="G297" s="193"/>
      <c r="H297" s="193"/>
      <c r="I297" s="215">
        <v>2175</v>
      </c>
      <c r="J297" s="215"/>
      <c r="K297" s="248">
        <v>8.3000000000000004E-2</v>
      </c>
      <c r="L297" s="249"/>
      <c r="M297" s="231">
        <f>ROUND(I297/165.5*K297,2)</f>
        <v>1.0900000000000001</v>
      </c>
      <c r="N297" s="231"/>
      <c r="O297" s="220"/>
    </row>
    <row r="298" spans="1:15" s="52" customFormat="1" ht="14.55" customHeight="1" x14ac:dyDescent="0.3">
      <c r="A298" s="154"/>
      <c r="B298" s="134"/>
      <c r="C298" s="193" t="s">
        <v>208</v>
      </c>
      <c r="D298" s="193"/>
      <c r="E298" s="193"/>
      <c r="F298" s="193"/>
      <c r="G298" s="193"/>
      <c r="H298" s="193"/>
      <c r="I298" s="215"/>
      <c r="J298" s="215"/>
      <c r="K298" s="250"/>
      <c r="L298" s="251"/>
      <c r="M298" s="231">
        <f t="shared" ref="M298" si="13">ROUND(I298/167*K298,2)</f>
        <v>0</v>
      </c>
      <c r="N298" s="231"/>
      <c r="O298" s="220"/>
    </row>
    <row r="299" spans="1:15" x14ac:dyDescent="0.3">
      <c r="A299" s="154">
        <v>1119</v>
      </c>
      <c r="B299" s="134" t="s">
        <v>116</v>
      </c>
      <c r="C299" s="158" t="s">
        <v>115</v>
      </c>
      <c r="D299" s="158"/>
      <c r="E299" s="158"/>
      <c r="F299" s="158"/>
      <c r="G299" s="158"/>
      <c r="H299" s="158"/>
      <c r="I299" s="156" t="s">
        <v>114</v>
      </c>
      <c r="J299" s="156"/>
      <c r="K299" s="156" t="s">
        <v>61</v>
      </c>
      <c r="L299" s="156"/>
      <c r="M299" s="198">
        <f>M300+M302</f>
        <v>4.0200000000000005</v>
      </c>
      <c r="N299" s="199"/>
      <c r="O299" s="48"/>
    </row>
    <row r="300" spans="1:15" s="52" customFormat="1" ht="36" customHeight="1" x14ac:dyDescent="0.3">
      <c r="A300" s="154"/>
      <c r="B300" s="134"/>
      <c r="C300" s="193" t="s">
        <v>113</v>
      </c>
      <c r="D300" s="193"/>
      <c r="E300" s="193"/>
      <c r="F300" s="193"/>
      <c r="G300" s="193"/>
      <c r="H300" s="193"/>
      <c r="I300" s="252">
        <v>1990</v>
      </c>
      <c r="J300" s="253"/>
      <c r="K300" s="248">
        <v>0.33</v>
      </c>
      <c r="L300" s="249"/>
      <c r="M300" s="231">
        <f>ROUND(I300/165.5*K300,2)</f>
        <v>3.97</v>
      </c>
      <c r="N300" s="231"/>
      <c r="O300" s="220"/>
    </row>
    <row r="301" spans="1:15" s="52" customFormat="1" ht="15" customHeight="1" x14ac:dyDescent="0.3">
      <c r="A301" s="154"/>
      <c r="B301" s="134"/>
      <c r="C301" s="193" t="s">
        <v>209</v>
      </c>
      <c r="D301" s="193"/>
      <c r="E301" s="193"/>
      <c r="F301" s="193"/>
      <c r="G301" s="193"/>
      <c r="H301" s="193"/>
      <c r="I301" s="254"/>
      <c r="J301" s="255"/>
      <c r="K301" s="250"/>
      <c r="L301" s="251"/>
      <c r="M301" s="231">
        <f>ROUND(I301/167*K301,2)</f>
        <v>0</v>
      </c>
      <c r="N301" s="231"/>
      <c r="O301" s="220"/>
    </row>
    <row r="302" spans="1:15" s="52" customFormat="1" ht="32.549999999999997" customHeight="1" x14ac:dyDescent="0.3">
      <c r="A302" s="154"/>
      <c r="B302" s="134"/>
      <c r="C302" s="193" t="s">
        <v>112</v>
      </c>
      <c r="D302" s="193"/>
      <c r="E302" s="193"/>
      <c r="F302" s="193"/>
      <c r="G302" s="193"/>
      <c r="H302" s="193"/>
      <c r="I302" s="252">
        <v>755</v>
      </c>
      <c r="J302" s="253"/>
      <c r="K302" s="248">
        <v>0.01</v>
      </c>
      <c r="L302" s="249"/>
      <c r="M302" s="231">
        <f>ROUND(I302/165.5*K302,2)</f>
        <v>0.05</v>
      </c>
      <c r="N302" s="231"/>
      <c r="O302" s="220"/>
    </row>
    <row r="303" spans="1:15" s="52" customFormat="1" ht="15" customHeight="1" x14ac:dyDescent="0.3">
      <c r="A303" s="154"/>
      <c r="B303" s="134"/>
      <c r="C303" s="193" t="s">
        <v>209</v>
      </c>
      <c r="D303" s="193"/>
      <c r="E303" s="193"/>
      <c r="F303" s="193"/>
      <c r="G303" s="193"/>
      <c r="H303" s="193"/>
      <c r="I303" s="254"/>
      <c r="J303" s="255"/>
      <c r="K303" s="250"/>
      <c r="L303" s="251"/>
      <c r="M303" s="231">
        <f>ROUND(I303/167*K303,2)</f>
        <v>0</v>
      </c>
      <c r="N303" s="231"/>
      <c r="O303" s="220"/>
    </row>
    <row r="304" spans="1:15" ht="15.75" customHeight="1" x14ac:dyDescent="0.3">
      <c r="A304" s="154">
        <v>1143</v>
      </c>
      <c r="B304" s="134" t="s">
        <v>111</v>
      </c>
      <c r="C304" s="158" t="s">
        <v>110</v>
      </c>
      <c r="D304" s="158"/>
      <c r="E304" s="158"/>
      <c r="F304" s="158"/>
      <c r="G304" s="158"/>
      <c r="H304" s="158"/>
      <c r="I304" s="156" t="s">
        <v>109</v>
      </c>
      <c r="J304" s="156"/>
      <c r="K304" s="156" t="s">
        <v>61</v>
      </c>
      <c r="L304" s="156"/>
      <c r="M304" s="198">
        <f>M305+M307</f>
        <v>0.1</v>
      </c>
      <c r="N304" s="199"/>
      <c r="O304" s="48"/>
    </row>
    <row r="305" spans="1:16" s="52" customFormat="1" x14ac:dyDescent="0.3">
      <c r="A305" s="154"/>
      <c r="B305" s="134"/>
      <c r="C305" s="193" t="s">
        <v>108</v>
      </c>
      <c r="D305" s="193"/>
      <c r="E305" s="193"/>
      <c r="F305" s="193"/>
      <c r="G305" s="193"/>
      <c r="H305" s="193"/>
      <c r="I305" s="192">
        <v>106</v>
      </c>
      <c r="J305" s="192"/>
      <c r="K305" s="192">
        <v>3.3000000000000002E-2</v>
      </c>
      <c r="L305" s="192"/>
      <c r="M305" s="231">
        <f>ROUND(I305/165.5*K305,2)</f>
        <v>0.02</v>
      </c>
      <c r="N305" s="231"/>
      <c r="O305" s="220"/>
    </row>
    <row r="306" spans="1:16" s="52" customFormat="1" ht="15.75" customHeight="1" x14ac:dyDescent="0.3">
      <c r="A306" s="154"/>
      <c r="B306" s="134"/>
      <c r="C306" s="193" t="s">
        <v>210</v>
      </c>
      <c r="D306" s="193"/>
      <c r="E306" s="193"/>
      <c r="F306" s="193"/>
      <c r="G306" s="193"/>
      <c r="H306" s="193"/>
      <c r="I306" s="192"/>
      <c r="J306" s="192"/>
      <c r="K306" s="192"/>
      <c r="L306" s="192"/>
      <c r="M306" s="231">
        <f>ROUND(I306/167*K306,2)</f>
        <v>0</v>
      </c>
      <c r="N306" s="231"/>
      <c r="O306" s="220"/>
    </row>
    <row r="307" spans="1:16" s="52" customFormat="1" x14ac:dyDescent="0.3">
      <c r="A307" s="154"/>
      <c r="B307" s="134"/>
      <c r="C307" s="193" t="s">
        <v>107</v>
      </c>
      <c r="D307" s="193"/>
      <c r="E307" s="193"/>
      <c r="F307" s="193"/>
      <c r="G307" s="193"/>
      <c r="H307" s="193"/>
      <c r="I307" s="192">
        <f>78*2</f>
        <v>156</v>
      </c>
      <c r="J307" s="192"/>
      <c r="K307" s="192">
        <v>8.3000000000000004E-2</v>
      </c>
      <c r="L307" s="192"/>
      <c r="M307" s="231">
        <f>ROUND(I307/165.5*K307,2)</f>
        <v>0.08</v>
      </c>
      <c r="N307" s="231"/>
      <c r="O307" s="220"/>
    </row>
    <row r="308" spans="1:16" s="52" customFormat="1" ht="15.75" customHeight="1" x14ac:dyDescent="0.3">
      <c r="A308" s="154"/>
      <c r="B308" s="134"/>
      <c r="C308" s="193" t="s">
        <v>210</v>
      </c>
      <c r="D308" s="193"/>
      <c r="E308" s="193"/>
      <c r="F308" s="193"/>
      <c r="G308" s="193"/>
      <c r="H308" s="193"/>
      <c r="I308" s="192"/>
      <c r="J308" s="192"/>
      <c r="K308" s="192"/>
      <c r="L308" s="192"/>
      <c r="M308" s="231">
        <f>ROUND(I308/167*K308,2)</f>
        <v>0</v>
      </c>
      <c r="N308" s="231"/>
      <c r="O308" s="220"/>
    </row>
    <row r="309" spans="1:16" s="52" customFormat="1" ht="15.75" customHeight="1" x14ac:dyDescent="0.3">
      <c r="A309" s="143">
        <v>1145</v>
      </c>
      <c r="B309" s="146" t="s">
        <v>155</v>
      </c>
      <c r="C309" s="149" t="s">
        <v>191</v>
      </c>
      <c r="D309" s="150"/>
      <c r="E309" s="150"/>
      <c r="F309" s="150"/>
      <c r="G309" s="150"/>
      <c r="H309" s="151"/>
      <c r="I309" s="152" t="s">
        <v>109</v>
      </c>
      <c r="J309" s="153"/>
      <c r="K309" s="152" t="s">
        <v>61</v>
      </c>
      <c r="L309" s="155"/>
      <c r="M309" s="202">
        <f>N310+N312+M311</f>
        <v>0.15</v>
      </c>
      <c r="N309" s="202"/>
      <c r="O309" s="199"/>
    </row>
    <row r="310" spans="1:16" s="52" customFormat="1" ht="27.45" customHeight="1" x14ac:dyDescent="0.3">
      <c r="A310" s="144"/>
      <c r="B310" s="147"/>
      <c r="C310" s="136" t="s">
        <v>205</v>
      </c>
      <c r="D310" s="137"/>
      <c r="E310" s="137"/>
      <c r="F310" s="137"/>
      <c r="G310" s="137"/>
      <c r="H310" s="138"/>
      <c r="I310" s="139">
        <v>300</v>
      </c>
      <c r="J310" s="140"/>
      <c r="K310" s="139">
        <v>3.3000000000000002E-2</v>
      </c>
      <c r="L310" s="140"/>
      <c r="M310" s="141">
        <f>ROUND(I310/165.5*K310,2)</f>
        <v>0.06</v>
      </c>
      <c r="N310" s="142"/>
      <c r="O310" s="64"/>
    </row>
    <row r="311" spans="1:16" s="52" customFormat="1" ht="27.45" customHeight="1" x14ac:dyDescent="0.3">
      <c r="A311" s="144"/>
      <c r="B311" s="147"/>
      <c r="C311" s="136" t="s">
        <v>205</v>
      </c>
      <c r="D311" s="137"/>
      <c r="E311" s="137"/>
      <c r="F311" s="137"/>
      <c r="G311" s="137"/>
      <c r="H311" s="138"/>
      <c r="I311" s="139">
        <v>300</v>
      </c>
      <c r="J311" s="140"/>
      <c r="K311" s="139">
        <v>8.3000000000000004E-2</v>
      </c>
      <c r="L311" s="140"/>
      <c r="M311" s="141">
        <f>ROUND(I311/165.5*K311,2)</f>
        <v>0.15</v>
      </c>
      <c r="N311" s="142"/>
      <c r="O311" s="64"/>
    </row>
    <row r="312" spans="1:16" s="52" customFormat="1" ht="27.45" customHeight="1" x14ac:dyDescent="0.3">
      <c r="A312" s="145"/>
      <c r="B312" s="148"/>
      <c r="C312" s="136" t="s">
        <v>205</v>
      </c>
      <c r="D312" s="137"/>
      <c r="E312" s="137"/>
      <c r="F312" s="137"/>
      <c r="G312" s="137"/>
      <c r="H312" s="138"/>
      <c r="I312" s="139">
        <v>300</v>
      </c>
      <c r="J312" s="140"/>
      <c r="K312" s="139">
        <v>8.3000000000000004E-2</v>
      </c>
      <c r="L312" s="140"/>
      <c r="M312" s="141">
        <f>ROUND(I312/165.5*K312,2)</f>
        <v>0.15</v>
      </c>
      <c r="N312" s="142"/>
      <c r="O312" s="64"/>
    </row>
    <row r="313" spans="1:16" x14ac:dyDescent="0.3">
      <c r="A313" s="71">
        <v>1200</v>
      </c>
      <c r="B313" s="189" t="s">
        <v>106</v>
      </c>
      <c r="C313" s="189"/>
      <c r="D313" s="189"/>
      <c r="E313" s="189"/>
      <c r="F313" s="189"/>
      <c r="G313" s="189"/>
      <c r="H313" s="189"/>
      <c r="I313" s="189"/>
      <c r="J313" s="189"/>
      <c r="K313" s="189"/>
      <c r="L313" s="189"/>
      <c r="M313" s="224">
        <f>ROUND(M314,2)</f>
        <v>1.74</v>
      </c>
      <c r="N313" s="225"/>
      <c r="O313" s="48"/>
    </row>
    <row r="314" spans="1:16" x14ac:dyDescent="0.3">
      <c r="A314" s="78">
        <v>1210</v>
      </c>
      <c r="B314" s="134" t="s">
        <v>105</v>
      </c>
      <c r="C314" s="134"/>
      <c r="D314" s="134"/>
      <c r="E314" s="134"/>
      <c r="F314" s="134"/>
      <c r="G314" s="134"/>
      <c r="H314" s="134"/>
      <c r="I314" s="134"/>
      <c r="J314" s="134"/>
      <c r="K314" s="134"/>
      <c r="L314" s="134"/>
      <c r="M314" s="187">
        <f>ROUND(M291*0.2359,2)</f>
        <v>1.74</v>
      </c>
      <c r="N314" s="188"/>
      <c r="O314" s="48"/>
    </row>
    <row r="315" spans="1:16" x14ac:dyDescent="0.3">
      <c r="A315" s="70">
        <v>2000</v>
      </c>
      <c r="B315" s="189" t="s">
        <v>104</v>
      </c>
      <c r="C315" s="189"/>
      <c r="D315" s="189"/>
      <c r="E315" s="189"/>
      <c r="F315" s="189"/>
      <c r="G315" s="189"/>
      <c r="H315" s="189"/>
      <c r="I315" s="189"/>
      <c r="J315" s="189"/>
      <c r="K315" s="189"/>
      <c r="L315" s="189"/>
      <c r="M315" s="190">
        <f>ROUND(M316+M327,2)</f>
        <v>40.86</v>
      </c>
      <c r="N315" s="191"/>
      <c r="O315" s="48"/>
    </row>
    <row r="316" spans="1:16" x14ac:dyDescent="0.3">
      <c r="A316" s="71">
        <v>2200</v>
      </c>
      <c r="B316" s="189" t="s">
        <v>103</v>
      </c>
      <c r="C316" s="189"/>
      <c r="D316" s="189"/>
      <c r="E316" s="189"/>
      <c r="F316" s="189"/>
      <c r="G316" s="189"/>
      <c r="H316" s="189"/>
      <c r="I316" s="189"/>
      <c r="J316" s="189"/>
      <c r="K316" s="189"/>
      <c r="L316" s="189"/>
      <c r="M316" s="190">
        <f>SUM(M318:N326)</f>
        <v>40.669999999999995</v>
      </c>
      <c r="N316" s="191"/>
      <c r="O316" s="48"/>
    </row>
    <row r="317" spans="1:16" x14ac:dyDescent="0.3">
      <c r="A317" s="154">
        <v>2220</v>
      </c>
      <c r="B317" s="134" t="s">
        <v>102</v>
      </c>
      <c r="C317" s="158" t="s">
        <v>65</v>
      </c>
      <c r="D317" s="158"/>
      <c r="E317" s="158"/>
      <c r="F317" s="158"/>
      <c r="G317" s="158"/>
      <c r="H317" s="158"/>
      <c r="I317" s="156" t="s">
        <v>62</v>
      </c>
      <c r="J317" s="156"/>
      <c r="K317" s="156" t="s">
        <v>61</v>
      </c>
      <c r="L317" s="156"/>
      <c r="M317" s="198"/>
      <c r="N317" s="199"/>
      <c r="O317" s="48" t="s">
        <v>101</v>
      </c>
      <c r="P317" t="s">
        <v>100</v>
      </c>
    </row>
    <row r="318" spans="1:16" s="51" customFormat="1" x14ac:dyDescent="0.3">
      <c r="A318" s="154"/>
      <c r="B318" s="134"/>
      <c r="C318" s="134" t="s">
        <v>99</v>
      </c>
      <c r="D318" s="134"/>
      <c r="E318" s="134"/>
      <c r="F318" s="134"/>
      <c r="G318" s="134"/>
      <c r="H318" s="134"/>
      <c r="I318" s="135">
        <f>P318</f>
        <v>4.59</v>
      </c>
      <c r="J318" s="135"/>
      <c r="K318" s="135">
        <v>1</v>
      </c>
      <c r="L318" s="135"/>
      <c r="M318" s="228">
        <f t="shared" ref="M318:M326" si="14">I318*K318</f>
        <v>4.59</v>
      </c>
      <c r="N318" s="229"/>
      <c r="O318" s="85">
        <v>40170.910000000003</v>
      </c>
      <c r="P318" s="51">
        <f>ROUND(O318/365/24,2)</f>
        <v>4.59</v>
      </c>
    </row>
    <row r="319" spans="1:16" s="51" customFormat="1" ht="61.5" customHeight="1" x14ac:dyDescent="0.3">
      <c r="A319" s="154"/>
      <c r="B319" s="134"/>
      <c r="C319" s="134" t="s">
        <v>98</v>
      </c>
      <c r="D319" s="134"/>
      <c r="E319" s="134"/>
      <c r="F319" s="134"/>
      <c r="G319" s="134"/>
      <c r="H319" s="134"/>
      <c r="I319" s="135">
        <v>1.41</v>
      </c>
      <c r="J319" s="135"/>
      <c r="K319" s="135">
        <v>1</v>
      </c>
      <c r="L319" s="135"/>
      <c r="M319" s="228">
        <f t="shared" si="14"/>
        <v>1.41</v>
      </c>
      <c r="N319" s="229"/>
      <c r="O319" s="86" t="s">
        <v>97</v>
      </c>
    </row>
    <row r="320" spans="1:16" s="51" customFormat="1" ht="27.6" x14ac:dyDescent="0.3">
      <c r="A320" s="73">
        <v>2235</v>
      </c>
      <c r="B320" s="73" t="s">
        <v>96</v>
      </c>
      <c r="C320" s="134" t="s">
        <v>95</v>
      </c>
      <c r="D320" s="134"/>
      <c r="E320" s="134"/>
      <c r="F320" s="134"/>
      <c r="G320" s="134"/>
      <c r="H320" s="134"/>
      <c r="I320" s="135">
        <f>P320</f>
        <v>33.409999999999997</v>
      </c>
      <c r="J320" s="135"/>
      <c r="K320" s="135">
        <v>1</v>
      </c>
      <c r="L320" s="135"/>
      <c r="M320" s="228">
        <f t="shared" si="14"/>
        <v>33.409999999999997</v>
      </c>
      <c r="N320" s="229"/>
      <c r="O320" s="87">
        <v>292695.89</v>
      </c>
      <c r="P320" s="51">
        <f t="shared" ref="P320:P326" si="15">ROUND(O320/365/24,2)</f>
        <v>33.409999999999997</v>
      </c>
    </row>
    <row r="321" spans="1:19" ht="27.6" x14ac:dyDescent="0.3">
      <c r="A321" s="73">
        <v>2234</v>
      </c>
      <c r="B321" s="73" t="s">
        <v>94</v>
      </c>
      <c r="C321" s="134" t="s">
        <v>93</v>
      </c>
      <c r="D321" s="134"/>
      <c r="E321" s="134"/>
      <c r="F321" s="134"/>
      <c r="G321" s="134"/>
      <c r="H321" s="134"/>
      <c r="I321" s="256">
        <f>P321</f>
        <v>1</v>
      </c>
      <c r="J321" s="256"/>
      <c r="K321" s="135">
        <v>1</v>
      </c>
      <c r="L321" s="135"/>
      <c r="M321" s="228">
        <f t="shared" si="14"/>
        <v>1</v>
      </c>
      <c r="N321" s="229"/>
      <c r="O321" s="88">
        <v>8720</v>
      </c>
      <c r="P321">
        <f t="shared" si="15"/>
        <v>1</v>
      </c>
    </row>
    <row r="322" spans="1:19" ht="31.05" customHeight="1" x14ac:dyDescent="0.3">
      <c r="A322" s="73">
        <v>2247</v>
      </c>
      <c r="B322" s="73" t="s">
        <v>92</v>
      </c>
      <c r="C322" s="134" t="s">
        <v>91</v>
      </c>
      <c r="D322" s="134"/>
      <c r="E322" s="134"/>
      <c r="F322" s="134"/>
      <c r="G322" s="134"/>
      <c r="H322" s="134"/>
      <c r="I322" s="135">
        <f>P322</f>
        <v>0.23</v>
      </c>
      <c r="J322" s="135"/>
      <c r="K322" s="135">
        <v>1</v>
      </c>
      <c r="L322" s="135"/>
      <c r="M322" s="228">
        <f t="shared" si="14"/>
        <v>0.23</v>
      </c>
      <c r="N322" s="229"/>
      <c r="O322" s="84">
        <f>1250+1550/2</f>
        <v>2025</v>
      </c>
      <c r="P322">
        <f t="shared" si="15"/>
        <v>0.23</v>
      </c>
      <c r="R322">
        <v>2920</v>
      </c>
      <c r="S322" t="s">
        <v>90</v>
      </c>
    </row>
    <row r="323" spans="1:19" ht="78" customHeight="1" x14ac:dyDescent="0.3">
      <c r="A323" s="242">
        <v>2239</v>
      </c>
      <c r="B323" s="203" t="s">
        <v>89</v>
      </c>
      <c r="C323" s="193" t="s">
        <v>181</v>
      </c>
      <c r="D323" s="193"/>
      <c r="E323" s="193"/>
      <c r="F323" s="193"/>
      <c r="G323" s="193"/>
      <c r="H323" s="193"/>
      <c r="I323" s="135"/>
      <c r="J323" s="135"/>
      <c r="K323" s="135"/>
      <c r="L323" s="135"/>
      <c r="M323" s="228">
        <f t="shared" si="14"/>
        <v>0</v>
      </c>
      <c r="N323" s="229"/>
      <c r="O323">
        <v>286.29000000000002</v>
      </c>
      <c r="P323">
        <f t="shared" si="15"/>
        <v>0.03</v>
      </c>
    </row>
    <row r="324" spans="1:19" x14ac:dyDescent="0.3">
      <c r="A324" s="242"/>
      <c r="B324" s="203"/>
      <c r="C324" s="134" t="s">
        <v>178</v>
      </c>
      <c r="D324" s="134"/>
      <c r="E324" s="134"/>
      <c r="F324" s="134"/>
      <c r="G324" s="134"/>
      <c r="H324" s="134"/>
      <c r="I324" s="135"/>
      <c r="J324" s="135"/>
      <c r="K324" s="135"/>
      <c r="L324" s="135"/>
      <c r="M324" s="228">
        <f t="shared" si="14"/>
        <v>0</v>
      </c>
      <c r="N324" s="229"/>
      <c r="O324">
        <v>369.2</v>
      </c>
      <c r="P324">
        <f t="shared" si="15"/>
        <v>0.04</v>
      </c>
    </row>
    <row r="325" spans="1:19" ht="18.600000000000001" customHeight="1" x14ac:dyDescent="0.3">
      <c r="A325" s="242"/>
      <c r="B325" s="203"/>
      <c r="C325" s="134" t="s">
        <v>88</v>
      </c>
      <c r="D325" s="134"/>
      <c r="E325" s="134"/>
      <c r="F325" s="134"/>
      <c r="G325" s="134"/>
      <c r="H325" s="134"/>
      <c r="I325" s="135">
        <f>P325</f>
        <v>0.01</v>
      </c>
      <c r="J325" s="135"/>
      <c r="K325" s="135">
        <v>1</v>
      </c>
      <c r="L325" s="135"/>
      <c r="M325" s="228">
        <f t="shared" si="14"/>
        <v>0.01</v>
      </c>
      <c r="N325" s="229"/>
      <c r="O325">
        <v>130</v>
      </c>
      <c r="P325">
        <f t="shared" si="15"/>
        <v>0.01</v>
      </c>
    </row>
    <row r="326" spans="1:19" x14ac:dyDescent="0.3">
      <c r="A326" s="242"/>
      <c r="B326" s="203"/>
      <c r="C326" s="134" t="s">
        <v>87</v>
      </c>
      <c r="D326" s="134"/>
      <c r="E326" s="134"/>
      <c r="F326" s="134"/>
      <c r="G326" s="134"/>
      <c r="H326" s="134"/>
      <c r="I326" s="135">
        <f>P326</f>
        <v>0.02</v>
      </c>
      <c r="J326" s="135"/>
      <c r="K326" s="135">
        <v>1</v>
      </c>
      <c r="L326" s="135"/>
      <c r="M326" s="228">
        <f t="shared" si="14"/>
        <v>0.02</v>
      </c>
      <c r="N326" s="229"/>
      <c r="O326">
        <f>239.47*1.21/2</f>
        <v>144.87934999999999</v>
      </c>
      <c r="P326">
        <f t="shared" si="15"/>
        <v>0.02</v>
      </c>
    </row>
    <row r="327" spans="1:19" x14ac:dyDescent="0.3">
      <c r="A327" s="71">
        <v>2300</v>
      </c>
      <c r="B327" s="189" t="s">
        <v>86</v>
      </c>
      <c r="C327" s="189"/>
      <c r="D327" s="189"/>
      <c r="E327" s="189"/>
      <c r="F327" s="189"/>
      <c r="G327" s="189"/>
      <c r="H327" s="189"/>
      <c r="I327" s="189"/>
      <c r="J327" s="189"/>
      <c r="K327" s="189"/>
      <c r="L327" s="189"/>
      <c r="M327" s="224">
        <f>SUM(M329:N345)</f>
        <v>0.19000000000000003</v>
      </c>
      <c r="N327" s="225"/>
      <c r="O327" s="48"/>
    </row>
    <row r="328" spans="1:19" s="25" customFormat="1" ht="27.6" x14ac:dyDescent="0.3">
      <c r="A328" s="154">
        <v>2364</v>
      </c>
      <c r="B328" s="134" t="s">
        <v>85</v>
      </c>
      <c r="C328" s="158" t="s">
        <v>65</v>
      </c>
      <c r="D328" s="158"/>
      <c r="E328" s="158"/>
      <c r="F328" s="158"/>
      <c r="G328" s="158"/>
      <c r="H328" s="79" t="s">
        <v>84</v>
      </c>
      <c r="I328" s="158" t="s">
        <v>62</v>
      </c>
      <c r="J328" s="158"/>
      <c r="K328" s="156" t="s">
        <v>61</v>
      </c>
      <c r="L328" s="156"/>
      <c r="M328" s="198"/>
      <c r="N328" s="199"/>
      <c r="O328" s="50"/>
    </row>
    <row r="329" spans="1:19" s="25" customFormat="1" x14ac:dyDescent="0.3">
      <c r="A329" s="154"/>
      <c r="B329" s="134"/>
      <c r="C329" s="157" t="s">
        <v>83</v>
      </c>
      <c r="D329" s="157"/>
      <c r="E329" s="157"/>
      <c r="F329" s="157"/>
      <c r="G329" s="157"/>
      <c r="H329" s="82">
        <v>1</v>
      </c>
      <c r="I329" s="135">
        <v>50.07</v>
      </c>
      <c r="J329" s="135"/>
      <c r="K329" s="135">
        <v>1</v>
      </c>
      <c r="L329" s="135"/>
      <c r="M329" s="187">
        <f>ROUND(I329/H329/365/24*3,2)</f>
        <v>0.02</v>
      </c>
      <c r="N329" s="188"/>
      <c r="O329" s="50"/>
    </row>
    <row r="330" spans="1:19" s="25" customFormat="1" x14ac:dyDescent="0.3">
      <c r="A330" s="154"/>
      <c r="B330" s="134"/>
      <c r="C330" s="157" t="s">
        <v>82</v>
      </c>
      <c r="D330" s="157"/>
      <c r="E330" s="157"/>
      <c r="F330" s="157"/>
      <c r="G330" s="157"/>
      <c r="H330" s="82">
        <v>1</v>
      </c>
      <c r="I330" s="135">
        <v>20.239999999999998</v>
      </c>
      <c r="J330" s="135"/>
      <c r="K330" s="135">
        <v>1</v>
      </c>
      <c r="L330" s="135"/>
      <c r="M330" s="187">
        <f>ROUND(I330/H330/365/24*3,2)</f>
        <v>0.01</v>
      </c>
      <c r="N330" s="188"/>
      <c r="O330" s="50"/>
    </row>
    <row r="331" spans="1:19" s="25" customFormat="1" x14ac:dyDescent="0.3">
      <c r="A331" s="154"/>
      <c r="B331" s="134"/>
      <c r="C331" s="157" t="s">
        <v>81</v>
      </c>
      <c r="D331" s="157"/>
      <c r="E331" s="157"/>
      <c r="F331" s="157"/>
      <c r="G331" s="157"/>
      <c r="H331" s="82">
        <v>1</v>
      </c>
      <c r="I331" s="135">
        <v>17.260000000000002</v>
      </c>
      <c r="J331" s="135"/>
      <c r="K331" s="135">
        <v>1</v>
      </c>
      <c r="L331" s="135"/>
      <c r="M331" s="187">
        <f>ROUND(I331/H331/365/24*3,2)</f>
        <v>0.01</v>
      </c>
      <c r="N331" s="188"/>
      <c r="O331" s="50"/>
    </row>
    <row r="332" spans="1:19" s="25" customFormat="1" x14ac:dyDescent="0.3">
      <c r="A332" s="154"/>
      <c r="B332" s="134"/>
      <c r="C332" s="157" t="s">
        <v>80</v>
      </c>
      <c r="D332" s="157"/>
      <c r="E332" s="157"/>
      <c r="F332" s="157"/>
      <c r="G332" s="157"/>
      <c r="H332" s="82">
        <v>2</v>
      </c>
      <c r="I332" s="135">
        <f>39.77+39.77</f>
        <v>79.540000000000006</v>
      </c>
      <c r="J332" s="135"/>
      <c r="K332" s="135">
        <v>1</v>
      </c>
      <c r="L332" s="135"/>
      <c r="M332" s="187">
        <f>ROUND(I332/H332/365/24*3,2)</f>
        <v>0.01</v>
      </c>
      <c r="N332" s="188"/>
      <c r="O332" s="50"/>
    </row>
    <row r="333" spans="1:19" s="25" customFormat="1" x14ac:dyDescent="0.3">
      <c r="A333" s="154"/>
      <c r="B333" s="134"/>
      <c r="C333" s="157" t="s">
        <v>79</v>
      </c>
      <c r="D333" s="157"/>
      <c r="E333" s="157"/>
      <c r="F333" s="157"/>
      <c r="G333" s="157"/>
      <c r="H333" s="82">
        <v>4</v>
      </c>
      <c r="I333" s="135">
        <v>93.75</v>
      </c>
      <c r="J333" s="135"/>
      <c r="K333" s="135">
        <v>1</v>
      </c>
      <c r="L333" s="135"/>
      <c r="M333" s="187">
        <f>ROUND(I333/H333/365/24*3,2)</f>
        <v>0.01</v>
      </c>
      <c r="N333" s="188"/>
      <c r="O333" s="50"/>
    </row>
    <row r="334" spans="1:19" s="25" customFormat="1" x14ac:dyDescent="0.3">
      <c r="A334" s="154"/>
      <c r="B334" s="134"/>
      <c r="C334" s="157" t="s">
        <v>78</v>
      </c>
      <c r="D334" s="157"/>
      <c r="E334" s="157"/>
      <c r="F334" s="157"/>
      <c r="G334" s="157"/>
      <c r="H334" s="82">
        <v>2</v>
      </c>
      <c r="I334" s="135">
        <v>111</v>
      </c>
      <c r="J334" s="135"/>
      <c r="K334" s="135">
        <v>1</v>
      </c>
      <c r="L334" s="135"/>
      <c r="M334" s="187">
        <f>ROUND(I334/H334/365/24*2*3,2)</f>
        <v>0.04</v>
      </c>
      <c r="N334" s="188"/>
      <c r="O334" s="50"/>
    </row>
    <row r="335" spans="1:19" s="25" customFormat="1" x14ac:dyDescent="0.3">
      <c r="A335" s="154"/>
      <c r="B335" s="134"/>
      <c r="C335" s="157" t="s">
        <v>77</v>
      </c>
      <c r="D335" s="157"/>
      <c r="E335" s="157"/>
      <c r="F335" s="157"/>
      <c r="G335" s="157"/>
      <c r="H335" s="82">
        <v>5</v>
      </c>
      <c r="I335" s="135">
        <v>28.31</v>
      </c>
      <c r="J335" s="135"/>
      <c r="K335" s="135">
        <v>1</v>
      </c>
      <c r="L335" s="135"/>
      <c r="M335" s="187">
        <f>ROUND(I335/H335/365/24*2*3,2)</f>
        <v>0</v>
      </c>
      <c r="N335" s="188"/>
      <c r="O335" s="50"/>
    </row>
    <row r="336" spans="1:19" s="25" customFormat="1" x14ac:dyDescent="0.3">
      <c r="A336" s="154"/>
      <c r="B336" s="134"/>
      <c r="C336" s="157" t="s">
        <v>76</v>
      </c>
      <c r="D336" s="157"/>
      <c r="E336" s="157"/>
      <c r="F336" s="157"/>
      <c r="G336" s="157"/>
      <c r="H336" s="82">
        <v>3</v>
      </c>
      <c r="I336" s="135">
        <v>42</v>
      </c>
      <c r="J336" s="135"/>
      <c r="K336" s="135">
        <v>1</v>
      </c>
      <c r="L336" s="135"/>
      <c r="M336" s="187">
        <f>ROUND(I336/H336/365/24*3,2)</f>
        <v>0</v>
      </c>
      <c r="N336" s="188"/>
      <c r="O336" s="50"/>
    </row>
    <row r="337" spans="1:15" s="25" customFormat="1" x14ac:dyDescent="0.3">
      <c r="A337" s="154"/>
      <c r="B337" s="134"/>
      <c r="C337" s="157" t="s">
        <v>75</v>
      </c>
      <c r="D337" s="157"/>
      <c r="E337" s="157"/>
      <c r="F337" s="157"/>
      <c r="G337" s="157"/>
      <c r="H337" s="82">
        <v>4</v>
      </c>
      <c r="I337" s="135">
        <v>68.25</v>
      </c>
      <c r="J337" s="135"/>
      <c r="K337" s="135">
        <v>1</v>
      </c>
      <c r="L337" s="135"/>
      <c r="M337" s="187">
        <f>ROUND(I337/H337/365/24*3,2)</f>
        <v>0.01</v>
      </c>
      <c r="N337" s="188"/>
      <c r="O337" s="50"/>
    </row>
    <row r="338" spans="1:15" s="25" customFormat="1" x14ac:dyDescent="0.3">
      <c r="A338" s="154"/>
      <c r="B338" s="134"/>
      <c r="C338" s="157" t="s">
        <v>74</v>
      </c>
      <c r="D338" s="157"/>
      <c r="E338" s="157"/>
      <c r="F338" s="157"/>
      <c r="G338" s="157"/>
      <c r="H338" s="82">
        <v>4</v>
      </c>
      <c r="I338" s="135">
        <v>23.24</v>
      </c>
      <c r="J338" s="135"/>
      <c r="K338" s="135">
        <v>1</v>
      </c>
      <c r="L338" s="135"/>
      <c r="M338" s="187">
        <f>ROUND(I338/H338/365/24*3,2)</f>
        <v>0</v>
      </c>
      <c r="N338" s="188"/>
      <c r="O338" s="50"/>
    </row>
    <row r="339" spans="1:15" s="25" customFormat="1" x14ac:dyDescent="0.3">
      <c r="A339" s="154"/>
      <c r="B339" s="134"/>
      <c r="C339" s="157" t="s">
        <v>73</v>
      </c>
      <c r="D339" s="157"/>
      <c r="E339" s="157"/>
      <c r="F339" s="157"/>
      <c r="G339" s="157"/>
      <c r="H339" s="82">
        <v>4</v>
      </c>
      <c r="I339" s="135">
        <v>246</v>
      </c>
      <c r="J339" s="135"/>
      <c r="K339" s="135">
        <v>1</v>
      </c>
      <c r="L339" s="135"/>
      <c r="M339" s="187">
        <f t="shared" ref="M339:M344" si="16">ROUND(I339/H339/365/24*3,2)</f>
        <v>0.02</v>
      </c>
      <c r="N339" s="188"/>
      <c r="O339" s="50"/>
    </row>
    <row r="340" spans="1:15" s="25" customFormat="1" x14ac:dyDescent="0.3">
      <c r="A340" s="154"/>
      <c r="B340" s="134"/>
      <c r="C340" s="157" t="s">
        <v>72</v>
      </c>
      <c r="D340" s="157"/>
      <c r="E340" s="157"/>
      <c r="F340" s="157"/>
      <c r="G340" s="157"/>
      <c r="H340" s="82">
        <v>1</v>
      </c>
      <c r="I340" s="135">
        <v>43.5</v>
      </c>
      <c r="J340" s="135"/>
      <c r="K340" s="135">
        <v>1</v>
      </c>
      <c r="L340" s="135"/>
      <c r="M340" s="187">
        <f t="shared" si="16"/>
        <v>0.01</v>
      </c>
      <c r="N340" s="188"/>
      <c r="O340" s="50"/>
    </row>
    <row r="341" spans="1:15" s="25" customFormat="1" x14ac:dyDescent="0.3">
      <c r="A341" s="154"/>
      <c r="B341" s="134"/>
      <c r="C341" s="157" t="s">
        <v>71</v>
      </c>
      <c r="D341" s="157"/>
      <c r="E341" s="157"/>
      <c r="F341" s="157"/>
      <c r="G341" s="157"/>
      <c r="H341" s="82">
        <v>2</v>
      </c>
      <c r="I341" s="135">
        <v>111</v>
      </c>
      <c r="J341" s="135"/>
      <c r="K341" s="135">
        <v>1</v>
      </c>
      <c r="L341" s="135"/>
      <c r="M341" s="187">
        <f t="shared" si="16"/>
        <v>0.02</v>
      </c>
      <c r="N341" s="188"/>
      <c r="O341" s="50"/>
    </row>
    <row r="342" spans="1:15" s="25" customFormat="1" x14ac:dyDescent="0.3">
      <c r="A342" s="154"/>
      <c r="B342" s="134"/>
      <c r="C342" s="157" t="s">
        <v>70</v>
      </c>
      <c r="D342" s="157"/>
      <c r="E342" s="157"/>
      <c r="F342" s="157"/>
      <c r="G342" s="157"/>
      <c r="H342" s="82">
        <v>4</v>
      </c>
      <c r="I342" s="135">
        <v>141.75</v>
      </c>
      <c r="J342" s="135"/>
      <c r="K342" s="135">
        <v>1</v>
      </c>
      <c r="L342" s="135"/>
      <c r="M342" s="187">
        <f t="shared" si="16"/>
        <v>0.01</v>
      </c>
      <c r="N342" s="188"/>
      <c r="O342" s="50"/>
    </row>
    <row r="343" spans="1:15" s="25" customFormat="1" x14ac:dyDescent="0.3">
      <c r="A343" s="154"/>
      <c r="B343" s="134"/>
      <c r="C343" s="157" t="s">
        <v>69</v>
      </c>
      <c r="D343" s="157"/>
      <c r="E343" s="157"/>
      <c r="F343" s="157"/>
      <c r="G343" s="157"/>
      <c r="H343" s="82">
        <v>1</v>
      </c>
      <c r="I343" s="135">
        <v>16.489999999999998</v>
      </c>
      <c r="J343" s="135"/>
      <c r="K343" s="135">
        <v>1</v>
      </c>
      <c r="L343" s="135"/>
      <c r="M343" s="187">
        <f t="shared" si="16"/>
        <v>0.01</v>
      </c>
      <c r="N343" s="188"/>
      <c r="O343" s="50"/>
    </row>
    <row r="344" spans="1:15" s="25" customFormat="1" x14ac:dyDescent="0.3">
      <c r="A344" s="154"/>
      <c r="B344" s="134"/>
      <c r="C344" s="157" t="s">
        <v>68</v>
      </c>
      <c r="D344" s="157"/>
      <c r="E344" s="157"/>
      <c r="F344" s="157"/>
      <c r="G344" s="157"/>
      <c r="H344" s="82">
        <v>4</v>
      </c>
      <c r="I344" s="135">
        <v>23.25</v>
      </c>
      <c r="J344" s="135"/>
      <c r="K344" s="135">
        <v>1</v>
      </c>
      <c r="L344" s="135"/>
      <c r="M344" s="187">
        <f t="shared" si="16"/>
        <v>0</v>
      </c>
      <c r="N344" s="188"/>
      <c r="O344" s="50"/>
    </row>
    <row r="345" spans="1:15" s="25" customFormat="1" ht="14.55" customHeight="1" x14ac:dyDescent="0.3">
      <c r="A345" s="154"/>
      <c r="B345" s="134"/>
      <c r="C345" s="157" t="s">
        <v>67</v>
      </c>
      <c r="D345" s="157"/>
      <c r="E345" s="157"/>
      <c r="F345" s="157"/>
      <c r="G345" s="157"/>
      <c r="H345" s="82">
        <v>3</v>
      </c>
      <c r="I345" s="135">
        <v>63.75</v>
      </c>
      <c r="J345" s="135"/>
      <c r="K345" s="135">
        <v>1</v>
      </c>
      <c r="L345" s="135"/>
      <c r="M345" s="187">
        <f>ROUND(I345/H345/365/24*2*3,2)</f>
        <v>0.01</v>
      </c>
      <c r="N345" s="188"/>
      <c r="O345" s="50"/>
    </row>
    <row r="346" spans="1:15" x14ac:dyDescent="0.3">
      <c r="A346" s="70">
        <v>5000</v>
      </c>
      <c r="B346" s="189" t="s">
        <v>66</v>
      </c>
      <c r="C346" s="189"/>
      <c r="D346" s="189"/>
      <c r="E346" s="189"/>
      <c r="F346" s="189"/>
      <c r="G346" s="189"/>
      <c r="H346" s="189"/>
      <c r="I346" s="189"/>
      <c r="J346" s="189"/>
      <c r="K346" s="189"/>
      <c r="L346" s="189"/>
      <c r="M346" s="190">
        <f>ROUND(M347,2)</f>
        <v>0</v>
      </c>
      <c r="N346" s="191"/>
      <c r="O346" s="49"/>
    </row>
    <row r="347" spans="1:15" ht="15" customHeight="1" x14ac:dyDescent="0.3">
      <c r="A347" s="73"/>
      <c r="B347" s="73"/>
      <c r="C347" s="158" t="s">
        <v>65</v>
      </c>
      <c r="D347" s="158"/>
      <c r="E347" s="156" t="s">
        <v>64</v>
      </c>
      <c r="F347" s="156"/>
      <c r="G347" s="156" t="s">
        <v>63</v>
      </c>
      <c r="H347" s="156"/>
      <c r="I347" s="158" t="s">
        <v>62</v>
      </c>
      <c r="J347" s="158"/>
      <c r="K347" s="156" t="s">
        <v>61</v>
      </c>
      <c r="L347" s="156"/>
      <c r="M347" s="198">
        <f>ROUND(M348,2)</f>
        <v>0</v>
      </c>
      <c r="N347" s="199"/>
    </row>
    <row r="348" spans="1:15" ht="23.1" customHeight="1" x14ac:dyDescent="0.3">
      <c r="A348" s="73"/>
      <c r="B348" s="73"/>
      <c r="C348" s="134"/>
      <c r="D348" s="134"/>
      <c r="E348" s="154"/>
      <c r="F348" s="154"/>
      <c r="G348" s="154"/>
      <c r="H348" s="154"/>
      <c r="I348" s="227"/>
      <c r="J348" s="227"/>
      <c r="K348" s="154">
        <v>1</v>
      </c>
      <c r="L348" s="154"/>
      <c r="M348" s="206">
        <f>ROUND(I348*E348/100/12/167*K348,2)</f>
        <v>0</v>
      </c>
      <c r="N348" s="207"/>
      <c r="O348" s="84"/>
    </row>
    <row r="349" spans="1:15" x14ac:dyDescent="0.3">
      <c r="A349" s="180" t="s">
        <v>60</v>
      </c>
      <c r="B349" s="181"/>
      <c r="C349" s="181"/>
      <c r="D349" s="181"/>
      <c r="E349" s="181"/>
      <c r="F349" s="181"/>
      <c r="G349" s="181"/>
      <c r="H349" s="181"/>
      <c r="I349" s="181"/>
      <c r="J349" s="181"/>
      <c r="K349" s="181"/>
      <c r="L349" s="182"/>
      <c r="M349" s="204">
        <f>M290+M315+M346</f>
        <v>49.96</v>
      </c>
      <c r="N349" s="205"/>
      <c r="O349" s="48"/>
    </row>
    <row r="350" spans="1:15" x14ac:dyDescent="0.3">
      <c r="A350" s="246" t="s">
        <v>59</v>
      </c>
      <c r="B350" s="246"/>
      <c r="C350" s="246"/>
      <c r="D350" s="246"/>
      <c r="E350" s="246"/>
      <c r="F350" s="246"/>
      <c r="G350" s="246"/>
      <c r="H350" s="246"/>
      <c r="I350" s="246"/>
      <c r="J350" s="246"/>
      <c r="K350" s="246"/>
      <c r="L350" s="246"/>
      <c r="M350" s="222">
        <f>M349+M287</f>
        <v>141.94</v>
      </c>
      <c r="N350" s="223"/>
      <c r="O350" s="48"/>
    </row>
    <row r="351" spans="1:15" x14ac:dyDescent="0.3">
      <c r="A351" s="160" t="s">
        <v>58</v>
      </c>
      <c r="B351" s="161"/>
      <c r="C351" s="161"/>
      <c r="D351" s="161"/>
      <c r="E351" s="161"/>
      <c r="F351" s="161"/>
      <c r="G351" s="161"/>
      <c r="H351" s="161"/>
      <c r="I351" s="161"/>
      <c r="J351" s="161"/>
      <c r="K351" s="161"/>
      <c r="L351" s="162"/>
      <c r="M351" s="160">
        <f>ROUND(M350*0.21,2)</f>
        <v>29.81</v>
      </c>
      <c r="N351" s="162"/>
      <c r="O351" s="48"/>
    </row>
    <row r="352" spans="1:15" x14ac:dyDescent="0.3">
      <c r="A352" s="163" t="s">
        <v>57</v>
      </c>
      <c r="B352" s="164"/>
      <c r="C352" s="164"/>
      <c r="D352" s="164"/>
      <c r="E352" s="164"/>
      <c r="F352" s="164"/>
      <c r="G352" s="164"/>
      <c r="H352" s="164"/>
      <c r="I352" s="164"/>
      <c r="J352" s="164"/>
      <c r="K352" s="164"/>
      <c r="L352" s="165"/>
      <c r="M352" s="208">
        <f>M350+M351</f>
        <v>171.75</v>
      </c>
      <c r="N352" s="209"/>
      <c r="O352" s="48"/>
    </row>
    <row r="353" spans="1:15" x14ac:dyDescent="0.3">
      <c r="A353" s="51"/>
      <c r="B353" s="51"/>
      <c r="C353" s="51"/>
      <c r="D353" s="51"/>
      <c r="E353" s="51"/>
      <c r="F353" s="51"/>
      <c r="G353" s="51"/>
      <c r="H353" s="51"/>
      <c r="I353" s="51"/>
      <c r="J353" s="51"/>
      <c r="K353" s="51"/>
      <c r="L353" s="51"/>
      <c r="M353" s="51"/>
      <c r="N353" s="51"/>
    </row>
    <row r="354" spans="1:15" ht="15.6" x14ac:dyDescent="0.3">
      <c r="A354" s="58" t="s">
        <v>167</v>
      </c>
      <c r="B354" s="51"/>
      <c r="C354" s="51"/>
      <c r="D354" s="51"/>
      <c r="E354" s="51"/>
      <c r="F354" s="51"/>
      <c r="G354" s="51"/>
      <c r="H354" s="51"/>
      <c r="I354" s="51"/>
      <c r="J354" s="51"/>
      <c r="K354" s="51"/>
      <c r="L354" s="51"/>
      <c r="M354" s="51"/>
      <c r="N354" s="51"/>
    </row>
    <row r="355" spans="1:15" ht="15.6" x14ac:dyDescent="0.3">
      <c r="A355" s="55"/>
      <c r="B355" s="51"/>
      <c r="C355" s="51"/>
      <c r="D355" s="51"/>
      <c r="E355" s="51"/>
      <c r="F355" s="51"/>
      <c r="G355" s="51"/>
      <c r="H355" s="51"/>
      <c r="I355" s="51"/>
      <c r="J355" s="51"/>
      <c r="K355" s="51"/>
      <c r="L355" s="51"/>
      <c r="M355" s="51"/>
      <c r="N355" s="51"/>
    </row>
    <row r="356" spans="1:15" x14ac:dyDescent="0.3">
      <c r="A356" s="57" t="s">
        <v>166</v>
      </c>
      <c r="B356" s="56"/>
      <c r="C356" s="51"/>
      <c r="D356" s="51"/>
      <c r="E356" s="51"/>
      <c r="F356" s="51"/>
      <c r="G356" s="51"/>
      <c r="H356" s="51"/>
      <c r="I356" s="51"/>
      <c r="J356" s="51"/>
      <c r="K356" s="51"/>
      <c r="L356" s="51"/>
      <c r="M356" s="51"/>
      <c r="N356" s="51"/>
    </row>
    <row r="357" spans="1:15" ht="15.6" x14ac:dyDescent="0.3">
      <c r="A357" s="55"/>
      <c r="B357" s="51"/>
      <c r="C357" s="51"/>
      <c r="D357" s="51"/>
      <c r="E357" s="51"/>
      <c r="F357" s="51"/>
      <c r="G357" s="51"/>
      <c r="H357" s="51"/>
      <c r="I357" s="51"/>
      <c r="J357" s="51"/>
      <c r="K357" s="51"/>
      <c r="L357" s="51"/>
      <c r="M357" s="51"/>
      <c r="N357" s="51"/>
    </row>
    <row r="358" spans="1:15" ht="28.05" customHeight="1" x14ac:dyDescent="0.3">
      <c r="A358" s="169" t="s">
        <v>177</v>
      </c>
      <c r="B358" s="200" t="s">
        <v>164</v>
      </c>
      <c r="C358" s="201" t="s">
        <v>163</v>
      </c>
      <c r="D358" s="201"/>
      <c r="E358" s="201"/>
      <c r="F358" s="201"/>
      <c r="G358" s="201"/>
      <c r="H358" s="201"/>
      <c r="I358" s="201"/>
      <c r="J358" s="201"/>
      <c r="K358" s="201"/>
      <c r="L358" s="201"/>
      <c r="M358" s="201"/>
      <c r="N358" s="201"/>
      <c r="O358" s="234"/>
    </row>
    <row r="359" spans="1:15" x14ac:dyDescent="0.3">
      <c r="A359" s="170"/>
      <c r="B359" s="200"/>
      <c r="C359" s="201"/>
      <c r="D359" s="201"/>
      <c r="E359" s="201"/>
      <c r="F359" s="201"/>
      <c r="G359" s="201"/>
      <c r="H359" s="201"/>
      <c r="I359" s="201"/>
      <c r="J359" s="201"/>
      <c r="K359" s="201"/>
      <c r="L359" s="201"/>
      <c r="M359" s="201"/>
      <c r="N359" s="201"/>
      <c r="O359" s="234"/>
    </row>
    <row r="360" spans="1:15" x14ac:dyDescent="0.3">
      <c r="A360" s="68">
        <v>1</v>
      </c>
      <c r="B360" s="68">
        <v>2</v>
      </c>
      <c r="C360" s="219">
        <v>3</v>
      </c>
      <c r="D360" s="219"/>
      <c r="E360" s="219"/>
      <c r="F360" s="219"/>
      <c r="G360" s="219"/>
      <c r="H360" s="219"/>
      <c r="I360" s="219"/>
      <c r="J360" s="219"/>
      <c r="K360" s="219"/>
      <c r="L360" s="219"/>
      <c r="M360" s="219"/>
      <c r="N360" s="219"/>
    </row>
    <row r="361" spans="1:15" ht="14.55" customHeight="1" x14ac:dyDescent="0.3">
      <c r="A361" s="171" t="s">
        <v>1</v>
      </c>
      <c r="B361" s="172"/>
      <c r="C361" s="172"/>
      <c r="D361" s="172"/>
      <c r="E361" s="172"/>
      <c r="F361" s="172"/>
      <c r="G361" s="172"/>
      <c r="H361" s="172"/>
      <c r="I361" s="172"/>
      <c r="J361" s="172"/>
      <c r="K361" s="172"/>
      <c r="L361" s="172"/>
      <c r="M361" s="173"/>
      <c r="N361" s="69"/>
    </row>
    <row r="362" spans="1:15" x14ac:dyDescent="0.3">
      <c r="A362" s="70">
        <v>1000</v>
      </c>
      <c r="B362" s="189" t="s">
        <v>161</v>
      </c>
      <c r="C362" s="189"/>
      <c r="D362" s="189"/>
      <c r="E362" s="189"/>
      <c r="F362" s="189"/>
      <c r="G362" s="189"/>
      <c r="H362" s="189"/>
      <c r="I362" s="189"/>
      <c r="J362" s="189"/>
      <c r="K362" s="189"/>
      <c r="L362" s="189"/>
      <c r="M362" s="190">
        <f>M363+M374</f>
        <v>80.77</v>
      </c>
      <c r="N362" s="191"/>
    </row>
    <row r="363" spans="1:15" x14ac:dyDescent="0.3">
      <c r="A363" s="71">
        <v>1100</v>
      </c>
      <c r="B363" s="189" t="s">
        <v>121</v>
      </c>
      <c r="C363" s="189"/>
      <c r="D363" s="189"/>
      <c r="E363" s="189"/>
      <c r="F363" s="189"/>
      <c r="G363" s="189"/>
      <c r="H363" s="189"/>
      <c r="I363" s="189"/>
      <c r="J363" s="189"/>
      <c r="K363" s="189"/>
      <c r="L363" s="189"/>
      <c r="M363" s="190">
        <f>M364+M367</f>
        <v>65.349999999999994</v>
      </c>
      <c r="N363" s="191"/>
    </row>
    <row r="364" spans="1:15" ht="15" hidden="1" customHeight="1" x14ac:dyDescent="0.3">
      <c r="A364" s="72"/>
      <c r="B364" s="73"/>
      <c r="C364" s="158" t="s">
        <v>115</v>
      </c>
      <c r="D364" s="158"/>
      <c r="E364" s="158"/>
      <c r="F364" s="158"/>
      <c r="G364" s="158"/>
      <c r="H364" s="158"/>
      <c r="I364" s="156" t="s">
        <v>114</v>
      </c>
      <c r="J364" s="156"/>
      <c r="K364" s="156" t="s">
        <v>61</v>
      </c>
      <c r="L364" s="156"/>
      <c r="M364" s="198">
        <f>M365+M366</f>
        <v>0</v>
      </c>
      <c r="N364" s="199"/>
    </row>
    <row r="365" spans="1:15" s="52" customFormat="1" ht="28.05" hidden="1" customHeight="1" x14ac:dyDescent="0.3">
      <c r="A365" s="74" t="s">
        <v>159</v>
      </c>
      <c r="B365" s="75" t="s">
        <v>120</v>
      </c>
      <c r="C365" s="213" t="s">
        <v>160</v>
      </c>
      <c r="D365" s="213"/>
      <c r="E365" s="213"/>
      <c r="F365" s="213"/>
      <c r="G365" s="213"/>
      <c r="H365" s="213"/>
      <c r="I365" s="214"/>
      <c r="J365" s="214"/>
      <c r="K365" s="210">
        <v>1</v>
      </c>
      <c r="L365" s="210"/>
      <c r="M365" s="211">
        <f>ROUND(I365/166.92*K365,2)</f>
        <v>0</v>
      </c>
      <c r="N365" s="212"/>
      <c r="O365" s="63"/>
    </row>
    <row r="366" spans="1:15" s="52" customFormat="1" ht="28.05" hidden="1" customHeight="1" x14ac:dyDescent="0.3">
      <c r="A366" s="74" t="s">
        <v>159</v>
      </c>
      <c r="B366" s="75" t="s">
        <v>120</v>
      </c>
      <c r="C366" s="213" t="s">
        <v>158</v>
      </c>
      <c r="D366" s="213"/>
      <c r="E366" s="213"/>
      <c r="F366" s="213"/>
      <c r="G366" s="213"/>
      <c r="H366" s="213"/>
      <c r="I366" s="214"/>
      <c r="J366" s="214"/>
      <c r="K366" s="210">
        <v>1</v>
      </c>
      <c r="L366" s="210"/>
      <c r="M366" s="211">
        <f>ROUND(I366/166.92*K366,2)</f>
        <v>0</v>
      </c>
      <c r="N366" s="212"/>
      <c r="O366" s="63"/>
    </row>
    <row r="367" spans="1:15" x14ac:dyDescent="0.3">
      <c r="A367" s="76"/>
      <c r="B367" s="76"/>
      <c r="C367" s="158" t="s">
        <v>157</v>
      </c>
      <c r="D367" s="158"/>
      <c r="E367" s="158"/>
      <c r="F367" s="158"/>
      <c r="G367" s="158"/>
      <c r="H367" s="158"/>
      <c r="I367" s="156" t="s">
        <v>109</v>
      </c>
      <c r="J367" s="156"/>
      <c r="K367" s="156" t="s">
        <v>61</v>
      </c>
      <c r="L367" s="156"/>
      <c r="M367" s="198">
        <f>SUM(M368:AE373)</f>
        <v>65.349999999999994</v>
      </c>
      <c r="N367" s="199"/>
      <c r="O367" s="48"/>
    </row>
    <row r="368" spans="1:15" s="98" customFormat="1" ht="51.45" customHeight="1" x14ac:dyDescent="0.3">
      <c r="A368" s="96">
        <v>1142</v>
      </c>
      <c r="B368" s="95" t="s">
        <v>156</v>
      </c>
      <c r="C368" s="193" t="s">
        <v>213</v>
      </c>
      <c r="D368" s="193"/>
      <c r="E368" s="193"/>
      <c r="F368" s="193"/>
      <c r="G368" s="193"/>
      <c r="H368" s="193"/>
      <c r="I368" s="194">
        <f>ROUND(2610/165.5*2,2)</f>
        <v>31.54</v>
      </c>
      <c r="J368" s="194"/>
      <c r="K368" s="192">
        <v>1</v>
      </c>
      <c r="L368" s="192"/>
      <c r="M368" s="141">
        <f>I368*K368</f>
        <v>31.54</v>
      </c>
      <c r="N368" s="142"/>
      <c r="O368" s="97"/>
    </row>
    <row r="369" spans="1:17" s="98" customFormat="1" ht="51.45" customHeight="1" x14ac:dyDescent="0.3">
      <c r="A369" s="96">
        <v>1142</v>
      </c>
      <c r="B369" s="95" t="s">
        <v>156</v>
      </c>
      <c r="C369" s="193" t="s">
        <v>214</v>
      </c>
      <c r="D369" s="193"/>
      <c r="E369" s="193"/>
      <c r="F369" s="193"/>
      <c r="G369" s="193"/>
      <c r="H369" s="193"/>
      <c r="I369" s="197">
        <f>ROUND(2410/165.5*2,2)</f>
        <v>29.12</v>
      </c>
      <c r="J369" s="197"/>
      <c r="K369" s="192">
        <v>1</v>
      </c>
      <c r="L369" s="192"/>
      <c r="M369" s="141">
        <f>I369*K369</f>
        <v>29.12</v>
      </c>
      <c r="N369" s="142"/>
      <c r="O369" s="97"/>
    </row>
    <row r="370" spans="1:17" s="52" customFormat="1" ht="28.05" customHeight="1" x14ac:dyDescent="0.3">
      <c r="A370" s="77">
        <v>1143</v>
      </c>
      <c r="B370" s="75" t="s">
        <v>111</v>
      </c>
      <c r="C370" s="193" t="s">
        <v>203</v>
      </c>
      <c r="D370" s="193"/>
      <c r="E370" s="193"/>
      <c r="F370" s="193"/>
      <c r="G370" s="193"/>
      <c r="H370" s="193"/>
      <c r="I370" s="194">
        <v>106</v>
      </c>
      <c r="J370" s="194"/>
      <c r="K370" s="192">
        <v>1</v>
      </c>
      <c r="L370" s="192"/>
      <c r="M370" s="141">
        <f>ROUND(I370/165.5*K370,2)</f>
        <v>0.64</v>
      </c>
      <c r="N370" s="142"/>
      <c r="O370" s="64"/>
    </row>
    <row r="371" spans="1:17" s="52" customFormat="1" ht="28.05" customHeight="1" x14ac:dyDescent="0.3">
      <c r="A371" s="77">
        <v>1143</v>
      </c>
      <c r="B371" s="75" t="s">
        <v>111</v>
      </c>
      <c r="C371" s="193" t="s">
        <v>204</v>
      </c>
      <c r="D371" s="193"/>
      <c r="E371" s="193"/>
      <c r="F371" s="193"/>
      <c r="G371" s="193"/>
      <c r="H371" s="193"/>
      <c r="I371" s="192">
        <v>71</v>
      </c>
      <c r="J371" s="192"/>
      <c r="K371" s="192">
        <v>1</v>
      </c>
      <c r="L371" s="192"/>
      <c r="M371" s="141">
        <f>ROUND(I371/165.5*K371,2)</f>
        <v>0.43</v>
      </c>
      <c r="N371" s="142"/>
      <c r="O371" s="64"/>
    </row>
    <row r="372" spans="1:17" s="52" customFormat="1" ht="28.05" customHeight="1" x14ac:dyDescent="0.3">
      <c r="A372" s="77">
        <v>1145</v>
      </c>
      <c r="B372" s="100" t="s">
        <v>155</v>
      </c>
      <c r="C372" s="136" t="s">
        <v>205</v>
      </c>
      <c r="D372" s="137"/>
      <c r="E372" s="137"/>
      <c r="F372" s="137"/>
      <c r="G372" s="137"/>
      <c r="H372" s="138"/>
      <c r="I372" s="139">
        <v>300</v>
      </c>
      <c r="J372" s="140"/>
      <c r="K372" s="139">
        <v>1</v>
      </c>
      <c r="L372" s="140"/>
      <c r="M372" s="141">
        <f>ROUND(I372/165.5*K372,2)</f>
        <v>1.81</v>
      </c>
      <c r="N372" s="142"/>
      <c r="O372" s="64"/>
    </row>
    <row r="373" spans="1:17" s="52" customFormat="1" ht="28.05" customHeight="1" x14ac:dyDescent="0.3">
      <c r="A373" s="77">
        <v>1145</v>
      </c>
      <c r="B373" s="100" t="s">
        <v>155</v>
      </c>
      <c r="C373" s="136" t="s">
        <v>205</v>
      </c>
      <c r="D373" s="137"/>
      <c r="E373" s="137"/>
      <c r="F373" s="137"/>
      <c r="G373" s="137"/>
      <c r="H373" s="138"/>
      <c r="I373" s="139">
        <v>300</v>
      </c>
      <c r="J373" s="140"/>
      <c r="K373" s="139">
        <v>1</v>
      </c>
      <c r="L373" s="140"/>
      <c r="M373" s="141">
        <f>ROUND(I373/165.5*K373,2)</f>
        <v>1.81</v>
      </c>
      <c r="N373" s="142"/>
      <c r="O373" s="64"/>
    </row>
    <row r="374" spans="1:17" x14ac:dyDescent="0.3">
      <c r="A374" s="71">
        <v>1200</v>
      </c>
      <c r="B374" s="189" t="s">
        <v>106</v>
      </c>
      <c r="C374" s="189"/>
      <c r="D374" s="189"/>
      <c r="E374" s="189"/>
      <c r="F374" s="189"/>
      <c r="G374" s="189"/>
      <c r="H374" s="189"/>
      <c r="I374" s="189"/>
      <c r="J374" s="189"/>
      <c r="K374" s="189"/>
      <c r="L374" s="189"/>
      <c r="M374" s="190">
        <f>M375</f>
        <v>15.42</v>
      </c>
      <c r="N374" s="191"/>
      <c r="O374" s="48"/>
    </row>
    <row r="375" spans="1:17" ht="21" customHeight="1" x14ac:dyDescent="0.3">
      <c r="A375" s="78">
        <v>1210</v>
      </c>
      <c r="B375" s="134" t="s">
        <v>105</v>
      </c>
      <c r="C375" s="134"/>
      <c r="D375" s="134"/>
      <c r="E375" s="134"/>
      <c r="F375" s="134"/>
      <c r="G375" s="134"/>
      <c r="H375" s="134"/>
      <c r="I375" s="134"/>
      <c r="J375" s="134"/>
      <c r="K375" s="134"/>
      <c r="L375" s="134"/>
      <c r="M375" s="206">
        <f>ROUND(M363*0.2359,2)</f>
        <v>15.42</v>
      </c>
      <c r="N375" s="207"/>
      <c r="O375" s="48"/>
    </row>
    <row r="376" spans="1:17" x14ac:dyDescent="0.3">
      <c r="A376" s="70">
        <v>2000</v>
      </c>
      <c r="B376" s="189" t="s">
        <v>104</v>
      </c>
      <c r="C376" s="189"/>
      <c r="D376" s="189"/>
      <c r="E376" s="189"/>
      <c r="F376" s="189"/>
      <c r="G376" s="189"/>
      <c r="H376" s="189"/>
      <c r="I376" s="189"/>
      <c r="J376" s="189"/>
      <c r="K376" s="189"/>
      <c r="L376" s="189"/>
      <c r="M376" s="224">
        <f>M377</f>
        <v>0.46</v>
      </c>
      <c r="N376" s="225"/>
      <c r="O376" s="48"/>
    </row>
    <row r="377" spans="1:17" x14ac:dyDescent="0.3">
      <c r="A377" s="71">
        <v>2300</v>
      </c>
      <c r="B377" s="189" t="s">
        <v>86</v>
      </c>
      <c r="C377" s="189"/>
      <c r="D377" s="189"/>
      <c r="E377" s="189"/>
      <c r="F377" s="189"/>
      <c r="G377" s="189"/>
      <c r="H377" s="189"/>
      <c r="I377" s="189"/>
      <c r="J377" s="189"/>
      <c r="K377" s="189"/>
      <c r="L377" s="189"/>
      <c r="M377" s="224">
        <f>SUM(M379:N393)</f>
        <v>0.46</v>
      </c>
      <c r="N377" s="225"/>
      <c r="O377" s="48"/>
    </row>
    <row r="378" spans="1:17" ht="27.6" x14ac:dyDescent="0.3">
      <c r="A378" s="73"/>
      <c r="B378" s="72"/>
      <c r="C378" s="158" t="s">
        <v>65</v>
      </c>
      <c r="D378" s="158"/>
      <c r="E378" s="158"/>
      <c r="F378" s="158"/>
      <c r="G378" s="158"/>
      <c r="H378" s="158"/>
      <c r="I378" s="79" t="s">
        <v>153</v>
      </c>
      <c r="J378" s="79" t="s">
        <v>152</v>
      </c>
      <c r="K378" s="156" t="s">
        <v>61</v>
      </c>
      <c r="L378" s="156"/>
      <c r="M378" s="232"/>
      <c r="N378" s="233"/>
      <c r="O378" s="48"/>
    </row>
    <row r="379" spans="1:17" x14ac:dyDescent="0.3">
      <c r="A379" s="73">
        <v>2322</v>
      </c>
      <c r="B379" s="72" t="s">
        <v>151</v>
      </c>
      <c r="C379" s="216" t="s">
        <v>150</v>
      </c>
      <c r="D379" s="216"/>
      <c r="E379" s="216"/>
      <c r="F379" s="216"/>
      <c r="G379" s="216"/>
      <c r="H379" s="216"/>
      <c r="I379" s="80">
        <v>0</v>
      </c>
      <c r="J379" s="80">
        <v>0.98199999999999998</v>
      </c>
      <c r="K379" s="217">
        <v>1</v>
      </c>
      <c r="L379" s="217"/>
      <c r="M379" s="260">
        <f>I379*J379</f>
        <v>0</v>
      </c>
      <c r="N379" s="261"/>
      <c r="O379" s="48">
        <f>120</f>
        <v>120</v>
      </c>
      <c r="P379">
        <v>0.8</v>
      </c>
      <c r="Q379">
        <f>O379*P379</f>
        <v>96</v>
      </c>
    </row>
    <row r="380" spans="1:17" x14ac:dyDescent="0.3">
      <c r="A380" s="73">
        <v>2329</v>
      </c>
      <c r="B380" s="72" t="s">
        <v>149</v>
      </c>
      <c r="C380" s="216" t="s">
        <v>148</v>
      </c>
      <c r="D380" s="216"/>
      <c r="E380" s="216"/>
      <c r="F380" s="216"/>
      <c r="G380" s="216"/>
      <c r="H380" s="216"/>
      <c r="I380" s="81">
        <v>7.0000000000000007E-2</v>
      </c>
      <c r="J380" s="80"/>
      <c r="K380" s="217">
        <v>1</v>
      </c>
      <c r="L380" s="217"/>
      <c r="M380" s="270">
        <f>ROUND(M379*I380,2)</f>
        <v>0</v>
      </c>
      <c r="N380" s="271"/>
      <c r="O380" s="48"/>
    </row>
    <row r="381" spans="1:17" ht="27.6" x14ac:dyDescent="0.3">
      <c r="A381" s="154">
        <v>2364</v>
      </c>
      <c r="B381" s="134" t="s">
        <v>147</v>
      </c>
      <c r="C381" s="158" t="s">
        <v>65</v>
      </c>
      <c r="D381" s="158"/>
      <c r="E381" s="158"/>
      <c r="F381" s="158"/>
      <c r="G381" s="158"/>
      <c r="H381" s="79" t="s">
        <v>84</v>
      </c>
      <c r="I381" s="156" t="s">
        <v>62</v>
      </c>
      <c r="J381" s="156"/>
      <c r="K381" s="156" t="s">
        <v>61</v>
      </c>
      <c r="L381" s="156"/>
      <c r="M381" s="198"/>
      <c r="N381" s="199"/>
      <c r="O381" s="48"/>
    </row>
    <row r="382" spans="1:17" s="25" customFormat="1" x14ac:dyDescent="0.3">
      <c r="A382" s="154"/>
      <c r="B382" s="134"/>
      <c r="C382" s="157" t="s">
        <v>146</v>
      </c>
      <c r="D382" s="157"/>
      <c r="E382" s="157"/>
      <c r="F382" s="157"/>
      <c r="G382" s="157"/>
      <c r="H382" s="82">
        <v>1</v>
      </c>
      <c r="I382" s="135">
        <v>33.549999999999997</v>
      </c>
      <c r="J382" s="135"/>
      <c r="K382" s="135">
        <v>1</v>
      </c>
      <c r="L382" s="135"/>
      <c r="M382" s="187">
        <f>ROUND(I382*2/H382/365/24*2,2)</f>
        <v>0.02</v>
      </c>
      <c r="N382" s="188"/>
      <c r="O382" s="50"/>
    </row>
    <row r="383" spans="1:17" s="25" customFormat="1" x14ac:dyDescent="0.3">
      <c r="A383" s="154"/>
      <c r="B383" s="134"/>
      <c r="C383" s="157" t="s">
        <v>145</v>
      </c>
      <c r="D383" s="157"/>
      <c r="E383" s="157"/>
      <c r="F383" s="157"/>
      <c r="G383" s="157"/>
      <c r="H383" s="82">
        <v>4</v>
      </c>
      <c r="I383" s="135">
        <v>350.9</v>
      </c>
      <c r="J383" s="135"/>
      <c r="K383" s="135">
        <v>1</v>
      </c>
      <c r="L383" s="135"/>
      <c r="M383" s="187">
        <f>ROUND(I383*2/H383/365/24*2,2)</f>
        <v>0.04</v>
      </c>
      <c r="N383" s="188"/>
      <c r="O383" s="50"/>
    </row>
    <row r="384" spans="1:17" s="25" customFormat="1" x14ac:dyDescent="0.3">
      <c r="A384" s="154"/>
      <c r="B384" s="134"/>
      <c r="C384" s="157" t="s">
        <v>144</v>
      </c>
      <c r="D384" s="157"/>
      <c r="E384" s="157"/>
      <c r="F384" s="157"/>
      <c r="G384" s="157"/>
      <c r="H384" s="82">
        <v>4</v>
      </c>
      <c r="I384" s="135">
        <v>1057.1600000000001</v>
      </c>
      <c r="J384" s="135"/>
      <c r="K384" s="135">
        <v>1</v>
      </c>
      <c r="L384" s="135"/>
      <c r="M384" s="187">
        <f>ROUND(I384*2/H384/365/24*2,2)</f>
        <v>0.12</v>
      </c>
      <c r="N384" s="188"/>
      <c r="O384" s="50"/>
    </row>
    <row r="385" spans="1:22" s="25" customFormat="1" x14ac:dyDescent="0.3">
      <c r="A385" s="154"/>
      <c r="B385" s="134"/>
      <c r="C385" s="157" t="s">
        <v>143</v>
      </c>
      <c r="D385" s="157"/>
      <c r="E385" s="157"/>
      <c r="F385" s="157"/>
      <c r="G385" s="157"/>
      <c r="H385" s="82">
        <v>3</v>
      </c>
      <c r="I385" s="135">
        <v>112.05</v>
      </c>
      <c r="J385" s="135"/>
      <c r="K385" s="135">
        <v>1</v>
      </c>
      <c r="L385" s="135"/>
      <c r="M385" s="187">
        <f>ROUND(I385/H385/365/24*2,2)</f>
        <v>0.01</v>
      </c>
      <c r="N385" s="188"/>
      <c r="O385" s="50"/>
    </row>
    <row r="386" spans="1:22" s="25" customFormat="1" x14ac:dyDescent="0.3">
      <c r="A386" s="154"/>
      <c r="B386" s="134"/>
      <c r="C386" s="157" t="s">
        <v>142</v>
      </c>
      <c r="D386" s="157"/>
      <c r="E386" s="157"/>
      <c r="F386" s="157"/>
      <c r="G386" s="157"/>
      <c r="H386" s="82">
        <v>3</v>
      </c>
      <c r="I386" s="135">
        <v>159.72</v>
      </c>
      <c r="J386" s="135"/>
      <c r="K386" s="135">
        <v>1</v>
      </c>
      <c r="L386" s="135"/>
      <c r="M386" s="187">
        <f t="shared" ref="M386:M392" si="17">ROUND(I386/H386/365/24*2,2)</f>
        <v>0.01</v>
      </c>
      <c r="N386" s="188"/>
      <c r="O386" s="50"/>
    </row>
    <row r="387" spans="1:22" s="25" customFormat="1" x14ac:dyDescent="0.3">
      <c r="A387" s="154"/>
      <c r="B387" s="134"/>
      <c r="C387" s="157" t="s">
        <v>141</v>
      </c>
      <c r="D387" s="157"/>
      <c r="E387" s="157"/>
      <c r="F387" s="157"/>
      <c r="G387" s="157"/>
      <c r="H387" s="82">
        <v>2</v>
      </c>
      <c r="I387" s="135">
        <v>38.72</v>
      </c>
      <c r="J387" s="135"/>
      <c r="K387" s="135">
        <v>1</v>
      </c>
      <c r="L387" s="135"/>
      <c r="M387" s="187">
        <f t="shared" si="17"/>
        <v>0</v>
      </c>
      <c r="N387" s="188"/>
      <c r="O387" s="50"/>
    </row>
    <row r="388" spans="1:22" s="25" customFormat="1" x14ac:dyDescent="0.3">
      <c r="A388" s="154"/>
      <c r="B388" s="134"/>
      <c r="C388" s="157" t="s">
        <v>140</v>
      </c>
      <c r="D388" s="157"/>
      <c r="E388" s="157"/>
      <c r="F388" s="157"/>
      <c r="G388" s="157"/>
      <c r="H388" s="82">
        <v>5</v>
      </c>
      <c r="I388" s="135">
        <v>907.5</v>
      </c>
      <c r="J388" s="135"/>
      <c r="K388" s="135">
        <v>1</v>
      </c>
      <c r="L388" s="135"/>
      <c r="M388" s="187">
        <f t="shared" si="17"/>
        <v>0.04</v>
      </c>
      <c r="N388" s="188"/>
      <c r="O388" s="50"/>
    </row>
    <row r="389" spans="1:22" s="25" customFormat="1" x14ac:dyDescent="0.3">
      <c r="A389" s="154"/>
      <c r="B389" s="134"/>
      <c r="C389" s="157" t="s">
        <v>139</v>
      </c>
      <c r="D389" s="157"/>
      <c r="E389" s="157"/>
      <c r="F389" s="157"/>
      <c r="G389" s="157"/>
      <c r="H389" s="82">
        <v>4</v>
      </c>
      <c r="I389" s="135">
        <v>249.96</v>
      </c>
      <c r="J389" s="135"/>
      <c r="K389" s="135">
        <v>1</v>
      </c>
      <c r="L389" s="135"/>
      <c r="M389" s="187">
        <f t="shared" si="17"/>
        <v>0.01</v>
      </c>
      <c r="N389" s="188"/>
      <c r="O389" s="50"/>
    </row>
    <row r="390" spans="1:22" s="25" customFormat="1" x14ac:dyDescent="0.3">
      <c r="A390" s="154"/>
      <c r="B390" s="134"/>
      <c r="C390" s="157" t="s">
        <v>138</v>
      </c>
      <c r="D390" s="157"/>
      <c r="E390" s="157"/>
      <c r="F390" s="157"/>
      <c r="G390" s="157"/>
      <c r="H390" s="82">
        <v>2</v>
      </c>
      <c r="I390" s="135">
        <v>16</v>
      </c>
      <c r="J390" s="135"/>
      <c r="K390" s="135">
        <v>1</v>
      </c>
      <c r="L390" s="135"/>
      <c r="M390" s="187">
        <f t="shared" si="17"/>
        <v>0</v>
      </c>
      <c r="N390" s="188"/>
      <c r="O390" s="50"/>
    </row>
    <row r="391" spans="1:22" s="25" customFormat="1" x14ac:dyDescent="0.3">
      <c r="A391" s="154"/>
      <c r="B391" s="134"/>
      <c r="C391" s="157" t="s">
        <v>137</v>
      </c>
      <c r="D391" s="157"/>
      <c r="E391" s="157"/>
      <c r="F391" s="157"/>
      <c r="G391" s="157"/>
      <c r="H391" s="82">
        <v>1</v>
      </c>
      <c r="I391" s="135">
        <v>89.74</v>
      </c>
      <c r="J391" s="135"/>
      <c r="K391" s="135">
        <v>1</v>
      </c>
      <c r="L391" s="135"/>
      <c r="M391" s="187">
        <f t="shared" si="17"/>
        <v>0.02</v>
      </c>
      <c r="N391" s="188"/>
      <c r="O391" s="50"/>
    </row>
    <row r="392" spans="1:22" s="25" customFormat="1" x14ac:dyDescent="0.3">
      <c r="A392" s="154"/>
      <c r="B392" s="134"/>
      <c r="C392" s="157" t="s">
        <v>136</v>
      </c>
      <c r="D392" s="157"/>
      <c r="E392" s="157"/>
      <c r="F392" s="157"/>
      <c r="G392" s="157"/>
      <c r="H392" s="82">
        <v>4</v>
      </c>
      <c r="I392" s="135">
        <v>3261.98</v>
      </c>
      <c r="J392" s="135"/>
      <c r="K392" s="135">
        <v>1</v>
      </c>
      <c r="L392" s="135"/>
      <c r="M392" s="187">
        <f t="shared" si="17"/>
        <v>0.19</v>
      </c>
      <c r="N392" s="188"/>
      <c r="O392" s="50"/>
    </row>
    <row r="393" spans="1:22" s="25" customFormat="1" x14ac:dyDescent="0.3">
      <c r="A393" s="154"/>
      <c r="B393" s="134"/>
      <c r="C393" s="157" t="s">
        <v>135</v>
      </c>
      <c r="D393" s="157"/>
      <c r="E393" s="157"/>
      <c r="F393" s="157"/>
      <c r="G393" s="157"/>
      <c r="H393" s="82">
        <v>6</v>
      </c>
      <c r="I393" s="135">
        <v>107.97</v>
      </c>
      <c r="J393" s="135"/>
      <c r="K393" s="135">
        <v>1</v>
      </c>
      <c r="L393" s="135"/>
      <c r="M393" s="187">
        <f>ROUND(I393/H393/365/24*2,2)</f>
        <v>0</v>
      </c>
      <c r="N393" s="188"/>
      <c r="O393" s="50"/>
    </row>
    <row r="394" spans="1:22" x14ac:dyDescent="0.3">
      <c r="A394" s="70">
        <v>5000</v>
      </c>
      <c r="B394" s="189" t="s">
        <v>66</v>
      </c>
      <c r="C394" s="189"/>
      <c r="D394" s="189"/>
      <c r="E394" s="189"/>
      <c r="F394" s="189"/>
      <c r="G394" s="189"/>
      <c r="H394" s="189"/>
      <c r="I394" s="189"/>
      <c r="J394" s="189"/>
      <c r="K394" s="189"/>
      <c r="L394" s="189"/>
      <c r="M394" s="224">
        <f>SUM(M396:N401)</f>
        <v>167.45</v>
      </c>
      <c r="N394" s="225"/>
      <c r="O394" s="49"/>
    </row>
    <row r="395" spans="1:22" ht="15" customHeight="1" x14ac:dyDescent="0.3">
      <c r="A395" s="73"/>
      <c r="B395" s="73"/>
      <c r="C395" s="158" t="s">
        <v>65</v>
      </c>
      <c r="D395" s="158"/>
      <c r="E395" s="156" t="s">
        <v>64</v>
      </c>
      <c r="F395" s="156"/>
      <c r="G395" s="156" t="s">
        <v>63</v>
      </c>
      <c r="H395" s="156"/>
      <c r="I395" s="158" t="s">
        <v>62</v>
      </c>
      <c r="J395" s="158"/>
      <c r="K395" s="156" t="s">
        <v>61</v>
      </c>
      <c r="L395" s="156"/>
      <c r="M395" s="198"/>
      <c r="N395" s="199"/>
    </row>
    <row r="396" spans="1:22" ht="30" customHeight="1" x14ac:dyDescent="0.3">
      <c r="A396" s="154">
        <v>5239</v>
      </c>
      <c r="B396" s="203" t="s">
        <v>134</v>
      </c>
      <c r="C396" s="134" t="s">
        <v>133</v>
      </c>
      <c r="D396" s="134"/>
      <c r="E396" s="159">
        <v>10</v>
      </c>
      <c r="F396" s="159"/>
      <c r="G396" s="159">
        <v>1</v>
      </c>
      <c r="H396" s="159"/>
      <c r="I396" s="159">
        <v>3360.17</v>
      </c>
      <c r="J396" s="159"/>
      <c r="K396" s="159">
        <v>1</v>
      </c>
      <c r="L396" s="159"/>
      <c r="M396" s="187">
        <v>7.67</v>
      </c>
      <c r="N396" s="188"/>
      <c r="O396" s="234"/>
      <c r="V396" t="s">
        <v>130</v>
      </c>
    </row>
    <row r="397" spans="1:22" ht="27" customHeight="1" x14ac:dyDescent="0.3">
      <c r="A397" s="154"/>
      <c r="B397" s="203"/>
      <c r="C397" s="134" t="s">
        <v>132</v>
      </c>
      <c r="D397" s="134"/>
      <c r="E397" s="159">
        <v>10</v>
      </c>
      <c r="F397" s="159"/>
      <c r="G397" s="159">
        <v>1</v>
      </c>
      <c r="H397" s="159"/>
      <c r="I397" s="159">
        <v>507.84</v>
      </c>
      <c r="J397" s="159"/>
      <c r="K397" s="159">
        <v>1</v>
      </c>
      <c r="L397" s="159"/>
      <c r="M397" s="187">
        <v>1.1599999999999999</v>
      </c>
      <c r="N397" s="188"/>
      <c r="O397" s="234"/>
      <c r="V397" t="s">
        <v>128</v>
      </c>
    </row>
    <row r="398" spans="1:22" x14ac:dyDescent="0.3">
      <c r="A398" s="154"/>
      <c r="B398" s="203"/>
      <c r="C398" s="134" t="s">
        <v>131</v>
      </c>
      <c r="D398" s="134"/>
      <c r="E398" s="159">
        <v>10</v>
      </c>
      <c r="F398" s="159"/>
      <c r="G398" s="159">
        <v>1</v>
      </c>
      <c r="H398" s="159"/>
      <c r="I398" s="159">
        <v>317.02</v>
      </c>
      <c r="J398" s="159"/>
      <c r="K398" s="159">
        <v>1</v>
      </c>
      <c r="L398" s="159"/>
      <c r="M398" s="187">
        <v>0.72</v>
      </c>
      <c r="N398" s="188"/>
      <c r="O398" s="234"/>
      <c r="V398" t="s">
        <v>130</v>
      </c>
    </row>
    <row r="399" spans="1:22" x14ac:dyDescent="0.3">
      <c r="A399" s="154"/>
      <c r="B399" s="203"/>
      <c r="C399" s="134" t="s">
        <v>129</v>
      </c>
      <c r="D399" s="134"/>
      <c r="E399" s="159">
        <v>10</v>
      </c>
      <c r="F399" s="159"/>
      <c r="G399" s="159">
        <v>1</v>
      </c>
      <c r="H399" s="159"/>
      <c r="I399" s="159">
        <v>525.14</v>
      </c>
      <c r="J399" s="159"/>
      <c r="K399" s="159">
        <v>1</v>
      </c>
      <c r="L399" s="159"/>
      <c r="M399" s="187">
        <v>1.2</v>
      </c>
      <c r="N399" s="188"/>
      <c r="O399" s="234"/>
      <c r="V399" t="s">
        <v>128</v>
      </c>
    </row>
    <row r="400" spans="1:22" ht="44.55" customHeight="1" x14ac:dyDescent="0.3">
      <c r="A400" s="73">
        <v>5231</v>
      </c>
      <c r="B400" s="73" t="s">
        <v>127</v>
      </c>
      <c r="C400" s="134" t="s">
        <v>126</v>
      </c>
      <c r="D400" s="134"/>
      <c r="E400" s="135">
        <v>6.67</v>
      </c>
      <c r="F400" s="135"/>
      <c r="G400" s="135">
        <v>1</v>
      </c>
      <c r="H400" s="135"/>
      <c r="I400" s="247">
        <v>4665664.67</v>
      </c>
      <c r="J400" s="247"/>
      <c r="K400" s="135">
        <v>1</v>
      </c>
      <c r="L400" s="135"/>
      <c r="M400" s="154">
        <f>ROUND(I400*E400/100/12/165.5*K400,2)</f>
        <v>156.69999999999999</v>
      </c>
      <c r="N400" s="154"/>
      <c r="O400" s="234">
        <f>I400/15/365/24</f>
        <v>35.507341476407909</v>
      </c>
      <c r="P400">
        <v>308651</v>
      </c>
      <c r="Q400">
        <v>206</v>
      </c>
      <c r="S400">
        <v>4762827.67</v>
      </c>
      <c r="T400">
        <v>119</v>
      </c>
      <c r="V400">
        <v>180</v>
      </c>
    </row>
    <row r="401" spans="1:23" ht="31.5" customHeight="1" x14ac:dyDescent="0.3">
      <c r="A401" s="73"/>
      <c r="B401" s="73"/>
      <c r="C401" s="193" t="s">
        <v>206</v>
      </c>
      <c r="D401" s="193"/>
      <c r="E401" s="135"/>
      <c r="F401" s="135"/>
      <c r="G401" s="135"/>
      <c r="H401" s="135"/>
      <c r="I401" s="247"/>
      <c r="J401" s="247"/>
      <c r="K401" s="135"/>
      <c r="L401" s="135"/>
      <c r="M401" s="154"/>
      <c r="N401" s="154"/>
      <c r="O401" s="234"/>
      <c r="P401">
        <v>413878.99</v>
      </c>
      <c r="Q401">
        <v>206</v>
      </c>
      <c r="R401" s="54">
        <f>SUM(P400:P401)/2</f>
        <v>361264.995</v>
      </c>
      <c r="S401">
        <v>4568501.67</v>
      </c>
      <c r="T401">
        <v>119</v>
      </c>
      <c r="U401" s="54">
        <f>SUM(S400:S401)/2</f>
        <v>4665664.67</v>
      </c>
      <c r="V401" t="s">
        <v>125</v>
      </c>
      <c r="W401" t="s">
        <v>124</v>
      </c>
    </row>
    <row r="402" spans="1:23" x14ac:dyDescent="0.3">
      <c r="A402" s="174" t="s">
        <v>123</v>
      </c>
      <c r="B402" s="175"/>
      <c r="C402" s="175"/>
      <c r="D402" s="175"/>
      <c r="E402" s="175"/>
      <c r="F402" s="175"/>
      <c r="G402" s="175"/>
      <c r="H402" s="175"/>
      <c r="I402" s="175"/>
      <c r="J402" s="175"/>
      <c r="K402" s="175"/>
      <c r="L402" s="176"/>
      <c r="M402" s="244">
        <f>ROUND(M376+M362+M394,2)</f>
        <v>248.68</v>
      </c>
      <c r="N402" s="245"/>
      <c r="T402" t="e">
        <f>#REF!/167</f>
        <v>#REF!</v>
      </c>
    </row>
    <row r="403" spans="1:23" x14ac:dyDescent="0.3">
      <c r="A403" s="90"/>
      <c r="B403" s="90"/>
      <c r="C403" s="257"/>
      <c r="D403" s="257"/>
      <c r="E403" s="257"/>
      <c r="F403" s="257"/>
      <c r="G403" s="257"/>
      <c r="H403" s="257"/>
      <c r="I403" s="257"/>
      <c r="J403" s="257"/>
      <c r="K403" s="257"/>
      <c r="L403" s="257"/>
      <c r="M403" s="258"/>
      <c r="N403" s="259"/>
    </row>
    <row r="404" spans="1:23" x14ac:dyDescent="0.3">
      <c r="A404" s="177" t="s">
        <v>2</v>
      </c>
      <c r="B404" s="178"/>
      <c r="C404" s="178"/>
      <c r="D404" s="178"/>
      <c r="E404" s="178"/>
      <c r="F404" s="178"/>
      <c r="G404" s="178"/>
      <c r="H404" s="178"/>
      <c r="I404" s="178"/>
      <c r="J404" s="178"/>
      <c r="K404" s="178"/>
      <c r="L404" s="178"/>
      <c r="M404" s="178"/>
      <c r="N404" s="179"/>
    </row>
    <row r="405" spans="1:23" x14ac:dyDescent="0.3">
      <c r="A405" s="70">
        <v>1000</v>
      </c>
      <c r="B405" s="189" t="s">
        <v>122</v>
      </c>
      <c r="C405" s="189"/>
      <c r="D405" s="189"/>
      <c r="E405" s="189"/>
      <c r="F405" s="189"/>
      <c r="G405" s="189"/>
      <c r="H405" s="189"/>
      <c r="I405" s="189"/>
      <c r="J405" s="189"/>
      <c r="K405" s="189"/>
      <c r="L405" s="189"/>
      <c r="M405" s="224">
        <f>M406+M428</f>
        <v>8.91</v>
      </c>
      <c r="N405" s="225"/>
    </row>
    <row r="406" spans="1:23" x14ac:dyDescent="0.3">
      <c r="A406" s="71">
        <v>1100</v>
      </c>
      <c r="B406" s="189" t="s">
        <v>121</v>
      </c>
      <c r="C406" s="189"/>
      <c r="D406" s="189"/>
      <c r="E406" s="189"/>
      <c r="F406" s="189"/>
      <c r="G406" s="189"/>
      <c r="H406" s="189"/>
      <c r="I406" s="189"/>
      <c r="J406" s="189"/>
      <c r="K406" s="189"/>
      <c r="L406" s="189"/>
      <c r="M406" s="190">
        <f>M407+M414+M419</f>
        <v>7.21</v>
      </c>
      <c r="N406" s="191"/>
    </row>
    <row r="407" spans="1:23" x14ac:dyDescent="0.3">
      <c r="A407" s="154">
        <v>1116</v>
      </c>
      <c r="B407" s="134" t="s">
        <v>120</v>
      </c>
      <c r="C407" s="158" t="s">
        <v>115</v>
      </c>
      <c r="D407" s="158"/>
      <c r="E407" s="158"/>
      <c r="F407" s="158"/>
      <c r="G407" s="158"/>
      <c r="H407" s="158"/>
      <c r="I407" s="156" t="s">
        <v>114</v>
      </c>
      <c r="J407" s="156"/>
      <c r="K407" s="156" t="s">
        <v>61</v>
      </c>
      <c r="L407" s="156"/>
      <c r="M407" s="198">
        <f>M408+M410+M412</f>
        <v>3.09</v>
      </c>
      <c r="N407" s="199"/>
    </row>
    <row r="408" spans="1:23" s="52" customFormat="1" ht="30" customHeight="1" x14ac:dyDescent="0.3">
      <c r="A408" s="154"/>
      <c r="B408" s="134"/>
      <c r="C408" s="193" t="s">
        <v>119</v>
      </c>
      <c r="D408" s="193"/>
      <c r="E408" s="193"/>
      <c r="F408" s="193"/>
      <c r="G408" s="193"/>
      <c r="H408" s="193"/>
      <c r="I408" s="215">
        <v>2875</v>
      </c>
      <c r="J408" s="215"/>
      <c r="K408" s="192">
        <v>3.3000000000000002E-2</v>
      </c>
      <c r="L408" s="192"/>
      <c r="M408" s="231">
        <f>ROUND(I408/165.5*K408,2)</f>
        <v>0.56999999999999995</v>
      </c>
      <c r="N408" s="231"/>
      <c r="O408" s="220"/>
    </row>
    <row r="409" spans="1:23" s="52" customFormat="1" ht="17.100000000000001" customHeight="1" x14ac:dyDescent="0.3">
      <c r="A409" s="154"/>
      <c r="B409" s="134"/>
      <c r="C409" s="193" t="s">
        <v>207</v>
      </c>
      <c r="D409" s="193"/>
      <c r="E409" s="193"/>
      <c r="F409" s="193"/>
      <c r="G409" s="193"/>
      <c r="H409" s="193"/>
      <c r="I409" s="215"/>
      <c r="J409" s="215"/>
      <c r="K409" s="192"/>
      <c r="L409" s="192"/>
      <c r="M409" s="231">
        <f>ROUND(I409/167*K409,2)</f>
        <v>0</v>
      </c>
      <c r="N409" s="231"/>
      <c r="O409" s="220"/>
    </row>
    <row r="410" spans="1:23" s="52" customFormat="1" ht="31.05" customHeight="1" x14ac:dyDescent="0.3">
      <c r="A410" s="154"/>
      <c r="B410" s="134"/>
      <c r="C410" s="193" t="s">
        <v>118</v>
      </c>
      <c r="D410" s="193"/>
      <c r="E410" s="193"/>
      <c r="F410" s="193"/>
      <c r="G410" s="193"/>
      <c r="H410" s="193"/>
      <c r="I410" s="215">
        <v>2845</v>
      </c>
      <c r="J410" s="215"/>
      <c r="K410" s="192">
        <v>8.3000000000000004E-2</v>
      </c>
      <c r="L410" s="192"/>
      <c r="M410" s="231">
        <f>ROUND(I410/165.5*K410,2)</f>
        <v>1.43</v>
      </c>
      <c r="N410" s="231"/>
      <c r="O410" s="220"/>
    </row>
    <row r="411" spans="1:23" s="52" customFormat="1" ht="14.55" customHeight="1" x14ac:dyDescent="0.3">
      <c r="A411" s="154"/>
      <c r="B411" s="134"/>
      <c r="C411" s="193" t="s">
        <v>208</v>
      </c>
      <c r="D411" s="193"/>
      <c r="E411" s="193"/>
      <c r="F411" s="193"/>
      <c r="G411" s="193"/>
      <c r="H411" s="193"/>
      <c r="I411" s="215"/>
      <c r="J411" s="215"/>
      <c r="K411" s="192"/>
      <c r="L411" s="192"/>
      <c r="M411" s="231">
        <f t="shared" ref="M411" si="18">ROUND(I411/167*K411,2)</f>
        <v>0</v>
      </c>
      <c r="N411" s="231"/>
      <c r="O411" s="220"/>
    </row>
    <row r="412" spans="1:23" s="52" customFormat="1" ht="33" customHeight="1" x14ac:dyDescent="0.3">
      <c r="A412" s="154"/>
      <c r="B412" s="134"/>
      <c r="C412" s="193" t="s">
        <v>117</v>
      </c>
      <c r="D412" s="193"/>
      <c r="E412" s="193"/>
      <c r="F412" s="193"/>
      <c r="G412" s="193"/>
      <c r="H412" s="193"/>
      <c r="I412" s="215">
        <v>2175</v>
      </c>
      <c r="J412" s="215"/>
      <c r="K412" s="248">
        <v>8.3000000000000004E-2</v>
      </c>
      <c r="L412" s="249"/>
      <c r="M412" s="231">
        <f>ROUND(I412/165.5*K412,2)</f>
        <v>1.0900000000000001</v>
      </c>
      <c r="N412" s="231"/>
      <c r="O412" s="220"/>
    </row>
    <row r="413" spans="1:23" s="52" customFormat="1" ht="14.55" customHeight="1" x14ac:dyDescent="0.3">
      <c r="A413" s="154"/>
      <c r="B413" s="134"/>
      <c r="C413" s="193" t="s">
        <v>208</v>
      </c>
      <c r="D413" s="193"/>
      <c r="E413" s="193"/>
      <c r="F413" s="193"/>
      <c r="G413" s="193"/>
      <c r="H413" s="193"/>
      <c r="I413" s="215"/>
      <c r="J413" s="215"/>
      <c r="K413" s="250"/>
      <c r="L413" s="251"/>
      <c r="M413" s="231">
        <f t="shared" ref="M413" si="19">ROUND(I413/167*K413,2)</f>
        <v>0</v>
      </c>
      <c r="N413" s="231"/>
      <c r="O413" s="220"/>
    </row>
    <row r="414" spans="1:23" x14ac:dyDescent="0.3">
      <c r="A414" s="154">
        <v>1119</v>
      </c>
      <c r="B414" s="134" t="s">
        <v>116</v>
      </c>
      <c r="C414" s="158" t="s">
        <v>115</v>
      </c>
      <c r="D414" s="158"/>
      <c r="E414" s="158"/>
      <c r="F414" s="158"/>
      <c r="G414" s="158"/>
      <c r="H414" s="158"/>
      <c r="I414" s="156" t="s">
        <v>114</v>
      </c>
      <c r="J414" s="156"/>
      <c r="K414" s="156" t="s">
        <v>61</v>
      </c>
      <c r="L414" s="156"/>
      <c r="M414" s="198">
        <f>M415+M417</f>
        <v>4.0200000000000005</v>
      </c>
      <c r="N414" s="199"/>
      <c r="O414" s="48"/>
    </row>
    <row r="415" spans="1:23" s="52" customFormat="1" ht="29.55" customHeight="1" x14ac:dyDescent="0.3">
      <c r="A415" s="154"/>
      <c r="B415" s="134"/>
      <c r="C415" s="193" t="s">
        <v>113</v>
      </c>
      <c r="D415" s="193"/>
      <c r="E415" s="193"/>
      <c r="F415" s="193"/>
      <c r="G415" s="193"/>
      <c r="H415" s="193"/>
      <c r="I415" s="252">
        <v>1990</v>
      </c>
      <c r="J415" s="253"/>
      <c r="K415" s="248">
        <v>0.33</v>
      </c>
      <c r="L415" s="249"/>
      <c r="M415" s="231">
        <f>ROUND(I415/165.5*K415,2)</f>
        <v>3.97</v>
      </c>
      <c r="N415" s="231"/>
      <c r="O415" s="220"/>
    </row>
    <row r="416" spans="1:23" s="52" customFormat="1" ht="15" customHeight="1" x14ac:dyDescent="0.3">
      <c r="A416" s="154"/>
      <c r="B416" s="134"/>
      <c r="C416" s="193" t="s">
        <v>209</v>
      </c>
      <c r="D416" s="193"/>
      <c r="E416" s="193"/>
      <c r="F416" s="193"/>
      <c r="G416" s="193"/>
      <c r="H416" s="193"/>
      <c r="I416" s="254"/>
      <c r="J416" s="255"/>
      <c r="K416" s="250"/>
      <c r="L416" s="251"/>
      <c r="M416" s="231">
        <f>ROUND(I416/167*K416,2)</f>
        <v>0</v>
      </c>
      <c r="N416" s="231"/>
      <c r="O416" s="220"/>
    </row>
    <row r="417" spans="1:16" s="52" customFormat="1" ht="33" customHeight="1" x14ac:dyDescent="0.3">
      <c r="A417" s="154"/>
      <c r="B417" s="134"/>
      <c r="C417" s="193" t="s">
        <v>112</v>
      </c>
      <c r="D417" s="193"/>
      <c r="E417" s="193"/>
      <c r="F417" s="193"/>
      <c r="G417" s="193"/>
      <c r="H417" s="193"/>
      <c r="I417" s="252">
        <v>755</v>
      </c>
      <c r="J417" s="253"/>
      <c r="K417" s="248">
        <v>0.01</v>
      </c>
      <c r="L417" s="249"/>
      <c r="M417" s="231">
        <f>ROUND(I417/165.5*K417,2)</f>
        <v>0.05</v>
      </c>
      <c r="N417" s="231"/>
      <c r="O417" s="220"/>
    </row>
    <row r="418" spans="1:16" s="52" customFormat="1" ht="15" customHeight="1" x14ac:dyDescent="0.3">
      <c r="A418" s="154"/>
      <c r="B418" s="134"/>
      <c r="C418" s="193" t="s">
        <v>209</v>
      </c>
      <c r="D418" s="193"/>
      <c r="E418" s="193"/>
      <c r="F418" s="193"/>
      <c r="G418" s="193"/>
      <c r="H418" s="193"/>
      <c r="I418" s="254"/>
      <c r="J418" s="255"/>
      <c r="K418" s="250"/>
      <c r="L418" s="251"/>
      <c r="M418" s="231">
        <f>ROUND(I418/167*K418,2)</f>
        <v>0</v>
      </c>
      <c r="N418" s="231"/>
      <c r="O418" s="220"/>
    </row>
    <row r="419" spans="1:16" ht="15.75" customHeight="1" x14ac:dyDescent="0.3">
      <c r="A419" s="154">
        <v>1143</v>
      </c>
      <c r="B419" s="134" t="s">
        <v>111</v>
      </c>
      <c r="C419" s="158" t="s">
        <v>110</v>
      </c>
      <c r="D419" s="158"/>
      <c r="E419" s="158"/>
      <c r="F419" s="158"/>
      <c r="G419" s="158"/>
      <c r="H419" s="158"/>
      <c r="I419" s="156" t="s">
        <v>109</v>
      </c>
      <c r="J419" s="156"/>
      <c r="K419" s="156" t="s">
        <v>61</v>
      </c>
      <c r="L419" s="156"/>
      <c r="M419" s="198">
        <f>M420+M422</f>
        <v>0.1</v>
      </c>
      <c r="N419" s="199"/>
      <c r="O419" s="48"/>
    </row>
    <row r="420" spans="1:16" s="52" customFormat="1" x14ac:dyDescent="0.3">
      <c r="A420" s="154"/>
      <c r="B420" s="134"/>
      <c r="C420" s="193" t="s">
        <v>108</v>
      </c>
      <c r="D420" s="193"/>
      <c r="E420" s="193"/>
      <c r="F420" s="193"/>
      <c r="G420" s="193"/>
      <c r="H420" s="193"/>
      <c r="I420" s="192">
        <v>106</v>
      </c>
      <c r="J420" s="192"/>
      <c r="K420" s="192">
        <v>3.3000000000000002E-2</v>
      </c>
      <c r="L420" s="192"/>
      <c r="M420" s="231">
        <f>ROUND(I420/165.5*K420,2)</f>
        <v>0.02</v>
      </c>
      <c r="N420" s="231"/>
      <c r="O420" s="220"/>
    </row>
    <row r="421" spans="1:16" s="52" customFormat="1" ht="15.75" customHeight="1" x14ac:dyDescent="0.3">
      <c r="A421" s="154"/>
      <c r="B421" s="134"/>
      <c r="C421" s="193" t="s">
        <v>210</v>
      </c>
      <c r="D421" s="193"/>
      <c r="E421" s="193"/>
      <c r="F421" s="193"/>
      <c r="G421" s="193"/>
      <c r="H421" s="193"/>
      <c r="I421" s="192"/>
      <c r="J421" s="192"/>
      <c r="K421" s="192"/>
      <c r="L421" s="192"/>
      <c r="M421" s="231">
        <f>ROUND(I421/167*K421,2)</f>
        <v>0</v>
      </c>
      <c r="N421" s="231"/>
      <c r="O421" s="220"/>
    </row>
    <row r="422" spans="1:16" s="52" customFormat="1" x14ac:dyDescent="0.3">
      <c r="A422" s="154"/>
      <c r="B422" s="134"/>
      <c r="C422" s="193" t="s">
        <v>107</v>
      </c>
      <c r="D422" s="193"/>
      <c r="E422" s="193"/>
      <c r="F422" s="193"/>
      <c r="G422" s="193"/>
      <c r="H422" s="193"/>
      <c r="I422" s="192">
        <f>78*2</f>
        <v>156</v>
      </c>
      <c r="J422" s="192"/>
      <c r="K422" s="192">
        <v>8.3000000000000004E-2</v>
      </c>
      <c r="L422" s="192"/>
      <c r="M422" s="231">
        <f>ROUND(I422/165.5*K422,2)</f>
        <v>0.08</v>
      </c>
      <c r="N422" s="231"/>
      <c r="O422" s="220"/>
    </row>
    <row r="423" spans="1:16" s="52" customFormat="1" ht="15.75" customHeight="1" x14ac:dyDescent="0.3">
      <c r="A423" s="154"/>
      <c r="B423" s="134"/>
      <c r="C423" s="193" t="s">
        <v>210</v>
      </c>
      <c r="D423" s="193"/>
      <c r="E423" s="193"/>
      <c r="F423" s="193"/>
      <c r="G423" s="193"/>
      <c r="H423" s="193"/>
      <c r="I423" s="192"/>
      <c r="J423" s="192"/>
      <c r="K423" s="192"/>
      <c r="L423" s="192"/>
      <c r="M423" s="231">
        <f>ROUND(I423/167*K423,2)</f>
        <v>0</v>
      </c>
      <c r="N423" s="231"/>
      <c r="O423" s="220"/>
    </row>
    <row r="424" spans="1:16" s="52" customFormat="1" ht="15.75" customHeight="1" x14ac:dyDescent="0.3">
      <c r="A424" s="143">
        <v>1145</v>
      </c>
      <c r="B424" s="146" t="s">
        <v>155</v>
      </c>
      <c r="C424" s="149" t="s">
        <v>191</v>
      </c>
      <c r="D424" s="150"/>
      <c r="E424" s="150"/>
      <c r="F424" s="150"/>
      <c r="G424" s="150"/>
      <c r="H424" s="151"/>
      <c r="I424" s="152" t="s">
        <v>109</v>
      </c>
      <c r="J424" s="153"/>
      <c r="K424" s="152" t="s">
        <v>61</v>
      </c>
      <c r="L424" s="155"/>
      <c r="M424" s="202">
        <f>N425+N427+M426</f>
        <v>0.15</v>
      </c>
      <c r="N424" s="202"/>
      <c r="O424" s="199"/>
    </row>
    <row r="425" spans="1:16" s="52" customFormat="1" ht="28.05" customHeight="1" x14ac:dyDescent="0.3">
      <c r="A425" s="144"/>
      <c r="B425" s="147"/>
      <c r="C425" s="136" t="s">
        <v>205</v>
      </c>
      <c r="D425" s="137"/>
      <c r="E425" s="137"/>
      <c r="F425" s="137"/>
      <c r="G425" s="137"/>
      <c r="H425" s="138"/>
      <c r="I425" s="139">
        <v>300</v>
      </c>
      <c r="J425" s="140"/>
      <c r="K425" s="139">
        <v>3.3000000000000002E-2</v>
      </c>
      <c r="L425" s="140"/>
      <c r="M425" s="141">
        <f>ROUND(I425/165.5*K425,2)</f>
        <v>0.06</v>
      </c>
      <c r="N425" s="142"/>
      <c r="O425" s="64"/>
    </row>
    <row r="426" spans="1:16" s="52" customFormat="1" ht="28.05" customHeight="1" x14ac:dyDescent="0.3">
      <c r="A426" s="144"/>
      <c r="B426" s="147"/>
      <c r="C426" s="136" t="s">
        <v>205</v>
      </c>
      <c r="D426" s="137"/>
      <c r="E426" s="137"/>
      <c r="F426" s="137"/>
      <c r="G426" s="137"/>
      <c r="H426" s="138"/>
      <c r="I426" s="139">
        <v>300</v>
      </c>
      <c r="J426" s="140"/>
      <c r="K426" s="139">
        <v>8.3000000000000004E-2</v>
      </c>
      <c r="L426" s="140"/>
      <c r="M426" s="141">
        <f>ROUND(I426/165.5*K426,2)</f>
        <v>0.15</v>
      </c>
      <c r="N426" s="142"/>
      <c r="O426" s="64"/>
    </row>
    <row r="427" spans="1:16" s="52" customFormat="1" ht="28.05" customHeight="1" x14ac:dyDescent="0.3">
      <c r="A427" s="145"/>
      <c r="B427" s="148"/>
      <c r="C427" s="136" t="s">
        <v>205</v>
      </c>
      <c r="D427" s="137"/>
      <c r="E427" s="137"/>
      <c r="F427" s="137"/>
      <c r="G427" s="137"/>
      <c r="H427" s="138"/>
      <c r="I427" s="139">
        <v>300</v>
      </c>
      <c r="J427" s="140"/>
      <c r="K427" s="139">
        <v>8.3000000000000004E-2</v>
      </c>
      <c r="L427" s="140"/>
      <c r="M427" s="141">
        <f>ROUND(I427/165.5*K427,2)</f>
        <v>0.15</v>
      </c>
      <c r="N427" s="142"/>
      <c r="O427" s="64"/>
    </row>
    <row r="428" spans="1:16" x14ac:dyDescent="0.3">
      <c r="A428" s="71">
        <v>1200</v>
      </c>
      <c r="B428" s="189" t="s">
        <v>106</v>
      </c>
      <c r="C428" s="189"/>
      <c r="D428" s="189"/>
      <c r="E428" s="189"/>
      <c r="F428" s="189"/>
      <c r="G428" s="189"/>
      <c r="H428" s="189"/>
      <c r="I428" s="189"/>
      <c r="J428" s="189"/>
      <c r="K428" s="189"/>
      <c r="L428" s="189"/>
      <c r="M428" s="224">
        <f>M429</f>
        <v>1.7</v>
      </c>
      <c r="N428" s="225"/>
      <c r="O428" s="48"/>
    </row>
    <row r="429" spans="1:16" x14ac:dyDescent="0.3">
      <c r="A429" s="78">
        <v>1210</v>
      </c>
      <c r="B429" s="134" t="s">
        <v>105</v>
      </c>
      <c r="C429" s="134"/>
      <c r="D429" s="134"/>
      <c r="E429" s="134"/>
      <c r="F429" s="134"/>
      <c r="G429" s="134"/>
      <c r="H429" s="134"/>
      <c r="I429" s="134"/>
      <c r="J429" s="134"/>
      <c r="K429" s="134"/>
      <c r="L429" s="134"/>
      <c r="M429" s="187">
        <f>ROUND(M406*0.2359,2)</f>
        <v>1.7</v>
      </c>
      <c r="N429" s="188"/>
      <c r="O429" s="48"/>
    </row>
    <row r="430" spans="1:16" x14ac:dyDescent="0.3">
      <c r="A430" s="70">
        <v>2000</v>
      </c>
      <c r="B430" s="189" t="s">
        <v>104</v>
      </c>
      <c r="C430" s="189"/>
      <c r="D430" s="189"/>
      <c r="E430" s="189"/>
      <c r="F430" s="189"/>
      <c r="G430" s="189"/>
      <c r="H430" s="189"/>
      <c r="I430" s="189"/>
      <c r="J430" s="189"/>
      <c r="K430" s="189"/>
      <c r="L430" s="189"/>
      <c r="M430" s="190">
        <f>M431+M442</f>
        <v>40.959999999999994</v>
      </c>
      <c r="N430" s="191"/>
      <c r="O430" s="48"/>
    </row>
    <row r="431" spans="1:16" x14ac:dyDescent="0.3">
      <c r="A431" s="71">
        <v>2200</v>
      </c>
      <c r="B431" s="189" t="s">
        <v>103</v>
      </c>
      <c r="C431" s="189"/>
      <c r="D431" s="189"/>
      <c r="E431" s="189"/>
      <c r="F431" s="189"/>
      <c r="G431" s="189"/>
      <c r="H431" s="189"/>
      <c r="I431" s="189"/>
      <c r="J431" s="189"/>
      <c r="K431" s="189"/>
      <c r="L431" s="189"/>
      <c r="M431" s="190">
        <f>SUM(M433:N441)</f>
        <v>40.769999999999996</v>
      </c>
      <c r="N431" s="191"/>
      <c r="O431" s="48"/>
    </row>
    <row r="432" spans="1:16" x14ac:dyDescent="0.3">
      <c r="A432" s="154">
        <v>2220</v>
      </c>
      <c r="B432" s="134" t="s">
        <v>102</v>
      </c>
      <c r="C432" s="158" t="s">
        <v>65</v>
      </c>
      <c r="D432" s="158"/>
      <c r="E432" s="158"/>
      <c r="F432" s="158"/>
      <c r="G432" s="158"/>
      <c r="H432" s="158"/>
      <c r="I432" s="156" t="s">
        <v>62</v>
      </c>
      <c r="J432" s="156"/>
      <c r="K432" s="156" t="s">
        <v>61</v>
      </c>
      <c r="L432" s="156"/>
      <c r="M432" s="198"/>
      <c r="N432" s="199"/>
      <c r="O432" s="48" t="s">
        <v>101</v>
      </c>
      <c r="P432" t="s">
        <v>100</v>
      </c>
    </row>
    <row r="433" spans="1:19" s="51" customFormat="1" x14ac:dyDescent="0.3">
      <c r="A433" s="154"/>
      <c r="B433" s="134"/>
      <c r="C433" s="134" t="s">
        <v>99</v>
      </c>
      <c r="D433" s="134"/>
      <c r="E433" s="134"/>
      <c r="F433" s="134"/>
      <c r="G433" s="134"/>
      <c r="H433" s="134"/>
      <c r="I433" s="135">
        <f>P433</f>
        <v>4.59</v>
      </c>
      <c r="J433" s="135"/>
      <c r="K433" s="135">
        <v>1</v>
      </c>
      <c r="L433" s="135"/>
      <c r="M433" s="228">
        <f t="shared" ref="M433:M441" si="20">I433*K433</f>
        <v>4.59</v>
      </c>
      <c r="N433" s="229"/>
      <c r="O433" s="85">
        <v>40170.910000000003</v>
      </c>
      <c r="P433" s="51">
        <f>ROUND(O433/365/24,2)</f>
        <v>4.59</v>
      </c>
    </row>
    <row r="434" spans="1:19" s="51" customFormat="1" ht="72" customHeight="1" x14ac:dyDescent="0.3">
      <c r="A434" s="154"/>
      <c r="B434" s="134"/>
      <c r="C434" s="134" t="s">
        <v>98</v>
      </c>
      <c r="D434" s="134"/>
      <c r="E434" s="134"/>
      <c r="F434" s="134"/>
      <c r="G434" s="134"/>
      <c r="H434" s="134"/>
      <c r="I434" s="135">
        <v>1.41</v>
      </c>
      <c r="J434" s="135"/>
      <c r="K434" s="135">
        <v>1</v>
      </c>
      <c r="L434" s="135"/>
      <c r="M434" s="228">
        <f t="shared" si="20"/>
        <v>1.41</v>
      </c>
      <c r="N434" s="229"/>
      <c r="O434" s="86" t="s">
        <v>97</v>
      </c>
    </row>
    <row r="435" spans="1:19" s="51" customFormat="1" ht="27.6" x14ac:dyDescent="0.3">
      <c r="A435" s="73">
        <v>2235</v>
      </c>
      <c r="B435" s="73" t="s">
        <v>96</v>
      </c>
      <c r="C435" s="134" t="s">
        <v>95</v>
      </c>
      <c r="D435" s="134"/>
      <c r="E435" s="134"/>
      <c r="F435" s="134"/>
      <c r="G435" s="134"/>
      <c r="H435" s="134"/>
      <c r="I435" s="135">
        <f>P435</f>
        <v>33.409999999999997</v>
      </c>
      <c r="J435" s="135"/>
      <c r="K435" s="135">
        <v>1</v>
      </c>
      <c r="L435" s="135"/>
      <c r="M435" s="228">
        <f t="shared" si="20"/>
        <v>33.409999999999997</v>
      </c>
      <c r="N435" s="229"/>
      <c r="O435" s="87">
        <v>292695.89</v>
      </c>
      <c r="P435" s="51">
        <f t="shared" ref="P435:P441" si="21">ROUND(O435/365/24,2)</f>
        <v>33.409999999999997</v>
      </c>
    </row>
    <row r="436" spans="1:19" ht="27.6" x14ac:dyDescent="0.3">
      <c r="A436" s="73">
        <v>2234</v>
      </c>
      <c r="B436" s="73" t="s">
        <v>94</v>
      </c>
      <c r="C436" s="134" t="s">
        <v>93</v>
      </c>
      <c r="D436" s="134"/>
      <c r="E436" s="134"/>
      <c r="F436" s="134"/>
      <c r="G436" s="134"/>
      <c r="H436" s="134"/>
      <c r="I436" s="135">
        <f>P436</f>
        <v>1</v>
      </c>
      <c r="J436" s="135"/>
      <c r="K436" s="135">
        <v>1</v>
      </c>
      <c r="L436" s="135"/>
      <c r="M436" s="228">
        <f t="shared" si="20"/>
        <v>1</v>
      </c>
      <c r="N436" s="229"/>
      <c r="O436" s="88">
        <v>8720</v>
      </c>
      <c r="P436">
        <f t="shared" si="21"/>
        <v>1</v>
      </c>
    </row>
    <row r="437" spans="1:19" ht="31.05" customHeight="1" x14ac:dyDescent="0.3">
      <c r="A437" s="73">
        <v>2247</v>
      </c>
      <c r="B437" s="73" t="s">
        <v>92</v>
      </c>
      <c r="C437" s="134" t="s">
        <v>91</v>
      </c>
      <c r="D437" s="134"/>
      <c r="E437" s="134"/>
      <c r="F437" s="134"/>
      <c r="G437" s="134"/>
      <c r="H437" s="134"/>
      <c r="I437" s="135">
        <f>P437</f>
        <v>0.33</v>
      </c>
      <c r="J437" s="135"/>
      <c r="K437" s="135">
        <v>1</v>
      </c>
      <c r="L437" s="135"/>
      <c r="M437" s="228">
        <f t="shared" si="20"/>
        <v>0.33</v>
      </c>
      <c r="N437" s="229"/>
      <c r="O437" s="84">
        <v>2920</v>
      </c>
      <c r="P437">
        <f t="shared" si="21"/>
        <v>0.33</v>
      </c>
      <c r="R437">
        <v>2920</v>
      </c>
      <c r="S437" t="s">
        <v>90</v>
      </c>
    </row>
    <row r="438" spans="1:19" ht="72" customHeight="1" x14ac:dyDescent="0.3">
      <c r="A438" s="166">
        <v>2239</v>
      </c>
      <c r="B438" s="203" t="s">
        <v>89</v>
      </c>
      <c r="C438" s="193" t="s">
        <v>181</v>
      </c>
      <c r="D438" s="193"/>
      <c r="E438" s="193"/>
      <c r="F438" s="193"/>
      <c r="G438" s="193"/>
      <c r="H438" s="193"/>
      <c r="I438" s="135"/>
      <c r="J438" s="135"/>
      <c r="K438" s="135"/>
      <c r="L438" s="135"/>
      <c r="M438" s="228">
        <f t="shared" si="20"/>
        <v>0</v>
      </c>
      <c r="N438" s="229"/>
      <c r="O438">
        <f>250+(250*12%)*1.21</f>
        <v>286.3</v>
      </c>
      <c r="P438">
        <f>ROUND(O438/3,2)</f>
        <v>95.43</v>
      </c>
    </row>
    <row r="439" spans="1:19" ht="22.5" customHeight="1" x14ac:dyDescent="0.3">
      <c r="A439" s="167"/>
      <c r="B439" s="203"/>
      <c r="C439" s="134" t="s">
        <v>180</v>
      </c>
      <c r="D439" s="134"/>
      <c r="E439" s="134"/>
      <c r="F439" s="134"/>
      <c r="G439" s="134"/>
      <c r="H439" s="134"/>
      <c r="I439" s="135"/>
      <c r="J439" s="135"/>
      <c r="K439" s="135"/>
      <c r="L439" s="135"/>
      <c r="M439" s="228">
        <f t="shared" si="20"/>
        <v>0</v>
      </c>
      <c r="N439" s="229"/>
      <c r="O439">
        <v>369.2</v>
      </c>
      <c r="P439">
        <f t="shared" si="21"/>
        <v>0.04</v>
      </c>
    </row>
    <row r="440" spans="1:19" ht="18.600000000000001" customHeight="1" x14ac:dyDescent="0.3">
      <c r="A440" s="167"/>
      <c r="B440" s="203"/>
      <c r="C440" s="134" t="s">
        <v>88</v>
      </c>
      <c r="D440" s="134"/>
      <c r="E440" s="134"/>
      <c r="F440" s="134"/>
      <c r="G440" s="134"/>
      <c r="H440" s="134"/>
      <c r="I440" s="135">
        <f>P440</f>
        <v>0.01</v>
      </c>
      <c r="J440" s="135"/>
      <c r="K440" s="135">
        <v>1</v>
      </c>
      <c r="L440" s="135"/>
      <c r="M440" s="228">
        <f t="shared" si="20"/>
        <v>0.01</v>
      </c>
      <c r="N440" s="229"/>
      <c r="O440">
        <v>130</v>
      </c>
      <c r="P440">
        <f t="shared" si="21"/>
        <v>0.01</v>
      </c>
    </row>
    <row r="441" spans="1:19" x14ac:dyDescent="0.3">
      <c r="A441" s="168"/>
      <c r="B441" s="203"/>
      <c r="C441" s="134" t="s">
        <v>87</v>
      </c>
      <c r="D441" s="134"/>
      <c r="E441" s="134"/>
      <c r="F441" s="134"/>
      <c r="G441" s="134"/>
      <c r="H441" s="134"/>
      <c r="I441" s="135">
        <f>P441</f>
        <v>0.02</v>
      </c>
      <c r="J441" s="135"/>
      <c r="K441" s="135">
        <v>1</v>
      </c>
      <c r="L441" s="135"/>
      <c r="M441" s="228">
        <f t="shared" si="20"/>
        <v>0.02</v>
      </c>
      <c r="N441" s="229"/>
      <c r="O441">
        <f>239.47*1.21/2</f>
        <v>144.87934999999999</v>
      </c>
      <c r="P441">
        <f t="shared" si="21"/>
        <v>0.02</v>
      </c>
    </row>
    <row r="442" spans="1:19" x14ac:dyDescent="0.3">
      <c r="A442" s="71">
        <v>2300</v>
      </c>
      <c r="B442" s="189" t="s">
        <v>86</v>
      </c>
      <c r="C442" s="189"/>
      <c r="D442" s="189"/>
      <c r="E442" s="189"/>
      <c r="F442" s="189"/>
      <c r="G442" s="189"/>
      <c r="H442" s="189"/>
      <c r="I442" s="189"/>
      <c r="J442" s="189"/>
      <c r="K442" s="189"/>
      <c r="L442" s="189"/>
      <c r="M442" s="224">
        <f>SUM(M444:N460)</f>
        <v>0.19000000000000003</v>
      </c>
      <c r="N442" s="225"/>
      <c r="O442" s="48"/>
    </row>
    <row r="443" spans="1:19" s="25" customFormat="1" ht="27.6" x14ac:dyDescent="0.3">
      <c r="A443" s="154">
        <v>2364</v>
      </c>
      <c r="B443" s="134" t="s">
        <v>85</v>
      </c>
      <c r="C443" s="158" t="s">
        <v>65</v>
      </c>
      <c r="D443" s="158"/>
      <c r="E443" s="158"/>
      <c r="F443" s="158"/>
      <c r="G443" s="158"/>
      <c r="H443" s="79" t="s">
        <v>84</v>
      </c>
      <c r="I443" s="158" t="s">
        <v>62</v>
      </c>
      <c r="J443" s="158"/>
      <c r="K443" s="156" t="s">
        <v>61</v>
      </c>
      <c r="L443" s="156"/>
      <c r="M443" s="198"/>
      <c r="N443" s="199"/>
      <c r="O443" s="50"/>
    </row>
    <row r="444" spans="1:19" s="25" customFormat="1" x14ac:dyDescent="0.3">
      <c r="A444" s="154"/>
      <c r="B444" s="134"/>
      <c r="C444" s="157" t="s">
        <v>83</v>
      </c>
      <c r="D444" s="157"/>
      <c r="E444" s="157"/>
      <c r="F444" s="157"/>
      <c r="G444" s="157"/>
      <c r="H444" s="82">
        <v>1</v>
      </c>
      <c r="I444" s="135">
        <v>50.07</v>
      </c>
      <c r="J444" s="135"/>
      <c r="K444" s="135">
        <v>1</v>
      </c>
      <c r="L444" s="135"/>
      <c r="M444" s="187">
        <f>ROUND(I444/H444/365/24*3,2)</f>
        <v>0.02</v>
      </c>
      <c r="N444" s="188"/>
      <c r="O444" s="50"/>
    </row>
    <row r="445" spans="1:19" s="25" customFormat="1" x14ac:dyDescent="0.3">
      <c r="A445" s="154"/>
      <c r="B445" s="134"/>
      <c r="C445" s="157" t="s">
        <v>82</v>
      </c>
      <c r="D445" s="157"/>
      <c r="E445" s="157"/>
      <c r="F445" s="157"/>
      <c r="G445" s="157"/>
      <c r="H445" s="82">
        <v>1</v>
      </c>
      <c r="I445" s="135">
        <v>20.239999999999998</v>
      </c>
      <c r="J445" s="135"/>
      <c r="K445" s="135">
        <v>1</v>
      </c>
      <c r="L445" s="135"/>
      <c r="M445" s="187">
        <f>ROUND(I445/H445/365/24*3,2)</f>
        <v>0.01</v>
      </c>
      <c r="N445" s="188"/>
      <c r="O445" s="50"/>
    </row>
    <row r="446" spans="1:19" s="25" customFormat="1" x14ac:dyDescent="0.3">
      <c r="A446" s="154"/>
      <c r="B446" s="134"/>
      <c r="C446" s="157" t="s">
        <v>81</v>
      </c>
      <c r="D446" s="157"/>
      <c r="E446" s="157"/>
      <c r="F446" s="157"/>
      <c r="G446" s="157"/>
      <c r="H446" s="82">
        <v>1</v>
      </c>
      <c r="I446" s="135">
        <v>17.260000000000002</v>
      </c>
      <c r="J446" s="135"/>
      <c r="K446" s="135">
        <v>1</v>
      </c>
      <c r="L446" s="135"/>
      <c r="M446" s="187">
        <f>ROUND(I446/H446/365/24*3,2)</f>
        <v>0.01</v>
      </c>
      <c r="N446" s="188"/>
      <c r="O446" s="50"/>
    </row>
    <row r="447" spans="1:19" s="25" customFormat="1" x14ac:dyDescent="0.3">
      <c r="A447" s="154"/>
      <c r="B447" s="134"/>
      <c r="C447" s="157" t="s">
        <v>80</v>
      </c>
      <c r="D447" s="157"/>
      <c r="E447" s="157"/>
      <c r="F447" s="157"/>
      <c r="G447" s="157"/>
      <c r="H447" s="82">
        <v>2</v>
      </c>
      <c r="I447" s="135">
        <f>39.77+39.77</f>
        <v>79.540000000000006</v>
      </c>
      <c r="J447" s="135"/>
      <c r="K447" s="135">
        <v>1</v>
      </c>
      <c r="L447" s="135"/>
      <c r="M447" s="187">
        <f>ROUND(I447/H447/365/24*3,2)</f>
        <v>0.01</v>
      </c>
      <c r="N447" s="188"/>
      <c r="O447" s="50"/>
    </row>
    <row r="448" spans="1:19" s="25" customFormat="1" x14ac:dyDescent="0.3">
      <c r="A448" s="154"/>
      <c r="B448" s="134"/>
      <c r="C448" s="157" t="s">
        <v>79</v>
      </c>
      <c r="D448" s="157"/>
      <c r="E448" s="157"/>
      <c r="F448" s="157"/>
      <c r="G448" s="157"/>
      <c r="H448" s="82">
        <v>4</v>
      </c>
      <c r="I448" s="135">
        <v>93.75</v>
      </c>
      <c r="J448" s="135"/>
      <c r="K448" s="135">
        <v>1</v>
      </c>
      <c r="L448" s="135"/>
      <c r="M448" s="187">
        <f>ROUND(I448/H448/365/24*3,2)</f>
        <v>0.01</v>
      </c>
      <c r="N448" s="188"/>
      <c r="O448" s="50"/>
    </row>
    <row r="449" spans="1:15" s="25" customFormat="1" x14ac:dyDescent="0.3">
      <c r="A449" s="154"/>
      <c r="B449" s="134"/>
      <c r="C449" s="157" t="s">
        <v>78</v>
      </c>
      <c r="D449" s="157"/>
      <c r="E449" s="157"/>
      <c r="F449" s="157"/>
      <c r="G449" s="157"/>
      <c r="H449" s="82">
        <v>2</v>
      </c>
      <c r="I449" s="135">
        <v>111</v>
      </c>
      <c r="J449" s="135"/>
      <c r="K449" s="135">
        <v>1</v>
      </c>
      <c r="L449" s="135"/>
      <c r="M449" s="187">
        <f>ROUND(I449/H449/365/24*2*3,2)</f>
        <v>0.04</v>
      </c>
      <c r="N449" s="188"/>
      <c r="O449" s="50"/>
    </row>
    <row r="450" spans="1:15" s="25" customFormat="1" x14ac:dyDescent="0.3">
      <c r="A450" s="154"/>
      <c r="B450" s="134"/>
      <c r="C450" s="157" t="s">
        <v>77</v>
      </c>
      <c r="D450" s="157"/>
      <c r="E450" s="157"/>
      <c r="F450" s="157"/>
      <c r="G450" s="157"/>
      <c r="H450" s="82">
        <v>5</v>
      </c>
      <c r="I450" s="135">
        <v>28.31</v>
      </c>
      <c r="J450" s="135"/>
      <c r="K450" s="135">
        <v>1</v>
      </c>
      <c r="L450" s="135"/>
      <c r="M450" s="187">
        <f>ROUND(I450/H450/365/24*2*3,2)</f>
        <v>0</v>
      </c>
      <c r="N450" s="188"/>
      <c r="O450" s="50"/>
    </row>
    <row r="451" spans="1:15" s="25" customFormat="1" x14ac:dyDescent="0.3">
      <c r="A451" s="154"/>
      <c r="B451" s="134"/>
      <c r="C451" s="157" t="s">
        <v>76</v>
      </c>
      <c r="D451" s="157"/>
      <c r="E451" s="157"/>
      <c r="F451" s="157"/>
      <c r="G451" s="157"/>
      <c r="H451" s="82">
        <v>3</v>
      </c>
      <c r="I451" s="135">
        <v>42</v>
      </c>
      <c r="J451" s="135"/>
      <c r="K451" s="135">
        <v>1</v>
      </c>
      <c r="L451" s="135"/>
      <c r="M451" s="187">
        <f>ROUND(I451/H451/365/24*3,2)</f>
        <v>0</v>
      </c>
      <c r="N451" s="188"/>
      <c r="O451" s="50"/>
    </row>
    <row r="452" spans="1:15" s="25" customFormat="1" x14ac:dyDescent="0.3">
      <c r="A452" s="154"/>
      <c r="B452" s="134"/>
      <c r="C452" s="157" t="s">
        <v>75</v>
      </c>
      <c r="D452" s="157"/>
      <c r="E452" s="157"/>
      <c r="F452" s="157"/>
      <c r="G452" s="157"/>
      <c r="H452" s="82">
        <v>4</v>
      </c>
      <c r="I452" s="135">
        <v>68.25</v>
      </c>
      <c r="J452" s="135"/>
      <c r="K452" s="135">
        <v>1</v>
      </c>
      <c r="L452" s="135"/>
      <c r="M452" s="187">
        <f>ROUND(I452/H452/365/24*3,2)</f>
        <v>0.01</v>
      </c>
      <c r="N452" s="188"/>
      <c r="O452" s="50"/>
    </row>
    <row r="453" spans="1:15" s="25" customFormat="1" x14ac:dyDescent="0.3">
      <c r="A453" s="154"/>
      <c r="B453" s="134"/>
      <c r="C453" s="157" t="s">
        <v>74</v>
      </c>
      <c r="D453" s="157"/>
      <c r="E453" s="157"/>
      <c r="F453" s="157"/>
      <c r="G453" s="157"/>
      <c r="H453" s="82">
        <v>4</v>
      </c>
      <c r="I453" s="135">
        <v>23.24</v>
      </c>
      <c r="J453" s="135"/>
      <c r="K453" s="135">
        <v>1</v>
      </c>
      <c r="L453" s="135"/>
      <c r="M453" s="187">
        <f>ROUND(I453/H453/365/24*3,2)</f>
        <v>0</v>
      </c>
      <c r="N453" s="188"/>
      <c r="O453" s="50"/>
    </row>
    <row r="454" spans="1:15" s="25" customFormat="1" x14ac:dyDescent="0.3">
      <c r="A454" s="154"/>
      <c r="B454" s="134"/>
      <c r="C454" s="157" t="s">
        <v>73</v>
      </c>
      <c r="D454" s="157"/>
      <c r="E454" s="157"/>
      <c r="F454" s="157"/>
      <c r="G454" s="157"/>
      <c r="H454" s="82">
        <v>4</v>
      </c>
      <c r="I454" s="135">
        <v>246</v>
      </c>
      <c r="J454" s="135"/>
      <c r="K454" s="135">
        <v>1</v>
      </c>
      <c r="L454" s="135"/>
      <c r="M454" s="187">
        <f t="shared" ref="M454:M458" si="22">ROUND(I454/H454/365/24*3,2)</f>
        <v>0.02</v>
      </c>
      <c r="N454" s="188"/>
      <c r="O454" s="50"/>
    </row>
    <row r="455" spans="1:15" s="25" customFormat="1" x14ac:dyDescent="0.3">
      <c r="A455" s="154"/>
      <c r="B455" s="134"/>
      <c r="C455" s="157" t="s">
        <v>72</v>
      </c>
      <c r="D455" s="157"/>
      <c r="E455" s="157"/>
      <c r="F455" s="157"/>
      <c r="G455" s="157"/>
      <c r="H455" s="82">
        <v>1</v>
      </c>
      <c r="I455" s="135">
        <v>43.5</v>
      </c>
      <c r="J455" s="135"/>
      <c r="K455" s="135">
        <v>1</v>
      </c>
      <c r="L455" s="135"/>
      <c r="M455" s="187">
        <f t="shared" si="22"/>
        <v>0.01</v>
      </c>
      <c r="N455" s="188"/>
      <c r="O455" s="50"/>
    </row>
    <row r="456" spans="1:15" s="25" customFormat="1" x14ac:dyDescent="0.3">
      <c r="A456" s="154"/>
      <c r="B456" s="134"/>
      <c r="C456" s="157" t="s">
        <v>71</v>
      </c>
      <c r="D456" s="157"/>
      <c r="E456" s="157"/>
      <c r="F456" s="157"/>
      <c r="G456" s="157"/>
      <c r="H456" s="82">
        <v>2</v>
      </c>
      <c r="I456" s="135">
        <v>111</v>
      </c>
      <c r="J456" s="135"/>
      <c r="K456" s="135">
        <v>1</v>
      </c>
      <c r="L456" s="135"/>
      <c r="M456" s="187">
        <f t="shared" si="22"/>
        <v>0.02</v>
      </c>
      <c r="N456" s="188"/>
      <c r="O456" s="50"/>
    </row>
    <row r="457" spans="1:15" s="25" customFormat="1" x14ac:dyDescent="0.3">
      <c r="A457" s="154"/>
      <c r="B457" s="134"/>
      <c r="C457" s="157" t="s">
        <v>70</v>
      </c>
      <c r="D457" s="157"/>
      <c r="E457" s="157"/>
      <c r="F457" s="157"/>
      <c r="G457" s="157"/>
      <c r="H457" s="82">
        <v>4</v>
      </c>
      <c r="I457" s="135">
        <v>141.75</v>
      </c>
      <c r="J457" s="135"/>
      <c r="K457" s="135">
        <v>1</v>
      </c>
      <c r="L457" s="135"/>
      <c r="M457" s="187">
        <f t="shared" si="22"/>
        <v>0.01</v>
      </c>
      <c r="N457" s="188"/>
      <c r="O457" s="50"/>
    </row>
    <row r="458" spans="1:15" s="25" customFormat="1" x14ac:dyDescent="0.3">
      <c r="A458" s="154"/>
      <c r="B458" s="134"/>
      <c r="C458" s="157" t="s">
        <v>69</v>
      </c>
      <c r="D458" s="157"/>
      <c r="E458" s="157"/>
      <c r="F458" s="157"/>
      <c r="G458" s="157"/>
      <c r="H458" s="82">
        <v>1</v>
      </c>
      <c r="I458" s="135">
        <v>16.489999999999998</v>
      </c>
      <c r="J458" s="135"/>
      <c r="K458" s="135">
        <v>1</v>
      </c>
      <c r="L458" s="135"/>
      <c r="M458" s="187">
        <f t="shared" si="22"/>
        <v>0.01</v>
      </c>
      <c r="N458" s="188"/>
      <c r="O458" s="50"/>
    </row>
    <row r="459" spans="1:15" s="25" customFormat="1" x14ac:dyDescent="0.3">
      <c r="A459" s="154"/>
      <c r="B459" s="134"/>
      <c r="C459" s="157" t="s">
        <v>68</v>
      </c>
      <c r="D459" s="157"/>
      <c r="E459" s="157"/>
      <c r="F459" s="157"/>
      <c r="G459" s="157"/>
      <c r="H459" s="82">
        <v>4</v>
      </c>
      <c r="I459" s="135">
        <v>23.25</v>
      </c>
      <c r="J459" s="135"/>
      <c r="K459" s="135">
        <v>1</v>
      </c>
      <c r="L459" s="135"/>
      <c r="M459" s="187">
        <f>ROUND(I459/H459/365/24*3,2)</f>
        <v>0</v>
      </c>
      <c r="N459" s="188"/>
      <c r="O459" s="50"/>
    </row>
    <row r="460" spans="1:15" s="25" customFormat="1" ht="14.55" customHeight="1" x14ac:dyDescent="0.3">
      <c r="A460" s="154"/>
      <c r="B460" s="134"/>
      <c r="C460" s="157" t="s">
        <v>67</v>
      </c>
      <c r="D460" s="157"/>
      <c r="E460" s="157"/>
      <c r="F460" s="157"/>
      <c r="G460" s="157"/>
      <c r="H460" s="82">
        <v>3</v>
      </c>
      <c r="I460" s="135">
        <v>63.75</v>
      </c>
      <c r="J460" s="135"/>
      <c r="K460" s="135">
        <v>1</v>
      </c>
      <c r="L460" s="135"/>
      <c r="M460" s="187">
        <f>ROUND(I460/H460/365/24*2*3,2)</f>
        <v>0.01</v>
      </c>
      <c r="N460" s="188"/>
      <c r="O460" s="50"/>
    </row>
    <row r="461" spans="1:15" x14ac:dyDescent="0.3">
      <c r="A461" s="70">
        <v>5000</v>
      </c>
      <c r="B461" s="189" t="s">
        <v>66</v>
      </c>
      <c r="C461" s="189"/>
      <c r="D461" s="189"/>
      <c r="E461" s="189"/>
      <c r="F461" s="189"/>
      <c r="G461" s="189"/>
      <c r="H461" s="189"/>
      <c r="I461" s="189"/>
      <c r="J461" s="189"/>
      <c r="K461" s="189"/>
      <c r="L461" s="189"/>
      <c r="M461" s="190">
        <f>M462</f>
        <v>0</v>
      </c>
      <c r="N461" s="191"/>
      <c r="O461" s="49"/>
    </row>
    <row r="462" spans="1:15" ht="15" customHeight="1" x14ac:dyDescent="0.3">
      <c r="A462" s="73"/>
      <c r="B462" s="73"/>
      <c r="C462" s="158" t="s">
        <v>65</v>
      </c>
      <c r="D462" s="158"/>
      <c r="E462" s="156" t="s">
        <v>64</v>
      </c>
      <c r="F462" s="156"/>
      <c r="G462" s="156" t="s">
        <v>63</v>
      </c>
      <c r="H462" s="156"/>
      <c r="I462" s="158" t="s">
        <v>62</v>
      </c>
      <c r="J462" s="158"/>
      <c r="K462" s="156" t="s">
        <v>61</v>
      </c>
      <c r="L462" s="156"/>
      <c r="M462" s="198">
        <f>M463</f>
        <v>0</v>
      </c>
      <c r="N462" s="199"/>
    </row>
    <row r="463" spans="1:15" ht="23.1" customHeight="1" x14ac:dyDescent="0.3">
      <c r="A463" s="73"/>
      <c r="B463" s="73"/>
      <c r="C463" s="134"/>
      <c r="D463" s="134"/>
      <c r="E463" s="154"/>
      <c r="F463" s="154"/>
      <c r="G463" s="154"/>
      <c r="H463" s="154"/>
      <c r="I463" s="227"/>
      <c r="J463" s="227"/>
      <c r="K463" s="154">
        <v>1</v>
      </c>
      <c r="L463" s="154"/>
      <c r="M463" s="206">
        <f>ROUND(I463*E463/100/12/167*K463,2)</f>
        <v>0</v>
      </c>
      <c r="N463" s="207"/>
      <c r="O463" s="84">
        <v>6628.38</v>
      </c>
    </row>
    <row r="464" spans="1:15" x14ac:dyDescent="0.3">
      <c r="A464" s="180" t="s">
        <v>60</v>
      </c>
      <c r="B464" s="181"/>
      <c r="C464" s="181"/>
      <c r="D464" s="181"/>
      <c r="E464" s="181"/>
      <c r="F464" s="181"/>
      <c r="G464" s="181"/>
      <c r="H464" s="181"/>
      <c r="I464" s="181"/>
      <c r="J464" s="181"/>
      <c r="K464" s="181"/>
      <c r="L464" s="182"/>
      <c r="M464" s="204">
        <f>M405+M430+M461</f>
        <v>49.86999999999999</v>
      </c>
      <c r="N464" s="205"/>
      <c r="O464" s="48"/>
    </row>
    <row r="465" spans="1:15" x14ac:dyDescent="0.3">
      <c r="A465" s="246" t="s">
        <v>59</v>
      </c>
      <c r="B465" s="246"/>
      <c r="C465" s="246"/>
      <c r="D465" s="246"/>
      <c r="E465" s="246"/>
      <c r="F465" s="246"/>
      <c r="G465" s="246"/>
      <c r="H465" s="246"/>
      <c r="I465" s="246"/>
      <c r="J465" s="246"/>
      <c r="K465" s="246"/>
      <c r="L465" s="246"/>
      <c r="M465" s="222">
        <f>M464+M402</f>
        <v>298.55</v>
      </c>
      <c r="N465" s="223"/>
      <c r="O465" s="48"/>
    </row>
    <row r="466" spans="1:15" x14ac:dyDescent="0.3">
      <c r="A466" s="160" t="s">
        <v>58</v>
      </c>
      <c r="B466" s="161"/>
      <c r="C466" s="161"/>
      <c r="D466" s="161"/>
      <c r="E466" s="161"/>
      <c r="F466" s="161"/>
      <c r="G466" s="161"/>
      <c r="H466" s="161"/>
      <c r="I466" s="161"/>
      <c r="J466" s="161"/>
      <c r="K466" s="161"/>
      <c r="L466" s="162"/>
      <c r="M466" s="160">
        <f>ROUND(M465*0.21,2)</f>
        <v>62.7</v>
      </c>
      <c r="N466" s="162"/>
      <c r="O466" s="48"/>
    </row>
    <row r="467" spans="1:15" x14ac:dyDescent="0.3">
      <c r="A467" s="163" t="s">
        <v>57</v>
      </c>
      <c r="B467" s="164"/>
      <c r="C467" s="164"/>
      <c r="D467" s="164"/>
      <c r="E467" s="164"/>
      <c r="F467" s="164"/>
      <c r="G467" s="164"/>
      <c r="H467" s="164"/>
      <c r="I467" s="164"/>
      <c r="J467" s="164"/>
      <c r="K467" s="164"/>
      <c r="L467" s="165"/>
      <c r="M467" s="208">
        <f>M465+M466</f>
        <v>361.25</v>
      </c>
      <c r="N467" s="209"/>
      <c r="O467" s="48"/>
    </row>
    <row r="468" spans="1:15" x14ac:dyDescent="0.3">
      <c r="A468" s="1" t="s">
        <v>182</v>
      </c>
    </row>
    <row r="469" spans="1:15" ht="18.45" customHeight="1" x14ac:dyDescent="0.3">
      <c r="A469" s="1" t="s">
        <v>183</v>
      </c>
      <c r="B469" s="1"/>
      <c r="C469" s="1"/>
      <c r="D469" s="1"/>
      <c r="E469" s="1"/>
      <c r="F469" s="1"/>
      <c r="G469" s="1"/>
      <c r="H469" s="1"/>
      <c r="I469" s="1"/>
      <c r="J469" s="1"/>
      <c r="K469" s="1"/>
      <c r="L469" s="1"/>
      <c r="M469" s="1"/>
      <c r="N469" s="1"/>
    </row>
    <row r="470" spans="1:15" ht="18.45" customHeight="1" x14ac:dyDescent="0.3">
      <c r="A470" s="1" t="s">
        <v>195</v>
      </c>
      <c r="B470" s="1"/>
      <c r="C470" s="1"/>
      <c r="D470" s="1"/>
      <c r="E470" s="1"/>
      <c r="F470" s="1"/>
      <c r="G470" s="1"/>
      <c r="H470" s="1"/>
      <c r="I470" s="1"/>
      <c r="J470" s="1"/>
      <c r="K470" s="1"/>
      <c r="L470" s="1"/>
      <c r="M470" s="1"/>
      <c r="N470" s="1"/>
    </row>
    <row r="472" spans="1:15" s="120" customFormat="1" ht="15.6" x14ac:dyDescent="0.3">
      <c r="A472" s="119" t="s">
        <v>184</v>
      </c>
    </row>
    <row r="473" spans="1:15" ht="15.6" x14ac:dyDescent="0.3">
      <c r="A473" s="55"/>
      <c r="B473" s="51"/>
      <c r="C473" s="51"/>
      <c r="D473" s="51"/>
      <c r="E473" s="51"/>
      <c r="F473" s="51"/>
      <c r="G473" s="51"/>
      <c r="H473" s="51"/>
      <c r="I473" s="51"/>
      <c r="J473" s="51"/>
      <c r="K473" s="51"/>
      <c r="L473" s="51"/>
      <c r="M473" s="51"/>
      <c r="N473" s="51"/>
    </row>
    <row r="474" spans="1:15" x14ac:dyDescent="0.3">
      <c r="A474" s="57" t="s">
        <v>166</v>
      </c>
      <c r="B474" s="56"/>
      <c r="C474" s="51"/>
      <c r="D474" s="51"/>
      <c r="E474" s="51"/>
      <c r="F474" s="51"/>
      <c r="G474" s="51"/>
      <c r="H474" s="51"/>
      <c r="I474" s="51"/>
      <c r="J474" s="51"/>
      <c r="K474" s="51"/>
      <c r="L474" s="51"/>
      <c r="M474" s="51"/>
      <c r="N474" s="51"/>
    </row>
    <row r="475" spans="1:15" ht="15.6" x14ac:dyDescent="0.3">
      <c r="A475" s="55"/>
      <c r="B475" s="51"/>
      <c r="C475" s="51"/>
      <c r="D475" s="51"/>
      <c r="E475" s="51"/>
      <c r="F475" s="51"/>
      <c r="G475" s="51"/>
      <c r="H475" s="51"/>
      <c r="I475" s="51"/>
      <c r="J475" s="51"/>
      <c r="K475" s="51"/>
      <c r="L475" s="51"/>
      <c r="M475" s="51"/>
      <c r="N475" s="51"/>
    </row>
    <row r="476" spans="1:15" ht="37.5" customHeight="1" x14ac:dyDescent="0.3">
      <c r="A476" s="112" t="s">
        <v>177</v>
      </c>
      <c r="B476" s="111" t="s">
        <v>164</v>
      </c>
      <c r="C476" s="201" t="s">
        <v>163</v>
      </c>
      <c r="D476" s="201"/>
      <c r="E476" s="201"/>
      <c r="F476" s="201"/>
      <c r="G476" s="201"/>
      <c r="H476" s="201"/>
      <c r="I476" s="201"/>
      <c r="J476" s="201"/>
      <c r="K476" s="201"/>
      <c r="L476" s="201"/>
      <c r="M476" s="201"/>
      <c r="N476" s="201"/>
      <c r="O476" s="109"/>
    </row>
    <row r="477" spans="1:15" x14ac:dyDescent="0.3">
      <c r="A477" s="110">
        <v>1</v>
      </c>
      <c r="B477" s="110">
        <v>2</v>
      </c>
      <c r="C477" s="219">
        <v>3</v>
      </c>
      <c r="D477" s="219"/>
      <c r="E477" s="219"/>
      <c r="F477" s="219"/>
      <c r="G477" s="219"/>
      <c r="H477" s="219"/>
      <c r="I477" s="219"/>
      <c r="J477" s="219"/>
      <c r="K477" s="219"/>
      <c r="L477" s="219"/>
      <c r="M477" s="219"/>
      <c r="N477" s="219"/>
      <c r="O477" s="234"/>
    </row>
    <row r="478" spans="1:15" x14ac:dyDescent="0.3">
      <c r="A478" s="184" t="s">
        <v>1</v>
      </c>
      <c r="B478" s="185"/>
      <c r="C478" s="185"/>
      <c r="D478" s="185"/>
      <c r="E478" s="185"/>
      <c r="F478" s="185"/>
      <c r="G478" s="185"/>
      <c r="H478" s="185"/>
      <c r="I478" s="185"/>
      <c r="J478" s="185"/>
      <c r="K478" s="185"/>
      <c r="L478" s="185"/>
      <c r="M478" s="185"/>
      <c r="N478" s="186"/>
      <c r="O478" s="234"/>
    </row>
    <row r="479" spans="1:15" x14ac:dyDescent="0.3">
      <c r="A479" s="70">
        <v>1000</v>
      </c>
      <c r="B479" s="189" t="s">
        <v>186</v>
      </c>
      <c r="C479" s="189"/>
      <c r="D479" s="189"/>
      <c r="E479" s="189"/>
      <c r="F479" s="189"/>
      <c r="G479" s="189"/>
      <c r="H479" s="189"/>
      <c r="I479" s="189"/>
      <c r="J479" s="189"/>
      <c r="K479" s="189"/>
      <c r="L479" s="189"/>
      <c r="M479" s="190">
        <f>M480+M486</f>
        <v>27.450000000000003</v>
      </c>
      <c r="N479" s="191"/>
      <c r="O479" s="234"/>
    </row>
    <row r="480" spans="1:15" x14ac:dyDescent="0.3">
      <c r="A480" s="71">
        <v>1100</v>
      </c>
      <c r="B480" s="189" t="s">
        <v>121</v>
      </c>
      <c r="C480" s="189"/>
      <c r="D480" s="189"/>
      <c r="E480" s="189"/>
      <c r="F480" s="189"/>
      <c r="G480" s="189"/>
      <c r="H480" s="189"/>
      <c r="I480" s="189"/>
      <c r="J480" s="189"/>
      <c r="K480" s="189"/>
      <c r="L480" s="189"/>
      <c r="M480" s="190">
        <f>ROUND(M481+M483,2)</f>
        <v>22.21</v>
      </c>
      <c r="N480" s="191"/>
      <c r="O480" s="234"/>
    </row>
    <row r="481" spans="1:22" x14ac:dyDescent="0.3">
      <c r="A481" s="104"/>
      <c r="B481" s="103"/>
      <c r="C481" s="158" t="s">
        <v>115</v>
      </c>
      <c r="D481" s="158"/>
      <c r="E481" s="158"/>
      <c r="F481" s="158"/>
      <c r="G481" s="158"/>
      <c r="H481" s="158"/>
      <c r="I481" s="156" t="s">
        <v>114</v>
      </c>
      <c r="J481" s="156"/>
      <c r="K481" s="156" t="s">
        <v>61</v>
      </c>
      <c r="L481" s="156"/>
      <c r="M481" s="198">
        <f>M482</f>
        <v>19.670000000000002</v>
      </c>
      <c r="N481" s="199"/>
      <c r="O481" s="234"/>
    </row>
    <row r="482" spans="1:22" s="52" customFormat="1" ht="46.5" customHeight="1" x14ac:dyDescent="0.3">
      <c r="A482" s="108" t="s">
        <v>159</v>
      </c>
      <c r="B482" s="107" t="s">
        <v>120</v>
      </c>
      <c r="C482" s="264" t="s">
        <v>225</v>
      </c>
      <c r="D482" s="264"/>
      <c r="E482" s="264"/>
      <c r="F482" s="264"/>
      <c r="G482" s="264"/>
      <c r="H482" s="264"/>
      <c r="I482" s="215">
        <v>3255</v>
      </c>
      <c r="J482" s="215"/>
      <c r="K482" s="192">
        <v>1</v>
      </c>
      <c r="L482" s="192"/>
      <c r="M482" s="141">
        <f>ROUND(I482/165.5*K482,2)</f>
        <v>19.670000000000002</v>
      </c>
      <c r="N482" s="142"/>
      <c r="O482" s="234"/>
    </row>
    <row r="483" spans="1:22" x14ac:dyDescent="0.3">
      <c r="A483" s="76"/>
      <c r="B483" s="76"/>
      <c r="C483" s="158" t="s">
        <v>157</v>
      </c>
      <c r="D483" s="158"/>
      <c r="E483" s="158"/>
      <c r="F483" s="158"/>
      <c r="G483" s="158"/>
      <c r="H483" s="158"/>
      <c r="I483" s="156" t="s">
        <v>109</v>
      </c>
      <c r="J483" s="156"/>
      <c r="K483" s="156" t="s">
        <v>61</v>
      </c>
      <c r="L483" s="156"/>
      <c r="M483" s="198">
        <f>SUM(M484:N485)</f>
        <v>2.54</v>
      </c>
      <c r="N483" s="199"/>
      <c r="O483" s="48"/>
    </row>
    <row r="484" spans="1:22" s="52" customFormat="1" ht="33.450000000000003" customHeight="1" x14ac:dyDescent="0.3">
      <c r="A484" s="77">
        <v>1143</v>
      </c>
      <c r="B484" s="107" t="s">
        <v>111</v>
      </c>
      <c r="C484" s="193" t="s">
        <v>226</v>
      </c>
      <c r="D484" s="193"/>
      <c r="E484" s="193"/>
      <c r="F484" s="193"/>
      <c r="G484" s="193"/>
      <c r="H484" s="193"/>
      <c r="I484" s="194">
        <v>120</v>
      </c>
      <c r="J484" s="194"/>
      <c r="K484" s="192">
        <v>1</v>
      </c>
      <c r="L484" s="192"/>
      <c r="M484" s="141">
        <f>ROUND(I484/165.5*K484,2)</f>
        <v>0.73</v>
      </c>
      <c r="N484" s="142"/>
      <c r="O484" s="64"/>
    </row>
    <row r="485" spans="1:22" s="52" customFormat="1" ht="27.6" x14ac:dyDescent="0.3">
      <c r="A485" s="77">
        <v>1145</v>
      </c>
      <c r="B485" s="107" t="s">
        <v>155</v>
      </c>
      <c r="C485" s="136" t="s">
        <v>227</v>
      </c>
      <c r="D485" s="137"/>
      <c r="E485" s="137"/>
      <c r="F485" s="137"/>
      <c r="G485" s="137"/>
      <c r="H485" s="138"/>
      <c r="I485" s="139">
        <v>300</v>
      </c>
      <c r="J485" s="140"/>
      <c r="K485" s="139">
        <v>1</v>
      </c>
      <c r="L485" s="140"/>
      <c r="M485" s="141">
        <f>ROUND(I485/165.5*K485,2)</f>
        <v>1.81</v>
      </c>
      <c r="N485" s="142"/>
      <c r="O485" s="64"/>
    </row>
    <row r="486" spans="1:22" x14ac:dyDescent="0.3">
      <c r="A486" s="71">
        <v>1200</v>
      </c>
      <c r="B486" s="189" t="s">
        <v>106</v>
      </c>
      <c r="C486" s="189"/>
      <c r="D486" s="189"/>
      <c r="E486" s="189"/>
      <c r="F486" s="189"/>
      <c r="G486" s="189"/>
      <c r="H486" s="189"/>
      <c r="I486" s="189"/>
      <c r="J486" s="189"/>
      <c r="K486" s="189"/>
      <c r="L486" s="189"/>
      <c r="M486" s="190">
        <f>ROUND(M487,2)</f>
        <v>5.24</v>
      </c>
      <c r="N486" s="191"/>
      <c r="O486" s="48"/>
    </row>
    <row r="487" spans="1:22" x14ac:dyDescent="0.3">
      <c r="A487" s="105">
        <v>1210</v>
      </c>
      <c r="B487" s="134" t="s">
        <v>105</v>
      </c>
      <c r="C487" s="134"/>
      <c r="D487" s="134"/>
      <c r="E487" s="134"/>
      <c r="F487" s="134"/>
      <c r="G487" s="134"/>
      <c r="H487" s="134"/>
      <c r="I487" s="134"/>
      <c r="J487" s="134"/>
      <c r="K487" s="134"/>
      <c r="L487" s="134"/>
      <c r="M487" s="206">
        <f>ROUND(M480*0.2359,2)</f>
        <v>5.24</v>
      </c>
      <c r="N487" s="207"/>
      <c r="O487" s="48"/>
    </row>
    <row r="488" spans="1:22" x14ac:dyDescent="0.3">
      <c r="A488" s="70">
        <v>2000</v>
      </c>
      <c r="B488" s="189" t="s">
        <v>104</v>
      </c>
      <c r="C488" s="189"/>
      <c r="D488" s="189"/>
      <c r="E488" s="189"/>
      <c r="F488" s="189"/>
      <c r="G488" s="189"/>
      <c r="H488" s="189"/>
      <c r="I488" s="189"/>
      <c r="J488" s="189"/>
      <c r="K488" s="189"/>
      <c r="L488" s="189"/>
      <c r="M488" s="224">
        <f>M489</f>
        <v>2.6440886203423966</v>
      </c>
      <c r="N488" s="225"/>
      <c r="O488" s="48"/>
    </row>
    <row r="489" spans="1:22" x14ac:dyDescent="0.3">
      <c r="A489" s="71">
        <v>2300</v>
      </c>
      <c r="B489" s="189" t="s">
        <v>86</v>
      </c>
      <c r="C489" s="189"/>
      <c r="D489" s="189"/>
      <c r="E489" s="189"/>
      <c r="F489" s="189"/>
      <c r="G489" s="189"/>
      <c r="H489" s="189"/>
      <c r="I489" s="189"/>
      <c r="J489" s="189"/>
      <c r="K489" s="189"/>
      <c r="L489" s="189"/>
      <c r="M489" s="224">
        <f>SUM(M490:N493)</f>
        <v>2.6440886203423966</v>
      </c>
      <c r="N489" s="225"/>
      <c r="O489" s="48"/>
    </row>
    <row r="490" spans="1:22" x14ac:dyDescent="0.3">
      <c r="A490" s="154">
        <v>2311</v>
      </c>
      <c r="B490" s="134" t="s">
        <v>187</v>
      </c>
      <c r="C490" s="158" t="s">
        <v>65</v>
      </c>
      <c r="D490" s="158"/>
      <c r="E490" s="158"/>
      <c r="F490" s="158"/>
      <c r="G490" s="158"/>
      <c r="H490" s="106" t="s">
        <v>63</v>
      </c>
      <c r="I490" s="158" t="s">
        <v>62</v>
      </c>
      <c r="J490" s="158"/>
      <c r="K490" s="156" t="s">
        <v>61</v>
      </c>
      <c r="L490" s="156"/>
      <c r="M490" s="198"/>
      <c r="N490" s="199"/>
      <c r="O490" s="48"/>
    </row>
    <row r="491" spans="1:22" s="25" customFormat="1" ht="52.5" customHeight="1" x14ac:dyDescent="0.3">
      <c r="A491" s="154"/>
      <c r="B491" s="134"/>
      <c r="C491" s="203" t="s">
        <v>224</v>
      </c>
      <c r="D491" s="203"/>
      <c r="E491" s="203"/>
      <c r="F491" s="203"/>
      <c r="G491" s="203"/>
      <c r="H491" s="102">
        <v>10</v>
      </c>
      <c r="I491" s="135">
        <v>3.68</v>
      </c>
      <c r="J491" s="135"/>
      <c r="K491" s="135">
        <v>1</v>
      </c>
      <c r="L491" s="135"/>
      <c r="M491" s="187">
        <f>I491*H491/1986*K491</f>
        <v>1.8529707955689832E-2</v>
      </c>
      <c r="N491" s="188"/>
      <c r="O491" s="50"/>
    </row>
    <row r="492" spans="1:22" s="25" customFormat="1" ht="87.45" customHeight="1" x14ac:dyDescent="0.3">
      <c r="A492" s="154"/>
      <c r="B492" s="134"/>
      <c r="C492" s="203" t="s">
        <v>223</v>
      </c>
      <c r="D492" s="157"/>
      <c r="E492" s="157"/>
      <c r="F492" s="157"/>
      <c r="G492" s="157"/>
      <c r="H492" s="102">
        <v>4</v>
      </c>
      <c r="I492" s="135">
        <v>1299.75</v>
      </c>
      <c r="J492" s="135"/>
      <c r="K492" s="135">
        <v>1</v>
      </c>
      <c r="L492" s="135"/>
      <c r="M492" s="187">
        <f>I492*H492/1986*K492</f>
        <v>2.6178247734138971</v>
      </c>
      <c r="N492" s="188"/>
      <c r="O492" s="50"/>
    </row>
    <row r="493" spans="1:22" s="25" customFormat="1" ht="64.95" customHeight="1" x14ac:dyDescent="0.3">
      <c r="A493" s="154"/>
      <c r="B493" s="134"/>
      <c r="C493" s="203" t="s">
        <v>222</v>
      </c>
      <c r="D493" s="203"/>
      <c r="E493" s="203"/>
      <c r="F493" s="203"/>
      <c r="G493" s="203"/>
      <c r="H493" s="102">
        <v>2</v>
      </c>
      <c r="I493" s="135">
        <v>7.68</v>
      </c>
      <c r="J493" s="135"/>
      <c r="K493" s="135">
        <v>1</v>
      </c>
      <c r="L493" s="135"/>
      <c r="M493" s="187">
        <f>I493*H493/1986*K493</f>
        <v>7.7341389728096677E-3</v>
      </c>
      <c r="N493" s="188"/>
      <c r="O493" s="50"/>
    </row>
    <row r="494" spans="1:22" x14ac:dyDescent="0.3">
      <c r="A494" s="70">
        <v>5000</v>
      </c>
      <c r="B494" s="189" t="s">
        <v>66</v>
      </c>
      <c r="C494" s="189"/>
      <c r="D494" s="189"/>
      <c r="E494" s="189"/>
      <c r="F494" s="189"/>
      <c r="G494" s="189"/>
      <c r="H494" s="189"/>
      <c r="I494" s="189"/>
      <c r="J494" s="189"/>
      <c r="K494" s="189"/>
      <c r="L494" s="189"/>
      <c r="M494" s="224">
        <f>SUM(M496:N500)</f>
        <v>13.68</v>
      </c>
      <c r="N494" s="225"/>
      <c r="O494" s="49"/>
    </row>
    <row r="495" spans="1:22" ht="40.049999999999997" customHeight="1" x14ac:dyDescent="0.3">
      <c r="A495" s="103"/>
      <c r="B495" s="103"/>
      <c r="C495" s="158" t="s">
        <v>65</v>
      </c>
      <c r="D495" s="158"/>
      <c r="E495" s="156" t="s">
        <v>64</v>
      </c>
      <c r="F495" s="156"/>
      <c r="G495" s="156" t="s">
        <v>84</v>
      </c>
      <c r="H495" s="156"/>
      <c r="I495" s="158" t="s">
        <v>62</v>
      </c>
      <c r="J495" s="158"/>
      <c r="K495" s="156" t="s">
        <v>61</v>
      </c>
      <c r="L495" s="156"/>
      <c r="M495" s="232"/>
      <c r="N495" s="233"/>
    </row>
    <row r="496" spans="1:22" ht="109.95" customHeight="1" x14ac:dyDescent="0.3">
      <c r="A496" s="154">
        <v>5238</v>
      </c>
      <c r="B496" s="203" t="s">
        <v>188</v>
      </c>
      <c r="C496" s="134" t="s">
        <v>215</v>
      </c>
      <c r="D496" s="134"/>
      <c r="E496" s="135"/>
      <c r="F496" s="135"/>
      <c r="G496" s="135">
        <v>5</v>
      </c>
      <c r="H496" s="135"/>
      <c r="I496" s="135">
        <v>18790.09</v>
      </c>
      <c r="J496" s="135"/>
      <c r="K496" s="135">
        <v>1</v>
      </c>
      <c r="L496" s="135"/>
      <c r="M496" s="187">
        <f>ROUND(I496/G496/12/165.5,2)</f>
        <v>1.89</v>
      </c>
      <c r="N496" s="188"/>
      <c r="O496" s="234"/>
      <c r="V496" t="s">
        <v>130</v>
      </c>
    </row>
    <row r="497" spans="1:22" ht="61.95" customHeight="1" x14ac:dyDescent="0.3">
      <c r="A497" s="154"/>
      <c r="B497" s="203"/>
      <c r="C497" s="134" t="s">
        <v>216</v>
      </c>
      <c r="D497" s="134"/>
      <c r="E497" s="135">
        <v>35</v>
      </c>
      <c r="F497" s="135"/>
      <c r="G497" s="135">
        <v>1</v>
      </c>
      <c r="H497" s="135"/>
      <c r="I497" s="135">
        <v>500.31</v>
      </c>
      <c r="J497" s="135"/>
      <c r="K497" s="135">
        <v>1</v>
      </c>
      <c r="L497" s="135"/>
      <c r="M497" s="187">
        <f>ROUND(I497*E497%/12/165.5,2)</f>
        <v>0.09</v>
      </c>
      <c r="N497" s="188"/>
      <c r="O497" s="234"/>
      <c r="V497" t="s">
        <v>128</v>
      </c>
    </row>
    <row r="498" spans="1:22" ht="63" customHeight="1" x14ac:dyDescent="0.3">
      <c r="A498" s="154"/>
      <c r="B498" s="203"/>
      <c r="C498" s="134" t="s">
        <v>219</v>
      </c>
      <c r="D498" s="134"/>
      <c r="E498" s="135"/>
      <c r="F498" s="135"/>
      <c r="G498" s="135">
        <v>5</v>
      </c>
      <c r="H498" s="135"/>
      <c r="I498" s="135">
        <v>554</v>
      </c>
      <c r="J498" s="135"/>
      <c r="K498" s="135">
        <v>1</v>
      </c>
      <c r="L498" s="135"/>
      <c r="M498" s="187">
        <f>ROUND(I498/G498/12/165.5,2)</f>
        <v>0.06</v>
      </c>
      <c r="N498" s="188"/>
      <c r="O498" s="234"/>
      <c r="V498" t="s">
        <v>130</v>
      </c>
    </row>
    <row r="499" spans="1:22" ht="78.45" customHeight="1" x14ac:dyDescent="0.3">
      <c r="A499" s="154"/>
      <c r="B499" s="203"/>
      <c r="C499" s="134" t="s">
        <v>217</v>
      </c>
      <c r="D499" s="134"/>
      <c r="E499" s="135"/>
      <c r="F499" s="135"/>
      <c r="G499" s="135">
        <v>5</v>
      </c>
      <c r="H499" s="135"/>
      <c r="I499" s="135">
        <v>101385.9</v>
      </c>
      <c r="J499" s="135"/>
      <c r="K499" s="135">
        <v>1</v>
      </c>
      <c r="L499" s="135"/>
      <c r="M499" s="187">
        <f>ROUND(I499/G499/12/165.5,2)</f>
        <v>10.210000000000001</v>
      </c>
      <c r="N499" s="188"/>
      <c r="O499" s="234"/>
      <c r="V499" t="s">
        <v>128</v>
      </c>
    </row>
    <row r="500" spans="1:22" ht="78.45" customHeight="1" x14ac:dyDescent="0.3">
      <c r="A500" s="154"/>
      <c r="B500" s="203"/>
      <c r="C500" s="134" t="s">
        <v>218</v>
      </c>
      <c r="D500" s="134"/>
      <c r="E500" s="135"/>
      <c r="F500" s="135"/>
      <c r="G500" s="135">
        <v>5</v>
      </c>
      <c r="H500" s="135"/>
      <c r="I500" s="135">
        <v>14244.12</v>
      </c>
      <c r="J500" s="135"/>
      <c r="K500" s="135">
        <v>1</v>
      </c>
      <c r="L500" s="135"/>
      <c r="M500" s="187">
        <f>ROUND(I500/G500/12/165.5,2)</f>
        <v>1.43</v>
      </c>
      <c r="N500" s="188"/>
      <c r="O500" s="234"/>
      <c r="V500" t="s">
        <v>128</v>
      </c>
    </row>
    <row r="501" spans="1:22" x14ac:dyDescent="0.3">
      <c r="A501" s="237" t="s">
        <v>123</v>
      </c>
      <c r="B501" s="237"/>
      <c r="C501" s="237"/>
      <c r="D501" s="237"/>
      <c r="E501" s="237"/>
      <c r="F501" s="237"/>
      <c r="G501" s="237"/>
      <c r="H501" s="237"/>
      <c r="I501" s="237"/>
      <c r="J501" s="237"/>
      <c r="K501" s="237"/>
      <c r="L501" s="237"/>
      <c r="M501" s="244">
        <f>M479+M488+M494</f>
        <v>43.774088620342397</v>
      </c>
      <c r="N501" s="245"/>
    </row>
    <row r="502" spans="1:22" x14ac:dyDescent="0.3">
      <c r="A502" s="53"/>
      <c r="B502" s="53"/>
      <c r="C502" s="218"/>
      <c r="D502" s="218"/>
      <c r="E502" s="218"/>
      <c r="F502" s="218"/>
      <c r="G502" s="218"/>
      <c r="H502" s="218"/>
      <c r="I502" s="218"/>
      <c r="J502" s="218"/>
      <c r="K502" s="218"/>
      <c r="L502" s="218"/>
      <c r="M502" s="235"/>
      <c r="N502" s="235"/>
    </row>
    <row r="503" spans="1:22" x14ac:dyDescent="0.3">
      <c r="A503" s="177" t="s">
        <v>2</v>
      </c>
      <c r="B503" s="178"/>
      <c r="C503" s="178"/>
      <c r="D503" s="178"/>
      <c r="E503" s="178"/>
      <c r="F503" s="178"/>
      <c r="G503" s="178"/>
      <c r="H503" s="178"/>
      <c r="I503" s="178"/>
      <c r="J503" s="178"/>
      <c r="K503" s="178"/>
      <c r="L503" s="178"/>
      <c r="M503" s="178"/>
      <c r="N503" s="179"/>
    </row>
    <row r="504" spans="1:22" x14ac:dyDescent="0.3">
      <c r="A504" s="70">
        <v>1000</v>
      </c>
      <c r="B504" s="189" t="s">
        <v>190</v>
      </c>
      <c r="C504" s="189"/>
      <c r="D504" s="189"/>
      <c r="E504" s="189"/>
      <c r="F504" s="189"/>
      <c r="G504" s="189"/>
      <c r="H504" s="189"/>
      <c r="I504" s="189"/>
      <c r="J504" s="189"/>
      <c r="K504" s="189"/>
      <c r="L504" s="189"/>
      <c r="M504" s="224">
        <f>M505+M514</f>
        <v>2.7700000000000005</v>
      </c>
      <c r="N504" s="225"/>
    </row>
    <row r="505" spans="1:22" x14ac:dyDescent="0.3">
      <c r="A505" s="71">
        <v>1100</v>
      </c>
      <c r="B505" s="189" t="s">
        <v>121</v>
      </c>
      <c r="C505" s="189"/>
      <c r="D505" s="189"/>
      <c r="E505" s="189"/>
      <c r="F505" s="189"/>
      <c r="G505" s="189"/>
      <c r="H505" s="189"/>
      <c r="I505" s="189"/>
      <c r="J505" s="189"/>
      <c r="K505" s="189"/>
      <c r="L505" s="189"/>
      <c r="M505" s="190">
        <f>ROUND(M506+M508+M510+M512,2)</f>
        <v>2.2400000000000002</v>
      </c>
      <c r="N505" s="191"/>
    </row>
    <row r="506" spans="1:22" x14ac:dyDescent="0.3">
      <c r="A506" s="154">
        <v>1116</v>
      </c>
      <c r="B506" s="134" t="s">
        <v>120</v>
      </c>
      <c r="C506" s="158" t="s">
        <v>115</v>
      </c>
      <c r="D506" s="158"/>
      <c r="E506" s="158"/>
      <c r="F506" s="158"/>
      <c r="G506" s="158"/>
      <c r="H506" s="158"/>
      <c r="I506" s="156" t="s">
        <v>114</v>
      </c>
      <c r="J506" s="156"/>
      <c r="K506" s="156" t="s">
        <v>61</v>
      </c>
      <c r="L506" s="156"/>
      <c r="M506" s="198">
        <f>M507</f>
        <v>1.46</v>
      </c>
      <c r="N506" s="199"/>
    </row>
    <row r="507" spans="1:22" s="52" customFormat="1" ht="60.45" customHeight="1" x14ac:dyDescent="0.3">
      <c r="A507" s="154"/>
      <c r="B507" s="134"/>
      <c r="C507" s="193" t="s">
        <v>228</v>
      </c>
      <c r="D507" s="193"/>
      <c r="E507" s="193"/>
      <c r="F507" s="193"/>
      <c r="G507" s="193"/>
      <c r="H507" s="193"/>
      <c r="I507" s="215">
        <v>4830</v>
      </c>
      <c r="J507" s="215"/>
      <c r="K507" s="192">
        <f>3/60</f>
        <v>0.05</v>
      </c>
      <c r="L507" s="192"/>
      <c r="M507" s="141">
        <f>ROUND(I507/165.5*K507,2)</f>
        <v>1.46</v>
      </c>
      <c r="N507" s="142"/>
      <c r="O507" s="115"/>
    </row>
    <row r="508" spans="1:22" x14ac:dyDescent="0.3">
      <c r="A508" s="154">
        <v>1119</v>
      </c>
      <c r="B508" s="134" t="s">
        <v>116</v>
      </c>
      <c r="C508" s="158" t="s">
        <v>115</v>
      </c>
      <c r="D508" s="158"/>
      <c r="E508" s="158"/>
      <c r="F508" s="158"/>
      <c r="G508" s="158"/>
      <c r="H508" s="158"/>
      <c r="I508" s="156" t="s">
        <v>114</v>
      </c>
      <c r="J508" s="156"/>
      <c r="K508" s="156" t="s">
        <v>61</v>
      </c>
      <c r="L508" s="156"/>
      <c r="M508" s="198">
        <f>M509</f>
        <v>0.57999999999999996</v>
      </c>
      <c r="N508" s="199"/>
      <c r="O508" s="48"/>
    </row>
    <row r="509" spans="1:22" s="52" customFormat="1" ht="50.55" customHeight="1" x14ac:dyDescent="0.3">
      <c r="A509" s="154"/>
      <c r="B509" s="134"/>
      <c r="C509" s="193" t="s">
        <v>229</v>
      </c>
      <c r="D509" s="193"/>
      <c r="E509" s="193"/>
      <c r="F509" s="193"/>
      <c r="G509" s="193"/>
      <c r="H509" s="193"/>
      <c r="I509" s="215">
        <v>1160</v>
      </c>
      <c r="J509" s="215"/>
      <c r="K509" s="266">
        <f>5/60</f>
        <v>8.3333333333333329E-2</v>
      </c>
      <c r="L509" s="266"/>
      <c r="M509" s="141">
        <f>ROUND(I509/165.5*K509,2)</f>
        <v>0.57999999999999996</v>
      </c>
      <c r="N509" s="142"/>
      <c r="O509" s="115"/>
    </row>
    <row r="510" spans="1:22" ht="15.75" customHeight="1" x14ac:dyDescent="0.3">
      <c r="A510" s="154">
        <v>1143</v>
      </c>
      <c r="B510" s="134" t="s">
        <v>111</v>
      </c>
      <c r="C510" s="158" t="s">
        <v>110</v>
      </c>
      <c r="D510" s="158"/>
      <c r="E510" s="158"/>
      <c r="F510" s="158"/>
      <c r="G510" s="158"/>
      <c r="H510" s="158"/>
      <c r="I510" s="156" t="s">
        <v>109</v>
      </c>
      <c r="J510" s="156"/>
      <c r="K510" s="156" t="s">
        <v>61</v>
      </c>
      <c r="L510" s="156"/>
      <c r="M510" s="198">
        <f>M511</f>
        <v>0.05</v>
      </c>
      <c r="N510" s="199"/>
      <c r="O510" s="48"/>
    </row>
    <row r="511" spans="1:22" s="52" customFormat="1" ht="49.5" customHeight="1" x14ac:dyDescent="0.3">
      <c r="A511" s="154"/>
      <c r="B511" s="134"/>
      <c r="C511" s="193" t="s">
        <v>231</v>
      </c>
      <c r="D511" s="193"/>
      <c r="E511" s="193"/>
      <c r="F511" s="193"/>
      <c r="G511" s="193"/>
      <c r="H511" s="193"/>
      <c r="I511" s="192">
        <v>170</v>
      </c>
      <c r="J511" s="192"/>
      <c r="K511" s="192">
        <f>K507</f>
        <v>0.05</v>
      </c>
      <c r="L511" s="192"/>
      <c r="M511" s="141">
        <f>ROUND(I511/165.5*K511,2)</f>
        <v>0.05</v>
      </c>
      <c r="N511" s="142"/>
      <c r="O511" s="115"/>
    </row>
    <row r="512" spans="1:22" s="52" customFormat="1" ht="15.75" customHeight="1" x14ac:dyDescent="0.3">
      <c r="A512" s="143">
        <v>1145</v>
      </c>
      <c r="B512" s="146" t="s">
        <v>155</v>
      </c>
      <c r="C512" s="149" t="s">
        <v>191</v>
      </c>
      <c r="D512" s="150"/>
      <c r="E512" s="150"/>
      <c r="F512" s="150"/>
      <c r="G512" s="150"/>
      <c r="H512" s="151"/>
      <c r="I512" s="152" t="s">
        <v>109</v>
      </c>
      <c r="J512" s="153"/>
      <c r="K512" s="156" t="s">
        <v>61</v>
      </c>
      <c r="L512" s="156"/>
      <c r="M512" s="267">
        <f>M513</f>
        <v>0.15</v>
      </c>
      <c r="N512" s="268"/>
      <c r="O512" s="269"/>
    </row>
    <row r="513" spans="1:16" s="52" customFormat="1" ht="31.95" customHeight="1" x14ac:dyDescent="0.3">
      <c r="A513" s="144"/>
      <c r="B513" s="147"/>
      <c r="C513" s="136" t="s">
        <v>232</v>
      </c>
      <c r="D513" s="137"/>
      <c r="E513" s="137"/>
      <c r="F513" s="137"/>
      <c r="G513" s="137"/>
      <c r="H513" s="138"/>
      <c r="I513" s="139">
        <v>300</v>
      </c>
      <c r="J513" s="140"/>
      <c r="K513" s="265">
        <f>K509</f>
        <v>8.3333333333333329E-2</v>
      </c>
      <c r="L513" s="140"/>
      <c r="M513" s="141">
        <f>ROUND(I513/165.5*K513,2)</f>
        <v>0.15</v>
      </c>
      <c r="N513" s="142"/>
      <c r="O513" s="64"/>
    </row>
    <row r="514" spans="1:16" x14ac:dyDescent="0.3">
      <c r="A514" s="71">
        <v>1200</v>
      </c>
      <c r="B514" s="189" t="s">
        <v>230</v>
      </c>
      <c r="C514" s="189"/>
      <c r="D514" s="189"/>
      <c r="E514" s="189"/>
      <c r="F514" s="189"/>
      <c r="G514" s="189"/>
      <c r="H514" s="189"/>
      <c r="I514" s="189"/>
      <c r="J514" s="189"/>
      <c r="K514" s="189"/>
      <c r="L514" s="189"/>
      <c r="M514" s="224">
        <f>ROUND(M515,2)</f>
        <v>0.53</v>
      </c>
      <c r="N514" s="225"/>
      <c r="O514" s="48"/>
    </row>
    <row r="515" spans="1:16" x14ac:dyDescent="0.3">
      <c r="A515" s="105">
        <v>1210</v>
      </c>
      <c r="B515" s="134" t="s">
        <v>105</v>
      </c>
      <c r="C515" s="134"/>
      <c r="D515" s="134"/>
      <c r="E515" s="134"/>
      <c r="F515" s="134"/>
      <c r="G515" s="134"/>
      <c r="H515" s="134"/>
      <c r="I515" s="134"/>
      <c r="J515" s="134"/>
      <c r="K515" s="134"/>
      <c r="L515" s="134"/>
      <c r="M515" s="187">
        <f>ROUND(M505*0.2359,2)</f>
        <v>0.53</v>
      </c>
      <c r="N515" s="188"/>
      <c r="O515" s="48"/>
    </row>
    <row r="516" spans="1:16" x14ac:dyDescent="0.3">
      <c r="A516" s="70">
        <v>2000</v>
      </c>
      <c r="B516" s="189" t="s">
        <v>104</v>
      </c>
      <c r="C516" s="189"/>
      <c r="D516" s="189"/>
      <c r="E516" s="189"/>
      <c r="F516" s="189"/>
      <c r="G516" s="189"/>
      <c r="H516" s="189"/>
      <c r="I516" s="189"/>
      <c r="J516" s="189"/>
      <c r="K516" s="189"/>
      <c r="L516" s="189"/>
      <c r="M516" s="224">
        <f>M517</f>
        <v>0.48</v>
      </c>
      <c r="N516" s="225"/>
      <c r="O516" s="48"/>
    </row>
    <row r="517" spans="1:16" x14ac:dyDescent="0.3">
      <c r="A517" s="71">
        <v>2200</v>
      </c>
      <c r="B517" s="189" t="s">
        <v>103</v>
      </c>
      <c r="C517" s="189"/>
      <c r="D517" s="189"/>
      <c r="E517" s="189"/>
      <c r="F517" s="189"/>
      <c r="G517" s="189"/>
      <c r="H517" s="189"/>
      <c r="I517" s="189"/>
      <c r="J517" s="189"/>
      <c r="K517" s="189"/>
      <c r="L517" s="189"/>
      <c r="M517" s="190">
        <f>SUM(M519:N520)</f>
        <v>0.48</v>
      </c>
      <c r="N517" s="191"/>
      <c r="O517" s="48"/>
    </row>
    <row r="518" spans="1:16" x14ac:dyDescent="0.3">
      <c r="A518" s="114"/>
      <c r="B518" s="113"/>
      <c r="C518" s="158" t="s">
        <v>65</v>
      </c>
      <c r="D518" s="158"/>
      <c r="E518" s="158"/>
      <c r="F518" s="158"/>
      <c r="G518" s="158"/>
      <c r="H518" s="158"/>
      <c r="I518" s="156" t="s">
        <v>62</v>
      </c>
      <c r="J518" s="156"/>
      <c r="K518" s="156" t="s">
        <v>61</v>
      </c>
      <c r="L518" s="156"/>
      <c r="M518" s="198"/>
      <c r="N518" s="199"/>
      <c r="O518" s="48" t="s">
        <v>101</v>
      </c>
      <c r="P518" t="s">
        <v>100</v>
      </c>
    </row>
    <row r="519" spans="1:16" s="51" customFormat="1" ht="58.5" customHeight="1" x14ac:dyDescent="0.3">
      <c r="A519" s="103">
        <v>2235</v>
      </c>
      <c r="B519" s="103" t="s">
        <v>96</v>
      </c>
      <c r="C519" s="134" t="s">
        <v>220</v>
      </c>
      <c r="D519" s="134"/>
      <c r="E519" s="134"/>
      <c r="F519" s="134"/>
      <c r="G519" s="134"/>
      <c r="H519" s="134"/>
      <c r="I519" s="135">
        <f>ROUND(714.28/1986,2)</f>
        <v>0.36</v>
      </c>
      <c r="J519" s="135"/>
      <c r="K519" s="135">
        <v>1</v>
      </c>
      <c r="L519" s="135"/>
      <c r="M519" s="228">
        <f t="shared" ref="M519" si="23">I519*K519</f>
        <v>0.36</v>
      </c>
      <c r="N519" s="229"/>
      <c r="O519" s="87">
        <v>292695.89</v>
      </c>
      <c r="P519" s="51">
        <f t="shared" ref="P519" si="24">ROUND(O519/365/24,2)</f>
        <v>33.409999999999997</v>
      </c>
    </row>
    <row r="520" spans="1:16" ht="115.5" customHeight="1" x14ac:dyDescent="0.3">
      <c r="A520" s="113">
        <v>2243</v>
      </c>
      <c r="B520" s="113" t="s">
        <v>198</v>
      </c>
      <c r="C520" s="134" t="s">
        <v>221</v>
      </c>
      <c r="D520" s="134"/>
      <c r="E520" s="134"/>
      <c r="F520" s="134"/>
      <c r="G520" s="134"/>
      <c r="H520" s="134"/>
      <c r="I520" s="135">
        <f>ROUND(239.7/1986,2)</f>
        <v>0.12</v>
      </c>
      <c r="J520" s="135"/>
      <c r="K520" s="135">
        <v>1</v>
      </c>
      <c r="L520" s="135"/>
      <c r="M520" s="228">
        <f t="shared" ref="M520" si="25">I520*K520</f>
        <v>0.12</v>
      </c>
      <c r="N520" s="229"/>
      <c r="O520" s="88">
        <v>8720</v>
      </c>
      <c r="P520">
        <f t="shared" ref="P520" si="26">ROUND(O520/365/24,2)</f>
        <v>1</v>
      </c>
    </row>
    <row r="521" spans="1:16" x14ac:dyDescent="0.3">
      <c r="A521" s="70">
        <v>5000</v>
      </c>
      <c r="B521" s="189" t="s">
        <v>66</v>
      </c>
      <c r="C521" s="189"/>
      <c r="D521" s="189"/>
      <c r="E521" s="189"/>
      <c r="F521" s="189"/>
      <c r="G521" s="189"/>
      <c r="H521" s="189"/>
      <c r="I521" s="189"/>
      <c r="J521" s="189"/>
      <c r="K521" s="189"/>
      <c r="L521" s="189"/>
      <c r="M521" s="190">
        <f>ROUND(M522,2)</f>
        <v>0</v>
      </c>
      <c r="N521" s="191"/>
      <c r="O521" s="49"/>
    </row>
    <row r="522" spans="1:16" ht="15" customHeight="1" x14ac:dyDescent="0.3">
      <c r="A522" s="103"/>
      <c r="B522" s="103"/>
      <c r="C522" s="158" t="s">
        <v>65</v>
      </c>
      <c r="D522" s="158"/>
      <c r="E522" s="156" t="s">
        <v>64</v>
      </c>
      <c r="F522" s="156"/>
      <c r="G522" s="156" t="s">
        <v>63</v>
      </c>
      <c r="H522" s="156"/>
      <c r="I522" s="158" t="s">
        <v>62</v>
      </c>
      <c r="J522" s="158"/>
      <c r="K522" s="156" t="s">
        <v>61</v>
      </c>
      <c r="L522" s="156"/>
      <c r="M522" s="198">
        <f>M523</f>
        <v>0</v>
      </c>
      <c r="N522" s="199"/>
    </row>
    <row r="523" spans="1:16" ht="23.1" customHeight="1" x14ac:dyDescent="0.3">
      <c r="A523" s="103"/>
      <c r="B523" s="103"/>
      <c r="C523" s="134"/>
      <c r="D523" s="134"/>
      <c r="E523" s="154"/>
      <c r="F523" s="154"/>
      <c r="G523" s="154"/>
      <c r="H523" s="154"/>
      <c r="I523" s="227"/>
      <c r="J523" s="227"/>
      <c r="K523" s="154"/>
      <c r="L523" s="154"/>
      <c r="M523" s="206">
        <f>ROUND(I523*E523/100/12/166.92*K523,2)</f>
        <v>0</v>
      </c>
      <c r="N523" s="207"/>
      <c r="O523" s="109">
        <v>6628.38</v>
      </c>
    </row>
    <row r="524" spans="1:16" x14ac:dyDescent="0.3">
      <c r="A524" s="195" t="s">
        <v>60</v>
      </c>
      <c r="B524" s="195"/>
      <c r="C524" s="195"/>
      <c r="D524" s="195"/>
      <c r="E524" s="195"/>
      <c r="F524" s="195"/>
      <c r="G524" s="195"/>
      <c r="H524" s="195"/>
      <c r="I524" s="195"/>
      <c r="J524" s="195"/>
      <c r="K524" s="195"/>
      <c r="L524" s="195"/>
      <c r="M524" s="204">
        <f>M504+M516+M521</f>
        <v>3.2500000000000004</v>
      </c>
      <c r="N524" s="205"/>
      <c r="O524" s="48"/>
    </row>
    <row r="525" spans="1:16" x14ac:dyDescent="0.3">
      <c r="A525" s="230" t="s">
        <v>59</v>
      </c>
      <c r="B525" s="230"/>
      <c r="C525" s="230"/>
      <c r="D525" s="230"/>
      <c r="E525" s="230"/>
      <c r="F525" s="230"/>
      <c r="G525" s="230"/>
      <c r="H525" s="230"/>
      <c r="I525" s="230"/>
      <c r="J525" s="230"/>
      <c r="K525" s="230"/>
      <c r="L525" s="230"/>
      <c r="M525" s="222">
        <f>M524+M501</f>
        <v>47.024088620342397</v>
      </c>
      <c r="N525" s="223"/>
      <c r="O525" s="48"/>
    </row>
    <row r="526" spans="1:16" ht="16.8" x14ac:dyDescent="0.3">
      <c r="A526" s="196" t="s">
        <v>192</v>
      </c>
      <c r="B526" s="196"/>
      <c r="C526" s="196"/>
      <c r="D526" s="196"/>
      <c r="E526" s="196"/>
      <c r="F526" s="196"/>
      <c r="G526" s="196"/>
      <c r="H526" s="196"/>
      <c r="I526" s="196"/>
      <c r="J526" s="196"/>
      <c r="K526" s="196"/>
      <c r="L526" s="196"/>
      <c r="M526" s="160"/>
      <c r="N526" s="162"/>
      <c r="O526" s="48"/>
    </row>
    <row r="527" spans="1:16" x14ac:dyDescent="0.3">
      <c r="A527" s="163" t="s">
        <v>57</v>
      </c>
      <c r="B527" s="164"/>
      <c r="C527" s="164"/>
      <c r="D527" s="164"/>
      <c r="E527" s="164"/>
      <c r="F527" s="164"/>
      <c r="G527" s="164"/>
      <c r="H527" s="164"/>
      <c r="I527" s="164"/>
      <c r="J527" s="164"/>
      <c r="K527" s="164"/>
      <c r="L527" s="165"/>
      <c r="M527" s="208">
        <f>M525+M526</f>
        <v>47.024088620342397</v>
      </c>
      <c r="N527" s="209"/>
      <c r="O527" s="48"/>
    </row>
    <row r="529" spans="1:14" ht="15.6" x14ac:dyDescent="0.3">
      <c r="A529" s="117" t="s">
        <v>185</v>
      </c>
    </row>
    <row r="530" spans="1:14" ht="63.45" customHeight="1" x14ac:dyDescent="0.3">
      <c r="A530" s="133" t="s">
        <v>233</v>
      </c>
      <c r="B530" s="133"/>
      <c r="C530" s="133"/>
      <c r="D530" s="133"/>
      <c r="E530" s="133"/>
      <c r="F530" s="133"/>
      <c r="G530" s="133"/>
      <c r="H530" s="133"/>
      <c r="I530" s="133"/>
      <c r="J530" s="133"/>
      <c r="K530" s="133"/>
      <c r="L530" s="133"/>
      <c r="M530" s="133"/>
      <c r="N530" s="133"/>
    </row>
    <row r="531" spans="1:14" ht="45.45" customHeight="1" x14ac:dyDescent="0.3">
      <c r="A531" s="133" t="s">
        <v>234</v>
      </c>
      <c r="B531" s="133"/>
      <c r="C531" s="133"/>
      <c r="D531" s="133"/>
      <c r="E531" s="133"/>
      <c r="F531" s="133"/>
      <c r="G531" s="133"/>
      <c r="H531" s="133"/>
      <c r="I531" s="133"/>
      <c r="J531" s="133"/>
      <c r="K531" s="133"/>
      <c r="L531" s="133"/>
      <c r="M531" s="133"/>
      <c r="N531" s="133"/>
    </row>
    <row r="532" spans="1:14" ht="40.5" customHeight="1" x14ac:dyDescent="0.3">
      <c r="A532" s="133" t="s">
        <v>235</v>
      </c>
      <c r="B532" s="133"/>
      <c r="C532" s="133"/>
      <c r="D532" s="133"/>
      <c r="E532" s="133"/>
      <c r="F532" s="133"/>
      <c r="G532" s="133"/>
      <c r="H532" s="133"/>
      <c r="I532" s="133"/>
      <c r="J532" s="133"/>
      <c r="K532" s="133"/>
      <c r="L532" s="133"/>
      <c r="M532" s="133"/>
      <c r="N532" s="133"/>
    </row>
    <row r="533" spans="1:14" ht="33.450000000000003" customHeight="1" x14ac:dyDescent="0.3">
      <c r="A533" s="133" t="s">
        <v>193</v>
      </c>
      <c r="B533" s="133"/>
      <c r="C533" s="133"/>
      <c r="D533" s="133"/>
      <c r="E533" s="133"/>
      <c r="F533" s="133"/>
      <c r="G533" s="133"/>
      <c r="H533" s="133"/>
      <c r="I533" s="133"/>
      <c r="J533" s="133"/>
      <c r="K533" s="133"/>
      <c r="L533" s="133"/>
      <c r="M533" s="133"/>
      <c r="N533" s="133"/>
    </row>
    <row r="534" spans="1:14" ht="15.6" x14ac:dyDescent="0.3">
      <c r="A534" s="117"/>
    </row>
  </sheetData>
  <mergeCells count="1837">
    <mergeCell ref="M132:N132"/>
    <mergeCell ref="M135:N135"/>
    <mergeCell ref="M138:N138"/>
    <mergeCell ref="M55:N55"/>
    <mergeCell ref="M52:N52"/>
    <mergeCell ref="M51:N51"/>
    <mergeCell ref="M50:N50"/>
    <mergeCell ref="M49:N49"/>
    <mergeCell ref="M46:N46"/>
    <mergeCell ref="M45:N45"/>
    <mergeCell ref="M34:N34"/>
    <mergeCell ref="M33:N33"/>
    <mergeCell ref="M32:N32"/>
    <mergeCell ref="M31:N31"/>
    <mergeCell ref="M30:N30"/>
    <mergeCell ref="M29:N29"/>
    <mergeCell ref="M16:N16"/>
    <mergeCell ref="M120:N120"/>
    <mergeCell ref="M119:N119"/>
    <mergeCell ref="M116:N116"/>
    <mergeCell ref="M115:N115"/>
    <mergeCell ref="M112:N112"/>
    <mergeCell ref="M111:N111"/>
    <mergeCell ref="M100:N100"/>
    <mergeCell ref="M96:N96"/>
    <mergeCell ref="M94:N94"/>
    <mergeCell ref="M93:N93"/>
    <mergeCell ref="M91:N91"/>
    <mergeCell ref="M90:N90"/>
    <mergeCell ref="M89:N89"/>
    <mergeCell ref="M88:N88"/>
    <mergeCell ref="M87:N87"/>
    <mergeCell ref="M211:N211"/>
    <mergeCell ref="M209:N209"/>
    <mergeCell ref="M208:N208"/>
    <mergeCell ref="M168:N168"/>
    <mergeCell ref="M167:N167"/>
    <mergeCell ref="M163:N163"/>
    <mergeCell ref="M159:N159"/>
    <mergeCell ref="M158:N158"/>
    <mergeCell ref="M157:N157"/>
    <mergeCell ref="M156:N156"/>
    <mergeCell ref="M155:N155"/>
    <mergeCell ref="M154:N154"/>
    <mergeCell ref="M152:N152"/>
    <mergeCell ref="M143:N143"/>
    <mergeCell ref="M142:N142"/>
    <mergeCell ref="M139:N139"/>
    <mergeCell ref="M134:N134"/>
    <mergeCell ref="M190:N191"/>
    <mergeCell ref="M207:N207"/>
    <mergeCell ref="M210:N210"/>
    <mergeCell ref="M146:N146"/>
    <mergeCell ref="M140:N140"/>
    <mergeCell ref="M141:N141"/>
    <mergeCell ref="M202:N202"/>
    <mergeCell ref="M263:N263"/>
    <mergeCell ref="M261:N261"/>
    <mergeCell ref="M260:N260"/>
    <mergeCell ref="M258:N258"/>
    <mergeCell ref="M257:N257"/>
    <mergeCell ref="M254:N254"/>
    <mergeCell ref="M250:N250"/>
    <mergeCell ref="M249:N249"/>
    <mergeCell ref="M248:N248"/>
    <mergeCell ref="M214:N214"/>
    <mergeCell ref="M213:N213"/>
    <mergeCell ref="M212:N212"/>
    <mergeCell ref="M228:N228"/>
    <mergeCell ref="M264:N264"/>
    <mergeCell ref="M262:N262"/>
    <mergeCell ref="M256:N256"/>
    <mergeCell ref="M255:N255"/>
    <mergeCell ref="M224:N224"/>
    <mergeCell ref="M215:N215"/>
    <mergeCell ref="M236:N236"/>
    <mergeCell ref="M235:N235"/>
    <mergeCell ref="M231:N231"/>
    <mergeCell ref="M280:N280"/>
    <mergeCell ref="M279:N279"/>
    <mergeCell ref="M278:N278"/>
    <mergeCell ref="M276:N276"/>
    <mergeCell ref="M275:N275"/>
    <mergeCell ref="M274:N274"/>
    <mergeCell ref="M273:N273"/>
    <mergeCell ref="M272:N272"/>
    <mergeCell ref="M284:N284"/>
    <mergeCell ref="M335:N335"/>
    <mergeCell ref="M336:N336"/>
    <mergeCell ref="M330:N330"/>
    <mergeCell ref="M271:N271"/>
    <mergeCell ref="M268:N268"/>
    <mergeCell ref="M267:N267"/>
    <mergeCell ref="M266:N266"/>
    <mergeCell ref="M265:N265"/>
    <mergeCell ref="M270:N270"/>
    <mergeCell ref="M269:N269"/>
    <mergeCell ref="M277:N277"/>
    <mergeCell ref="M381:N381"/>
    <mergeCell ref="M380:N380"/>
    <mergeCell ref="M379:N379"/>
    <mergeCell ref="M372:N372"/>
    <mergeCell ref="M367:N367"/>
    <mergeCell ref="M374:N374"/>
    <mergeCell ref="M370:N370"/>
    <mergeCell ref="M342:N342"/>
    <mergeCell ref="M341:N341"/>
    <mergeCell ref="M375:N375"/>
    <mergeCell ref="M340:N340"/>
    <mergeCell ref="M339:N339"/>
    <mergeCell ref="M338:N338"/>
    <mergeCell ref="M312:N312"/>
    <mergeCell ref="M311:N311"/>
    <mergeCell ref="M283:N283"/>
    <mergeCell ref="M281:N281"/>
    <mergeCell ref="M402:N402"/>
    <mergeCell ref="M399:N399"/>
    <mergeCell ref="M398:N398"/>
    <mergeCell ref="M424:O424"/>
    <mergeCell ref="M393:N393"/>
    <mergeCell ref="M392:N392"/>
    <mergeCell ref="M391:N391"/>
    <mergeCell ref="M390:N390"/>
    <mergeCell ref="O420:O421"/>
    <mergeCell ref="O400:O401"/>
    <mergeCell ref="M389:N389"/>
    <mergeCell ref="M388:N388"/>
    <mergeCell ref="M387:N387"/>
    <mergeCell ref="M386:N386"/>
    <mergeCell ref="M385:N385"/>
    <mergeCell ref="M384:N384"/>
    <mergeCell ref="M383:N383"/>
    <mergeCell ref="M466:N466"/>
    <mergeCell ref="M462:N462"/>
    <mergeCell ref="M461:N461"/>
    <mergeCell ref="M460:N460"/>
    <mergeCell ref="M458:N458"/>
    <mergeCell ref="M456:N456"/>
    <mergeCell ref="M455:N455"/>
    <mergeCell ref="M454:N454"/>
    <mergeCell ref="M453:N453"/>
    <mergeCell ref="M452:N452"/>
    <mergeCell ref="M467:N467"/>
    <mergeCell ref="M464:N464"/>
    <mergeCell ref="M451:N451"/>
    <mergeCell ref="M449:N449"/>
    <mergeCell ref="M448:N448"/>
    <mergeCell ref="M447:N447"/>
    <mergeCell ref="M446:N446"/>
    <mergeCell ref="M519:N519"/>
    <mergeCell ref="M518:N518"/>
    <mergeCell ref="M517:N517"/>
    <mergeCell ref="M516:N516"/>
    <mergeCell ref="M515:N515"/>
    <mergeCell ref="M514:N514"/>
    <mergeCell ref="M511:N511"/>
    <mergeCell ref="M510:N510"/>
    <mergeCell ref="M509:N509"/>
    <mergeCell ref="M508:N508"/>
    <mergeCell ref="M507:N507"/>
    <mergeCell ref="M506:N506"/>
    <mergeCell ref="M505:N505"/>
    <mergeCell ref="C519:H519"/>
    <mergeCell ref="I519:J519"/>
    <mergeCell ref="K519:L519"/>
    <mergeCell ref="B514:L514"/>
    <mergeCell ref="B515:L515"/>
    <mergeCell ref="B516:L516"/>
    <mergeCell ref="B517:L517"/>
    <mergeCell ref="C518:H518"/>
    <mergeCell ref="I518:J518"/>
    <mergeCell ref="K518:L518"/>
    <mergeCell ref="B505:L505"/>
    <mergeCell ref="K512:L512"/>
    <mergeCell ref="M512:O512"/>
    <mergeCell ref="A524:L524"/>
    <mergeCell ref="A525:L525"/>
    <mergeCell ref="A526:L526"/>
    <mergeCell ref="A527:L527"/>
    <mergeCell ref="B521:L521"/>
    <mergeCell ref="C522:D522"/>
    <mergeCell ref="E522:F522"/>
    <mergeCell ref="G522:H522"/>
    <mergeCell ref="I522:J522"/>
    <mergeCell ref="K522:L522"/>
    <mergeCell ref="C523:D523"/>
    <mergeCell ref="E523:F523"/>
    <mergeCell ref="G523:H523"/>
    <mergeCell ref="I523:J523"/>
    <mergeCell ref="K523:L523"/>
    <mergeCell ref="M520:N520"/>
    <mergeCell ref="M521:N521"/>
    <mergeCell ref="M522:N522"/>
    <mergeCell ref="M523:N523"/>
    <mergeCell ref="M524:N524"/>
    <mergeCell ref="M525:N525"/>
    <mergeCell ref="M526:N526"/>
    <mergeCell ref="M527:N527"/>
    <mergeCell ref="C520:H520"/>
    <mergeCell ref="I520:J520"/>
    <mergeCell ref="K520:L520"/>
    <mergeCell ref="A512:A513"/>
    <mergeCell ref="B512:B513"/>
    <mergeCell ref="C512:H512"/>
    <mergeCell ref="I512:J512"/>
    <mergeCell ref="C513:H513"/>
    <mergeCell ref="I513:J513"/>
    <mergeCell ref="K513:L513"/>
    <mergeCell ref="M513:N513"/>
    <mergeCell ref="A510:A511"/>
    <mergeCell ref="B510:B511"/>
    <mergeCell ref="C510:H510"/>
    <mergeCell ref="I510:J510"/>
    <mergeCell ref="K510:L510"/>
    <mergeCell ref="C511:H511"/>
    <mergeCell ref="I511:J511"/>
    <mergeCell ref="K511:L511"/>
    <mergeCell ref="A508:A509"/>
    <mergeCell ref="B508:B509"/>
    <mergeCell ref="C508:H508"/>
    <mergeCell ref="I508:J508"/>
    <mergeCell ref="K508:L508"/>
    <mergeCell ref="C509:H509"/>
    <mergeCell ref="I509:J509"/>
    <mergeCell ref="K509:L509"/>
    <mergeCell ref="A506:A507"/>
    <mergeCell ref="B506:B507"/>
    <mergeCell ref="C506:H506"/>
    <mergeCell ref="I506:J506"/>
    <mergeCell ref="K506:L506"/>
    <mergeCell ref="C507:H507"/>
    <mergeCell ref="I507:J507"/>
    <mergeCell ref="K507:L507"/>
    <mergeCell ref="O498:O500"/>
    <mergeCell ref="C500:D500"/>
    <mergeCell ref="E500:F500"/>
    <mergeCell ref="G500:H500"/>
    <mergeCell ref="I500:J500"/>
    <mergeCell ref="K500:L500"/>
    <mergeCell ref="A501:L501"/>
    <mergeCell ref="M501:N501"/>
    <mergeCell ref="C502:D502"/>
    <mergeCell ref="E502:F502"/>
    <mergeCell ref="G502:H502"/>
    <mergeCell ref="I502:J502"/>
    <mergeCell ref="K502:L502"/>
    <mergeCell ref="M502:N502"/>
    <mergeCell ref="A503:N503"/>
    <mergeCell ref="B504:L504"/>
    <mergeCell ref="M504:N504"/>
    <mergeCell ref="M498:N498"/>
    <mergeCell ref="I499:J499"/>
    <mergeCell ref="K499:L499"/>
    <mergeCell ref="M499:N499"/>
    <mergeCell ref="M500:N500"/>
    <mergeCell ref="A490:A493"/>
    <mergeCell ref="B490:B493"/>
    <mergeCell ref="C490:G490"/>
    <mergeCell ref="I490:J490"/>
    <mergeCell ref="K490:L490"/>
    <mergeCell ref="M490:N490"/>
    <mergeCell ref="C491:G491"/>
    <mergeCell ref="I491:J491"/>
    <mergeCell ref="K491:L491"/>
    <mergeCell ref="M491:N491"/>
    <mergeCell ref="C492:G492"/>
    <mergeCell ref="I492:J492"/>
    <mergeCell ref="O496:O497"/>
    <mergeCell ref="C497:D497"/>
    <mergeCell ref="E497:F497"/>
    <mergeCell ref="G497:H497"/>
    <mergeCell ref="I497:J497"/>
    <mergeCell ref="K497:L497"/>
    <mergeCell ref="M497:N497"/>
    <mergeCell ref="M493:N493"/>
    <mergeCell ref="M492:N492"/>
    <mergeCell ref="B494:L494"/>
    <mergeCell ref="M494:N494"/>
    <mergeCell ref="C495:D495"/>
    <mergeCell ref="E495:F495"/>
    <mergeCell ref="G495:H495"/>
    <mergeCell ref="I495:J495"/>
    <mergeCell ref="K495:L495"/>
    <mergeCell ref="M495:N495"/>
    <mergeCell ref="A496:A500"/>
    <mergeCell ref="B496:B500"/>
    <mergeCell ref="C496:D496"/>
    <mergeCell ref="E496:F496"/>
    <mergeCell ref="G496:H496"/>
    <mergeCell ref="I496:J496"/>
    <mergeCell ref="K496:L496"/>
    <mergeCell ref="M496:N496"/>
    <mergeCell ref="C498:D498"/>
    <mergeCell ref="E498:F498"/>
    <mergeCell ref="G498:H498"/>
    <mergeCell ref="I498:J498"/>
    <mergeCell ref="K498:L498"/>
    <mergeCell ref="B487:L487"/>
    <mergeCell ref="B488:L488"/>
    <mergeCell ref="B489:L489"/>
    <mergeCell ref="K492:L492"/>
    <mergeCell ref="C493:G493"/>
    <mergeCell ref="I493:J493"/>
    <mergeCell ref="K493:L493"/>
    <mergeCell ref="M489:N489"/>
    <mergeCell ref="M488:N488"/>
    <mergeCell ref="M487:N487"/>
    <mergeCell ref="C483:H483"/>
    <mergeCell ref="I483:J483"/>
    <mergeCell ref="K483:L483"/>
    <mergeCell ref="C484:H484"/>
    <mergeCell ref="I484:J484"/>
    <mergeCell ref="K484:L484"/>
    <mergeCell ref="C485:H485"/>
    <mergeCell ref="I485:J485"/>
    <mergeCell ref="K485:L485"/>
    <mergeCell ref="B486:L486"/>
    <mergeCell ref="C476:N476"/>
    <mergeCell ref="C477:N477"/>
    <mergeCell ref="O477:O478"/>
    <mergeCell ref="A478:N478"/>
    <mergeCell ref="B479:L479"/>
    <mergeCell ref="M479:N479"/>
    <mergeCell ref="O479:O480"/>
    <mergeCell ref="B480:L480"/>
    <mergeCell ref="M480:N480"/>
    <mergeCell ref="C481:H481"/>
    <mergeCell ref="I481:J481"/>
    <mergeCell ref="K481:L481"/>
    <mergeCell ref="M481:N481"/>
    <mergeCell ref="O481:O482"/>
    <mergeCell ref="C482:H482"/>
    <mergeCell ref="I482:J482"/>
    <mergeCell ref="K482:L482"/>
    <mergeCell ref="M482:N482"/>
    <mergeCell ref="M486:N486"/>
    <mergeCell ref="M485:N485"/>
    <mergeCell ref="M484:N484"/>
    <mergeCell ref="M483:N483"/>
    <mergeCell ref="A194:A197"/>
    <mergeCell ref="B194:B197"/>
    <mergeCell ref="C194:H194"/>
    <mergeCell ref="I194:J194"/>
    <mergeCell ref="C195:H195"/>
    <mergeCell ref="I195:J195"/>
    <mergeCell ref="K195:L195"/>
    <mergeCell ref="M195:N195"/>
    <mergeCell ref="C196:H196"/>
    <mergeCell ref="I196:J196"/>
    <mergeCell ref="K196:L196"/>
    <mergeCell ref="M196:N196"/>
    <mergeCell ref="C197:H197"/>
    <mergeCell ref="I197:J197"/>
    <mergeCell ref="K197:L197"/>
    <mergeCell ref="M197:N197"/>
    <mergeCell ref="B170:B171"/>
    <mergeCell ref="A170:A171"/>
    <mergeCell ref="A189:A193"/>
    <mergeCell ref="A177:A183"/>
    <mergeCell ref="B177:B183"/>
    <mergeCell ref="C177:H177"/>
    <mergeCell ref="I177:J177"/>
    <mergeCell ref="K177:L177"/>
    <mergeCell ref="M177:N177"/>
    <mergeCell ref="C178:H178"/>
    <mergeCell ref="I178:J179"/>
    <mergeCell ref="C182:H182"/>
    <mergeCell ref="I182:J183"/>
    <mergeCell ref="K182:L183"/>
    <mergeCell ref="M182:N183"/>
    <mergeCell ref="C149:H149"/>
    <mergeCell ref="K149:L149"/>
    <mergeCell ref="M149:N149"/>
    <mergeCell ref="C150:H150"/>
    <mergeCell ref="K150:L150"/>
    <mergeCell ref="M150:N150"/>
    <mergeCell ref="I153:J153"/>
    <mergeCell ref="K153:L153"/>
    <mergeCell ref="B164:L164"/>
    <mergeCell ref="M164:N164"/>
    <mergeCell ref="A208:A211"/>
    <mergeCell ref="C111:G111"/>
    <mergeCell ref="I111:J111"/>
    <mergeCell ref="C113:G113"/>
    <mergeCell ref="I113:J113"/>
    <mergeCell ref="I101:J101"/>
    <mergeCell ref="C108:G108"/>
    <mergeCell ref="C211:H211"/>
    <mergeCell ref="I211:J211"/>
    <mergeCell ref="K211:L211"/>
    <mergeCell ref="B208:B211"/>
    <mergeCell ref="C208:H208"/>
    <mergeCell ref="I208:J208"/>
    <mergeCell ref="K208:L208"/>
    <mergeCell ref="C209:H209"/>
    <mergeCell ref="I209:J209"/>
    <mergeCell ref="K209:L209"/>
    <mergeCell ref="C207:H207"/>
    <mergeCell ref="A184:A188"/>
    <mergeCell ref="I207:J207"/>
    <mergeCell ref="K207:L207"/>
    <mergeCell ref="I210:J210"/>
    <mergeCell ref="K210:L210"/>
    <mergeCell ref="C140:H140"/>
    <mergeCell ref="I140:J140"/>
    <mergeCell ref="K140:L140"/>
    <mergeCell ref="C128:N128"/>
    <mergeCell ref="B131:L131"/>
    <mergeCell ref="M131:N131"/>
    <mergeCell ref="C132:H132"/>
    <mergeCell ref="M185:N186"/>
    <mergeCell ref="C202:H202"/>
    <mergeCell ref="A465:L465"/>
    <mergeCell ref="M465:N465"/>
    <mergeCell ref="M110:N110"/>
    <mergeCell ref="M103:N103"/>
    <mergeCell ref="I104:J104"/>
    <mergeCell ref="K104:L104"/>
    <mergeCell ref="M104:N104"/>
    <mergeCell ref="I105:J105"/>
    <mergeCell ref="K105:L105"/>
    <mergeCell ref="M105:N105"/>
    <mergeCell ref="M106:N106"/>
    <mergeCell ref="M107:N107"/>
    <mergeCell ref="C109:G109"/>
    <mergeCell ref="I109:J109"/>
    <mergeCell ref="K109:L109"/>
    <mergeCell ref="C110:G110"/>
    <mergeCell ref="I110:J110"/>
    <mergeCell ref="K110:L110"/>
    <mergeCell ref="I108:J108"/>
    <mergeCell ref="K108:L108"/>
    <mergeCell ref="I106:J106"/>
    <mergeCell ref="I107:J107"/>
    <mergeCell ref="C462:D462"/>
    <mergeCell ref="E462:F462"/>
    <mergeCell ref="G462:H462"/>
    <mergeCell ref="I462:J462"/>
    <mergeCell ref="K462:L462"/>
    <mergeCell ref="K107:L107"/>
    <mergeCell ref="K106:L106"/>
    <mergeCell ref="K113:L113"/>
    <mergeCell ref="M113:N113"/>
    <mergeCell ref="G463:H463"/>
    <mergeCell ref="I463:J463"/>
    <mergeCell ref="K463:L463"/>
    <mergeCell ref="M463:N463"/>
    <mergeCell ref="K447:L447"/>
    <mergeCell ref="C448:G448"/>
    <mergeCell ref="B438:B441"/>
    <mergeCell ref="C438:H438"/>
    <mergeCell ref="I438:J438"/>
    <mergeCell ref="K438:L438"/>
    <mergeCell ref="C441:H441"/>
    <mergeCell ref="I441:J441"/>
    <mergeCell ref="K441:L441"/>
    <mergeCell ref="C445:G445"/>
    <mergeCell ref="I453:J453"/>
    <mergeCell ref="K453:L453"/>
    <mergeCell ref="C454:G454"/>
    <mergeCell ref="I454:J454"/>
    <mergeCell ref="K454:L454"/>
    <mergeCell ref="B461:L461"/>
    <mergeCell ref="B442:L442"/>
    <mergeCell ref="C452:G452"/>
    <mergeCell ref="I452:J452"/>
    <mergeCell ref="K451:L451"/>
    <mergeCell ref="M457:N457"/>
    <mergeCell ref="C458:G458"/>
    <mergeCell ref="I458:J458"/>
    <mergeCell ref="C450:G450"/>
    <mergeCell ref="I450:J450"/>
    <mergeCell ref="K450:L450"/>
    <mergeCell ref="C436:H436"/>
    <mergeCell ref="I436:J436"/>
    <mergeCell ref="K436:L436"/>
    <mergeCell ref="C437:H437"/>
    <mergeCell ref="I437:J437"/>
    <mergeCell ref="K437:L437"/>
    <mergeCell ref="M438:N438"/>
    <mergeCell ref="C439:H439"/>
    <mergeCell ref="I439:J439"/>
    <mergeCell ref="K439:L439"/>
    <mergeCell ref="M439:N439"/>
    <mergeCell ref="K452:L452"/>
    <mergeCell ref="C453:G453"/>
    <mergeCell ref="C449:G449"/>
    <mergeCell ref="I449:J449"/>
    <mergeCell ref="K449:L449"/>
    <mergeCell ref="I415:J416"/>
    <mergeCell ref="K415:L416"/>
    <mergeCell ref="M415:N416"/>
    <mergeCell ref="A414:A418"/>
    <mergeCell ref="B414:B418"/>
    <mergeCell ref="C414:H414"/>
    <mergeCell ref="I414:J414"/>
    <mergeCell ref="K414:L414"/>
    <mergeCell ref="M414:N414"/>
    <mergeCell ref="C463:D463"/>
    <mergeCell ref="E463:F463"/>
    <mergeCell ref="M445:N445"/>
    <mergeCell ref="M444:N444"/>
    <mergeCell ref="M443:N443"/>
    <mergeCell ref="M442:N442"/>
    <mergeCell ref="M441:N441"/>
    <mergeCell ref="M437:N437"/>
    <mergeCell ref="M436:N436"/>
    <mergeCell ref="C440:H440"/>
    <mergeCell ref="I440:J440"/>
    <mergeCell ref="K440:L440"/>
    <mergeCell ref="M440:N440"/>
    <mergeCell ref="C435:H435"/>
    <mergeCell ref="I435:J435"/>
    <mergeCell ref="K435:L435"/>
    <mergeCell ref="M435:N435"/>
    <mergeCell ref="C447:G447"/>
    <mergeCell ref="I447:J447"/>
    <mergeCell ref="M450:N450"/>
    <mergeCell ref="I448:J448"/>
    <mergeCell ref="K448:L448"/>
    <mergeCell ref="I451:J451"/>
    <mergeCell ref="A419:A423"/>
    <mergeCell ref="B419:B423"/>
    <mergeCell ref="C419:H419"/>
    <mergeCell ref="I419:J419"/>
    <mergeCell ref="K419:L419"/>
    <mergeCell ref="M419:N419"/>
    <mergeCell ref="C432:H432"/>
    <mergeCell ref="I432:J432"/>
    <mergeCell ref="K432:L432"/>
    <mergeCell ref="C433:H433"/>
    <mergeCell ref="I433:J433"/>
    <mergeCell ref="K433:L433"/>
    <mergeCell ref="M433:N433"/>
    <mergeCell ref="M432:N432"/>
    <mergeCell ref="B431:L431"/>
    <mergeCell ref="M431:N431"/>
    <mergeCell ref="A432:A434"/>
    <mergeCell ref="C434:H434"/>
    <mergeCell ref="I434:J434"/>
    <mergeCell ref="K434:L434"/>
    <mergeCell ref="M434:N434"/>
    <mergeCell ref="B428:L428"/>
    <mergeCell ref="M428:N428"/>
    <mergeCell ref="B429:L429"/>
    <mergeCell ref="M429:N429"/>
    <mergeCell ref="B430:L430"/>
    <mergeCell ref="M430:N430"/>
    <mergeCell ref="B432:B434"/>
    <mergeCell ref="K412:L413"/>
    <mergeCell ref="M412:N413"/>
    <mergeCell ref="O412:O413"/>
    <mergeCell ref="C413:H413"/>
    <mergeCell ref="O408:O409"/>
    <mergeCell ref="C409:H409"/>
    <mergeCell ref="C410:H410"/>
    <mergeCell ref="I410:J411"/>
    <mergeCell ref="K410:L411"/>
    <mergeCell ref="M410:N411"/>
    <mergeCell ref="O410:O411"/>
    <mergeCell ref="C411:H411"/>
    <mergeCell ref="O422:O423"/>
    <mergeCell ref="C423:H423"/>
    <mergeCell ref="C422:H422"/>
    <mergeCell ref="I422:J423"/>
    <mergeCell ref="K422:L423"/>
    <mergeCell ref="M422:N423"/>
    <mergeCell ref="C420:H420"/>
    <mergeCell ref="I420:J421"/>
    <mergeCell ref="K420:L421"/>
    <mergeCell ref="M420:N421"/>
    <mergeCell ref="C421:H421"/>
    <mergeCell ref="O415:O416"/>
    <mergeCell ref="C416:H416"/>
    <mergeCell ref="C417:H417"/>
    <mergeCell ref="I417:J418"/>
    <mergeCell ref="K417:L418"/>
    <mergeCell ref="M417:N418"/>
    <mergeCell ref="O417:O418"/>
    <mergeCell ref="C418:H418"/>
    <mergeCell ref="C415:H415"/>
    <mergeCell ref="C403:D403"/>
    <mergeCell ref="E403:F403"/>
    <mergeCell ref="G403:H403"/>
    <mergeCell ref="I403:J403"/>
    <mergeCell ref="K403:L403"/>
    <mergeCell ref="M403:N403"/>
    <mergeCell ref="K408:L409"/>
    <mergeCell ref="M408:N409"/>
    <mergeCell ref="B405:L405"/>
    <mergeCell ref="M405:N405"/>
    <mergeCell ref="A396:A399"/>
    <mergeCell ref="B396:B399"/>
    <mergeCell ref="E396:F396"/>
    <mergeCell ref="G396:H396"/>
    <mergeCell ref="I396:J396"/>
    <mergeCell ref="K396:L396"/>
    <mergeCell ref="E397:F397"/>
    <mergeCell ref="G397:H397"/>
    <mergeCell ref="I397:J397"/>
    <mergeCell ref="K397:L397"/>
    <mergeCell ref="B406:L406"/>
    <mergeCell ref="M406:N406"/>
    <mergeCell ref="A407:A413"/>
    <mergeCell ref="B407:B413"/>
    <mergeCell ref="C407:H407"/>
    <mergeCell ref="I407:J407"/>
    <mergeCell ref="K407:L407"/>
    <mergeCell ref="M407:N407"/>
    <mergeCell ref="C408:H408"/>
    <mergeCell ref="I408:J409"/>
    <mergeCell ref="C412:H412"/>
    <mergeCell ref="I412:J413"/>
    <mergeCell ref="C401:D401"/>
    <mergeCell ref="O396:O397"/>
    <mergeCell ref="C397:D397"/>
    <mergeCell ref="C398:D398"/>
    <mergeCell ref="O398:O399"/>
    <mergeCell ref="C399:D399"/>
    <mergeCell ref="M378:N378"/>
    <mergeCell ref="C371:H371"/>
    <mergeCell ref="I371:J371"/>
    <mergeCell ref="K371:L371"/>
    <mergeCell ref="M371:N371"/>
    <mergeCell ref="M396:N396"/>
    <mergeCell ref="M397:N397"/>
    <mergeCell ref="E398:F398"/>
    <mergeCell ref="C400:D400"/>
    <mergeCell ref="E400:F401"/>
    <mergeCell ref="G400:H401"/>
    <mergeCell ref="I400:J401"/>
    <mergeCell ref="K400:L401"/>
    <mergeCell ref="M400:N401"/>
    <mergeCell ref="B394:L394"/>
    <mergeCell ref="M394:N394"/>
    <mergeCell ref="C395:D395"/>
    <mergeCell ref="E395:F395"/>
    <mergeCell ref="G395:H395"/>
    <mergeCell ref="I395:J395"/>
    <mergeCell ref="K395:L395"/>
    <mergeCell ref="M395:N395"/>
    <mergeCell ref="C390:G390"/>
    <mergeCell ref="I390:J390"/>
    <mergeCell ref="B374:L374"/>
    <mergeCell ref="B375:L375"/>
    <mergeCell ref="B376:L376"/>
    <mergeCell ref="M376:N376"/>
    <mergeCell ref="B377:L377"/>
    <mergeCell ref="M377:N377"/>
    <mergeCell ref="K386:L386"/>
    <mergeCell ref="C389:G389"/>
    <mergeCell ref="I389:J389"/>
    <mergeCell ref="K389:L389"/>
    <mergeCell ref="C379:H379"/>
    <mergeCell ref="K379:L379"/>
    <mergeCell ref="C380:H380"/>
    <mergeCell ref="K380:L380"/>
    <mergeCell ref="I383:J383"/>
    <mergeCell ref="K383:L383"/>
    <mergeCell ref="C387:G387"/>
    <mergeCell ref="I387:J387"/>
    <mergeCell ref="K387:L387"/>
    <mergeCell ref="C388:G388"/>
    <mergeCell ref="I388:J388"/>
    <mergeCell ref="K388:L388"/>
    <mergeCell ref="C386:G386"/>
    <mergeCell ref="I386:J386"/>
    <mergeCell ref="I384:J384"/>
    <mergeCell ref="K384:L384"/>
    <mergeCell ref="C385:G385"/>
    <mergeCell ref="I385:J385"/>
    <mergeCell ref="K385:L385"/>
    <mergeCell ref="C382:G382"/>
    <mergeCell ref="I382:J382"/>
    <mergeCell ref="K382:L382"/>
    <mergeCell ref="C383:G383"/>
    <mergeCell ref="M382:N382"/>
    <mergeCell ref="K369:L369"/>
    <mergeCell ref="C366:H366"/>
    <mergeCell ref="I366:J366"/>
    <mergeCell ref="K366:L366"/>
    <mergeCell ref="M366:N366"/>
    <mergeCell ref="C367:H367"/>
    <mergeCell ref="M369:N369"/>
    <mergeCell ref="C360:N360"/>
    <mergeCell ref="C365:H365"/>
    <mergeCell ref="I365:J365"/>
    <mergeCell ref="K365:L365"/>
    <mergeCell ref="M365:N365"/>
    <mergeCell ref="C368:H368"/>
    <mergeCell ref="I368:J368"/>
    <mergeCell ref="K368:L368"/>
    <mergeCell ref="M368:N368"/>
    <mergeCell ref="B362:L362"/>
    <mergeCell ref="M362:N362"/>
    <mergeCell ref="B363:L363"/>
    <mergeCell ref="M363:N363"/>
    <mergeCell ref="C364:H364"/>
    <mergeCell ref="I364:J364"/>
    <mergeCell ref="K364:L364"/>
    <mergeCell ref="M364:N364"/>
    <mergeCell ref="O358:O359"/>
    <mergeCell ref="I324:J324"/>
    <mergeCell ref="K324:L324"/>
    <mergeCell ref="M324:N324"/>
    <mergeCell ref="C325:H325"/>
    <mergeCell ref="I325:J325"/>
    <mergeCell ref="C348:D348"/>
    <mergeCell ref="E348:F348"/>
    <mergeCell ref="G348:H348"/>
    <mergeCell ref="I348:J348"/>
    <mergeCell ref="K348:L348"/>
    <mergeCell ref="M348:N348"/>
    <mergeCell ref="C347:D347"/>
    <mergeCell ref="E347:F347"/>
    <mergeCell ref="G347:H347"/>
    <mergeCell ref="I347:J347"/>
    <mergeCell ref="K347:L347"/>
    <mergeCell ref="M347:N347"/>
    <mergeCell ref="M352:N352"/>
    <mergeCell ref="M349:N349"/>
    <mergeCell ref="A350:L350"/>
    <mergeCell ref="M350:N350"/>
    <mergeCell ref="M351:N351"/>
    <mergeCell ref="I333:J333"/>
    <mergeCell ref="K333:L333"/>
    <mergeCell ref="M333:N333"/>
    <mergeCell ref="I334:J334"/>
    <mergeCell ref="K334:L334"/>
    <mergeCell ref="M334:N334"/>
    <mergeCell ref="M345:N345"/>
    <mergeCell ref="M344:N344"/>
    <mergeCell ref="M343:N343"/>
    <mergeCell ref="C328:G328"/>
    <mergeCell ref="I328:J328"/>
    <mergeCell ref="B346:L346"/>
    <mergeCell ref="M346:N346"/>
    <mergeCell ref="B358:B359"/>
    <mergeCell ref="C358:N359"/>
    <mergeCell ref="M319:N319"/>
    <mergeCell ref="I322:J322"/>
    <mergeCell ref="K322:L322"/>
    <mergeCell ref="M322:N322"/>
    <mergeCell ref="A317:A319"/>
    <mergeCell ref="B317:B319"/>
    <mergeCell ref="C317:H317"/>
    <mergeCell ref="I317:J317"/>
    <mergeCell ref="K317:L317"/>
    <mergeCell ref="M317:N317"/>
    <mergeCell ref="C318:H318"/>
    <mergeCell ref="K328:L328"/>
    <mergeCell ref="M328:N328"/>
    <mergeCell ref="C329:G329"/>
    <mergeCell ref="I329:J329"/>
    <mergeCell ref="K329:L329"/>
    <mergeCell ref="C321:H321"/>
    <mergeCell ref="I321:J321"/>
    <mergeCell ref="K321:L321"/>
    <mergeCell ref="M321:N321"/>
    <mergeCell ref="C322:H322"/>
    <mergeCell ref="B323:B326"/>
    <mergeCell ref="C324:H324"/>
    <mergeCell ref="B327:L327"/>
    <mergeCell ref="M327:N327"/>
    <mergeCell ref="C320:H320"/>
    <mergeCell ref="C304:H304"/>
    <mergeCell ref="I304:J304"/>
    <mergeCell ref="K304:L304"/>
    <mergeCell ref="M304:N304"/>
    <mergeCell ref="B316:L316"/>
    <mergeCell ref="M316:N316"/>
    <mergeCell ref="C319:H319"/>
    <mergeCell ref="I319:J319"/>
    <mergeCell ref="K319:L319"/>
    <mergeCell ref="A323:A326"/>
    <mergeCell ref="K325:L325"/>
    <mergeCell ref="M325:N325"/>
    <mergeCell ref="C326:H326"/>
    <mergeCell ref="I326:J326"/>
    <mergeCell ref="K326:L326"/>
    <mergeCell ref="M326:N326"/>
    <mergeCell ref="B315:L315"/>
    <mergeCell ref="M315:N315"/>
    <mergeCell ref="I318:J318"/>
    <mergeCell ref="K318:L318"/>
    <mergeCell ref="M318:N318"/>
    <mergeCell ref="A309:A312"/>
    <mergeCell ref="C309:H309"/>
    <mergeCell ref="I309:J309"/>
    <mergeCell ref="C310:H310"/>
    <mergeCell ref="I310:J310"/>
    <mergeCell ref="K310:L310"/>
    <mergeCell ref="M310:N310"/>
    <mergeCell ref="O307:O308"/>
    <mergeCell ref="C308:H308"/>
    <mergeCell ref="C307:H307"/>
    <mergeCell ref="I307:J308"/>
    <mergeCell ref="K307:L308"/>
    <mergeCell ref="M307:N308"/>
    <mergeCell ref="C323:H323"/>
    <mergeCell ref="I323:J323"/>
    <mergeCell ref="K323:L323"/>
    <mergeCell ref="M323:N323"/>
    <mergeCell ref="C295:H295"/>
    <mergeCell ref="I295:J296"/>
    <mergeCell ref="K295:L296"/>
    <mergeCell ref="M295:N296"/>
    <mergeCell ref="O295:O296"/>
    <mergeCell ref="O300:O301"/>
    <mergeCell ref="C301:H301"/>
    <mergeCell ref="C302:H302"/>
    <mergeCell ref="I302:J303"/>
    <mergeCell ref="K302:L303"/>
    <mergeCell ref="M302:N303"/>
    <mergeCell ref="O302:O303"/>
    <mergeCell ref="C303:H303"/>
    <mergeCell ref="B313:L313"/>
    <mergeCell ref="M313:N313"/>
    <mergeCell ref="B314:L314"/>
    <mergeCell ref="M314:N314"/>
    <mergeCell ref="M320:N320"/>
    <mergeCell ref="I320:J320"/>
    <mergeCell ref="K320:L320"/>
    <mergeCell ref="B309:B312"/>
    <mergeCell ref="B304:B308"/>
    <mergeCell ref="A299:A303"/>
    <mergeCell ref="B299:B303"/>
    <mergeCell ref="C299:H299"/>
    <mergeCell ref="I299:J299"/>
    <mergeCell ref="K299:L299"/>
    <mergeCell ref="M299:N299"/>
    <mergeCell ref="C305:H305"/>
    <mergeCell ref="I305:J306"/>
    <mergeCell ref="K305:L306"/>
    <mergeCell ref="M305:N306"/>
    <mergeCell ref="O305:O306"/>
    <mergeCell ref="C306:H306"/>
    <mergeCell ref="A292:A298"/>
    <mergeCell ref="B292:B298"/>
    <mergeCell ref="C292:H292"/>
    <mergeCell ref="I292:J292"/>
    <mergeCell ref="K292:L292"/>
    <mergeCell ref="M292:N292"/>
    <mergeCell ref="C293:H293"/>
    <mergeCell ref="I293:J294"/>
    <mergeCell ref="C297:H297"/>
    <mergeCell ref="I297:J298"/>
    <mergeCell ref="K297:L298"/>
    <mergeCell ref="M297:N298"/>
    <mergeCell ref="O297:O298"/>
    <mergeCell ref="C298:H298"/>
    <mergeCell ref="C294:H294"/>
    <mergeCell ref="C300:H300"/>
    <mergeCell ref="I300:J301"/>
    <mergeCell ref="K300:L301"/>
    <mergeCell ref="M300:N301"/>
    <mergeCell ref="A304:A308"/>
    <mergeCell ref="O285:O286"/>
    <mergeCell ref="C286:D286"/>
    <mergeCell ref="O281:O282"/>
    <mergeCell ref="C282:D282"/>
    <mergeCell ref="C283:D283"/>
    <mergeCell ref="O283:O284"/>
    <mergeCell ref="C284:D284"/>
    <mergeCell ref="E283:F283"/>
    <mergeCell ref="G283:H283"/>
    <mergeCell ref="C296:H296"/>
    <mergeCell ref="K293:L294"/>
    <mergeCell ref="M293:N294"/>
    <mergeCell ref="G288:H288"/>
    <mergeCell ref="I288:J288"/>
    <mergeCell ref="K288:L288"/>
    <mergeCell ref="M288:N288"/>
    <mergeCell ref="M282:N282"/>
    <mergeCell ref="C285:D285"/>
    <mergeCell ref="E285:F286"/>
    <mergeCell ref="G285:H286"/>
    <mergeCell ref="I285:J286"/>
    <mergeCell ref="K285:L286"/>
    <mergeCell ref="B290:L290"/>
    <mergeCell ref="M290:N290"/>
    <mergeCell ref="M287:N287"/>
    <mergeCell ref="C288:D288"/>
    <mergeCell ref="E288:F288"/>
    <mergeCell ref="B291:L291"/>
    <mergeCell ref="M291:N291"/>
    <mergeCell ref="I282:J282"/>
    <mergeCell ref="K257:L257"/>
    <mergeCell ref="C258:H258"/>
    <mergeCell ref="I258:J258"/>
    <mergeCell ref="K258:L258"/>
    <mergeCell ref="I277:J277"/>
    <mergeCell ref="C272:G272"/>
    <mergeCell ref="C264:H264"/>
    <mergeCell ref="K264:L264"/>
    <mergeCell ref="B262:L262"/>
    <mergeCell ref="C271:G271"/>
    <mergeCell ref="I271:J271"/>
    <mergeCell ref="K271:L271"/>
    <mergeCell ref="K263:L263"/>
    <mergeCell ref="I268:J268"/>
    <mergeCell ref="K268:L268"/>
    <mergeCell ref="C269:G269"/>
    <mergeCell ref="I269:J269"/>
    <mergeCell ref="K269:L269"/>
    <mergeCell ref="C270:G270"/>
    <mergeCell ref="I270:J270"/>
    <mergeCell ref="K270:L270"/>
    <mergeCell ref="K267:L267"/>
    <mergeCell ref="K277:L277"/>
    <mergeCell ref="C230:G230"/>
    <mergeCell ref="I256:J256"/>
    <mergeCell ref="K256:L256"/>
    <mergeCell ref="K255:L255"/>
    <mergeCell ref="G233:H233"/>
    <mergeCell ref="I233:J233"/>
    <mergeCell ref="I251:J251"/>
    <mergeCell ref="I255:J255"/>
    <mergeCell ref="K233:L233"/>
    <mergeCell ref="C253:H253"/>
    <mergeCell ref="I253:J253"/>
    <mergeCell ref="E232:F232"/>
    <mergeCell ref="G232:H232"/>
    <mergeCell ref="I232:J232"/>
    <mergeCell ref="K232:L232"/>
    <mergeCell ref="A235:L235"/>
    <mergeCell ref="C251:H251"/>
    <mergeCell ref="I223:J223"/>
    <mergeCell ref="K223:L223"/>
    <mergeCell ref="M223:N223"/>
    <mergeCell ref="I224:J224"/>
    <mergeCell ref="B212:L212"/>
    <mergeCell ref="C223:G223"/>
    <mergeCell ref="M216:N216"/>
    <mergeCell ref="M217:N217"/>
    <mergeCell ref="C224:G224"/>
    <mergeCell ref="I222:J222"/>
    <mergeCell ref="C219:G219"/>
    <mergeCell ref="C220:G220"/>
    <mergeCell ref="C221:G221"/>
    <mergeCell ref="C222:G222"/>
    <mergeCell ref="A213:A230"/>
    <mergeCell ref="B213:B230"/>
    <mergeCell ref="I213:J213"/>
    <mergeCell ref="K213:L213"/>
    <mergeCell ref="I214:J214"/>
    <mergeCell ref="K214:L214"/>
    <mergeCell ref="C213:G213"/>
    <mergeCell ref="I216:J216"/>
    <mergeCell ref="I217:J217"/>
    <mergeCell ref="I218:J218"/>
    <mergeCell ref="K216:L216"/>
    <mergeCell ref="K220:L220"/>
    <mergeCell ref="K221:L221"/>
    <mergeCell ref="K222:L222"/>
    <mergeCell ref="K226:L226"/>
    <mergeCell ref="K227:L227"/>
    <mergeCell ref="K228:L228"/>
    <mergeCell ref="I228:J228"/>
    <mergeCell ref="C203:H203"/>
    <mergeCell ref="I203:J203"/>
    <mergeCell ref="K203:L203"/>
    <mergeCell ref="M203:N203"/>
    <mergeCell ref="C206:H206"/>
    <mergeCell ref="I206:J206"/>
    <mergeCell ref="K206:L206"/>
    <mergeCell ref="M206:N206"/>
    <mergeCell ref="B201:L201"/>
    <mergeCell ref="M201:N201"/>
    <mergeCell ref="K194:L194"/>
    <mergeCell ref="M194:O194"/>
    <mergeCell ref="C205:H205"/>
    <mergeCell ref="I205:J205"/>
    <mergeCell ref="K205:L205"/>
    <mergeCell ref="M205:N205"/>
    <mergeCell ref="O185:O186"/>
    <mergeCell ref="C186:H186"/>
    <mergeCell ref="C187:H187"/>
    <mergeCell ref="I187:J188"/>
    <mergeCell ref="K187:L188"/>
    <mergeCell ref="M187:N188"/>
    <mergeCell ref="O187:O188"/>
    <mergeCell ref="C188:H188"/>
    <mergeCell ref="C204:H204"/>
    <mergeCell ref="I204:J204"/>
    <mergeCell ref="K204:L204"/>
    <mergeCell ref="M204:N204"/>
    <mergeCell ref="B198:L198"/>
    <mergeCell ref="M198:N198"/>
    <mergeCell ref="B199:L199"/>
    <mergeCell ref="M199:N199"/>
    <mergeCell ref="B200:L200"/>
    <mergeCell ref="M200:N200"/>
    <mergeCell ref="O192:O193"/>
    <mergeCell ref="C193:H193"/>
    <mergeCell ref="C192:H192"/>
    <mergeCell ref="I192:J193"/>
    <mergeCell ref="K192:L193"/>
    <mergeCell ref="M192:N193"/>
    <mergeCell ref="B184:B188"/>
    <mergeCell ref="C184:H184"/>
    <mergeCell ref="I184:J184"/>
    <mergeCell ref="K184:L184"/>
    <mergeCell ref="M184:N184"/>
    <mergeCell ref="C190:H190"/>
    <mergeCell ref="I190:J191"/>
    <mergeCell ref="K190:L191"/>
    <mergeCell ref="O190:O191"/>
    <mergeCell ref="C191:H191"/>
    <mergeCell ref="B189:B193"/>
    <mergeCell ref="C189:H189"/>
    <mergeCell ref="I189:J189"/>
    <mergeCell ref="K189:L189"/>
    <mergeCell ref="M189:N189"/>
    <mergeCell ref="O182:O183"/>
    <mergeCell ref="C183:H183"/>
    <mergeCell ref="O178:O179"/>
    <mergeCell ref="C179:H179"/>
    <mergeCell ref="C180:H180"/>
    <mergeCell ref="I180:J181"/>
    <mergeCell ref="K180:L181"/>
    <mergeCell ref="M180:N181"/>
    <mergeCell ref="O180:O181"/>
    <mergeCell ref="C181:H181"/>
    <mergeCell ref="K178:L179"/>
    <mergeCell ref="M178:N179"/>
    <mergeCell ref="O170:O171"/>
    <mergeCell ref="C171:D171"/>
    <mergeCell ref="O166:O167"/>
    <mergeCell ref="C167:D167"/>
    <mergeCell ref="C168:D168"/>
    <mergeCell ref="O168:O169"/>
    <mergeCell ref="C169:D169"/>
    <mergeCell ref="G169:H169"/>
    <mergeCell ref="I169:J169"/>
    <mergeCell ref="K169:L169"/>
    <mergeCell ref="M173:N173"/>
    <mergeCell ref="B175:L175"/>
    <mergeCell ref="M175:N175"/>
    <mergeCell ref="M172:N172"/>
    <mergeCell ref="C173:D173"/>
    <mergeCell ref="E173:F173"/>
    <mergeCell ref="A174:N174"/>
    <mergeCell ref="A166:A169"/>
    <mergeCell ref="G173:H173"/>
    <mergeCell ref="B166:B169"/>
    <mergeCell ref="K165:L165"/>
    <mergeCell ref="M165:N165"/>
    <mergeCell ref="C166:D166"/>
    <mergeCell ref="C170:D170"/>
    <mergeCell ref="E170:F171"/>
    <mergeCell ref="G170:H171"/>
    <mergeCell ref="I170:J171"/>
    <mergeCell ref="K170:L171"/>
    <mergeCell ref="M170:N171"/>
    <mergeCell ref="M169:N169"/>
    <mergeCell ref="C165:D165"/>
    <mergeCell ref="E165:F165"/>
    <mergeCell ref="K167:L167"/>
    <mergeCell ref="B147:L147"/>
    <mergeCell ref="M147:N147"/>
    <mergeCell ref="C148:H148"/>
    <mergeCell ref="K148:L148"/>
    <mergeCell ref="M148:N148"/>
    <mergeCell ref="C162:G162"/>
    <mergeCell ref="I162:J162"/>
    <mergeCell ref="K162:L162"/>
    <mergeCell ref="M162:N162"/>
    <mergeCell ref="C163:G163"/>
    <mergeCell ref="C155:G155"/>
    <mergeCell ref="C157:G157"/>
    <mergeCell ref="I157:J157"/>
    <mergeCell ref="K157:L157"/>
    <mergeCell ref="E168:F168"/>
    <mergeCell ref="G168:H168"/>
    <mergeCell ref="I168:J168"/>
    <mergeCell ref="K168:L168"/>
    <mergeCell ref="I163:J163"/>
    <mergeCell ref="B144:L144"/>
    <mergeCell ref="M144:N144"/>
    <mergeCell ref="B145:L145"/>
    <mergeCell ref="M145:N145"/>
    <mergeCell ref="B146:L146"/>
    <mergeCell ref="M153:N153"/>
    <mergeCell ref="C160:G160"/>
    <mergeCell ref="I160:J160"/>
    <mergeCell ref="K160:L160"/>
    <mergeCell ref="M160:N160"/>
    <mergeCell ref="C161:G161"/>
    <mergeCell ref="I161:J161"/>
    <mergeCell ref="K161:L161"/>
    <mergeCell ref="M161:N161"/>
    <mergeCell ref="K159:L159"/>
    <mergeCell ref="B151:B163"/>
    <mergeCell ref="I151:J151"/>
    <mergeCell ref="K151:L151"/>
    <mergeCell ref="M151:N151"/>
    <mergeCell ref="C152:G152"/>
    <mergeCell ref="I152:J152"/>
    <mergeCell ref="C156:G156"/>
    <mergeCell ref="I155:J155"/>
    <mergeCell ref="C158:G158"/>
    <mergeCell ref="I158:J158"/>
    <mergeCell ref="K158:L158"/>
    <mergeCell ref="K155:L155"/>
    <mergeCell ref="I156:J156"/>
    <mergeCell ref="K156:L156"/>
    <mergeCell ref="C154:G154"/>
    <mergeCell ref="I154:J154"/>
    <mergeCell ref="K154:L154"/>
    <mergeCell ref="C143:H143"/>
    <mergeCell ref="I143:J143"/>
    <mergeCell ref="K143:L143"/>
    <mergeCell ref="C134:H134"/>
    <mergeCell ref="I134:J134"/>
    <mergeCell ref="K134:L134"/>
    <mergeCell ref="C135:H135"/>
    <mergeCell ref="I135:J135"/>
    <mergeCell ref="C139:H139"/>
    <mergeCell ref="I139:J139"/>
    <mergeCell ref="K139:L139"/>
    <mergeCell ref="C142:H142"/>
    <mergeCell ref="I142:J142"/>
    <mergeCell ref="K142:L142"/>
    <mergeCell ref="C133:H133"/>
    <mergeCell ref="I133:J133"/>
    <mergeCell ref="K133:L133"/>
    <mergeCell ref="K135:L135"/>
    <mergeCell ref="C138:H138"/>
    <mergeCell ref="I138:J138"/>
    <mergeCell ref="K138:L138"/>
    <mergeCell ref="C137:H137"/>
    <mergeCell ref="I137:J137"/>
    <mergeCell ref="K137:L137"/>
    <mergeCell ref="C141:H141"/>
    <mergeCell ref="I141:J141"/>
    <mergeCell ref="K141:L141"/>
    <mergeCell ref="O51:O52"/>
    <mergeCell ref="C52:D52"/>
    <mergeCell ref="B126:B127"/>
    <mergeCell ref="C126:N127"/>
    <mergeCell ref="C86:H86"/>
    <mergeCell ref="I86:J86"/>
    <mergeCell ref="K86:L86"/>
    <mergeCell ref="M108:N108"/>
    <mergeCell ref="M109:N109"/>
    <mergeCell ref="K101:L101"/>
    <mergeCell ref="M101:N101"/>
    <mergeCell ref="I102:J102"/>
    <mergeCell ref="K102:L102"/>
    <mergeCell ref="M102:N102"/>
    <mergeCell ref="M98:N98"/>
    <mergeCell ref="I99:J99"/>
    <mergeCell ref="K99:L99"/>
    <mergeCell ref="M99:N99"/>
    <mergeCell ref="I100:J100"/>
    <mergeCell ref="I98:J98"/>
    <mergeCell ref="K98:L98"/>
    <mergeCell ref="K111:L111"/>
    <mergeCell ref="C112:G112"/>
    <mergeCell ref="I112:J112"/>
    <mergeCell ref="K112:L112"/>
    <mergeCell ref="C80:H80"/>
    <mergeCell ref="I80:J80"/>
    <mergeCell ref="K80:L80"/>
    <mergeCell ref="M80:N80"/>
    <mergeCell ref="C78:H78"/>
    <mergeCell ref="I78:J78"/>
    <mergeCell ref="K78:L78"/>
    <mergeCell ref="A67:A71"/>
    <mergeCell ref="B67:B71"/>
    <mergeCell ref="C67:H67"/>
    <mergeCell ref="I67:J67"/>
    <mergeCell ref="K67:L67"/>
    <mergeCell ref="M137:N137"/>
    <mergeCell ref="M86:N86"/>
    <mergeCell ref="A96:A113"/>
    <mergeCell ref="B96:B113"/>
    <mergeCell ref="C96:G96"/>
    <mergeCell ref="C97:G97"/>
    <mergeCell ref="C98:G98"/>
    <mergeCell ref="C99:G99"/>
    <mergeCell ref="C104:G104"/>
    <mergeCell ref="C90:H90"/>
    <mergeCell ref="C94:H94"/>
    <mergeCell ref="B130:L130"/>
    <mergeCell ref="M130:N130"/>
    <mergeCell ref="A91:A94"/>
    <mergeCell ref="M78:N78"/>
    <mergeCell ref="C79:H79"/>
    <mergeCell ref="I79:J79"/>
    <mergeCell ref="K79:L79"/>
    <mergeCell ref="M79:N79"/>
    <mergeCell ref="A77:A80"/>
    <mergeCell ref="B77:B80"/>
    <mergeCell ref="C77:H77"/>
    <mergeCell ref="I77:J77"/>
    <mergeCell ref="M97:N97"/>
    <mergeCell ref="M133:N133"/>
    <mergeCell ref="I132:J132"/>
    <mergeCell ref="K132:L132"/>
    <mergeCell ref="C10:N10"/>
    <mergeCell ref="C11:N11"/>
    <mergeCell ref="B13:L13"/>
    <mergeCell ref="M13:N13"/>
    <mergeCell ref="B14:L14"/>
    <mergeCell ref="M14:N14"/>
    <mergeCell ref="C15:H15"/>
    <mergeCell ref="I15:J15"/>
    <mergeCell ref="K15:L15"/>
    <mergeCell ref="M15:N15"/>
    <mergeCell ref="C16:H16"/>
    <mergeCell ref="K26:L26"/>
    <mergeCell ref="M26:N26"/>
    <mergeCell ref="M21:N21"/>
    <mergeCell ref="K100:L100"/>
    <mergeCell ref="K40:L40"/>
    <mergeCell ref="A60:A66"/>
    <mergeCell ref="B60:B66"/>
    <mergeCell ref="C60:H60"/>
    <mergeCell ref="I60:J60"/>
    <mergeCell ref="K60:L60"/>
    <mergeCell ref="C66:H66"/>
    <mergeCell ref="A49:A52"/>
    <mergeCell ref="K51:L51"/>
    <mergeCell ref="K52:L52"/>
    <mergeCell ref="B49:B52"/>
    <mergeCell ref="K49:L49"/>
    <mergeCell ref="I50:J50"/>
    <mergeCell ref="C48:D48"/>
    <mergeCell ref="E48:F48"/>
    <mergeCell ref="G48:H48"/>
    <mergeCell ref="I41:J41"/>
    <mergeCell ref="M27:N27"/>
    <mergeCell ref="B28:L28"/>
    <mergeCell ref="M28:N28"/>
    <mergeCell ref="C26:H26"/>
    <mergeCell ref="I26:J26"/>
    <mergeCell ref="C22:H22"/>
    <mergeCell ref="I22:J22"/>
    <mergeCell ref="K22:L22"/>
    <mergeCell ref="M22:N22"/>
    <mergeCell ref="C25:H25"/>
    <mergeCell ref="I25:J25"/>
    <mergeCell ref="K25:L25"/>
    <mergeCell ref="M25:N25"/>
    <mergeCell ref="K31:L31"/>
    <mergeCell ref="C32:H32"/>
    <mergeCell ref="K32:L32"/>
    <mergeCell ref="O11:O12"/>
    <mergeCell ref="O13:O14"/>
    <mergeCell ref="O15:O16"/>
    <mergeCell ref="I16:J16"/>
    <mergeCell ref="C23:H23"/>
    <mergeCell ref="I23:J23"/>
    <mergeCell ref="K23:L23"/>
    <mergeCell ref="M23:N23"/>
    <mergeCell ref="C24:H24"/>
    <mergeCell ref="I24:J24"/>
    <mergeCell ref="K24:L24"/>
    <mergeCell ref="M24:N24"/>
    <mergeCell ref="M17:N17"/>
    <mergeCell ref="I18:J18"/>
    <mergeCell ref="K18:L18"/>
    <mergeCell ref="M18:N18"/>
    <mergeCell ref="K16:L16"/>
    <mergeCell ref="C35:G35"/>
    <mergeCell ref="C36:G36"/>
    <mergeCell ref="C37:G37"/>
    <mergeCell ref="I42:J42"/>
    <mergeCell ref="I43:J43"/>
    <mergeCell ref="I44:J44"/>
    <mergeCell ref="C38:G38"/>
    <mergeCell ref="C39:G39"/>
    <mergeCell ref="C40:G40"/>
    <mergeCell ref="C41:G41"/>
    <mergeCell ref="C42:G42"/>
    <mergeCell ref="I21:J21"/>
    <mergeCell ref="K21:L21"/>
    <mergeCell ref="B27:L27"/>
    <mergeCell ref="I35:J35"/>
    <mergeCell ref="K35:L35"/>
    <mergeCell ref="K38:L38"/>
    <mergeCell ref="K39:L39"/>
    <mergeCell ref="C17:H17"/>
    <mergeCell ref="I17:J17"/>
    <mergeCell ref="K17:L17"/>
    <mergeCell ref="C18:H18"/>
    <mergeCell ref="K43:L43"/>
    <mergeCell ref="C33:H33"/>
    <mergeCell ref="K33:L33"/>
    <mergeCell ref="C21:H21"/>
    <mergeCell ref="A34:A46"/>
    <mergeCell ref="B34:B46"/>
    <mergeCell ref="I34:J34"/>
    <mergeCell ref="K34:L34"/>
    <mergeCell ref="B29:L29"/>
    <mergeCell ref="B30:L30"/>
    <mergeCell ref="C31:H31"/>
    <mergeCell ref="C34:G34"/>
    <mergeCell ref="I49:J49"/>
    <mergeCell ref="M35:N35"/>
    <mergeCell ref="C45:G45"/>
    <mergeCell ref="C46:G46"/>
    <mergeCell ref="I36:J36"/>
    <mergeCell ref="I37:J37"/>
    <mergeCell ref="M43:N43"/>
    <mergeCell ref="M44:N44"/>
    <mergeCell ref="A55:L55"/>
    <mergeCell ref="I45:J45"/>
    <mergeCell ref="I46:J46"/>
    <mergeCell ref="K36:L36"/>
    <mergeCell ref="K37:L37"/>
    <mergeCell ref="K44:L44"/>
    <mergeCell ref="K45:L45"/>
    <mergeCell ref="K46:L46"/>
    <mergeCell ref="I38:J38"/>
    <mergeCell ref="I39:J39"/>
    <mergeCell ref="I40:J40"/>
    <mergeCell ref="B47:L47"/>
    <mergeCell ref="M47:N47"/>
    <mergeCell ref="C51:D51"/>
    <mergeCell ref="C56:D56"/>
    <mergeCell ref="E56:F56"/>
    <mergeCell ref="G56:H56"/>
    <mergeCell ref="I56:J56"/>
    <mergeCell ref="K56:L56"/>
    <mergeCell ref="M56:N56"/>
    <mergeCell ref="C43:G43"/>
    <mergeCell ref="K41:L41"/>
    <mergeCell ref="K42:L42"/>
    <mergeCell ref="M36:N36"/>
    <mergeCell ref="M37:N37"/>
    <mergeCell ref="M38:N38"/>
    <mergeCell ref="M39:N39"/>
    <mergeCell ref="M40:N40"/>
    <mergeCell ref="M41:N41"/>
    <mergeCell ref="M42:N42"/>
    <mergeCell ref="G49:H49"/>
    <mergeCell ref="I53:J54"/>
    <mergeCell ref="K50:L50"/>
    <mergeCell ref="O61:O62"/>
    <mergeCell ref="C62:H62"/>
    <mergeCell ref="I61:J62"/>
    <mergeCell ref="K61:L62"/>
    <mergeCell ref="M61:N62"/>
    <mergeCell ref="B58:L58"/>
    <mergeCell ref="M58:N58"/>
    <mergeCell ref="B59:L59"/>
    <mergeCell ref="M59:N59"/>
    <mergeCell ref="C61:H61"/>
    <mergeCell ref="C70:H70"/>
    <mergeCell ref="C71:H71"/>
    <mergeCell ref="I70:J71"/>
    <mergeCell ref="K70:L71"/>
    <mergeCell ref="M70:N71"/>
    <mergeCell ref="O70:O71"/>
    <mergeCell ref="O65:O66"/>
    <mergeCell ref="C63:H63"/>
    <mergeCell ref="I63:J64"/>
    <mergeCell ref="K63:L64"/>
    <mergeCell ref="M68:N69"/>
    <mergeCell ref="O68:O69"/>
    <mergeCell ref="M63:N64"/>
    <mergeCell ref="C64:H64"/>
    <mergeCell ref="O63:O64"/>
    <mergeCell ref="C65:H65"/>
    <mergeCell ref="I65:J66"/>
    <mergeCell ref="K65:L66"/>
    <mergeCell ref="M65:N66"/>
    <mergeCell ref="M60:N60"/>
    <mergeCell ref="I89:J89"/>
    <mergeCell ref="K89:L89"/>
    <mergeCell ref="I90:J90"/>
    <mergeCell ref="I91:J91"/>
    <mergeCell ref="I88:J88"/>
    <mergeCell ref="K88:L88"/>
    <mergeCell ref="I96:J96"/>
    <mergeCell ref="K96:L96"/>
    <mergeCell ref="I97:J97"/>
    <mergeCell ref="K97:L97"/>
    <mergeCell ref="K115:L115"/>
    <mergeCell ref="K116:L116"/>
    <mergeCell ref="K73:L74"/>
    <mergeCell ref="B81:L81"/>
    <mergeCell ref="M81:N81"/>
    <mergeCell ref="B84:L84"/>
    <mergeCell ref="A72:A76"/>
    <mergeCell ref="B72:B76"/>
    <mergeCell ref="C72:H72"/>
    <mergeCell ref="I72:J72"/>
    <mergeCell ref="K72:L72"/>
    <mergeCell ref="B82:L82"/>
    <mergeCell ref="M72:N72"/>
    <mergeCell ref="B114:L114"/>
    <mergeCell ref="M114:N114"/>
    <mergeCell ref="C100:G100"/>
    <mergeCell ref="C101:G101"/>
    <mergeCell ref="C102:G102"/>
    <mergeCell ref="C103:G103"/>
    <mergeCell ref="I103:J103"/>
    <mergeCell ref="K103:L103"/>
    <mergeCell ref="C105:G105"/>
    <mergeCell ref="C106:G106"/>
    <mergeCell ref="C93:H93"/>
    <mergeCell ref="I93:J93"/>
    <mergeCell ref="I87:J87"/>
    <mergeCell ref="K87:L87"/>
    <mergeCell ref="B91:B94"/>
    <mergeCell ref="K77:L77"/>
    <mergeCell ref="M77:O77"/>
    <mergeCell ref="O75:O76"/>
    <mergeCell ref="M67:N67"/>
    <mergeCell ref="G50:H50"/>
    <mergeCell ref="I48:J48"/>
    <mergeCell ref="K48:L48"/>
    <mergeCell ref="M48:N48"/>
    <mergeCell ref="G51:H51"/>
    <mergeCell ref="G52:H52"/>
    <mergeCell ref="C44:G44"/>
    <mergeCell ref="I51:J51"/>
    <mergeCell ref="I52:J52"/>
    <mergeCell ref="E49:F49"/>
    <mergeCell ref="E50:F50"/>
    <mergeCell ref="E51:F51"/>
    <mergeCell ref="M82:N82"/>
    <mergeCell ref="B83:L83"/>
    <mergeCell ref="O53:O54"/>
    <mergeCell ref="C54:D54"/>
    <mergeCell ref="C49:D49"/>
    <mergeCell ref="O49:O50"/>
    <mergeCell ref="C50:D50"/>
    <mergeCell ref="C53:D53"/>
    <mergeCell ref="E53:F54"/>
    <mergeCell ref="G53:H54"/>
    <mergeCell ref="M118:N118"/>
    <mergeCell ref="M117:N117"/>
    <mergeCell ref="B95:L95"/>
    <mergeCell ref="M95:N95"/>
    <mergeCell ref="C116:D116"/>
    <mergeCell ref="E52:F52"/>
    <mergeCell ref="G116:H116"/>
    <mergeCell ref="I116:J116"/>
    <mergeCell ref="C115:D115"/>
    <mergeCell ref="E115:F115"/>
    <mergeCell ref="G115:H115"/>
    <mergeCell ref="I115:J115"/>
    <mergeCell ref="I94:J94"/>
    <mergeCell ref="K90:L90"/>
    <mergeCell ref="K91:L91"/>
    <mergeCell ref="K93:L93"/>
    <mergeCell ref="K94:L94"/>
    <mergeCell ref="C88:H88"/>
    <mergeCell ref="C89:H89"/>
    <mergeCell ref="C91:H91"/>
    <mergeCell ref="C92:H92"/>
    <mergeCell ref="I92:J92"/>
    <mergeCell ref="K92:L92"/>
    <mergeCell ref="M92:N92"/>
    <mergeCell ref="A118:L118"/>
    <mergeCell ref="K53:L54"/>
    <mergeCell ref="M53:N54"/>
    <mergeCell ref="C107:G107"/>
    <mergeCell ref="E116:F116"/>
    <mergeCell ref="A85:A87"/>
    <mergeCell ref="B85:B87"/>
    <mergeCell ref="M83:N83"/>
    <mergeCell ref="M73:N74"/>
    <mergeCell ref="O73:O74"/>
    <mergeCell ref="C75:H75"/>
    <mergeCell ref="C76:H76"/>
    <mergeCell ref="I75:J76"/>
    <mergeCell ref="K75:L76"/>
    <mergeCell ref="M75:N76"/>
    <mergeCell ref="C73:H73"/>
    <mergeCell ref="C74:H74"/>
    <mergeCell ref="I73:J74"/>
    <mergeCell ref="C68:H68"/>
    <mergeCell ref="C69:H69"/>
    <mergeCell ref="I68:J69"/>
    <mergeCell ref="K68:L69"/>
    <mergeCell ref="C85:H85"/>
    <mergeCell ref="I85:J85"/>
    <mergeCell ref="K85:L85"/>
    <mergeCell ref="M85:N85"/>
    <mergeCell ref="C87:H87"/>
    <mergeCell ref="M84:N84"/>
    <mergeCell ref="K163:L163"/>
    <mergeCell ref="A151:A163"/>
    <mergeCell ref="K152:L152"/>
    <mergeCell ref="C153:G153"/>
    <mergeCell ref="E169:F169"/>
    <mergeCell ref="G165:H165"/>
    <mergeCell ref="I165:J165"/>
    <mergeCell ref="A202:A204"/>
    <mergeCell ref="B176:L176"/>
    <mergeCell ref="C245:N245"/>
    <mergeCell ref="C263:H263"/>
    <mergeCell ref="C159:G159"/>
    <mergeCell ref="I159:J159"/>
    <mergeCell ref="C151:G151"/>
    <mergeCell ref="M230:N230"/>
    <mergeCell ref="I225:J225"/>
    <mergeCell ref="K225:L225"/>
    <mergeCell ref="M225:N225"/>
    <mergeCell ref="I229:J229"/>
    <mergeCell ref="K229:L229"/>
    <mergeCell ref="M229:N229"/>
    <mergeCell ref="M226:N226"/>
    <mergeCell ref="M227:N227"/>
    <mergeCell ref="M166:N166"/>
    <mergeCell ref="M176:N176"/>
    <mergeCell ref="M218:N218"/>
    <mergeCell ref="M219:N219"/>
    <mergeCell ref="M220:N220"/>
    <mergeCell ref="M221:N221"/>
    <mergeCell ref="M222:N222"/>
    <mergeCell ref="E166:F166"/>
    <mergeCell ref="G166:H166"/>
    <mergeCell ref="I166:J166"/>
    <mergeCell ref="K166:L166"/>
    <mergeCell ref="E167:F167"/>
    <mergeCell ref="G167:H167"/>
    <mergeCell ref="I167:J167"/>
    <mergeCell ref="B202:B204"/>
    <mergeCell ref="C185:H185"/>
    <mergeCell ref="I185:J186"/>
    <mergeCell ref="K185:L186"/>
    <mergeCell ref="C210:H210"/>
    <mergeCell ref="K224:L224"/>
    <mergeCell ref="I276:J276"/>
    <mergeCell ref="K276:L276"/>
    <mergeCell ref="K278:L278"/>
    <mergeCell ref="C265:H265"/>
    <mergeCell ref="K265:L265"/>
    <mergeCell ref="K230:L230"/>
    <mergeCell ref="I173:J173"/>
    <mergeCell ref="K173:L173"/>
    <mergeCell ref="I202:J202"/>
    <mergeCell ref="K202:L202"/>
    <mergeCell ref="K217:L217"/>
    <mergeCell ref="K218:L218"/>
    <mergeCell ref="K219:L219"/>
    <mergeCell ref="I215:J215"/>
    <mergeCell ref="K215:L215"/>
    <mergeCell ref="B261:L261"/>
    <mergeCell ref="C254:H254"/>
    <mergeCell ref="I254:J254"/>
    <mergeCell ref="C232:D232"/>
    <mergeCell ref="C225:G225"/>
    <mergeCell ref="C226:G226"/>
    <mergeCell ref="C227:G227"/>
    <mergeCell ref="C228:G228"/>
    <mergeCell ref="I226:J226"/>
    <mergeCell ref="I227:J227"/>
    <mergeCell ref="M234:N234"/>
    <mergeCell ref="I272:J272"/>
    <mergeCell ref="K272:L272"/>
    <mergeCell ref="I278:J278"/>
    <mergeCell ref="C276:G276"/>
    <mergeCell ref="K253:L253"/>
    <mergeCell ref="M253:N253"/>
    <mergeCell ref="M233:N233"/>
    <mergeCell ref="M237:N237"/>
    <mergeCell ref="K251:L251"/>
    <mergeCell ref="M251:N251"/>
    <mergeCell ref="C252:H252"/>
    <mergeCell ref="I252:J252"/>
    <mergeCell ref="K252:L252"/>
    <mergeCell ref="M252:N252"/>
    <mergeCell ref="A236:L236"/>
    <mergeCell ref="K254:L254"/>
    <mergeCell ref="C255:H255"/>
    <mergeCell ref="C249:H249"/>
    <mergeCell ref="I249:J249"/>
    <mergeCell ref="K249:L249"/>
    <mergeCell ref="C250:H250"/>
    <mergeCell ref="I250:J250"/>
    <mergeCell ref="K250:L250"/>
    <mergeCell ref="I230:J230"/>
    <mergeCell ref="C229:G229"/>
    <mergeCell ref="K337:L337"/>
    <mergeCell ref="M337:N337"/>
    <mergeCell ref="M332:N332"/>
    <mergeCell ref="K332:L332"/>
    <mergeCell ref="I332:J332"/>
    <mergeCell ref="I335:J335"/>
    <mergeCell ref="K335:L335"/>
    <mergeCell ref="B279:L279"/>
    <mergeCell ref="C280:D280"/>
    <mergeCell ref="E280:F280"/>
    <mergeCell ref="I312:J312"/>
    <mergeCell ref="K312:L312"/>
    <mergeCell ref="A281:A284"/>
    <mergeCell ref="A266:A278"/>
    <mergeCell ref="C268:G268"/>
    <mergeCell ref="I283:J283"/>
    <mergeCell ref="K283:L283"/>
    <mergeCell ref="G281:H281"/>
    <mergeCell ref="I281:J281"/>
    <mergeCell ref="K281:L281"/>
    <mergeCell ref="K284:L284"/>
    <mergeCell ref="C278:G278"/>
    <mergeCell ref="I275:J275"/>
    <mergeCell ref="K275:L275"/>
    <mergeCell ref="C274:G274"/>
    <mergeCell ref="I274:J274"/>
    <mergeCell ref="C273:G273"/>
    <mergeCell ref="I273:J273"/>
    <mergeCell ref="K273:L273"/>
    <mergeCell ref="G284:H284"/>
    <mergeCell ref="I284:J284"/>
    <mergeCell ref="M285:N286"/>
    <mergeCell ref="C332:G332"/>
    <mergeCell ref="C333:G333"/>
    <mergeCell ref="C334:G334"/>
    <mergeCell ref="A246:N246"/>
    <mergeCell ref="C257:H257"/>
    <mergeCell ref="I257:J257"/>
    <mergeCell ref="M309:O309"/>
    <mergeCell ref="I331:J331"/>
    <mergeCell ref="K331:L331"/>
    <mergeCell ref="M331:N331"/>
    <mergeCell ref="G280:H280"/>
    <mergeCell ref="I280:J280"/>
    <mergeCell ref="K280:L280"/>
    <mergeCell ref="C281:D281"/>
    <mergeCell ref="E282:F282"/>
    <mergeCell ref="G282:H282"/>
    <mergeCell ref="B281:B284"/>
    <mergeCell ref="C277:G277"/>
    <mergeCell ref="I311:J311"/>
    <mergeCell ref="K311:L311"/>
    <mergeCell ref="C312:H312"/>
    <mergeCell ref="A328:A345"/>
    <mergeCell ref="B328:B345"/>
    <mergeCell ref="M329:N329"/>
    <mergeCell ref="C330:G330"/>
    <mergeCell ref="I330:J330"/>
    <mergeCell ref="B259:L259"/>
    <mergeCell ref="M259:N259"/>
    <mergeCell ref="B260:L260"/>
    <mergeCell ref="C256:H256"/>
    <mergeCell ref="C337:G337"/>
    <mergeCell ref="I337:J337"/>
    <mergeCell ref="E399:F399"/>
    <mergeCell ref="G399:H399"/>
    <mergeCell ref="C339:G339"/>
    <mergeCell ref="I339:J339"/>
    <mergeCell ref="K339:L339"/>
    <mergeCell ref="C340:G340"/>
    <mergeCell ref="I340:J340"/>
    <mergeCell ref="K340:L340"/>
    <mergeCell ref="C338:G338"/>
    <mergeCell ref="I338:J338"/>
    <mergeCell ref="K338:L338"/>
    <mergeCell ref="G398:H398"/>
    <mergeCell ref="I398:J398"/>
    <mergeCell ref="K398:L398"/>
    <mergeCell ref="C341:G341"/>
    <mergeCell ref="I341:J341"/>
    <mergeCell ref="I392:J392"/>
    <mergeCell ref="K392:L392"/>
    <mergeCell ref="C393:G393"/>
    <mergeCell ref="C391:G391"/>
    <mergeCell ref="I391:J391"/>
    <mergeCell ref="I343:J343"/>
    <mergeCell ref="K343:L343"/>
    <mergeCell ref="I399:J399"/>
    <mergeCell ref="K399:L399"/>
    <mergeCell ref="C396:D396"/>
    <mergeCell ref="K390:L390"/>
    <mergeCell ref="K391:L391"/>
    <mergeCell ref="I393:J393"/>
    <mergeCell ref="K393:L393"/>
    <mergeCell ref="C369:H369"/>
    <mergeCell ref="I369:J369"/>
    <mergeCell ref="C392:G392"/>
    <mergeCell ref="I367:J367"/>
    <mergeCell ref="K367:L367"/>
    <mergeCell ref="C378:H378"/>
    <mergeCell ref="K378:L378"/>
    <mergeCell ref="C370:H370"/>
    <mergeCell ref="I370:J370"/>
    <mergeCell ref="K370:L370"/>
    <mergeCell ref="I445:J445"/>
    <mergeCell ref="K445:L445"/>
    <mergeCell ref="C446:G446"/>
    <mergeCell ref="I446:J446"/>
    <mergeCell ref="K446:L446"/>
    <mergeCell ref="A443:A460"/>
    <mergeCell ref="B443:B460"/>
    <mergeCell ref="C443:G443"/>
    <mergeCell ref="I443:J443"/>
    <mergeCell ref="K443:L443"/>
    <mergeCell ref="C444:G444"/>
    <mergeCell ref="I444:J444"/>
    <mergeCell ref="K444:L444"/>
    <mergeCell ref="C460:G460"/>
    <mergeCell ref="I460:J460"/>
    <mergeCell ref="K458:L458"/>
    <mergeCell ref="K460:L460"/>
    <mergeCell ref="C455:G455"/>
    <mergeCell ref="I455:J455"/>
    <mergeCell ref="K455:L455"/>
    <mergeCell ref="C456:G456"/>
    <mergeCell ref="I456:J456"/>
    <mergeCell ref="K456:L456"/>
    <mergeCell ref="C451:G451"/>
    <mergeCell ref="D1:N1"/>
    <mergeCell ref="B247:L247"/>
    <mergeCell ref="M247:N247"/>
    <mergeCell ref="B248:L248"/>
    <mergeCell ref="C214:G214"/>
    <mergeCell ref="C215:G215"/>
    <mergeCell ref="C216:G216"/>
    <mergeCell ref="C217:G217"/>
    <mergeCell ref="C218:G218"/>
    <mergeCell ref="K20:L20"/>
    <mergeCell ref="M20:N20"/>
    <mergeCell ref="C136:H136"/>
    <mergeCell ref="I136:J136"/>
    <mergeCell ref="K136:L136"/>
    <mergeCell ref="M136:N136"/>
    <mergeCell ref="A117:L117"/>
    <mergeCell ref="A119:L119"/>
    <mergeCell ref="C19:H19"/>
    <mergeCell ref="I19:J19"/>
    <mergeCell ref="K19:L19"/>
    <mergeCell ref="M19:N19"/>
    <mergeCell ref="C20:H20"/>
    <mergeCell ref="I20:J20"/>
    <mergeCell ref="M232:N232"/>
    <mergeCell ref="I219:J219"/>
    <mergeCell ref="I220:J220"/>
    <mergeCell ref="I221:J221"/>
    <mergeCell ref="B231:L231"/>
    <mergeCell ref="B243:B244"/>
    <mergeCell ref="C243:N244"/>
    <mergeCell ref="C233:D233"/>
    <mergeCell ref="E233:F233"/>
    <mergeCell ref="B381:B393"/>
    <mergeCell ref="C381:G381"/>
    <mergeCell ref="C311:H311"/>
    <mergeCell ref="A466:L466"/>
    <mergeCell ref="A467:L467"/>
    <mergeCell ref="H2:N2"/>
    <mergeCell ref="A438:A441"/>
    <mergeCell ref="A358:A359"/>
    <mergeCell ref="A351:L351"/>
    <mergeCell ref="A352:L352"/>
    <mergeCell ref="A361:M361"/>
    <mergeCell ref="A402:L402"/>
    <mergeCell ref="A404:N404"/>
    <mergeCell ref="A464:L464"/>
    <mergeCell ref="A172:L172"/>
    <mergeCell ref="A234:L234"/>
    <mergeCell ref="A237:L237"/>
    <mergeCell ref="A287:L287"/>
    <mergeCell ref="A289:M289"/>
    <mergeCell ref="A349:L349"/>
    <mergeCell ref="A4:N4"/>
    <mergeCell ref="A12:N12"/>
    <mergeCell ref="A57:N57"/>
    <mergeCell ref="A120:L120"/>
    <mergeCell ref="A129:N129"/>
    <mergeCell ref="C459:G459"/>
    <mergeCell ref="I459:J459"/>
    <mergeCell ref="K459:L459"/>
    <mergeCell ref="M459:N459"/>
    <mergeCell ref="C457:G457"/>
    <mergeCell ref="I457:J457"/>
    <mergeCell ref="K457:L457"/>
    <mergeCell ref="C372:H372"/>
    <mergeCell ref="I372:J372"/>
    <mergeCell ref="K372:L372"/>
    <mergeCell ref="C344:G344"/>
    <mergeCell ref="I344:J344"/>
    <mergeCell ref="K344:L344"/>
    <mergeCell ref="C345:G345"/>
    <mergeCell ref="I345:J345"/>
    <mergeCell ref="K345:L345"/>
    <mergeCell ref="C343:G343"/>
    <mergeCell ref="K309:L309"/>
    <mergeCell ref="K341:L341"/>
    <mergeCell ref="C342:G342"/>
    <mergeCell ref="I342:J342"/>
    <mergeCell ref="K342:L342"/>
    <mergeCell ref="B266:B278"/>
    <mergeCell ref="C266:G266"/>
    <mergeCell ref="I266:J266"/>
    <mergeCell ref="K266:L266"/>
    <mergeCell ref="C267:G267"/>
    <mergeCell ref="I267:J267"/>
    <mergeCell ref="C335:G335"/>
    <mergeCell ref="C336:G336"/>
    <mergeCell ref="E284:F284"/>
    <mergeCell ref="K282:L282"/>
    <mergeCell ref="I336:J336"/>
    <mergeCell ref="K336:L336"/>
    <mergeCell ref="K330:L330"/>
    <mergeCell ref="C331:G331"/>
    <mergeCell ref="E281:F281"/>
    <mergeCell ref="K274:L274"/>
    <mergeCell ref="C275:G275"/>
    <mergeCell ref="A530:N530"/>
    <mergeCell ref="A531:N531"/>
    <mergeCell ref="A532:N532"/>
    <mergeCell ref="A533:N533"/>
    <mergeCell ref="C499:D499"/>
    <mergeCell ref="E499:F499"/>
    <mergeCell ref="G499:H499"/>
    <mergeCell ref="C373:H373"/>
    <mergeCell ref="I373:J373"/>
    <mergeCell ref="K373:L373"/>
    <mergeCell ref="M373:N373"/>
    <mergeCell ref="A424:A427"/>
    <mergeCell ref="B424:B427"/>
    <mergeCell ref="C424:H424"/>
    <mergeCell ref="I424:J424"/>
    <mergeCell ref="C425:H425"/>
    <mergeCell ref="I425:J425"/>
    <mergeCell ref="K425:L425"/>
    <mergeCell ref="M425:N425"/>
    <mergeCell ref="C426:H426"/>
    <mergeCell ref="I426:J426"/>
    <mergeCell ref="K426:L426"/>
    <mergeCell ref="M426:N426"/>
    <mergeCell ref="C427:H427"/>
    <mergeCell ref="I427:J427"/>
    <mergeCell ref="K427:L427"/>
    <mergeCell ref="M427:N427"/>
    <mergeCell ref="A381:A393"/>
    <mergeCell ref="K424:L424"/>
    <mergeCell ref="I381:J381"/>
    <mergeCell ref="K381:L381"/>
    <mergeCell ref="C384:G384"/>
  </mergeCells>
  <pageMargins left="0.70866141732283472" right="0.70866141732283472" top="0.74803149606299213" bottom="0.74803149606299213" header="0.31496062992125984" footer="0.31496062992125984"/>
  <pageSetup paperSize="9" scale="77" fitToHeight="0" orientation="landscape" horizontalDpi="90" verticalDpi="90" r:id="rId1"/>
  <headerFooter>
    <oddFooter>&amp;R&amp;9Lpp.&amp;P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24"/>
  <sheetViews>
    <sheetView showGridLines="0" topLeftCell="A7" zoomScale="85" zoomScaleNormal="85" zoomScalePageLayoutView="70" workbookViewId="0">
      <selection activeCell="C13" sqref="C13"/>
    </sheetView>
  </sheetViews>
  <sheetFormatPr defaultColWidth="9.21875" defaultRowHeight="10.199999999999999" x14ac:dyDescent="0.2"/>
  <cols>
    <col min="1" max="1" width="9.21875" style="5"/>
    <col min="2" max="2" width="36.21875" style="5" customWidth="1"/>
    <col min="3" max="11" width="13.44140625" style="5" customWidth="1"/>
    <col min="12" max="12" width="13.44140625" style="7" customWidth="1"/>
    <col min="13" max="13" width="13.44140625" style="5" customWidth="1"/>
    <col min="14" max="16384" width="9.21875" style="5"/>
  </cols>
  <sheetData>
    <row r="1" spans="1:13" ht="15.6" x14ac:dyDescent="0.3">
      <c r="H1" s="272" t="s">
        <v>33</v>
      </c>
      <c r="I1" s="272"/>
      <c r="J1" s="272"/>
      <c r="K1" s="272"/>
      <c r="L1" s="272"/>
      <c r="M1" s="272"/>
    </row>
    <row r="2" spans="1:13" ht="51" customHeight="1" x14ac:dyDescent="0.2">
      <c r="H2" s="273" t="s">
        <v>49</v>
      </c>
      <c r="I2" s="274"/>
      <c r="J2" s="274"/>
      <c r="K2" s="274"/>
      <c r="L2" s="274"/>
      <c r="M2" s="274"/>
    </row>
    <row r="4" spans="1:13" ht="18.75" customHeight="1" x14ac:dyDescent="0.2">
      <c r="F4" s="6" t="s">
        <v>32</v>
      </c>
    </row>
    <row r="5" spans="1:13" x14ac:dyDescent="0.2">
      <c r="A5" s="275"/>
      <c r="B5" s="275"/>
      <c r="C5" s="275"/>
      <c r="D5" s="275"/>
      <c r="E5" s="275"/>
      <c r="F5" s="275"/>
      <c r="G5" s="275"/>
      <c r="H5" s="275"/>
      <c r="I5" s="275"/>
      <c r="J5" s="275"/>
      <c r="K5" s="275"/>
      <c r="L5" s="275"/>
      <c r="M5" s="275"/>
    </row>
    <row r="6" spans="1:13" x14ac:dyDescent="0.2">
      <c r="A6" s="8"/>
      <c r="C6" s="8"/>
    </row>
    <row r="7" spans="1:13" ht="11.25" customHeight="1" x14ac:dyDescent="0.2">
      <c r="A7" s="276" t="s">
        <v>0</v>
      </c>
      <c r="B7" s="276" t="s">
        <v>19</v>
      </c>
      <c r="C7" s="276" t="s">
        <v>1</v>
      </c>
      <c r="D7" s="276"/>
      <c r="E7" s="276"/>
      <c r="F7" s="276"/>
      <c r="G7" s="276" t="s">
        <v>2</v>
      </c>
      <c r="H7" s="276"/>
      <c r="I7" s="276"/>
      <c r="J7" s="276"/>
      <c r="K7" s="17"/>
      <c r="L7" s="17"/>
      <c r="M7" s="17"/>
    </row>
    <row r="8" spans="1:13" ht="79.2" x14ac:dyDescent="0.2">
      <c r="A8" s="276"/>
      <c r="B8" s="276"/>
      <c r="C8" s="18" t="s">
        <v>37</v>
      </c>
      <c r="D8" s="18" t="s">
        <v>38</v>
      </c>
      <c r="E8" s="18" t="s">
        <v>39</v>
      </c>
      <c r="F8" s="18" t="s">
        <v>40</v>
      </c>
      <c r="G8" s="18" t="s">
        <v>37</v>
      </c>
      <c r="H8" s="18" t="s">
        <v>38</v>
      </c>
      <c r="I8" s="18" t="s">
        <v>39</v>
      </c>
      <c r="J8" s="19" t="s">
        <v>40</v>
      </c>
      <c r="K8" s="18" t="s">
        <v>41</v>
      </c>
      <c r="L8" s="18" t="s">
        <v>42</v>
      </c>
      <c r="M8" s="18" t="s">
        <v>43</v>
      </c>
    </row>
    <row r="9" spans="1:13" ht="13.2" x14ac:dyDescent="0.2">
      <c r="A9" s="276"/>
      <c r="B9" s="276"/>
      <c r="C9" s="18" t="s">
        <v>3</v>
      </c>
      <c r="D9" s="18" t="s">
        <v>4</v>
      </c>
      <c r="E9" s="18" t="s">
        <v>5</v>
      </c>
      <c r="F9" s="18" t="s">
        <v>6</v>
      </c>
      <c r="G9" s="18" t="s">
        <v>3</v>
      </c>
      <c r="H9" s="18" t="s">
        <v>4</v>
      </c>
      <c r="I9" s="18" t="s">
        <v>5</v>
      </c>
      <c r="J9" s="19" t="s">
        <v>6</v>
      </c>
      <c r="K9" s="18" t="s">
        <v>28</v>
      </c>
      <c r="L9" s="18" t="s">
        <v>28</v>
      </c>
      <c r="M9" s="18" t="s">
        <v>28</v>
      </c>
    </row>
    <row r="10" spans="1:13" ht="13.2" x14ac:dyDescent="0.2">
      <c r="A10" s="20">
        <v>1</v>
      </c>
      <c r="B10" s="20">
        <v>2</v>
      </c>
      <c r="C10" s="20">
        <v>3</v>
      </c>
      <c r="D10" s="20">
        <v>4</v>
      </c>
      <c r="E10" s="20">
        <v>5</v>
      </c>
      <c r="F10" s="20">
        <v>6</v>
      </c>
      <c r="G10" s="20">
        <v>7</v>
      </c>
      <c r="H10" s="20">
        <v>8</v>
      </c>
      <c r="I10" s="20">
        <v>9</v>
      </c>
      <c r="J10" s="20">
        <v>10</v>
      </c>
      <c r="K10" s="21">
        <v>11</v>
      </c>
      <c r="L10" s="21">
        <v>12</v>
      </c>
      <c r="M10" s="21">
        <v>13</v>
      </c>
    </row>
    <row r="11" spans="1:13" ht="39.6" x14ac:dyDescent="0.25">
      <c r="A11" s="40">
        <v>1</v>
      </c>
      <c r="B11" s="16" t="s">
        <v>53</v>
      </c>
      <c r="C11" s="22">
        <f>'2pielik'!$M$14</f>
        <v>115.35</v>
      </c>
      <c r="D11" s="22">
        <f>'2pielik'!$M$27</f>
        <v>27.21</v>
      </c>
      <c r="E11" s="22">
        <f>'2pielik'!$M$29</f>
        <v>104.73</v>
      </c>
      <c r="F11" s="22">
        <f>'2pielik'!$M$47</f>
        <v>10.75</v>
      </c>
      <c r="G11" s="22">
        <f>'2pielik'!$M$59</f>
        <v>7.36</v>
      </c>
      <c r="H11" s="22">
        <f>'2pielik'!$M$81</f>
        <v>1.74</v>
      </c>
      <c r="I11" s="22">
        <f>'2pielik'!$M$83</f>
        <v>40.86</v>
      </c>
      <c r="J11" s="22">
        <f>'2pielik'!$M$115</f>
        <v>0</v>
      </c>
      <c r="K11" s="22">
        <f>SUM(C11:J11)</f>
        <v>308.00000000000006</v>
      </c>
      <c r="L11" s="22">
        <f>ROUND(K11*0.21,2)</f>
        <v>64.680000000000007</v>
      </c>
      <c r="M11" s="22">
        <f>K11+L11</f>
        <v>372.68000000000006</v>
      </c>
    </row>
    <row r="12" spans="1:13" ht="54" customHeight="1" x14ac:dyDescent="0.25">
      <c r="A12" s="40">
        <v>2</v>
      </c>
      <c r="B12" s="16" t="s">
        <v>54</v>
      </c>
      <c r="C12" s="22">
        <f>'2pielik'!$M$131</f>
        <v>115.35</v>
      </c>
      <c r="D12" s="22">
        <f>'2pielik'!$M$144</f>
        <v>27.21</v>
      </c>
      <c r="E12" s="22">
        <f>'2pielik'!$M$146</f>
        <v>204.31</v>
      </c>
      <c r="F12" s="22">
        <f>'2pielik'!$M$164</f>
        <v>167.45</v>
      </c>
      <c r="G12" s="22">
        <f>'2pielik'!$M$176</f>
        <v>7.57</v>
      </c>
      <c r="H12" s="22">
        <f>'2pielik'!$M$198</f>
        <v>1.79</v>
      </c>
      <c r="I12" s="22">
        <f>'2pielik'!$M$200</f>
        <v>40.959999999999994</v>
      </c>
      <c r="J12" s="22">
        <f>'2pielik'!$M$232</f>
        <v>0</v>
      </c>
      <c r="K12" s="22">
        <f>SUM(C12:J12)</f>
        <v>564.64</v>
      </c>
      <c r="L12" s="22">
        <f>ROUND(K12*0.21,2)</f>
        <v>118.57</v>
      </c>
      <c r="M12" s="22">
        <f>K12+L12</f>
        <v>683.21</v>
      </c>
    </row>
    <row r="13" spans="1:13" ht="39.6" x14ac:dyDescent="0.25">
      <c r="A13" s="40">
        <v>3</v>
      </c>
      <c r="B13" s="16" t="s">
        <v>55</v>
      </c>
      <c r="C13" s="22">
        <f>'2pielik'!$M$248</f>
        <v>65.349999999999994</v>
      </c>
      <c r="D13" s="22">
        <f>'2pielik'!$M$259</f>
        <v>15.42</v>
      </c>
      <c r="E13" s="22">
        <f>'2pielik'!$M$261</f>
        <v>0.46</v>
      </c>
      <c r="F13" s="22">
        <f>'2pielik'!$M$279</f>
        <v>10.75</v>
      </c>
      <c r="G13" s="22">
        <f>'2pielik'!$M$291</f>
        <v>7.36</v>
      </c>
      <c r="H13" s="22">
        <f>'2pielik'!$M$313</f>
        <v>1.74</v>
      </c>
      <c r="I13" s="22">
        <f>'2pielik'!$M$315</f>
        <v>40.86</v>
      </c>
      <c r="J13" s="22">
        <f>'2pielik'!$M$346</f>
        <v>0</v>
      </c>
      <c r="K13" s="22">
        <f>SUM(C13:J13)</f>
        <v>141.94</v>
      </c>
      <c r="L13" s="22">
        <f>ROUND(K13*0.21,2)</f>
        <v>29.81</v>
      </c>
      <c r="M13" s="22">
        <f>K13+L13</f>
        <v>171.75</v>
      </c>
    </row>
    <row r="14" spans="1:13" ht="46.05" customHeight="1" x14ac:dyDescent="0.25">
      <c r="A14" s="40">
        <v>4</v>
      </c>
      <c r="B14" s="42" t="s">
        <v>56</v>
      </c>
      <c r="C14" s="22">
        <f>'2pielik'!$M$363</f>
        <v>65.349999999999994</v>
      </c>
      <c r="D14" s="22">
        <f>'2pielik'!$M$374</f>
        <v>15.42</v>
      </c>
      <c r="E14" s="22">
        <f>'2pielik'!$M$376</f>
        <v>0.46</v>
      </c>
      <c r="F14" s="22">
        <f>'2pielik'!$M$394</f>
        <v>167.45</v>
      </c>
      <c r="G14" s="22">
        <f>'2pielik'!$M$406</f>
        <v>7.21</v>
      </c>
      <c r="H14" s="22">
        <f>'2pielik'!$M$428</f>
        <v>1.7</v>
      </c>
      <c r="I14" s="22">
        <f>'2pielik'!$M$430</f>
        <v>40.959999999999994</v>
      </c>
      <c r="J14" s="22">
        <f>'2pielik'!$M$461</f>
        <v>0</v>
      </c>
      <c r="K14" s="22">
        <f>SUM(C14:J14)</f>
        <v>298.54999999999995</v>
      </c>
      <c r="L14" s="22">
        <f>ROUND(K14*0.21,2)</f>
        <v>62.7</v>
      </c>
      <c r="M14" s="22">
        <f>K14+L14</f>
        <v>361.24999999999994</v>
      </c>
    </row>
    <row r="15" spans="1:13" ht="13.2" x14ac:dyDescent="0.25">
      <c r="A15" s="116">
        <v>5</v>
      </c>
      <c r="B15" s="42" t="s">
        <v>194</v>
      </c>
      <c r="C15" s="22">
        <f>'2pielik'!$M$480</f>
        <v>22.21</v>
      </c>
      <c r="D15" s="22">
        <f>'2pielik'!$M$486</f>
        <v>5.24</v>
      </c>
      <c r="E15" s="22">
        <f>'2pielik'!$M$488</f>
        <v>2.6440886203423966</v>
      </c>
      <c r="F15" s="22">
        <f>'2pielik'!$M$494</f>
        <v>13.68</v>
      </c>
      <c r="G15" s="22">
        <f>'2pielik'!$M$505</f>
        <v>2.2400000000000002</v>
      </c>
      <c r="H15" s="22">
        <f>'2pielik'!$M$514</f>
        <v>0.53</v>
      </c>
      <c r="I15" s="22">
        <f>'2pielik'!$M$517</f>
        <v>0.48</v>
      </c>
      <c r="J15" s="22">
        <f>'2pielik'!$M$521</f>
        <v>0</v>
      </c>
      <c r="K15" s="22">
        <f>SUM(C15:J15)</f>
        <v>47.024088620342397</v>
      </c>
      <c r="L15" s="118">
        <v>0</v>
      </c>
      <c r="M15" s="22">
        <f>K15+'4pielik'!D12</f>
        <v>47.024088620342397</v>
      </c>
    </row>
    <row r="16" spans="1:13" ht="15.6" x14ac:dyDescent="0.3">
      <c r="B16" s="9"/>
      <c r="C16"/>
      <c r="D16"/>
      <c r="E16" s="9" t="s">
        <v>35</v>
      </c>
      <c r="F16"/>
      <c r="G16"/>
      <c r="H16"/>
      <c r="I16" s="9" t="s">
        <v>36</v>
      </c>
      <c r="L16" s="10"/>
    </row>
    <row r="17" spans="1:15" customFormat="1" ht="23.1" customHeight="1" x14ac:dyDescent="0.3">
      <c r="A17" s="61"/>
      <c r="B17" s="9"/>
      <c r="C17" s="9"/>
      <c r="G17" s="9"/>
      <c r="H17" s="2"/>
      <c r="I17" s="2"/>
      <c r="K17" s="9"/>
      <c r="N17" s="9"/>
    </row>
    <row r="18" spans="1:15" customFormat="1" ht="17.100000000000001" customHeight="1" x14ac:dyDescent="0.3">
      <c r="A18" s="61"/>
      <c r="D18" s="91"/>
      <c r="E18" s="91"/>
      <c r="F18" s="91"/>
    </row>
    <row r="19" spans="1:15" customFormat="1" ht="31.35" customHeight="1" x14ac:dyDescent="0.35">
      <c r="A19" s="61"/>
      <c r="B19" s="92"/>
      <c r="D19" s="91"/>
      <c r="E19" s="91"/>
      <c r="F19" s="91"/>
      <c r="K19" s="93"/>
      <c r="N19" s="93"/>
      <c r="O19" s="94"/>
    </row>
    <row r="20" spans="1:15" customFormat="1" ht="14.4" x14ac:dyDescent="0.3"/>
    <row r="21" spans="1:15" customFormat="1" ht="14.4" x14ac:dyDescent="0.3"/>
    <row r="22" spans="1:15" customFormat="1" ht="14.4" x14ac:dyDescent="0.3"/>
    <row r="23" spans="1:15" customFormat="1" ht="14.4" x14ac:dyDescent="0.3">
      <c r="B23" s="4" t="s">
        <v>51</v>
      </c>
    </row>
    <row r="24" spans="1:15" customFormat="1" ht="14.4" x14ac:dyDescent="0.3">
      <c r="B24" s="4" t="s">
        <v>50</v>
      </c>
    </row>
  </sheetData>
  <mergeCells count="7">
    <mergeCell ref="H1:M1"/>
    <mergeCell ref="H2:M2"/>
    <mergeCell ref="A5:M5"/>
    <mergeCell ref="A7:A9"/>
    <mergeCell ref="B7:B9"/>
    <mergeCell ref="C7:F7"/>
    <mergeCell ref="G7:J7"/>
  </mergeCells>
  <pageMargins left="0.98425196850393704" right="0.78740157480314965" top="1.1811023622047243" bottom="0.78740157480314965" header="0.31496062992125984" footer="0.31496062992125984"/>
  <pageSetup paperSize="9" scale="78" fitToHeight="0" orientation="landscape" r:id="rId1"/>
  <headerFooter differentFirst="1">
    <oddHeader>&amp;C&amp;"Times New Roman,Regular"&amp;12&amp;P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22"/>
  <sheetViews>
    <sheetView showGridLines="0" topLeftCell="A9" zoomScaleNormal="100" zoomScalePageLayoutView="40" workbookViewId="0">
      <selection activeCell="H11" sqref="H11"/>
    </sheetView>
  </sheetViews>
  <sheetFormatPr defaultRowHeight="14.4" x14ac:dyDescent="0.3"/>
  <cols>
    <col min="1" max="1" width="9.21875" bestFit="1" customWidth="1"/>
    <col min="2" max="2" width="27.21875" customWidth="1"/>
    <col min="3" max="5" width="9.21875" bestFit="1" customWidth="1"/>
    <col min="6" max="6" width="9.5546875" style="1" customWidth="1"/>
    <col min="7" max="7" width="14.5546875" customWidth="1"/>
    <col min="8" max="10" width="11.44140625" customWidth="1"/>
    <col min="13" max="13" width="9.5546875" bestFit="1" customWidth="1"/>
  </cols>
  <sheetData>
    <row r="1" spans="1:15" x14ac:dyDescent="0.3">
      <c r="D1" s="1"/>
      <c r="J1" s="1" t="s">
        <v>31</v>
      </c>
    </row>
    <row r="2" spans="1:15" ht="64.5" customHeight="1" x14ac:dyDescent="0.3">
      <c r="D2" s="1"/>
      <c r="F2" s="127" t="s">
        <v>49</v>
      </c>
      <c r="G2" s="127"/>
      <c r="H2" s="127"/>
      <c r="I2" s="127"/>
      <c r="J2" s="127"/>
      <c r="K2" s="43"/>
      <c r="L2" s="43"/>
      <c r="M2" s="43"/>
      <c r="N2" s="43"/>
      <c r="O2" s="43"/>
    </row>
    <row r="3" spans="1:15" ht="17.399999999999999" x14ac:dyDescent="0.3">
      <c r="A3" s="277" t="s">
        <v>11</v>
      </c>
      <c r="B3" s="277"/>
      <c r="C3" s="277"/>
      <c r="D3" s="277"/>
      <c r="E3" s="277"/>
      <c r="F3" s="277"/>
      <c r="G3" s="277"/>
      <c r="H3" s="277"/>
      <c r="I3" s="277"/>
      <c r="J3" s="277"/>
    </row>
    <row r="4" spans="1:15" ht="17.399999999999999" x14ac:dyDescent="0.3">
      <c r="A4" s="41"/>
      <c r="B4" s="41"/>
      <c r="C4" s="41"/>
      <c r="D4" s="41"/>
      <c r="E4" s="41"/>
      <c r="F4" s="41"/>
      <c r="G4" s="41"/>
      <c r="H4" s="41"/>
      <c r="I4" s="41"/>
      <c r="J4" s="41"/>
    </row>
    <row r="5" spans="1:15" ht="36.6" customHeight="1" x14ac:dyDescent="0.3">
      <c r="A5" s="12" t="s">
        <v>0</v>
      </c>
      <c r="B5" s="13" t="s">
        <v>19</v>
      </c>
      <c r="C5" s="278" t="s">
        <v>12</v>
      </c>
      <c r="D5" s="278"/>
      <c r="E5" s="278"/>
      <c r="F5" s="279" t="s">
        <v>13</v>
      </c>
      <c r="G5" s="279"/>
      <c r="H5" s="279" t="s">
        <v>29</v>
      </c>
      <c r="I5" s="279"/>
      <c r="J5" s="279"/>
    </row>
    <row r="6" spans="1:15" ht="36.75" customHeight="1" x14ac:dyDescent="0.3">
      <c r="A6" s="12"/>
      <c r="B6" s="12"/>
      <c r="C6" s="14" t="s">
        <v>14</v>
      </c>
      <c r="D6" s="14" t="s">
        <v>15</v>
      </c>
      <c r="E6" s="13" t="s">
        <v>16</v>
      </c>
      <c r="F6" s="13" t="s">
        <v>7</v>
      </c>
      <c r="G6" s="13" t="s">
        <v>8</v>
      </c>
      <c r="H6" s="101">
        <v>2025</v>
      </c>
      <c r="I6" s="101">
        <v>2026</v>
      </c>
      <c r="J6" s="13">
        <v>2027</v>
      </c>
    </row>
    <row r="7" spans="1:15" x14ac:dyDescent="0.3">
      <c r="A7" s="45">
        <v>1</v>
      </c>
      <c r="B7" s="45">
        <v>2</v>
      </c>
      <c r="C7" s="46">
        <v>3</v>
      </c>
      <c r="D7" s="46">
        <v>4</v>
      </c>
      <c r="E7" s="45">
        <v>5</v>
      </c>
      <c r="F7" s="45">
        <v>6</v>
      </c>
      <c r="G7" s="45">
        <v>7</v>
      </c>
      <c r="H7" s="45">
        <v>8</v>
      </c>
      <c r="I7" s="45">
        <v>9</v>
      </c>
      <c r="J7" s="45">
        <v>10</v>
      </c>
    </row>
    <row r="8" spans="1:15" ht="52.8" x14ac:dyDescent="0.3">
      <c r="A8" s="40">
        <v>1</v>
      </c>
      <c r="B8" s="16" t="s">
        <v>53</v>
      </c>
      <c r="C8" s="22">
        <f>'3pielik'!K11</f>
        <v>308.00000000000006</v>
      </c>
      <c r="D8" s="22">
        <f>ROUND(C8*0.21,2)</f>
        <v>64.680000000000007</v>
      </c>
      <c r="E8" s="22">
        <f>SUM(C8:D8)</f>
        <v>372.68000000000006</v>
      </c>
      <c r="F8" s="38">
        <v>4</v>
      </c>
      <c r="G8" s="38" t="s">
        <v>9</v>
      </c>
      <c r="H8" s="22">
        <f>F8*E8</f>
        <v>1490.7200000000003</v>
      </c>
      <c r="I8" s="22">
        <f>F8*E8</f>
        <v>1490.7200000000003</v>
      </c>
      <c r="J8" s="22">
        <f>I8</f>
        <v>1490.7200000000003</v>
      </c>
      <c r="M8" s="3"/>
    </row>
    <row r="9" spans="1:15" ht="52.8" x14ac:dyDescent="0.3">
      <c r="A9" s="40">
        <v>2</v>
      </c>
      <c r="B9" s="16" t="s">
        <v>54</v>
      </c>
      <c r="C9" s="22">
        <f>'3pielik'!K12</f>
        <v>564.64</v>
      </c>
      <c r="D9" s="22">
        <f t="shared" ref="D9:D11" si="0">ROUND(C9*0.21,2)</f>
        <v>118.57</v>
      </c>
      <c r="E9" s="22">
        <f t="shared" ref="E9:E12" si="1">SUM(C9:D9)</f>
        <v>683.21</v>
      </c>
      <c r="F9" s="38">
        <v>11</v>
      </c>
      <c r="G9" s="38" t="s">
        <v>9</v>
      </c>
      <c r="H9" s="22">
        <f>F9*E9</f>
        <v>7515.31</v>
      </c>
      <c r="I9" s="22">
        <f t="shared" ref="I9:I10" si="2">F9*E9</f>
        <v>7515.31</v>
      </c>
      <c r="J9" s="22">
        <f t="shared" ref="J9:J10" si="3">I9</f>
        <v>7515.31</v>
      </c>
    </row>
    <row r="10" spans="1:15" ht="52.8" x14ac:dyDescent="0.3">
      <c r="A10" s="40">
        <v>3</v>
      </c>
      <c r="B10" s="16" t="s">
        <v>55</v>
      </c>
      <c r="C10" s="22">
        <f>'3pielik'!K13</f>
        <v>141.94</v>
      </c>
      <c r="D10" s="22">
        <f t="shared" si="0"/>
        <v>29.81</v>
      </c>
      <c r="E10" s="22">
        <f t="shared" si="1"/>
        <v>171.75</v>
      </c>
      <c r="F10" s="38">
        <v>4</v>
      </c>
      <c r="G10" s="38" t="s">
        <v>9</v>
      </c>
      <c r="H10" s="22">
        <f t="shared" ref="H10" si="4">F10*E10</f>
        <v>687</v>
      </c>
      <c r="I10" s="22">
        <f t="shared" si="2"/>
        <v>687</v>
      </c>
      <c r="J10" s="22">
        <f t="shared" si="3"/>
        <v>687</v>
      </c>
    </row>
    <row r="11" spans="1:15" ht="66.599999999999994" x14ac:dyDescent="0.3">
      <c r="A11" s="40">
        <v>4</v>
      </c>
      <c r="B11" s="42" t="s">
        <v>56</v>
      </c>
      <c r="C11" s="22">
        <f>'3pielik'!K14</f>
        <v>298.54999999999995</v>
      </c>
      <c r="D11" s="22">
        <f t="shared" si="0"/>
        <v>62.7</v>
      </c>
      <c r="E11" s="22">
        <f t="shared" si="1"/>
        <v>361.24999999999994</v>
      </c>
      <c r="F11" s="38">
        <v>44</v>
      </c>
      <c r="G11" s="38" t="s">
        <v>9</v>
      </c>
      <c r="H11" s="22">
        <f>F11*E11</f>
        <v>15894.999999999998</v>
      </c>
      <c r="I11" s="22">
        <f>F11*E11</f>
        <v>15894.999999999998</v>
      </c>
      <c r="J11" s="22">
        <f>I11</f>
        <v>15894.999999999998</v>
      </c>
    </row>
    <row r="12" spans="1:15" x14ac:dyDescent="0.3">
      <c r="A12" s="116">
        <v>5</v>
      </c>
      <c r="B12" s="42" t="s">
        <v>194</v>
      </c>
      <c r="C12" s="22">
        <f>'3pielik'!$K$15</f>
        <v>47.024088620342397</v>
      </c>
      <c r="D12" s="22">
        <f>'3pielik'!$L$15</f>
        <v>0</v>
      </c>
      <c r="E12" s="22">
        <f t="shared" si="1"/>
        <v>47.024088620342397</v>
      </c>
      <c r="F12" s="38">
        <v>1</v>
      </c>
      <c r="G12" s="38" t="s">
        <v>9</v>
      </c>
      <c r="H12" s="22">
        <f>F12*E12</f>
        <v>47.024088620342397</v>
      </c>
      <c r="I12" s="22">
        <f>F12*E12</f>
        <v>47.024088620342397</v>
      </c>
      <c r="J12" s="22">
        <f>I12</f>
        <v>47.024088620342397</v>
      </c>
    </row>
    <row r="13" spans="1:15" ht="22.05" customHeight="1" x14ac:dyDescent="0.3">
      <c r="A13" s="15"/>
      <c r="B13" s="42" t="s">
        <v>10</v>
      </c>
      <c r="C13" s="37"/>
      <c r="D13" s="37"/>
      <c r="E13" s="37"/>
      <c r="F13" s="37"/>
      <c r="G13" s="37"/>
      <c r="H13" s="44">
        <f>SUM(H8:H12)</f>
        <v>25635.054088620342</v>
      </c>
      <c r="I13" s="44">
        <f t="shared" ref="I13:J13" si="5">SUM(I8:I12)</f>
        <v>25635.054088620342</v>
      </c>
      <c r="J13" s="44">
        <f t="shared" si="5"/>
        <v>25635.054088620342</v>
      </c>
    </row>
    <row r="14" spans="1:15" ht="15.75" customHeight="1" x14ac:dyDescent="0.3">
      <c r="B14" s="2"/>
      <c r="C14" s="2"/>
      <c r="D14" s="2"/>
      <c r="E14" s="2"/>
      <c r="F14" s="2"/>
      <c r="G14" s="2"/>
      <c r="H14" s="2"/>
      <c r="I14" s="2"/>
      <c r="J14" s="2"/>
    </row>
    <row r="15" spans="1:15" ht="23.1" customHeight="1" x14ac:dyDescent="0.3">
      <c r="A15" s="61"/>
      <c r="B15" s="9"/>
      <c r="C15" s="9"/>
      <c r="F15"/>
      <c r="G15" s="9"/>
      <c r="H15" s="2"/>
      <c r="I15" s="9"/>
      <c r="K15" s="9"/>
      <c r="N15" s="9"/>
    </row>
    <row r="16" spans="1:15" ht="17.100000000000001" customHeight="1" x14ac:dyDescent="0.3">
      <c r="A16" s="61"/>
      <c r="D16" s="91"/>
      <c r="E16" s="91"/>
      <c r="F16" s="91"/>
    </row>
    <row r="17" spans="1:15" ht="31.35" customHeight="1" x14ac:dyDescent="0.35">
      <c r="A17" s="61"/>
      <c r="B17" s="92"/>
      <c r="D17" s="91"/>
      <c r="E17" s="91"/>
      <c r="F17" s="91"/>
      <c r="I17" s="93"/>
      <c r="K17" s="93"/>
      <c r="N17" s="93"/>
      <c r="O17" s="94"/>
    </row>
    <row r="18" spans="1:15" x14ac:dyDescent="0.3">
      <c r="F18"/>
    </row>
    <row r="19" spans="1:15" x14ac:dyDescent="0.3">
      <c r="F19"/>
    </row>
    <row r="20" spans="1:15" x14ac:dyDescent="0.3">
      <c r="F20"/>
    </row>
    <row r="21" spans="1:15" x14ac:dyDescent="0.3">
      <c r="B21" s="4" t="s">
        <v>51</v>
      </c>
      <c r="F21"/>
    </row>
    <row r="22" spans="1:15" x14ac:dyDescent="0.3">
      <c r="B22" s="4" t="s">
        <v>50</v>
      </c>
      <c r="F22"/>
    </row>
  </sheetData>
  <mergeCells count="5">
    <mergeCell ref="F2:J2"/>
    <mergeCell ref="A3:J3"/>
    <mergeCell ref="C5:E5"/>
    <mergeCell ref="F5:G5"/>
    <mergeCell ref="H5:J5"/>
  </mergeCells>
  <pageMargins left="1.1811023622047245" right="0.78740157480314965" top="0.98425196850393704" bottom="0.78740157480314965" header="0.31496062992125984" footer="0.31496062992125984"/>
  <pageSetup paperSize="9" scale="65" fitToHeight="0" orientation="portrait" r:id="rId1"/>
  <headerFooter differentFirst="1">
    <oddHeader>&amp;C&amp;"Times New Roman,Regular"&amp;12&amp;P</oddHeader>
    <oddFooter>&amp;L&amp;"Times New Roman,Regular"&amp;10IEMAnotp4</oddFooter>
    <firstFooter>&amp;L&amp;"Times New Roman,Regular"&amp;10IEMAnotp4</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1pielik</vt:lpstr>
      <vt:lpstr>2pielik</vt:lpstr>
      <vt:lpstr>3pielik</vt:lpstr>
      <vt:lpstr>4pielik</vt:lpstr>
      <vt:lpstr>'2pielik'!Print_Area</vt:lpstr>
      <vt:lpstr>'3pielik'!Print_Area</vt:lpstr>
      <vt:lpstr>'2pielik'!Print_Titles</vt:lpstr>
    </vt:vector>
  </TitlesOfParts>
  <Company>Valsts robežsardzes koledža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 "Valsts robežsardzes koledžas maksas pakalpojumu cenrādis" sākotnējās ietekmes novērtējuma ziņojuma pielikumi</dc:title>
  <dc:subject>Pielikumi</dc:subject>
  <dc:creator>Velta Grecka</dc:creator>
  <dc:description>64603688, velta.grecka@rs.gov.lv</dc:description>
  <cp:lastModifiedBy>Inga Kola</cp:lastModifiedBy>
  <cp:lastPrinted>2024-02-02T08:34:20Z</cp:lastPrinted>
  <dcterms:created xsi:type="dcterms:W3CDTF">2017-12-04T12:01:01Z</dcterms:created>
  <dcterms:modified xsi:type="dcterms:W3CDTF">2025-05-09T12:18:29Z</dcterms:modified>
</cp:coreProperties>
</file>