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FM precizējumi 2 aplis uz oktobri\"/>
    </mc:Choice>
  </mc:AlternateContent>
  <xr:revisionPtr revIDLastSave="0" documentId="8_{F1D075F4-955C-4B1A-B5D9-1F69C8A33F3C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VSAA_NĪ_2023_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32" i="1" l="1"/>
  <c r="G21" i="1"/>
  <c r="E30" i="1" l="1"/>
  <c r="F27" i="1"/>
  <c r="F22" i="1"/>
  <c r="F21" i="1"/>
  <c r="F19" i="1"/>
  <c r="F18" i="1"/>
  <c r="F15" i="1"/>
  <c r="F13" i="1"/>
  <c r="F12" i="1"/>
  <c r="F11" i="1"/>
  <c r="F30" i="1" s="1"/>
  <c r="E44" i="1" l="1"/>
  <c r="D44" i="1"/>
  <c r="E43" i="1" l="1"/>
  <c r="E42" i="1" s="1"/>
  <c r="F44" i="1"/>
  <c r="C44" i="1"/>
  <c r="C43" i="1" s="1"/>
  <c r="C42" i="1" s="1"/>
  <c r="B44" i="1"/>
  <c r="B43" i="1" s="1"/>
  <c r="B42" i="1" s="1"/>
  <c r="H44" i="1" l="1"/>
  <c r="H43" i="1" s="1"/>
  <c r="H42" i="1" s="1"/>
  <c r="G44" i="1"/>
  <c r="G43" i="1" s="1"/>
  <c r="D43" i="1"/>
  <c r="D42" i="1" s="1"/>
  <c r="F43" i="1"/>
  <c r="F42" i="1" s="1"/>
  <c r="G42" i="1" l="1"/>
  <c r="B30" i="1"/>
  <c r="G28" i="1"/>
  <c r="D28" i="1"/>
  <c r="J28" i="1" s="1"/>
  <c r="G27" i="1"/>
  <c r="K27" i="1" s="1"/>
  <c r="D27" i="1"/>
  <c r="J27" i="1" s="1"/>
  <c r="G26" i="1"/>
  <c r="D26" i="1"/>
  <c r="J26" i="1" s="1"/>
  <c r="C26" i="1"/>
  <c r="G25" i="1"/>
  <c r="K25" i="1" s="1"/>
  <c r="D25" i="1"/>
  <c r="G24" i="1"/>
  <c r="K24" i="1" s="1"/>
  <c r="D24" i="1"/>
  <c r="J24" i="1" s="1"/>
  <c r="G23" i="1"/>
  <c r="K23" i="1" s="1"/>
  <c r="D23" i="1"/>
  <c r="G22" i="1"/>
  <c r="K22" i="1" s="1"/>
  <c r="D22" i="1"/>
  <c r="J22" i="1" s="1"/>
  <c r="J21" i="1"/>
  <c r="K21" i="1"/>
  <c r="G20" i="1"/>
  <c r="D20" i="1"/>
  <c r="J20" i="1" s="1"/>
  <c r="C20" i="1"/>
  <c r="G19" i="1"/>
  <c r="K19" i="1" s="1"/>
  <c r="D19" i="1"/>
  <c r="J18" i="1"/>
  <c r="G18" i="1"/>
  <c r="K18" i="1" s="1"/>
  <c r="G17" i="1"/>
  <c r="D17" i="1"/>
  <c r="J17" i="1" s="1"/>
  <c r="C17" i="1"/>
  <c r="G16" i="1"/>
  <c r="D16" i="1"/>
  <c r="J16" i="1" s="1"/>
  <c r="C16" i="1"/>
  <c r="G15" i="1"/>
  <c r="K15" i="1" s="1"/>
  <c r="D15" i="1"/>
  <c r="J15" i="1" s="1"/>
  <c r="G14" i="1"/>
  <c r="D14" i="1"/>
  <c r="J14" i="1" s="1"/>
  <c r="C14" i="1"/>
  <c r="G13" i="1"/>
  <c r="K13" i="1" s="1"/>
  <c r="D13" i="1"/>
  <c r="J13" i="1" s="1"/>
  <c r="J12" i="1"/>
  <c r="G12" i="1"/>
  <c r="H12" i="1" s="1"/>
  <c r="J11" i="1"/>
  <c r="G11" i="1"/>
  <c r="H11" i="1" s="1"/>
  <c r="L21" i="1" l="1"/>
  <c r="H23" i="1"/>
  <c r="H25" i="1"/>
  <c r="K26" i="1"/>
  <c r="L26" i="1" s="1"/>
  <c r="C30" i="1"/>
  <c r="J23" i="1"/>
  <c r="L23" i="1" s="1"/>
  <c r="H17" i="1"/>
  <c r="H19" i="1"/>
  <c r="K12" i="1"/>
  <c r="L12" i="1" s="1"/>
  <c r="J19" i="1"/>
  <c r="L19" i="1" s="1"/>
  <c r="H21" i="1"/>
  <c r="H27" i="1"/>
  <c r="L18" i="1"/>
  <c r="J25" i="1"/>
  <c r="L25" i="1" s="1"/>
  <c r="K14" i="1"/>
  <c r="L14" i="1" s="1"/>
  <c r="H14" i="1"/>
  <c r="H20" i="1"/>
  <c r="H26" i="1"/>
  <c r="K20" i="1"/>
  <c r="L20" i="1" s="1"/>
  <c r="H15" i="1"/>
  <c r="L27" i="1"/>
  <c r="K16" i="1"/>
  <c r="L16" i="1" s="1"/>
  <c r="H28" i="1"/>
  <c r="K28" i="1"/>
  <c r="L28" i="1" s="1"/>
  <c r="K11" i="1"/>
  <c r="L11" i="1" s="1"/>
  <c r="K17" i="1"/>
  <c r="L17" i="1" s="1"/>
  <c r="L24" i="1"/>
  <c r="L13" i="1"/>
  <c r="L15" i="1"/>
  <c r="L22" i="1"/>
  <c r="D30" i="1"/>
  <c r="H24" i="1"/>
  <c r="G30" i="1"/>
  <c r="H16" i="1"/>
  <c r="H18" i="1"/>
  <c r="H22" i="1"/>
  <c r="H13" i="1"/>
  <c r="H30" i="1" l="1"/>
  <c r="J30" i="1"/>
  <c r="K30" i="1"/>
  <c r="L30" i="1"/>
</calcChain>
</file>

<file path=xl/sharedStrings.xml><?xml version="1.0" encoding="utf-8"?>
<sst xmlns="http://schemas.openxmlformats.org/spreadsheetml/2006/main" count="59" uniqueCount="53">
  <si>
    <t>Tiesību akta projekta "Par apropriācijas pārdali neatliekamu
 un nozīmīgu pasākumu īstenošanai labklājības nozarē" anotācijai</t>
  </si>
  <si>
    <t>Informācija par VSAA nomas maksas izdevumu sadārdzinājumu telpām, kuras apsaimnieko VSIA "Šampētera Nami"</t>
  </si>
  <si>
    <t>Iestāde (adrese)</t>
  </si>
  <si>
    <t>Pieaugums 2024.gadam pret 2023.gadu</t>
  </si>
  <si>
    <t>2023.g.</t>
  </si>
  <si>
    <t>2024.g.</t>
  </si>
  <si>
    <t>VSAA</t>
  </si>
  <si>
    <t>Lakstīgalu iela 1, Ventspils</t>
  </si>
  <si>
    <t>Rīgas iela 13, Valka</t>
  </si>
  <si>
    <t>Viļānu iela 8, Rēzekne</t>
  </si>
  <si>
    <t>Baložu bulvāris 3, Alūksne</t>
  </si>
  <si>
    <t>Vaļņu iela 13, Cēsis</t>
  </si>
  <si>
    <t>Šveices iela 12, Sigulda</t>
  </si>
  <si>
    <t>Fridriķa iela 9, Rīga</t>
  </si>
  <si>
    <t>Varakļānu ielā 2, Rīga</t>
  </si>
  <si>
    <t>Varakļānu ielā 1B, Rīga</t>
  </si>
  <si>
    <t>Varakļānu ielā 1A, Rīga</t>
  </si>
  <si>
    <t>Mārupes iela 1, Rīga</t>
  </si>
  <si>
    <t xml:space="preserve">Kopā </t>
  </si>
  <si>
    <t>13.pielikums</t>
  </si>
  <si>
    <t>Budžeta veids/bloks/Resora nosaukums</t>
  </si>
  <si>
    <t>6=4+5</t>
  </si>
  <si>
    <t>7=6-3</t>
  </si>
  <si>
    <t>8=6-2</t>
  </si>
  <si>
    <t>Speciālais budžets</t>
  </si>
  <si>
    <t>04.05.00 - Valsts sociālās apdrošināšanas aģentūras speciālais budžets</t>
  </si>
  <si>
    <t>2244 Pārējie telpu uzturēšanas izdevumi (apsardze)</t>
  </si>
  <si>
    <t>Kopējais nepieciešamais finansējums VSAA nekustamo īpašumu pārvaldīšanas izdevumu sadārdzinājuma segšanai</t>
  </si>
  <si>
    <t>1.tabula</t>
  </si>
  <si>
    <t>2.tabula</t>
  </si>
  <si>
    <t>Ilze Štrausa
Labklājības ministrija 
Finanšu vadības departaments 
Tālr. 60008559
Ilze.Strausa@lm.gov.lv</t>
  </si>
  <si>
    <t>2024.gada 8 mēnešu izpilde (līdz 31.08.2024.), euro</t>
  </si>
  <si>
    <r>
      <t xml:space="preserve">2024.gada 4 mēnešu prognoze (01.08.2024.-31.12.2024.), </t>
    </r>
    <r>
      <rPr>
        <b/>
        <i/>
        <sz val="11"/>
        <rFont val="Times New Roman"/>
        <family val="1"/>
        <charset val="186"/>
      </rPr>
      <t>euro</t>
    </r>
  </si>
  <si>
    <t>*ietekme rēķināta 3 mēnešiem (rēķins par decembri tiek maksāts janvārī)</t>
  </si>
  <si>
    <t>**ņemot vērā faktisko izpildi 2024.gada 8 mēnešos</t>
  </si>
  <si>
    <t>2024.g. izdevumi ar PVN                       (prognoze**)</t>
  </si>
  <si>
    <t>Lāčplēša iela 70A, Rīga***</t>
  </si>
  <si>
    <t>Kopējais izdevumu pieaugums VSIA ŠN nomas maksām (%)</t>
  </si>
  <si>
    <r>
      <t>*** 03.07.2024. noslēgta vienošanas, ka sākot ar 17.06.2024. 1 m</t>
    </r>
    <r>
      <rPr>
        <i/>
        <vertAlign val="superscript"/>
        <sz val="10"/>
        <rFont val="Times New Roman"/>
        <family val="1"/>
        <charset val="186"/>
      </rPr>
      <t>2</t>
    </r>
    <r>
      <rPr>
        <i/>
        <sz val="10"/>
        <rFont val="Times New Roman"/>
        <family val="1"/>
        <charset val="186"/>
      </rPr>
      <t xml:space="preserve"> cena ir 4.1866 euro</t>
    </r>
  </si>
  <si>
    <t>2024.gada  prognoze (01.01.2024.-31.12.2024.), euro*</t>
  </si>
  <si>
    <r>
      <t>Kopējā iznomājamā platība m</t>
    </r>
    <r>
      <rPr>
        <b/>
        <vertAlign val="superscript"/>
        <sz val="10"/>
        <rFont val="Times New Roman"/>
        <family val="1"/>
        <charset val="186"/>
      </rPr>
      <t>2</t>
    </r>
  </si>
  <si>
    <t>2023.g. izdevumi ar PVN                     (izpilde) = 2024.gada plāns</t>
  </si>
  <si>
    <t>Pieaugums 2024.gadam pret 2023.gadu/2024.gada plānu</t>
  </si>
  <si>
    <r>
      <t>2023.g. izmaksas
 1 m</t>
    </r>
    <r>
      <rPr>
        <b/>
        <vertAlign val="superscript"/>
        <sz val="12"/>
        <rFont val="Times New Roman"/>
        <family val="1"/>
        <charset val="186"/>
      </rPr>
      <t>2</t>
    </r>
    <r>
      <rPr>
        <b/>
        <sz val="12"/>
        <rFont val="Times New Roman"/>
        <family val="1"/>
        <charset val="186"/>
      </rPr>
      <t xml:space="preserve"> mēnesī</t>
    </r>
  </si>
  <si>
    <r>
      <t>2024.g. izmaksas
 1 m</t>
    </r>
    <r>
      <rPr>
        <b/>
        <vertAlign val="superscript"/>
        <sz val="12"/>
        <rFont val="Times New Roman"/>
        <family val="1"/>
        <charset val="186"/>
      </rPr>
      <t xml:space="preserve">2 </t>
    </r>
    <r>
      <rPr>
        <b/>
        <sz val="12"/>
        <rFont val="Times New Roman"/>
        <family val="1"/>
        <charset val="186"/>
      </rPr>
      <t>mēnesī</t>
    </r>
  </si>
  <si>
    <r>
      <t xml:space="preserve">Kopējais izdevumu iztrūkums VSIA ŠN nomas maksām (līdz pilniem </t>
    </r>
    <r>
      <rPr>
        <b/>
        <i/>
        <sz val="12"/>
        <rFont val="Times New Roman"/>
        <family val="1"/>
        <charset val="186"/>
      </rPr>
      <t>euro)</t>
    </r>
  </si>
  <si>
    <r>
      <t xml:space="preserve">Informācija  par pārējiem telpu uzturēšanas izdevumiem (apsardzei) Valsts sociālās apdrošināšanas aģentūrai, </t>
    </r>
    <r>
      <rPr>
        <b/>
        <i/>
        <sz val="12"/>
        <rFont val="Times New Roman"/>
        <family val="1"/>
        <charset val="186"/>
      </rPr>
      <t>euro</t>
    </r>
  </si>
  <si>
    <r>
      <t xml:space="preserve">2023.gada izdevumu izpilde, </t>
    </r>
    <r>
      <rPr>
        <b/>
        <i/>
        <sz val="11"/>
        <rFont val="Times New Roman"/>
        <family val="1"/>
        <charset val="186"/>
      </rPr>
      <t>euro</t>
    </r>
  </si>
  <si>
    <r>
      <t xml:space="preserve">2024.gada izdevumu plāns 
(saskaņā ar budžeta tāmēm uz 20.08.2024.), </t>
    </r>
    <r>
      <rPr>
        <b/>
        <i/>
        <sz val="11"/>
        <rFont val="Times New Roman"/>
        <family val="1"/>
        <charset val="186"/>
      </rPr>
      <t>euro</t>
    </r>
  </si>
  <si>
    <r>
      <t xml:space="preserve">2024.gada 8 mēnešu izpilde (līdz 31.08.2024.), </t>
    </r>
    <r>
      <rPr>
        <b/>
        <i/>
        <sz val="11"/>
        <rFont val="Times New Roman"/>
        <family val="1"/>
        <charset val="186"/>
      </rPr>
      <t>euro</t>
    </r>
  </si>
  <si>
    <r>
      <t xml:space="preserve">2024.gada izdevumu prognoze, </t>
    </r>
    <r>
      <rPr>
        <b/>
        <i/>
        <sz val="11"/>
        <rFont val="Times New Roman"/>
        <family val="1"/>
        <charset val="186"/>
      </rPr>
      <t>euro</t>
    </r>
  </si>
  <si>
    <r>
      <t xml:space="preserve">2024.gada starpība 
(prognoze - plāns), </t>
    </r>
    <r>
      <rPr>
        <b/>
        <i/>
        <sz val="11"/>
        <rFont val="Times New Roman"/>
        <family val="1"/>
        <charset val="186"/>
      </rPr>
      <t>euro</t>
    </r>
  </si>
  <si>
    <r>
      <t xml:space="preserve">2024.gada prognoze - 2023.gada izpilde, </t>
    </r>
    <r>
      <rPr>
        <b/>
        <i/>
        <sz val="1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</si>
</sst>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i/>
      <vertAlign val="superscript"/>
      <sz val="10"/>
      <name val="Times New Roman"/>
      <family val="1"/>
      <charset val="186"/>
    </font>
    <font>
      <b/>
      <vertAlign val="superscript"/>
      <sz val="10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8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6" fillId="0" borderId="4" xfId="0" applyFont="1" applyBorder="1" applyAlignment="1">
      <alignment horizontal="center" vertical="center" wrapText="1"/>
    </xf>
    <xf numFmtId="4" fontId="7" fillId="0" borderId="10" xfId="0" applyNumberFormat="1" applyFont="1" applyBorder="1"/>
    <xf numFmtId="4" fontId="7" fillId="0" borderId="8" xfId="0" applyNumberFormat="1" applyFont="1" applyBorder="1"/>
    <xf numFmtId="4" fontId="7" fillId="0" borderId="11" xfId="0" applyNumberFormat="1" applyFont="1" applyBorder="1"/>
    <xf numFmtId="4" fontId="7" fillId="0" borderId="12" xfId="0" applyNumberFormat="1" applyFont="1" applyBorder="1"/>
    <xf numFmtId="4" fontId="7" fillId="0" borderId="13" xfId="0" applyNumberFormat="1" applyFont="1" applyBorder="1"/>
    <xf numFmtId="4" fontId="7" fillId="0" borderId="14" xfId="0" applyNumberFormat="1" applyFont="1" applyBorder="1"/>
    <xf numFmtId="4" fontId="7" fillId="0" borderId="15" xfId="0" applyNumberFormat="1" applyFont="1" applyBorder="1"/>
    <xf numFmtId="0" fontId="8" fillId="0" borderId="0" xfId="0" applyFont="1"/>
    <xf numFmtId="4" fontId="8" fillId="0" borderId="16" xfId="0" applyNumberFormat="1" applyFont="1" applyBorder="1"/>
    <xf numFmtId="4" fontId="8" fillId="0" borderId="17" xfId="0" applyNumberFormat="1" applyFont="1" applyFill="1" applyBorder="1"/>
    <xf numFmtId="4" fontId="8" fillId="2" borderId="18" xfId="0" applyNumberFormat="1" applyFont="1" applyFill="1" applyBorder="1"/>
    <xf numFmtId="4" fontId="8" fillId="0" borderId="22" xfId="0" applyNumberFormat="1" applyFont="1" applyBorder="1"/>
    <xf numFmtId="4" fontId="8" fillId="0" borderId="23" xfId="0" applyNumberFormat="1" applyFont="1" applyFill="1" applyBorder="1"/>
    <xf numFmtId="4" fontId="8" fillId="2" borderId="24" xfId="0" applyNumberFormat="1" applyFont="1" applyFill="1" applyBorder="1"/>
    <xf numFmtId="2" fontId="6" fillId="3" borderId="1" xfId="0" applyNumberFormat="1" applyFont="1" applyFill="1" applyBorder="1"/>
    <xf numFmtId="2" fontId="6" fillId="3" borderId="4" xfId="0" applyNumberFormat="1" applyFont="1" applyFill="1" applyBorder="1"/>
    <xf numFmtId="2" fontId="6" fillId="3" borderId="5" xfId="0" applyNumberFormat="1" applyFont="1" applyFill="1" applyBorder="1"/>
    <xf numFmtId="3" fontId="2" fillId="4" borderId="14" xfId="0" applyNumberFormat="1" applyFont="1" applyFill="1" applyBorder="1" applyAlignment="1">
      <alignment horizontal="center" vertical="center" wrapText="1"/>
    </xf>
    <xf numFmtId="3" fontId="2" fillId="4" borderId="38" xfId="0" applyNumberFormat="1" applyFont="1" applyFill="1" applyBorder="1" applyAlignment="1">
      <alignment horizontal="center" vertical="center" wrapText="1"/>
    </xf>
    <xf numFmtId="3" fontId="6" fillId="6" borderId="43" xfId="0" applyNumberFormat="1" applyFont="1" applyFill="1" applyBorder="1" applyAlignment="1">
      <alignment horizontal="right"/>
    </xf>
    <xf numFmtId="3" fontId="6" fillId="6" borderId="44" xfId="0" applyNumberFormat="1" applyFont="1" applyFill="1" applyBorder="1" applyAlignment="1">
      <alignment horizontal="right"/>
    </xf>
    <xf numFmtId="3" fontId="6" fillId="6" borderId="17" xfId="0" applyNumberFormat="1" applyFont="1" applyFill="1" applyBorder="1"/>
    <xf numFmtId="3" fontId="6" fillId="6" borderId="45" xfId="0" applyNumberFormat="1" applyFont="1" applyFill="1" applyBorder="1"/>
    <xf numFmtId="3" fontId="6" fillId="6" borderId="46" xfId="0" applyNumberFormat="1" applyFont="1" applyFill="1" applyBorder="1"/>
    <xf numFmtId="0" fontId="6" fillId="6" borderId="16" xfId="0" applyFont="1" applyFill="1" applyBorder="1" applyAlignment="1">
      <alignment horizontal="left" wrapText="1"/>
    </xf>
    <xf numFmtId="4" fontId="7" fillId="0" borderId="47" xfId="0" applyNumberFormat="1" applyFont="1" applyBorder="1"/>
    <xf numFmtId="4" fontId="7" fillId="0" borderId="37" xfId="0" applyNumberFormat="1" applyFont="1" applyBorder="1"/>
    <xf numFmtId="4" fontId="7" fillId="0" borderId="48" xfId="0" applyNumberFormat="1" applyFont="1" applyBorder="1"/>
    <xf numFmtId="4" fontId="7" fillId="0" borderId="52" xfId="0" applyNumberFormat="1" applyFont="1" applyBorder="1"/>
    <xf numFmtId="4" fontId="7" fillId="0" borderId="38" xfId="0" applyNumberFormat="1" applyFont="1" applyBorder="1"/>
    <xf numFmtId="0" fontId="5" fillId="0" borderId="0" xfId="0" applyFont="1"/>
    <xf numFmtId="0" fontId="8" fillId="0" borderId="22" xfId="0" applyFont="1" applyFill="1" applyBorder="1" applyAlignment="1">
      <alignment horizontal="left" wrapText="1"/>
    </xf>
    <xf numFmtId="3" fontId="8" fillId="0" borderId="23" xfId="0" applyNumberFormat="1" applyFont="1" applyFill="1" applyBorder="1"/>
    <xf numFmtId="3" fontId="8" fillId="0" borderId="55" xfId="0" applyNumberFormat="1" applyFont="1" applyBorder="1"/>
    <xf numFmtId="3" fontId="8" fillId="0" borderId="56" xfId="0" applyNumberFormat="1" applyFont="1" applyFill="1" applyBorder="1"/>
    <xf numFmtId="3" fontId="6" fillId="0" borderId="57" xfId="0" applyNumberFormat="1" applyFont="1" applyFill="1" applyBorder="1"/>
    <xf numFmtId="4" fontId="7" fillId="0" borderId="17" xfId="0" applyNumberFormat="1" applyFont="1" applyBorder="1" applyAlignment="1">
      <alignment horizontal="right" vertical="center"/>
    </xf>
    <xf numFmtId="4" fontId="7" fillId="0" borderId="48" xfId="0" applyNumberFormat="1" applyFont="1" applyBorder="1" applyAlignment="1">
      <alignment horizontal="right" vertical="center"/>
    </xf>
    <xf numFmtId="4" fontId="7" fillId="0" borderId="17" xfId="0" applyNumberFormat="1" applyFont="1" applyBorder="1" applyAlignment="1">
      <alignment horizontal="right" vertical="center"/>
    </xf>
    <xf numFmtId="4" fontId="7" fillId="0" borderId="49" xfId="0" applyNumberFormat="1" applyFont="1" applyBorder="1" applyAlignment="1">
      <alignment horizontal="right" vertical="center"/>
    </xf>
    <xf numFmtId="4" fontId="7" fillId="0" borderId="50" xfId="0" applyNumberFormat="1" applyFont="1" applyBorder="1" applyAlignment="1">
      <alignment horizontal="right" vertical="center"/>
    </xf>
    <xf numFmtId="4" fontId="7" fillId="0" borderId="48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4" fontId="7" fillId="0" borderId="54" xfId="0" applyNumberFormat="1" applyFont="1" applyBorder="1" applyAlignment="1">
      <alignment horizontal="right" vertical="center"/>
    </xf>
    <xf numFmtId="0" fontId="5" fillId="0" borderId="0" xfId="2" applyFont="1" applyAlignment="1">
      <alignment horizontal="right" vertical="top" wrapText="1"/>
    </xf>
    <xf numFmtId="3" fontId="9" fillId="4" borderId="32" xfId="0" applyNumberFormat="1" applyFont="1" applyFill="1" applyBorder="1" applyAlignment="1">
      <alignment horizontal="center" vertical="center" wrapText="1"/>
    </xf>
    <xf numFmtId="3" fontId="9" fillId="4" borderId="2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2" xfId="0" applyFont="1" applyFill="1" applyBorder="1"/>
    <xf numFmtId="0" fontId="8" fillId="0" borderId="0" xfId="0" applyFont="1" applyFill="1"/>
    <xf numFmtId="4" fontId="7" fillId="0" borderId="45" xfId="0" applyNumberFormat="1" applyFont="1" applyBorder="1"/>
    <xf numFmtId="4" fontId="7" fillId="0" borderId="17" xfId="0" applyNumberFormat="1" applyFont="1" applyBorder="1"/>
    <xf numFmtId="4" fontId="8" fillId="0" borderId="0" xfId="0" applyNumberFormat="1" applyFont="1"/>
    <xf numFmtId="4" fontId="7" fillId="0" borderId="14" xfId="0" applyNumberFormat="1" applyFont="1" applyFill="1" applyBorder="1"/>
    <xf numFmtId="0" fontId="7" fillId="0" borderId="52" xfId="0" applyFont="1" applyBorder="1"/>
    <xf numFmtId="4" fontId="7" fillId="2" borderId="47" xfId="0" applyNumberFormat="1" applyFont="1" applyFill="1" applyBorder="1"/>
    <xf numFmtId="4" fontId="7" fillId="2" borderId="14" xfId="0" applyNumberFormat="1" applyFont="1" applyFill="1" applyBorder="1"/>
    <xf numFmtId="0" fontId="14" fillId="0" borderId="0" xfId="0" applyFont="1" applyAlignment="1">
      <alignment wrapText="1"/>
    </xf>
    <xf numFmtId="0" fontId="7" fillId="0" borderId="53" xfId="0" applyFont="1" applyBorder="1"/>
    <xf numFmtId="4" fontId="7" fillId="0" borderId="19" xfId="0" applyNumberFormat="1" applyFont="1" applyBorder="1"/>
    <xf numFmtId="4" fontId="7" fillId="0" borderId="20" xfId="0" applyNumberFormat="1" applyFont="1" applyBorder="1"/>
    <xf numFmtId="4" fontId="7" fillId="0" borderId="35" xfId="0" applyNumberFormat="1" applyFont="1" applyBorder="1"/>
    <xf numFmtId="4" fontId="7" fillId="0" borderId="21" xfId="0" applyNumberFormat="1" applyFont="1" applyBorder="1"/>
    <xf numFmtId="0" fontId="8" fillId="0" borderId="25" xfId="0" applyFont="1" applyBorder="1"/>
    <xf numFmtId="0" fontId="8" fillId="0" borderId="0" xfId="0" applyFont="1" applyBorder="1"/>
    <xf numFmtId="0" fontId="8" fillId="0" borderId="50" xfId="0" applyFont="1" applyBorder="1"/>
    <xf numFmtId="0" fontId="6" fillId="3" borderId="27" xfId="0" applyFont="1" applyFill="1" applyBorder="1"/>
    <xf numFmtId="4" fontId="6" fillId="3" borderId="1" xfId="0" applyNumberFormat="1" applyFont="1" applyFill="1" applyBorder="1"/>
    <xf numFmtId="4" fontId="6" fillId="3" borderId="4" xfId="0" applyNumberFormat="1" applyFont="1" applyFill="1" applyBorder="1"/>
    <xf numFmtId="4" fontId="6" fillId="3" borderId="2" xfId="0" applyNumberFormat="1" applyFont="1" applyFill="1" applyBorder="1"/>
    <xf numFmtId="4" fontId="6" fillId="3" borderId="28" xfId="0" applyNumberFormat="1" applyFont="1" applyFill="1" applyBorder="1"/>
    <xf numFmtId="4" fontId="6" fillId="3" borderId="5" xfId="0" applyNumberFormat="1" applyFont="1" applyFill="1" applyBorder="1"/>
    <xf numFmtId="0" fontId="6" fillId="3" borderId="28" xfId="0" applyFont="1" applyFill="1" applyBorder="1" applyAlignment="1">
      <alignment horizontal="left"/>
    </xf>
    <xf numFmtId="0" fontId="6" fillId="3" borderId="29" xfId="0" applyFont="1" applyFill="1" applyBorder="1" applyAlignment="1">
      <alignment horizontal="left"/>
    </xf>
    <xf numFmtId="0" fontId="6" fillId="3" borderId="30" xfId="0" applyFont="1" applyFill="1" applyBorder="1" applyAlignment="1">
      <alignment horizontal="left"/>
    </xf>
    <xf numFmtId="4" fontId="6" fillId="3" borderId="27" xfId="0" applyNumberFormat="1" applyFont="1" applyFill="1" applyBorder="1"/>
    <xf numFmtId="0" fontId="7" fillId="3" borderId="28" xfId="0" applyFont="1" applyFill="1" applyBorder="1" applyAlignment="1">
      <alignment horizontal="left"/>
    </xf>
    <xf numFmtId="0" fontId="7" fillId="3" borderId="29" xfId="0" applyFont="1" applyFill="1" applyBorder="1" applyAlignment="1">
      <alignment horizontal="left"/>
    </xf>
    <xf numFmtId="0" fontId="7" fillId="3" borderId="30" xfId="0" applyFont="1" applyFill="1" applyBorder="1" applyAlignment="1">
      <alignment horizontal="left"/>
    </xf>
    <xf numFmtId="164" fontId="7" fillId="3" borderId="27" xfId="0" applyNumberFormat="1" applyFont="1" applyFill="1" applyBorder="1"/>
    <xf numFmtId="0" fontId="7" fillId="0" borderId="0" xfId="0" applyFont="1"/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4" fontId="5" fillId="0" borderId="0" xfId="0" applyNumberFormat="1" applyFont="1"/>
    <xf numFmtId="2" fontId="8" fillId="0" borderId="0" xfId="0" applyNumberFormat="1" applyFont="1"/>
    <xf numFmtId="165" fontId="8" fillId="0" borderId="0" xfId="1" applyNumberFormat="1" applyFont="1"/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4" borderId="31" xfId="0" applyFont="1" applyFill="1" applyBorder="1" applyAlignment="1">
      <alignment horizontal="center" vertical="center" wrapText="1"/>
    </xf>
    <xf numFmtId="3" fontId="9" fillId="4" borderId="26" xfId="0" applyNumberFormat="1" applyFont="1" applyFill="1" applyBorder="1" applyAlignment="1">
      <alignment horizontal="center" vertical="center" wrapText="1"/>
    </xf>
    <xf numFmtId="3" fontId="9" fillId="4" borderId="51" xfId="0" applyNumberFormat="1" applyFont="1" applyFill="1" applyBorder="1" applyAlignment="1">
      <alignment horizontal="center" vertical="center" wrapText="1"/>
    </xf>
    <xf numFmtId="3" fontId="9" fillId="4" borderId="33" xfId="0" applyNumberFormat="1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3" fontId="9" fillId="4" borderId="34" xfId="0" applyNumberFormat="1" applyFont="1" applyFill="1" applyBorder="1" applyAlignment="1">
      <alignment horizontal="center" vertical="center" wrapText="1"/>
    </xf>
    <xf numFmtId="3" fontId="9" fillId="4" borderId="38" xfId="0" applyNumberFormat="1" applyFont="1" applyFill="1" applyBorder="1" applyAlignment="1">
      <alignment horizontal="center" vertical="center" wrapText="1"/>
    </xf>
    <xf numFmtId="3" fontId="9" fillId="4" borderId="36" xfId="0" applyNumberFormat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3" fontId="2" fillId="4" borderId="13" xfId="0" applyNumberFormat="1" applyFont="1" applyFill="1" applyBorder="1" applyAlignment="1">
      <alignment horizontal="center" vertical="center" wrapText="1"/>
    </xf>
    <xf numFmtId="3" fontId="2" fillId="4" borderId="37" xfId="0" applyNumberFormat="1" applyFont="1" applyFill="1" applyBorder="1" applyAlignment="1">
      <alignment horizontal="center" vertical="center" wrapText="1"/>
    </xf>
    <xf numFmtId="3" fontId="2" fillId="4" borderId="39" xfId="0" applyNumberFormat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left"/>
    </xf>
    <xf numFmtId="3" fontId="6" fillId="5" borderId="10" xfId="0" applyNumberFormat="1" applyFont="1" applyFill="1" applyBorder="1" applyAlignment="1">
      <alignment horizontal="right"/>
    </xf>
    <xf numFmtId="3" fontId="6" fillId="5" borderId="40" xfId="0" applyNumberFormat="1" applyFont="1" applyFill="1" applyBorder="1" applyAlignment="1">
      <alignment horizontal="right"/>
    </xf>
    <xf numFmtId="3" fontId="6" fillId="5" borderId="9" xfId="0" applyNumberFormat="1" applyFont="1" applyFill="1" applyBorder="1"/>
    <xf numFmtId="3" fontId="6" fillId="5" borderId="41" xfId="0" applyNumberFormat="1" applyFont="1" applyFill="1" applyBorder="1"/>
    <xf numFmtId="3" fontId="6" fillId="5" borderId="42" xfId="0" applyNumberFormat="1" applyFont="1" applyFill="1" applyBorder="1"/>
    <xf numFmtId="0" fontId="6" fillId="7" borderId="45" xfId="0" applyFont="1" applyFill="1" applyBorder="1" applyAlignment="1">
      <alignment vertical="top" wrapText="1"/>
    </xf>
    <xf numFmtId="0" fontId="6" fillId="7" borderId="44" xfId="0" applyFont="1" applyFill="1" applyBorder="1" applyAlignment="1">
      <alignment vertical="top" wrapText="1"/>
    </xf>
    <xf numFmtId="3" fontId="6" fillId="7" borderId="17" xfId="0" applyNumberFormat="1" applyFont="1" applyFill="1" applyBorder="1"/>
    <xf numFmtId="0" fontId="6" fillId="0" borderId="0" xfId="0" applyFont="1"/>
    <xf numFmtId="0" fontId="16" fillId="0" borderId="0" xfId="0" applyFont="1" applyAlignment="1">
      <alignment horizontal="left" wrapText="1"/>
    </xf>
  </cellXfs>
  <cellStyles count="3">
    <cellStyle name="Normal" xfId="0" builtinId="0"/>
    <cellStyle name="Normal 3" xfId="2" xr:uid="{00000000-0005-0000-0000-00000100000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"/>
  <sheetViews>
    <sheetView tabSelected="1" zoomScale="70" zoomScaleNormal="70" workbookViewId="0">
      <selection activeCell="E7" sqref="E7"/>
    </sheetView>
  </sheetViews>
  <sheetFormatPr defaultColWidth="8.7265625" defaultRowHeight="15.5" x14ac:dyDescent="0.35"/>
  <cols>
    <col min="1" max="1" width="42.26953125" style="11" customWidth="1"/>
    <col min="2" max="3" width="12.7265625" style="11" customWidth="1"/>
    <col min="4" max="6" width="15.54296875" style="11" customWidth="1"/>
    <col min="7" max="7" width="16.26953125" style="11" customWidth="1"/>
    <col min="8" max="8" width="16.7265625" style="11" customWidth="1"/>
    <col min="9" max="9" width="10.6328125" style="11" bestFit="1" customWidth="1"/>
    <col min="10" max="10" width="11" style="11" customWidth="1"/>
    <col min="11" max="11" width="12.453125" style="11" customWidth="1"/>
    <col min="12" max="12" width="12.7265625" style="11" customWidth="1"/>
    <col min="13" max="13" width="40.1796875" style="11" customWidth="1"/>
    <col min="14" max="16384" width="8.7265625" style="11"/>
  </cols>
  <sheetData>
    <row r="1" spans="1:13" s="1" customFormat="1" ht="14" x14ac:dyDescent="0.3">
      <c r="L1" s="2" t="s">
        <v>19</v>
      </c>
    </row>
    <row r="2" spans="1:13" s="1" customFormat="1" ht="14.15" customHeight="1" x14ac:dyDescent="0.3">
      <c r="H2" s="48" t="s">
        <v>0</v>
      </c>
      <c r="I2" s="48"/>
      <c r="J2" s="48"/>
      <c r="K2" s="48"/>
      <c r="L2" s="48"/>
    </row>
    <row r="3" spans="1:13" s="1" customFormat="1" ht="14" x14ac:dyDescent="0.3">
      <c r="H3" s="48"/>
      <c r="I3" s="48"/>
      <c r="J3" s="48"/>
      <c r="K3" s="48"/>
      <c r="L3" s="48"/>
    </row>
    <row r="4" spans="1:13" x14ac:dyDescent="0.35">
      <c r="L4" s="1"/>
      <c r="M4" s="51"/>
    </row>
    <row r="5" spans="1:13" x14ac:dyDescent="0.35">
      <c r="L5" s="2" t="s">
        <v>28</v>
      </c>
      <c r="M5" s="51"/>
    </row>
    <row r="6" spans="1:13" x14ac:dyDescent="0.35">
      <c r="A6" s="52" t="s">
        <v>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3" ht="16" thickBot="1" x14ac:dyDescent="0.4"/>
    <row r="8" spans="1:13" ht="102" customHeight="1" thickBot="1" x14ac:dyDescent="0.4">
      <c r="A8" s="53" t="s">
        <v>2</v>
      </c>
      <c r="B8" s="54" t="s">
        <v>40</v>
      </c>
      <c r="C8" s="55"/>
      <c r="D8" s="3" t="s">
        <v>41</v>
      </c>
      <c r="E8" s="56" t="s">
        <v>31</v>
      </c>
      <c r="F8" s="56" t="s">
        <v>39</v>
      </c>
      <c r="G8" s="3" t="s">
        <v>35</v>
      </c>
      <c r="H8" s="56" t="s">
        <v>42</v>
      </c>
      <c r="J8" s="57" t="s">
        <v>43</v>
      </c>
      <c r="K8" s="58" t="s">
        <v>44</v>
      </c>
      <c r="L8" s="56" t="s">
        <v>3</v>
      </c>
    </row>
    <row r="9" spans="1:13" ht="16" thickBot="1" x14ac:dyDescent="0.4">
      <c r="A9" s="59"/>
      <c r="B9" s="60" t="s">
        <v>4</v>
      </c>
      <c r="C9" s="61" t="s">
        <v>5</v>
      </c>
      <c r="D9" s="61"/>
      <c r="E9" s="61"/>
      <c r="F9" s="61"/>
      <c r="G9" s="61"/>
      <c r="H9" s="62"/>
      <c r="J9" s="63"/>
      <c r="K9" s="63"/>
      <c r="L9" s="64"/>
    </row>
    <row r="10" spans="1:13" ht="14.65" customHeight="1" x14ac:dyDescent="0.35">
      <c r="A10" s="65" t="s">
        <v>6</v>
      </c>
      <c r="B10" s="7"/>
      <c r="C10" s="8"/>
      <c r="D10" s="30"/>
      <c r="E10" s="9"/>
      <c r="F10" s="31"/>
      <c r="G10" s="9"/>
      <c r="H10" s="10"/>
      <c r="I10" s="66"/>
      <c r="J10" s="5"/>
      <c r="K10" s="4"/>
      <c r="L10" s="6"/>
    </row>
    <row r="11" spans="1:13" ht="14.65" customHeight="1" x14ac:dyDescent="0.35">
      <c r="A11" s="32" t="s">
        <v>7</v>
      </c>
      <c r="B11" s="7">
        <v>905.96</v>
      </c>
      <c r="C11" s="8">
        <v>888.17</v>
      </c>
      <c r="D11" s="29">
        <v>41687.300000000003</v>
      </c>
      <c r="E11" s="40">
        <v>36330.129999999997</v>
      </c>
      <c r="F11" s="41">
        <f>36330.13+4094.56*3</f>
        <v>48613.81</v>
      </c>
      <c r="G11" s="9">
        <f>3573.65+4094.56*11</f>
        <v>48613.81</v>
      </c>
      <c r="H11" s="10">
        <f>G11-D11</f>
        <v>6926.5099999999948</v>
      </c>
      <c r="J11" s="12">
        <f t="shared" ref="J11:J28" si="0">D11/12/B11</f>
        <v>3.8345419959674456</v>
      </c>
      <c r="K11" s="13">
        <f t="shared" ref="K11:K28" si="1">G11/12/C11</f>
        <v>4.5612335851619994</v>
      </c>
      <c r="L11" s="14">
        <f>K11-J11</f>
        <v>0.72669158919455379</v>
      </c>
    </row>
    <row r="12" spans="1:13" ht="14.65" customHeight="1" x14ac:dyDescent="0.35">
      <c r="A12" s="32" t="s">
        <v>8</v>
      </c>
      <c r="B12" s="7">
        <v>420.06</v>
      </c>
      <c r="C12" s="8">
        <v>396.44</v>
      </c>
      <c r="D12" s="29">
        <v>25732.21</v>
      </c>
      <c r="E12" s="40">
        <v>20050.46</v>
      </c>
      <c r="F12" s="41">
        <f>20050.46+2230.57*3</f>
        <v>26742.17</v>
      </c>
      <c r="G12" s="9">
        <f>2205.9+2230.57*11</f>
        <v>26742.170000000002</v>
      </c>
      <c r="H12" s="10">
        <f t="shared" ref="H12:H28" si="2">G12-D12</f>
        <v>1009.9600000000028</v>
      </c>
      <c r="J12" s="12">
        <f t="shared" si="0"/>
        <v>5.1048679553714553</v>
      </c>
      <c r="K12" s="13">
        <f t="shared" si="1"/>
        <v>5.6213151212457539</v>
      </c>
      <c r="L12" s="14">
        <f>K12-J12</f>
        <v>0.51644716587429862</v>
      </c>
    </row>
    <row r="13" spans="1:13" ht="14.65" customHeight="1" x14ac:dyDescent="0.35">
      <c r="A13" s="32" t="s">
        <v>9</v>
      </c>
      <c r="B13" s="7">
        <v>995.9</v>
      </c>
      <c r="C13" s="8">
        <v>909.5</v>
      </c>
      <c r="D13" s="67">
        <f>3217.45+4579.15*11</f>
        <v>53588.099999999991</v>
      </c>
      <c r="E13" s="42">
        <v>44769.93</v>
      </c>
      <c r="F13" s="43">
        <f>44769.93+4987.29*3</f>
        <v>59731.8</v>
      </c>
      <c r="G13" s="68">
        <f>4579.15+4699.12*11</f>
        <v>56269.47</v>
      </c>
      <c r="H13" s="10">
        <f t="shared" si="2"/>
        <v>2681.3700000000099</v>
      </c>
      <c r="I13" s="69"/>
      <c r="J13" s="12">
        <f t="shared" si="0"/>
        <v>4.484059644542624</v>
      </c>
      <c r="K13" s="13">
        <f t="shared" si="1"/>
        <v>5.1557146783947232</v>
      </c>
      <c r="L13" s="14">
        <f t="shared" ref="L13:L28" si="3">K13-J13</f>
        <v>0.67165503385209924</v>
      </c>
    </row>
    <row r="14" spans="1:13" ht="14.65" customHeight="1" x14ac:dyDescent="0.35">
      <c r="A14" s="32" t="s">
        <v>9</v>
      </c>
      <c r="B14" s="7">
        <v>117.9</v>
      </c>
      <c r="C14" s="8">
        <f>B14</f>
        <v>117.9</v>
      </c>
      <c r="D14" s="29">
        <f>179.75+292.46*11</f>
        <v>3396.81</v>
      </c>
      <c r="E14" s="42"/>
      <c r="F14" s="45"/>
      <c r="G14" s="9">
        <f>292.46+288.17*11</f>
        <v>3462.3300000000004</v>
      </c>
      <c r="H14" s="10">
        <f t="shared" si="2"/>
        <v>65.520000000000437</v>
      </c>
      <c r="J14" s="12">
        <f t="shared" si="0"/>
        <v>2.4009117896522474</v>
      </c>
      <c r="K14" s="13">
        <f t="shared" si="1"/>
        <v>2.4472222222222224</v>
      </c>
      <c r="L14" s="14">
        <f t="shared" si="3"/>
        <v>4.6310432569975024E-2</v>
      </c>
    </row>
    <row r="15" spans="1:13" ht="14.65" customHeight="1" x14ac:dyDescent="0.35">
      <c r="A15" s="32" t="s">
        <v>10</v>
      </c>
      <c r="B15" s="7">
        <v>269.60000000000002</v>
      </c>
      <c r="C15" s="8">
        <v>252.2</v>
      </c>
      <c r="D15" s="29">
        <f>2179.12+2795.67*11</f>
        <v>32931.490000000005</v>
      </c>
      <c r="E15" s="42">
        <v>27117.71</v>
      </c>
      <c r="F15" s="43">
        <f>27117.71+3018.53*3</f>
        <v>36173.300000000003</v>
      </c>
      <c r="G15" s="9">
        <f>2795.67+2752.56*11</f>
        <v>33073.83</v>
      </c>
      <c r="H15" s="10">
        <f t="shared" si="2"/>
        <v>142.33999999999651</v>
      </c>
      <c r="I15" s="69"/>
      <c r="J15" s="12">
        <f t="shared" si="0"/>
        <v>10.179120301681504</v>
      </c>
      <c r="K15" s="13">
        <f t="shared" si="1"/>
        <v>10.928439730372721</v>
      </c>
      <c r="L15" s="14">
        <f t="shared" si="3"/>
        <v>0.74931942869121748</v>
      </c>
    </row>
    <row r="16" spans="1:13" ht="14.65" customHeight="1" x14ac:dyDescent="0.35">
      <c r="A16" s="32" t="s">
        <v>10</v>
      </c>
      <c r="B16" s="7">
        <v>35.799999999999997</v>
      </c>
      <c r="C16" s="8">
        <f t="shared" ref="C16:C20" si="4">B16</f>
        <v>35.799999999999997</v>
      </c>
      <c r="D16" s="29">
        <f>80.14+108.29*11</f>
        <v>1271.3300000000002</v>
      </c>
      <c r="E16" s="42"/>
      <c r="F16" s="44"/>
      <c r="G16" s="9">
        <f>108.29+152.91*11</f>
        <v>1790.3</v>
      </c>
      <c r="H16" s="10">
        <f t="shared" si="2"/>
        <v>518.9699999999998</v>
      </c>
      <c r="J16" s="12">
        <f t="shared" si="0"/>
        <v>2.9593342644320302</v>
      </c>
      <c r="K16" s="13">
        <f t="shared" si="1"/>
        <v>4.1673649906890136</v>
      </c>
      <c r="L16" s="14">
        <f t="shared" si="3"/>
        <v>1.2080307262569834</v>
      </c>
    </row>
    <row r="17" spans="1:13" ht="14.65" customHeight="1" x14ac:dyDescent="0.35">
      <c r="A17" s="32" t="s">
        <v>10</v>
      </c>
      <c r="B17" s="7">
        <v>18.8</v>
      </c>
      <c r="C17" s="8">
        <f t="shared" si="4"/>
        <v>18.8</v>
      </c>
      <c r="D17" s="29">
        <f>44.13+65.51*11</f>
        <v>764.74</v>
      </c>
      <c r="E17" s="42"/>
      <c r="F17" s="45"/>
      <c r="G17" s="9">
        <f>65.51+113.06*11</f>
        <v>1309.17</v>
      </c>
      <c r="H17" s="10">
        <f t="shared" si="2"/>
        <v>544.43000000000006</v>
      </c>
      <c r="J17" s="12">
        <f t="shared" si="0"/>
        <v>3.3898049645390067</v>
      </c>
      <c r="K17" s="13">
        <f t="shared" si="1"/>
        <v>5.8030585106382979</v>
      </c>
      <c r="L17" s="14">
        <f t="shared" si="3"/>
        <v>2.4132535460992912</v>
      </c>
    </row>
    <row r="18" spans="1:13" ht="14.65" customHeight="1" x14ac:dyDescent="0.35">
      <c r="A18" s="32" t="s">
        <v>11</v>
      </c>
      <c r="B18" s="7">
        <v>632.9</v>
      </c>
      <c r="C18" s="8">
        <v>612.79999999999995</v>
      </c>
      <c r="D18" s="29">
        <v>47373.51</v>
      </c>
      <c r="E18" s="40">
        <v>31498.31</v>
      </c>
      <c r="F18" s="41">
        <f>31498.31+3818.66*3</f>
        <v>42954.29</v>
      </c>
      <c r="G18" s="70">
        <f>949.03+3818.66*11</f>
        <v>42954.289999999994</v>
      </c>
      <c r="H18" s="10">
        <f t="shared" si="2"/>
        <v>-4419.2200000000084</v>
      </c>
      <c r="J18" s="12">
        <f t="shared" si="0"/>
        <v>6.2376244272396901</v>
      </c>
      <c r="K18" s="13">
        <f t="shared" si="1"/>
        <v>5.8412600630983462</v>
      </c>
      <c r="L18" s="14">
        <f t="shared" si="3"/>
        <v>-0.39636436414134391</v>
      </c>
    </row>
    <row r="19" spans="1:13" ht="14.65" customHeight="1" x14ac:dyDescent="0.35">
      <c r="A19" s="71" t="s">
        <v>12</v>
      </c>
      <c r="B19" s="7">
        <v>423.6</v>
      </c>
      <c r="C19" s="8">
        <v>373.4</v>
      </c>
      <c r="D19" s="29">
        <f>4741.14+5140.94*11</f>
        <v>61291.479999999996</v>
      </c>
      <c r="E19" s="42">
        <v>48337.37</v>
      </c>
      <c r="F19" s="43">
        <f>48337.37+5380.23*3</f>
        <v>64478.06</v>
      </c>
      <c r="G19" s="9">
        <f>5140.94+5119.05*11</f>
        <v>61450.490000000005</v>
      </c>
      <c r="H19" s="10">
        <f t="shared" si="2"/>
        <v>159.01000000000931</v>
      </c>
      <c r="I19" s="69"/>
      <c r="J19" s="12">
        <f t="shared" si="0"/>
        <v>12.057656594271323</v>
      </c>
      <c r="K19" s="13">
        <f t="shared" si="1"/>
        <v>13.714178271737193</v>
      </c>
      <c r="L19" s="14">
        <f t="shared" si="3"/>
        <v>1.6565216774658698</v>
      </c>
    </row>
    <row r="20" spans="1:13" ht="14.65" customHeight="1" x14ac:dyDescent="0.35">
      <c r="A20" s="71" t="s">
        <v>12</v>
      </c>
      <c r="B20" s="7">
        <v>36.4</v>
      </c>
      <c r="C20" s="8">
        <f t="shared" si="4"/>
        <v>36.4</v>
      </c>
      <c r="D20" s="29">
        <f>116.28+154.59*11</f>
        <v>1816.77</v>
      </c>
      <c r="E20" s="42"/>
      <c r="F20" s="45"/>
      <c r="G20" s="9">
        <f>154.59+261.18*11</f>
        <v>3027.57</v>
      </c>
      <c r="H20" s="10">
        <f t="shared" si="2"/>
        <v>1210.8000000000002</v>
      </c>
      <c r="J20" s="12">
        <f t="shared" si="0"/>
        <v>4.1592719780219785</v>
      </c>
      <c r="K20" s="13">
        <f t="shared" si="1"/>
        <v>6.9312500000000004</v>
      </c>
      <c r="L20" s="14">
        <f t="shared" si="3"/>
        <v>2.7719780219780219</v>
      </c>
    </row>
    <row r="21" spans="1:13" x14ac:dyDescent="0.35">
      <c r="A21" s="71" t="s">
        <v>36</v>
      </c>
      <c r="B21" s="7">
        <v>2980.4</v>
      </c>
      <c r="C21" s="8">
        <v>2906.1</v>
      </c>
      <c r="D21" s="72">
        <v>148038.03</v>
      </c>
      <c r="E21" s="40">
        <v>111504.49</v>
      </c>
      <c r="F21" s="41">
        <f>111504.49+12167*3</f>
        <v>148005.49</v>
      </c>
      <c r="G21" s="73">
        <f>111504.49+12167*3</f>
        <v>148005.49</v>
      </c>
      <c r="H21" s="10">
        <f t="shared" si="2"/>
        <v>-32.540000000008149</v>
      </c>
      <c r="J21" s="12">
        <f t="shared" si="0"/>
        <v>4.1392103408938397</v>
      </c>
      <c r="K21" s="13">
        <f t="shared" si="1"/>
        <v>4.2441040684537121</v>
      </c>
      <c r="L21" s="14">
        <f t="shared" si="3"/>
        <v>0.10489372755987247</v>
      </c>
      <c r="M21" s="74"/>
    </row>
    <row r="22" spans="1:13" ht="14.65" customHeight="1" x14ac:dyDescent="0.35">
      <c r="A22" s="71" t="s">
        <v>13</v>
      </c>
      <c r="B22" s="7">
        <v>2397.1999999999998</v>
      </c>
      <c r="C22" s="8">
        <v>2389</v>
      </c>
      <c r="D22" s="72">
        <f>8701.84+11718.48*11</f>
        <v>137605.12</v>
      </c>
      <c r="E22" s="42">
        <v>309009.7</v>
      </c>
      <c r="F22" s="43">
        <f>309009.7+36344.19*3</f>
        <v>418042.27</v>
      </c>
      <c r="G22" s="73">
        <f>11718.48+11938.55+16101.14*10</f>
        <v>184668.43</v>
      </c>
      <c r="H22" s="10">
        <f t="shared" si="2"/>
        <v>47063.31</v>
      </c>
      <c r="I22" s="69"/>
      <c r="J22" s="12">
        <f t="shared" si="0"/>
        <v>4.7835363479615109</v>
      </c>
      <c r="K22" s="13">
        <f t="shared" si="1"/>
        <v>6.441622366401563</v>
      </c>
      <c r="L22" s="14">
        <f t="shared" si="3"/>
        <v>1.6580860184400521</v>
      </c>
    </row>
    <row r="23" spans="1:13" ht="14.65" customHeight="1" x14ac:dyDescent="0.35">
      <c r="A23" s="71" t="s">
        <v>14</v>
      </c>
      <c r="B23" s="7">
        <v>2830</v>
      </c>
      <c r="C23" s="8">
        <v>2500.3000000000002</v>
      </c>
      <c r="D23" s="72">
        <f>9684.95+12772.64*11</f>
        <v>150183.99</v>
      </c>
      <c r="E23" s="42"/>
      <c r="F23" s="44"/>
      <c r="G23" s="73">
        <f>12772.64+13281.35+17063.05*10</f>
        <v>196684.49</v>
      </c>
      <c r="H23" s="10">
        <f t="shared" si="2"/>
        <v>46500.5</v>
      </c>
      <c r="J23" s="12">
        <f t="shared" si="0"/>
        <v>4.4223789752650173</v>
      </c>
      <c r="K23" s="13">
        <f t="shared" si="1"/>
        <v>6.5553630231038928</v>
      </c>
      <c r="L23" s="14">
        <f t="shared" si="3"/>
        <v>2.1329840478388755</v>
      </c>
    </row>
    <row r="24" spans="1:13" ht="14.65" customHeight="1" x14ac:dyDescent="0.35">
      <c r="A24" s="71" t="s">
        <v>15</v>
      </c>
      <c r="B24" s="7">
        <v>211.1</v>
      </c>
      <c r="C24" s="8">
        <v>211.1</v>
      </c>
      <c r="D24" s="72">
        <f>687.11+1019.17*11</f>
        <v>11897.98</v>
      </c>
      <c r="E24" s="42"/>
      <c r="F24" s="44"/>
      <c r="G24" s="73">
        <f>1019.17+1077.92+1438.07*10</f>
        <v>16477.79</v>
      </c>
      <c r="H24" s="10">
        <f t="shared" si="2"/>
        <v>4579.8100000000013</v>
      </c>
      <c r="J24" s="12">
        <f t="shared" si="0"/>
        <v>4.6968182535922942</v>
      </c>
      <c r="K24" s="13">
        <f t="shared" si="1"/>
        <v>6.5047331438496769</v>
      </c>
      <c r="L24" s="14">
        <f t="shared" si="3"/>
        <v>1.8079148902573827</v>
      </c>
    </row>
    <row r="25" spans="1:13" ht="14.65" customHeight="1" x14ac:dyDescent="0.35">
      <c r="A25" s="71" t="s">
        <v>16</v>
      </c>
      <c r="B25" s="7">
        <v>70.8</v>
      </c>
      <c r="C25" s="8">
        <v>70.8</v>
      </c>
      <c r="D25" s="72">
        <f>540.57*11</f>
        <v>5946.27</v>
      </c>
      <c r="E25" s="42"/>
      <c r="F25" s="44"/>
      <c r="G25" s="73">
        <f>540.57+549.99+651.94*10</f>
        <v>7609.9600000000009</v>
      </c>
      <c r="H25" s="10">
        <f t="shared" si="2"/>
        <v>1663.6900000000005</v>
      </c>
      <c r="J25" s="12">
        <f t="shared" si="0"/>
        <v>6.9989053672316395</v>
      </c>
      <c r="K25" s="13">
        <f t="shared" si="1"/>
        <v>8.9571092278719409</v>
      </c>
      <c r="L25" s="14">
        <f t="shared" si="3"/>
        <v>1.9582038606403014</v>
      </c>
    </row>
    <row r="26" spans="1:13" ht="14.65" customHeight="1" x14ac:dyDescent="0.35">
      <c r="A26" s="71" t="s">
        <v>13</v>
      </c>
      <c r="B26" s="7">
        <v>153.19999999999999</v>
      </c>
      <c r="C26" s="8">
        <f>B26</f>
        <v>153.19999999999999</v>
      </c>
      <c r="D26" s="72">
        <f>1078.86+856.41*11</f>
        <v>10499.37</v>
      </c>
      <c r="E26" s="42"/>
      <c r="F26" s="45"/>
      <c r="G26" s="73">
        <f>856.41+845.29+1089.99*10</f>
        <v>12601.599999999999</v>
      </c>
      <c r="H26" s="10">
        <f t="shared" si="2"/>
        <v>2102.2299999999977</v>
      </c>
      <c r="J26" s="12">
        <f t="shared" si="0"/>
        <v>5.7111455613577036</v>
      </c>
      <c r="K26" s="13">
        <f t="shared" si="1"/>
        <v>6.8546562228024364</v>
      </c>
      <c r="L26" s="14">
        <f t="shared" si="3"/>
        <v>1.1435106614447328</v>
      </c>
    </row>
    <row r="27" spans="1:13" ht="14.65" customHeight="1" x14ac:dyDescent="0.35">
      <c r="A27" s="71" t="s">
        <v>17</v>
      </c>
      <c r="B27" s="7">
        <v>1151.8</v>
      </c>
      <c r="C27" s="8">
        <v>1149.4000000000001</v>
      </c>
      <c r="D27" s="29">
        <f>5242.04+5978.87*11</f>
        <v>71009.609999999986</v>
      </c>
      <c r="E27" s="42">
        <v>58269.45</v>
      </c>
      <c r="F27" s="43">
        <f>58269.45+6478.51*3</f>
        <v>77704.98</v>
      </c>
      <c r="G27" s="9">
        <f>5978.87+6022.05*11</f>
        <v>72221.42</v>
      </c>
      <c r="H27" s="10">
        <f t="shared" si="2"/>
        <v>1211.8100000000122</v>
      </c>
      <c r="I27" s="69"/>
      <c r="J27" s="12">
        <f t="shared" si="0"/>
        <v>5.1375824795971514</v>
      </c>
      <c r="K27" s="13">
        <f t="shared" si="1"/>
        <v>5.2361681456992049</v>
      </c>
      <c r="L27" s="14">
        <f t="shared" si="3"/>
        <v>9.8585666102053437E-2</v>
      </c>
    </row>
    <row r="28" spans="1:13" ht="14.65" customHeight="1" thickBot="1" x14ac:dyDescent="0.4">
      <c r="A28" s="75" t="s">
        <v>17</v>
      </c>
      <c r="B28" s="76">
        <v>49.9</v>
      </c>
      <c r="C28" s="77">
        <v>49.9</v>
      </c>
      <c r="D28" s="78">
        <f>319.4+462.5*11</f>
        <v>5406.9</v>
      </c>
      <c r="E28" s="46"/>
      <c r="F28" s="47"/>
      <c r="G28" s="79">
        <f>462.5+456.46*11</f>
        <v>5483.5599999999995</v>
      </c>
      <c r="H28" s="33">
        <f t="shared" si="2"/>
        <v>76.659999999999854</v>
      </c>
      <c r="J28" s="15">
        <f t="shared" si="0"/>
        <v>9.0295591182364738</v>
      </c>
      <c r="K28" s="16">
        <f t="shared" si="1"/>
        <v>9.157581830327322</v>
      </c>
      <c r="L28" s="17">
        <f t="shared" si="3"/>
        <v>0.12802271209084815</v>
      </c>
    </row>
    <row r="29" spans="1:13" ht="16" thickBot="1" x14ac:dyDescent="0.4">
      <c r="A29" s="80"/>
      <c r="B29" s="81"/>
      <c r="C29" s="81"/>
      <c r="D29" s="81"/>
      <c r="E29" s="81"/>
      <c r="F29" s="81"/>
      <c r="G29" s="81"/>
      <c r="H29" s="82"/>
    </row>
    <row r="30" spans="1:13" ht="16" thickBot="1" x14ac:dyDescent="0.4">
      <c r="A30" s="83" t="s">
        <v>18</v>
      </c>
      <c r="B30" s="84">
        <f>B11+B12+B13+B14+B15+B16+B17+B18+B19+B20+B21+B22+B23+B24+B25+B26+B27+B28</f>
        <v>13701.32</v>
      </c>
      <c r="C30" s="85">
        <f>C11+C12+C13+C14+C15+C16+C17+C18+C19+C20+C21+C22+C23+C24+C25+C26+C27+C28</f>
        <v>13071.210000000001</v>
      </c>
      <c r="D30" s="86">
        <f>D11+D12+D13+D14+D15+D16+D17+D18+D19+D20+D21+D22+D23+D24+D25+D26+D27+D28</f>
        <v>810441.01</v>
      </c>
      <c r="E30" s="87">
        <f>SUM(E11:E28)</f>
        <v>686887.54999999993</v>
      </c>
      <c r="F30" s="85">
        <f>SUM(F11:F28)</f>
        <v>922446.17</v>
      </c>
      <c r="G30" s="85">
        <f>G11+G12+G13+G14+G15+G16+G17+G18+G19+G20+G21+G22+G23+G24+G25+G26+G27+G28</f>
        <v>922446.17</v>
      </c>
      <c r="H30" s="88">
        <f>G30-D30</f>
        <v>112005.16000000003</v>
      </c>
      <c r="I30" s="69"/>
      <c r="J30" s="18">
        <f>AVERAGE(J11:J28)</f>
        <v>5.5403516866586076</v>
      </c>
      <c r="K30" s="19">
        <f>AVERAGE(K11:K28)</f>
        <v>6.6179097334483341</v>
      </c>
      <c r="L30" s="20">
        <f>AVERAGE(L11:L28)</f>
        <v>1.0775580467897268</v>
      </c>
    </row>
    <row r="31" spans="1:13" ht="16" thickBot="1" x14ac:dyDescent="0.4">
      <c r="A31" s="89" t="s">
        <v>45</v>
      </c>
      <c r="B31" s="90"/>
      <c r="C31" s="90"/>
      <c r="D31" s="90"/>
      <c r="E31" s="90"/>
      <c r="F31" s="90"/>
      <c r="G31" s="91"/>
      <c r="H31" s="92">
        <v>112006</v>
      </c>
    </row>
    <row r="32" spans="1:13" s="97" customFormat="1" ht="16" thickBot="1" x14ac:dyDescent="0.4">
      <c r="A32" s="93" t="s">
        <v>37</v>
      </c>
      <c r="B32" s="94"/>
      <c r="C32" s="94"/>
      <c r="D32" s="94"/>
      <c r="E32" s="94"/>
      <c r="F32" s="94"/>
      <c r="G32" s="95"/>
      <c r="H32" s="96">
        <f>G30/D30*100-100</f>
        <v>13.820272989393771</v>
      </c>
    </row>
    <row r="33" spans="1:11" s="34" customFormat="1" ht="13" x14ac:dyDescent="0.3">
      <c r="A33" s="34" t="s">
        <v>33</v>
      </c>
      <c r="B33" s="98"/>
      <c r="C33" s="98"/>
      <c r="D33" s="98"/>
      <c r="E33" s="98"/>
      <c r="F33" s="98"/>
      <c r="G33" s="98"/>
      <c r="H33" s="99"/>
    </row>
    <row r="34" spans="1:11" s="34" customFormat="1" ht="13" x14ac:dyDescent="0.3">
      <c r="A34" s="34" t="s">
        <v>34</v>
      </c>
      <c r="C34" s="100"/>
    </row>
    <row r="35" spans="1:11" s="34" customFormat="1" x14ac:dyDescent="0.3">
      <c r="A35" s="34" t="s">
        <v>38</v>
      </c>
      <c r="C35" s="100"/>
    </row>
    <row r="36" spans="1:11" x14ac:dyDescent="0.35">
      <c r="C36" s="69"/>
    </row>
    <row r="37" spans="1:11" x14ac:dyDescent="0.35">
      <c r="C37" s="101"/>
      <c r="H37" s="2" t="s">
        <v>29</v>
      </c>
      <c r="K37" s="102"/>
    </row>
    <row r="38" spans="1:11" ht="16" thickBot="1" x14ac:dyDescent="0.4">
      <c r="A38" s="103" t="s">
        <v>46</v>
      </c>
      <c r="B38" s="103"/>
      <c r="C38" s="103"/>
      <c r="D38" s="103"/>
      <c r="E38" s="103"/>
      <c r="F38" s="103"/>
      <c r="G38" s="103"/>
      <c r="H38" s="103"/>
      <c r="I38" s="103"/>
      <c r="J38" s="104"/>
    </row>
    <row r="39" spans="1:11" ht="15.4" customHeight="1" x14ac:dyDescent="0.35">
      <c r="A39" s="105" t="s">
        <v>20</v>
      </c>
      <c r="B39" s="49" t="s">
        <v>47</v>
      </c>
      <c r="C39" s="106" t="s">
        <v>48</v>
      </c>
      <c r="D39" s="49" t="s">
        <v>49</v>
      </c>
      <c r="E39" s="49" t="s">
        <v>32</v>
      </c>
      <c r="F39" s="107" t="s">
        <v>50</v>
      </c>
      <c r="G39" s="108" t="s">
        <v>51</v>
      </c>
      <c r="H39" s="108" t="s">
        <v>52</v>
      </c>
    </row>
    <row r="40" spans="1:11" ht="103.5" customHeight="1" thickBot="1" x14ac:dyDescent="0.4">
      <c r="A40" s="109"/>
      <c r="B40" s="50"/>
      <c r="C40" s="110"/>
      <c r="D40" s="50"/>
      <c r="E40" s="50"/>
      <c r="F40" s="111"/>
      <c r="G40" s="112"/>
      <c r="H40" s="112"/>
    </row>
    <row r="41" spans="1:11" ht="16" thickBot="1" x14ac:dyDescent="0.4">
      <c r="A41" s="113">
        <v>1</v>
      </c>
      <c r="B41" s="114">
        <v>2</v>
      </c>
      <c r="C41" s="115">
        <v>3</v>
      </c>
      <c r="D41" s="21">
        <v>4</v>
      </c>
      <c r="E41" s="21">
        <v>5</v>
      </c>
      <c r="F41" s="22" t="s">
        <v>21</v>
      </c>
      <c r="G41" s="116" t="s">
        <v>22</v>
      </c>
      <c r="H41" s="116" t="s">
        <v>23</v>
      </c>
    </row>
    <row r="42" spans="1:11" x14ac:dyDescent="0.35">
      <c r="A42" s="117" t="s">
        <v>24</v>
      </c>
      <c r="B42" s="118">
        <f>B43</f>
        <v>11345.5</v>
      </c>
      <c r="C42" s="119">
        <f>C43</f>
        <v>10821</v>
      </c>
      <c r="D42" s="120">
        <f>D43</f>
        <v>11626.099999999999</v>
      </c>
      <c r="E42" s="120">
        <f t="shared" ref="E42:H42" si="5">E43</f>
        <v>6170</v>
      </c>
      <c r="F42" s="121">
        <f t="shared" si="5"/>
        <v>17796.099999999999</v>
      </c>
      <c r="G42" s="122">
        <f t="shared" si="5"/>
        <v>6975</v>
      </c>
      <c r="H42" s="122">
        <f t="shared" si="5"/>
        <v>6450.5999999999985</v>
      </c>
    </row>
    <row r="43" spans="1:11" ht="30.5" x14ac:dyDescent="0.35">
      <c r="A43" s="28" t="s">
        <v>25</v>
      </c>
      <c r="B43" s="23">
        <f t="shared" ref="B43:D43" si="6">SUM(B44:B44)</f>
        <v>11345.5</v>
      </c>
      <c r="C43" s="24">
        <f t="shared" si="6"/>
        <v>10821</v>
      </c>
      <c r="D43" s="25">
        <f t="shared" si="6"/>
        <v>11626.099999999999</v>
      </c>
      <c r="E43" s="25">
        <f>SUM(E44:E44)</f>
        <v>6170</v>
      </c>
      <c r="F43" s="26">
        <f>SUM(F44:F44)</f>
        <v>17796.099999999999</v>
      </c>
      <c r="G43" s="27">
        <f>SUM(G44:G44)</f>
        <v>6975</v>
      </c>
      <c r="H43" s="27">
        <f>SUM(H44:H44)</f>
        <v>6450.5999999999985</v>
      </c>
    </row>
    <row r="44" spans="1:11" ht="31.5" thickBot="1" x14ac:dyDescent="0.4">
      <c r="A44" s="35" t="s">
        <v>26</v>
      </c>
      <c r="B44" s="36">
        <f>6237.27+5108.23</f>
        <v>11345.5</v>
      </c>
      <c r="C44" s="36">
        <f>6333+4488</f>
        <v>10821</v>
      </c>
      <c r="D44" s="36">
        <f>7904.11+3721.99</f>
        <v>11626.099999999999</v>
      </c>
      <c r="E44" s="37">
        <f>4404+1766</f>
        <v>6170</v>
      </c>
      <c r="F44" s="38">
        <f>D44+E44</f>
        <v>17796.099999999999</v>
      </c>
      <c r="G44" s="39">
        <f>ROUND(F44-C44,0)</f>
        <v>6975</v>
      </c>
      <c r="H44" s="39">
        <f>F44-B44</f>
        <v>6450.5999999999985</v>
      </c>
    </row>
    <row r="46" spans="1:11" s="126" customFormat="1" ht="15" customHeight="1" x14ac:dyDescent="0.3">
      <c r="A46" s="123" t="s">
        <v>27</v>
      </c>
      <c r="B46" s="124"/>
      <c r="C46" s="124"/>
      <c r="D46" s="124"/>
      <c r="E46" s="124"/>
      <c r="F46" s="124"/>
      <c r="G46" s="124"/>
      <c r="H46" s="125">
        <f>G44+H31</f>
        <v>118981</v>
      </c>
    </row>
    <row r="48" spans="1:11" s="1" customFormat="1" ht="54.4" customHeight="1" x14ac:dyDescent="0.3">
      <c r="A48" s="127" t="s">
        <v>30</v>
      </c>
      <c r="B48" s="127"/>
      <c r="C48" s="127"/>
      <c r="D48" s="127"/>
      <c r="E48" s="127"/>
      <c r="F48" s="127"/>
      <c r="G48" s="127"/>
      <c r="H48" s="127"/>
      <c r="I48" s="127"/>
    </row>
  </sheetData>
  <mergeCells count="25">
    <mergeCell ref="A31:G31"/>
    <mergeCell ref="A32:G32"/>
    <mergeCell ref="A48:I48"/>
    <mergeCell ref="A38:I38"/>
    <mergeCell ref="A39:A40"/>
    <mergeCell ref="B39:B40"/>
    <mergeCell ref="C39:C40"/>
    <mergeCell ref="D39:D40"/>
    <mergeCell ref="G39:G40"/>
    <mergeCell ref="H39:H40"/>
    <mergeCell ref="E39:E40"/>
    <mergeCell ref="F39:F40"/>
    <mergeCell ref="E22:E26"/>
    <mergeCell ref="F22:F26"/>
    <mergeCell ref="E27:E28"/>
    <mergeCell ref="F27:F28"/>
    <mergeCell ref="H2:L3"/>
    <mergeCell ref="A6:L6"/>
    <mergeCell ref="B8:C8"/>
    <mergeCell ref="E13:E14"/>
    <mergeCell ref="F13:F14"/>
    <mergeCell ref="E15:E17"/>
    <mergeCell ref="F15:F17"/>
    <mergeCell ref="E19:E20"/>
    <mergeCell ref="F19:F20"/>
  </mergeCells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VSAA_NĪ_2023_2024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2024-08-30T10:48:00Z</cp:lastPrinted>
  <dcterms:created xsi:type="dcterms:W3CDTF">2024-08-22T17:03:55Z</dcterms:created>
  <dcterms:modified xsi:type="dcterms:W3CDTF">2024-10-09T11:33:57Z</dcterms:modified>
</cp:coreProperties>
</file>