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veselibasministrija-my.sharepoint.com/personal/igors_belovs_vm_gov_lv/Documents/Documents/Darba mape/MK_rīkojuma_projekti/2024/NMPD/OMT_apmācība_101224/"/>
    </mc:Choice>
  </mc:AlternateContent>
  <xr:revisionPtr revIDLastSave="23" documentId="8_{FD5C7A51-CFB2-42D3-B84D-B235C471326C}" xr6:coauthVersionLast="47" xr6:coauthVersionMax="47" xr10:uidLastSave="{873CA091-DCC9-465C-8435-DF59CC94DB32}"/>
  <bookViews>
    <workbookView xWindow="38280" yWindow="-120" windowWidth="19440" windowHeight="11640" tabRatio="630" xr2:uid="{1BBA4A4D-DA44-4C9E-B245-959B37F40086}"/>
  </bookViews>
  <sheets>
    <sheet name="OMT vad prec" sheetId="12" r:id="rId1"/>
    <sheet name="VK" sheetId="11" r:id="rId2"/>
  </sheets>
  <definedNames>
    <definedName name="_xlnm._FilterDatabase" localSheetId="1" hidden="1">VK!$A$5:$T$9</definedName>
    <definedName name="_xlnm.Print_Area" localSheetId="1">VK!$A$3:$T$10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12" l="1"/>
  <c r="D6" i="12"/>
  <c r="E6" i="12" s="1"/>
  <c r="K9" i="11"/>
  <c r="K8" i="11"/>
  <c r="C9" i="11"/>
  <c r="C8" i="12"/>
  <c r="C20" i="12"/>
  <c r="C14" i="12"/>
  <c r="C28" i="12" s="1"/>
  <c r="E13" i="12"/>
  <c r="F13" i="12" s="1"/>
  <c r="C13" i="12"/>
  <c r="C12" i="12"/>
  <c r="D12" i="12" s="1"/>
  <c r="E12" i="12" s="1"/>
  <c r="F12" i="12" s="1"/>
  <c r="C11" i="12"/>
  <c r="D11" i="12" s="1"/>
  <c r="D7" i="12"/>
  <c r="E7" i="12" s="1"/>
  <c r="F7" i="12" s="1"/>
  <c r="N9" i="11" l="1"/>
  <c r="Q9" i="11" s="1"/>
  <c r="L8" i="11"/>
  <c r="Q8" i="11" s="1"/>
  <c r="O9" i="11"/>
  <c r="M8" i="11"/>
  <c r="P9" i="11"/>
  <c r="E11" i="12"/>
  <c r="C15" i="12"/>
  <c r="D8" i="12"/>
  <c r="E8" i="12" s="1"/>
  <c r="F8" i="12" s="1"/>
  <c r="C9" i="12"/>
  <c r="C26" i="12" s="1"/>
  <c r="D14" i="12"/>
  <c r="E14" i="12" s="1"/>
  <c r="F14" i="12" s="1"/>
  <c r="R8" i="11" l="1"/>
  <c r="S8" i="11" s="1"/>
  <c r="R9" i="11"/>
  <c r="S9" i="11" s="1"/>
  <c r="D9" i="12"/>
  <c r="E9" i="12"/>
  <c r="F6" i="12"/>
  <c r="F9" i="12" s="1"/>
  <c r="D15" i="12"/>
  <c r="C16" i="12"/>
  <c r="E15" i="12"/>
  <c r="F11" i="12"/>
  <c r="F15" i="12" s="1"/>
  <c r="D16" i="12" l="1"/>
  <c r="E16" i="12"/>
  <c r="F16" i="12"/>
  <c r="C21" i="12"/>
  <c r="C18" i="12"/>
  <c r="C27" i="12" l="1"/>
  <c r="C29" i="12" s="1"/>
  <c r="J14" i="11" l="1"/>
  <c r="J10" i="11"/>
  <c r="K13" i="11"/>
  <c r="K12" i="11"/>
  <c r="M12" i="11" l="1"/>
  <c r="M14" i="11" s="1"/>
  <c r="L12" i="11"/>
  <c r="L14" i="11" s="1"/>
  <c r="M10" i="11"/>
  <c r="L10" i="11"/>
  <c r="N10" i="11"/>
  <c r="P10" i="11"/>
  <c r="O10" i="11"/>
  <c r="O13" i="11"/>
  <c r="O14" i="11" s="1"/>
  <c r="P13" i="11"/>
  <c r="P14" i="11" s="1"/>
  <c r="N13" i="11"/>
  <c r="J15" i="11"/>
  <c r="K14" i="11"/>
  <c r="K10" i="11"/>
  <c r="M15" i="11" l="1"/>
  <c r="Q13" i="11"/>
  <c r="N14" i="11"/>
  <c r="L15" i="11"/>
  <c r="Q12" i="11"/>
  <c r="K15" i="11"/>
  <c r="R12" i="11" l="1"/>
  <c r="Q10" i="11"/>
  <c r="R13" i="11"/>
  <c r="S13" i="11" s="1"/>
  <c r="Q14" i="11"/>
  <c r="S12" i="11"/>
  <c r="S14" i="11" l="1"/>
  <c r="Q15" i="11"/>
  <c r="R14" i="11"/>
  <c r="S10" i="11"/>
  <c r="S15" i="11" s="1"/>
  <c r="R10" i="11"/>
  <c r="R15" i="11" l="1"/>
</calcChain>
</file>

<file path=xl/sharedStrings.xml><?xml version="1.0" encoding="utf-8"?>
<sst xmlns="http://schemas.openxmlformats.org/spreadsheetml/2006/main" count="86" uniqueCount="80">
  <si>
    <r>
      <rPr>
        <b/>
        <sz val="12"/>
        <color theme="1"/>
        <rFont val="Times New Roman"/>
        <family val="1"/>
        <charset val="186"/>
      </rPr>
      <t>Iestāde:</t>
    </r>
    <r>
      <rPr>
        <sz val="12"/>
        <color theme="1"/>
        <rFont val="Times New Roman"/>
        <family val="1"/>
        <charset val="186"/>
      </rPr>
      <t xml:space="preserve"> Neatliekamās medicīniskās palīdzības dienests</t>
    </r>
  </si>
  <si>
    <t>Izdevumu klasifikācijas kods</t>
  </si>
  <si>
    <t>Rādītājs (materiāla/izejvielas nosaukums, atlīdzība un citi izmaksu veidi)</t>
  </si>
  <si>
    <t>Tiešās izmaksas</t>
  </si>
  <si>
    <t>EKK 1110</t>
  </si>
  <si>
    <t>Tiešās izmaksas kopā:</t>
  </si>
  <si>
    <t>Netiešās izmaksas</t>
  </si>
  <si>
    <t>Netiešās izmaksas kopā:</t>
  </si>
  <si>
    <t>Pakalpojuma izmaksas kopā:</t>
  </si>
  <si>
    <t>Dalībnieku skaits</t>
  </si>
  <si>
    <t>EKK 2000</t>
  </si>
  <si>
    <t>kopā</t>
  </si>
  <si>
    <t>Neformālās izglītības programmas projekta izmaksu aprēķins</t>
  </si>
  <si>
    <t>Izmaksu apjoms visam apmācību periodam  noteiktā laikposmā visiem 112 dalībniekiem, EUR</t>
  </si>
  <si>
    <t>Izmaksas 1 dalībniekam par 11 dienu kursu, kas notiks 8 stundas dienā, jeb par 84 stundu mācību kursu iesk pārtraukumu, EUR</t>
  </si>
  <si>
    <t>Izmaksas 1 dalībniekam 1 diena jeb 8 stundas, EUR</t>
  </si>
  <si>
    <t>Izmaksas 1 dalībniekam par 1 stundu, EUR</t>
  </si>
  <si>
    <t>Piezīmes</t>
  </si>
  <si>
    <t xml:space="preserve">Telpu izmantošanā ņemts vērā plānojamais komunālo pakalpojumu patēriņš, telpu uzturēšanas izdevumu pieaugums palielinātās cilvēku noslodzes dēļ. </t>
  </si>
  <si>
    <r>
      <t xml:space="preserve">Vienas apmācības stundas izmaksas (euro) </t>
    </r>
    <r>
      <rPr>
        <i/>
        <sz val="12"/>
        <color rgb="FF000000"/>
        <rFont val="Times New Roman"/>
        <family val="1"/>
        <charset val="186"/>
      </rPr>
      <t>(pakalpojuma izmaksas kopā, dalītas ar dalībnieku skaitu (112) un apmācību stundām (8h*11dienas)</t>
    </r>
  </si>
  <si>
    <t xml:space="preserve">Licencēta profesionālās pilnveides izglītības programma pacientu datu aizsardzības jautājumos </t>
  </si>
  <si>
    <t>Izmaksas kopā, NMPD</t>
  </si>
  <si>
    <t>1 dalībniekam kursa izmaksas</t>
  </si>
  <si>
    <t>Medicīnas materiāli 256,23euro 1 dalībniekam kursa laikā x 112 dalībnieki</t>
  </si>
  <si>
    <t>EKK</t>
  </si>
  <si>
    <t>Summa, euro</t>
  </si>
  <si>
    <t>EKK 5000</t>
  </si>
  <si>
    <t>EKK 1200</t>
  </si>
  <si>
    <t>Biroja preces (kancelejas preces - pildspalva, mape, papīrs, klade, klases aprīkojums, izdrukas materiāli prezentācijai 5,34 euro cilvēkam + dzeramais ūdens, vienreizlietojamā glāze   3,35 euro cilvēkam kursa laikā =8,68euro vienam cilvēkam x 112 cilvēki )</t>
  </si>
  <si>
    <t xml:space="preserve">Telpu izmantošana (telpu uzturēšanas izmaksas 80 eur/dienā. 80 x 11 dienas kurss x  8 grupas </t>
  </si>
  <si>
    <t>Medicīnas aprīkojuma, tehnoloģisko iekārtu nodrošinājuma izmaksas tsk. atjaunošana (amortizācija - 278,7727 euro dienā x 88 dienas )</t>
  </si>
  <si>
    <t>N.p.k.</t>
  </si>
  <si>
    <t>amata</t>
  </si>
  <si>
    <t>mēnešalgas grupa</t>
  </si>
  <si>
    <t>saime</t>
  </si>
  <si>
    <t>līmenis</t>
  </si>
  <si>
    <t>Neatliekamās medicīniskās palīdzības dienests</t>
  </si>
  <si>
    <t>Amata nosaukums</t>
  </si>
  <si>
    <t>Profesiju klasifikātora kods (atbilstoši MK noteikumiem Nr.264)</t>
  </si>
  <si>
    <t>Ārstniecības personas profesijas vai specialitātes kodu (atbilstoši MK noteikumiem Nr.317)</t>
  </si>
  <si>
    <t>3258 01</t>
  </si>
  <si>
    <t>n74</t>
  </si>
  <si>
    <t>Mēnešalga, EUR</t>
  </si>
  <si>
    <t>VSOAI (23,59%)</t>
  </si>
  <si>
    <t>Mēnešalga gadā, EUR</t>
  </si>
  <si>
    <t>Piemaksa par stāžu (3%)*, EUR</t>
  </si>
  <si>
    <t>Mēnešalga ar piemaksām gadā, EUR</t>
  </si>
  <si>
    <t>Amata slodze</t>
  </si>
  <si>
    <t>Atlīdzība gadā atbilstoši slodzei, EUR</t>
  </si>
  <si>
    <t>Atlīdzības aprēķins</t>
  </si>
  <si>
    <t>Piemaksa par risku (17%)*, EUR</t>
  </si>
  <si>
    <t>Brigādes vadītājs - NM ārsta palīgs</t>
  </si>
  <si>
    <t>Samazinājums</t>
  </si>
  <si>
    <t>Vakanto amata slodžu samazinājums</t>
  </si>
  <si>
    <t>Kopā</t>
  </si>
  <si>
    <t>Papildus nepieciešamās amata vietas</t>
  </si>
  <si>
    <t>I</t>
  </si>
  <si>
    <t>Brigādes vadītājs - NM ārsta palīgs (praktisko treniņu vadītājs)</t>
  </si>
  <si>
    <t>Amata vieta tiks izveidota pārveidojot 1 Brigādes vadītāja NM ārsta palīga ilgstoši vakanto amata vietu. NMPD ārstniecības personu darba samaksa atbilstoši MK noteikumiem  Nr. 851</t>
  </si>
  <si>
    <t>Kategorija</t>
  </si>
  <si>
    <t>Darba devēja valsts sociālās apdrošināšanas obligātā iemaksas (23,59%)</t>
  </si>
  <si>
    <t>Brigādes vadītājs - NM ārsta palīgs (praktisko treniņu vadītājs), papildus nepieciešamie līdzekļi pēc vakances pārveidošanas (skat. Atlīdzības aprēķinu)</t>
  </si>
  <si>
    <t>Izglītības projektu vadītājs</t>
  </si>
  <si>
    <t>IV</t>
  </si>
  <si>
    <t>Izglītības projekta vadītājs,  papildus nepieciešamie līdzekļi pēc vakances pārveidošanas (skat. Atlīdzības aprēķinu)</t>
  </si>
  <si>
    <t>Vispārējās piemaksas (5%), EUR</t>
  </si>
  <si>
    <t>Prēmijas un naudas balvas (10%), EUR</t>
  </si>
  <si>
    <t>Sociālās garantijas (5%), EUR</t>
  </si>
  <si>
    <t>Medicīnas lietvedis</t>
  </si>
  <si>
    <t>20.3.</t>
  </si>
  <si>
    <t>Papildus nepieciešamais finansējums atlīdzībai, lai nodrošinātu OMT apmācību procesu ar 2 amata vietām, pārveidojot ilgstoši vakantās 2 amata vietas</t>
  </si>
  <si>
    <t>Amata vieta tiks izveidota pārveidojot 1 medicīnas lietveža ilgstoši vakanto amata vietu. Darba samaksa atbilstoši MK noteikumiem  Nr. 361</t>
  </si>
  <si>
    <t>1.1.</t>
  </si>
  <si>
    <t>1.2.</t>
  </si>
  <si>
    <t>2.1.</t>
  </si>
  <si>
    <t>2.2.</t>
  </si>
  <si>
    <t>Brigādes vadītājs - NM ārsta palīgs (praktisko treniņu vadītājs), profesiju klasifikātora kods - 3258 01, ārstniecības personas profesijas vai specialitātes kods - n74. Atalgojums aprēķināts atbilstoši Ministru kabineta noteikumiem Nr. 851 "Noteikumi par zemāko mēnešalgu un speciālo piemaksu veselības aprūpes jomā nodarbinātajiem", atbilstoši 3. amata kvalifikācijas kategorijai.</t>
  </si>
  <si>
    <t>Izglītības projekta koordinators: amatu saime - 33., līmenis - IV, MAG - 10, mēnešalga - 1980 euro. Atalgojums aprēķināts atbilstoši Ministru kabineta noteikumiem Nr. 361 "Noteikumi par valsts institūciju amatpersonu un darbinieku darba samaksu un tās noteikšanas kārtību, kā arī par profesijām un specifiskajām jomām, kurām piemērojams tirgus koeficients".</t>
  </si>
  <si>
    <t>Pielikums Nr.2
Ministru kabineta noteikumu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</si>
  <si>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
Ministru kabineta noteikumu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</si>
</sst>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b/>
      <sz val="12"/>
      <color rgb="FF000000"/>
      <name val="Times New Roman"/>
      <family val="1"/>
      <charset val="186"/>
    </font>
    <font>
      <sz val="12"/>
      <name val="Times New Roman"/>
      <family val="1"/>
      <charset val="186"/>
    </font>
    <font>
      <sz val="12"/>
      <color rgb="FF000000"/>
      <name val="Times New Roman"/>
      <family val="1"/>
      <charset val="186"/>
    </font>
    <font>
      <i/>
      <sz val="12"/>
      <color rgb="FF000000"/>
      <name val="Times New Roman"/>
      <family val="1"/>
      <charset val="186"/>
    </font>
    <font>
      <sz val="11"/>
      <color theme="1"/>
      <name val="Times New Roman"/>
      <family val="1"/>
      <charset val="186"/>
    </font>
    <font>
      <sz val="12"/>
      <name val="Times New Roman"/>
      <family val="1"/>
    </font>
    <font>
      <sz val="12"/>
      <color rgb="FF000000"/>
      <name val="Times New Roman"/>
      <family val="1"/>
    </font>
    <font>
      <b/>
      <sz val="11"/>
      <color theme="1"/>
      <name val="Times New Roman"/>
      <family val="1"/>
      <charset val="186"/>
    </font>
    <font>
      <sz val="12"/>
      <color theme="1"/>
      <name val="Times New Roman"/>
      <family val="2"/>
      <charset val="186"/>
    </font>
    <font>
      <b/>
      <sz val="14"/>
      <name val="Times New Roman"/>
      <family val="1"/>
      <charset val="186"/>
    </font>
    <font>
      <sz val="12"/>
      <color theme="0" tint="-0.14999847407452621"/>
      <name val="Times New Roman"/>
      <family val="2"/>
      <charset val="186"/>
    </font>
    <font>
      <sz val="12"/>
      <name val="Times New Roman"/>
      <family val="2"/>
      <charset val="186"/>
    </font>
    <font>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1" fillId="0" borderId="0"/>
  </cellStyleXfs>
  <cellXfs count="74">
    <xf numFmtId="0" fontId="0" fillId="0" borderId="0" xfId="0"/>
    <xf numFmtId="0" fontId="0" fillId="0" borderId="0" xfId="0" applyAlignment="1">
      <alignment vertical="top"/>
    </xf>
    <xf numFmtId="0" fontId="3" fillId="0" borderId="0" xfId="0" applyFont="1" applyAlignment="1">
      <alignment horizontal="left" vertical="top"/>
    </xf>
    <xf numFmtId="0" fontId="1" fillId="0" borderId="0" xfId="0" applyFont="1" applyAlignment="1">
      <alignment vertical="top"/>
    </xf>
    <xf numFmtId="0" fontId="1" fillId="0" borderId="1" xfId="0" applyFont="1" applyBorder="1" applyAlignment="1">
      <alignment horizontal="center" vertical="top" wrapText="1"/>
    </xf>
    <xf numFmtId="0" fontId="4" fillId="0" borderId="1" xfId="0" applyFont="1" applyBorder="1" applyAlignment="1">
      <alignment horizontal="justify" vertical="top"/>
    </xf>
    <xf numFmtId="3" fontId="0" fillId="0" borderId="0" xfId="0" applyNumberFormat="1" applyAlignment="1">
      <alignment vertical="top"/>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1" xfId="0" applyFont="1" applyBorder="1" applyAlignment="1">
      <alignment vertical="top"/>
    </xf>
    <xf numFmtId="0" fontId="4" fillId="0" borderId="2" xfId="0" applyFont="1" applyBorder="1" applyAlignment="1">
      <alignment horizontal="justify" vertical="top"/>
    </xf>
    <xf numFmtId="4" fontId="1" fillId="0" borderId="1" xfId="0" applyNumberFormat="1" applyFont="1" applyBorder="1" applyAlignment="1">
      <alignment vertical="top" wrapText="1"/>
    </xf>
    <xf numFmtId="4" fontId="1" fillId="0" borderId="1" xfId="0" applyNumberFormat="1" applyFont="1" applyBorder="1" applyAlignment="1">
      <alignment vertical="top"/>
    </xf>
    <xf numFmtId="4" fontId="2" fillId="0" borderId="3" xfId="0" applyNumberFormat="1" applyFont="1" applyBorder="1" applyAlignment="1">
      <alignment horizontal="center" vertical="top" wrapText="1"/>
    </xf>
    <xf numFmtId="4" fontId="2" fillId="0" borderId="1" xfId="0" applyNumberFormat="1" applyFont="1" applyBorder="1" applyAlignment="1">
      <alignment vertical="top"/>
    </xf>
    <xf numFmtId="0" fontId="1" fillId="0" borderId="2" xfId="0" applyFont="1" applyBorder="1" applyAlignment="1">
      <alignment vertical="top" wrapText="1"/>
    </xf>
    <xf numFmtId="0" fontId="4" fillId="0" borderId="2" xfId="0" applyFont="1" applyBorder="1" applyAlignment="1">
      <alignment vertical="top" wrapText="1"/>
    </xf>
    <xf numFmtId="0" fontId="8" fillId="0" borderId="1" xfId="0" applyFont="1" applyBorder="1" applyAlignment="1">
      <alignment horizontal="right" vertical="top"/>
    </xf>
    <xf numFmtId="2" fontId="9" fillId="0" borderId="1" xfId="0" applyNumberFormat="1" applyFont="1" applyBorder="1" applyAlignment="1">
      <alignment horizontal="right" vertical="top"/>
    </xf>
    <xf numFmtId="0" fontId="7" fillId="3" borderId="1" xfId="0" applyFont="1" applyFill="1" applyBorder="1" applyAlignment="1">
      <alignment vertical="top" wrapText="1"/>
    </xf>
    <xf numFmtId="0" fontId="0" fillId="0" borderId="1" xfId="0" applyBorder="1" applyAlignment="1">
      <alignment vertical="top"/>
    </xf>
    <xf numFmtId="4" fontId="4" fillId="0" borderId="3" xfId="0" applyNumberFormat="1" applyFont="1" applyBorder="1" applyAlignment="1">
      <alignment horizontal="center" vertical="top" wrapText="1"/>
    </xf>
    <xf numFmtId="4" fontId="1" fillId="0" borderId="1" xfId="0" applyNumberFormat="1" applyFont="1" applyBorder="1" applyAlignment="1">
      <alignment horizontal="center" vertical="top"/>
    </xf>
    <xf numFmtId="4" fontId="1" fillId="0" borderId="3" xfId="0" applyNumberFormat="1" applyFont="1" applyBorder="1" applyAlignment="1">
      <alignment horizontal="center" vertical="top" wrapText="1"/>
    </xf>
    <xf numFmtId="4" fontId="2" fillId="3" borderId="3" xfId="0" applyNumberFormat="1" applyFont="1" applyFill="1" applyBorder="1" applyAlignment="1">
      <alignment horizontal="center" vertical="top" wrapText="1"/>
    </xf>
    <xf numFmtId="0" fontId="8" fillId="0" borderId="1" xfId="0" applyFont="1" applyBorder="1" applyAlignment="1">
      <alignment horizontal="center" vertical="top"/>
    </xf>
    <xf numFmtId="2" fontId="3" fillId="0" borderId="1" xfId="0" applyNumberFormat="1" applyFont="1" applyBorder="1" applyAlignment="1">
      <alignment horizontal="center" vertical="top"/>
    </xf>
    <xf numFmtId="2" fontId="9" fillId="0" borderId="1" xfId="0" applyNumberFormat="1" applyFont="1" applyBorder="1" applyAlignment="1">
      <alignment horizontal="center" vertical="top"/>
    </xf>
    <xf numFmtId="0" fontId="7" fillId="0" borderId="1" xfId="0" applyFont="1" applyBorder="1" applyAlignment="1">
      <alignment horizontal="center" vertical="top"/>
    </xf>
    <xf numFmtId="0" fontId="1" fillId="0" borderId="1" xfId="0" applyFont="1" applyBorder="1" applyAlignment="1">
      <alignment horizontal="right" vertical="top"/>
    </xf>
    <xf numFmtId="0" fontId="2" fillId="0" borderId="1" xfId="0" applyFont="1" applyBorder="1" applyAlignment="1">
      <alignment horizontal="right" vertical="top"/>
    </xf>
    <xf numFmtId="3" fontId="1" fillId="0" borderId="1" xfId="0" applyNumberFormat="1" applyFont="1" applyBorder="1" applyAlignment="1">
      <alignment vertical="top"/>
    </xf>
    <xf numFmtId="3" fontId="2" fillId="0" borderId="1" xfId="0" applyNumberFormat="1" applyFont="1" applyBorder="1" applyAlignment="1">
      <alignment vertical="top"/>
    </xf>
    <xf numFmtId="0" fontId="10" fillId="2" borderId="1" xfId="0" applyFont="1" applyFill="1" applyBorder="1" applyAlignment="1">
      <alignment vertical="top"/>
    </xf>
    <xf numFmtId="3" fontId="2" fillId="2" borderId="3" xfId="0" applyNumberFormat="1" applyFont="1" applyFill="1" applyBorder="1" applyAlignment="1">
      <alignment horizontal="center" vertical="top" wrapText="1"/>
    </xf>
    <xf numFmtId="0" fontId="11" fillId="0" borderId="0" xfId="1" applyAlignment="1">
      <alignment horizontal="center" vertical="center" wrapText="1"/>
    </xf>
    <xf numFmtId="0" fontId="13" fillId="0" borderId="0" xfId="1" applyFont="1" applyAlignment="1">
      <alignment horizontal="center" vertical="center" wrapText="1"/>
    </xf>
    <xf numFmtId="0" fontId="11" fillId="0" borderId="1" xfId="1" applyBorder="1" applyAlignment="1">
      <alignment horizontal="center" vertical="center" wrapText="1"/>
    </xf>
    <xf numFmtId="0" fontId="2" fillId="4" borderId="1" xfId="1" applyFont="1" applyFill="1" applyBorder="1" applyAlignment="1">
      <alignment horizontal="center" vertical="center" wrapText="1"/>
    </xf>
    <xf numFmtId="0" fontId="2" fillId="4" borderId="1" xfId="1" quotePrefix="1" applyFont="1" applyFill="1" applyBorder="1" applyAlignment="1">
      <alignment horizontal="center" vertical="center" wrapText="1"/>
    </xf>
    <xf numFmtId="3" fontId="2" fillId="4" borderId="1" xfId="1" applyNumberFormat="1" applyFont="1" applyFill="1" applyBorder="1" applyAlignment="1">
      <alignment horizontal="center" vertical="center" wrapText="1"/>
    </xf>
    <xf numFmtId="3" fontId="11" fillId="0" borderId="0" xfId="1" applyNumberFormat="1" applyAlignment="1">
      <alignment horizontal="center" vertical="center" wrapText="1"/>
    </xf>
    <xf numFmtId="0" fontId="11" fillId="0" borderId="1" xfId="1" quotePrefix="1" applyBorder="1" applyAlignment="1">
      <alignment horizontal="center" vertical="center" wrapText="1"/>
    </xf>
    <xf numFmtId="3" fontId="11" fillId="0" borderId="1" xfId="1" applyNumberFormat="1" applyBorder="1" applyAlignment="1">
      <alignment horizontal="center" vertical="center" wrapText="1"/>
    </xf>
    <xf numFmtId="4" fontId="11" fillId="0" borderId="0" xfId="1" applyNumberFormat="1" applyAlignment="1">
      <alignment horizontal="center" vertical="center" wrapText="1"/>
    </xf>
    <xf numFmtId="0" fontId="2" fillId="4" borderId="10" xfId="1" applyFont="1" applyFill="1" applyBorder="1" applyAlignment="1">
      <alignment horizontal="center" vertical="center" wrapText="1"/>
    </xf>
    <xf numFmtId="9" fontId="13" fillId="0" borderId="0" xfId="1" applyNumberFormat="1" applyFont="1" applyAlignment="1">
      <alignment horizontal="center" vertical="center" wrapText="1"/>
    </xf>
    <xf numFmtId="0" fontId="4" fillId="0" borderId="2" xfId="0" applyFont="1" applyBorder="1" applyAlignment="1">
      <alignment horizontal="center" vertical="center" wrapText="1"/>
    </xf>
    <xf numFmtId="0" fontId="11" fillId="5" borderId="0" xfId="1" applyFill="1" applyAlignment="1">
      <alignment horizontal="center" vertical="center" wrapText="1"/>
    </xf>
    <xf numFmtId="0" fontId="2" fillId="4" borderId="10" xfId="1" applyFont="1" applyFill="1" applyBorder="1" applyAlignment="1">
      <alignment horizontal="left" vertical="center" wrapText="1"/>
    </xf>
    <xf numFmtId="4" fontId="4" fillId="0" borderId="1" xfId="0" applyNumberFormat="1" applyFont="1" applyBorder="1" applyAlignment="1">
      <alignment horizontal="center" vertical="top"/>
    </xf>
    <xf numFmtId="4" fontId="4" fillId="0" borderId="1" xfId="0" applyNumberFormat="1" applyFont="1" applyBorder="1" applyAlignment="1">
      <alignment vertical="top" wrapText="1"/>
    </xf>
    <xf numFmtId="3" fontId="0" fillId="0" borderId="0" xfId="0" applyNumberFormat="1"/>
    <xf numFmtId="0" fontId="14" fillId="0" borderId="1" xfId="1" applyFont="1" applyBorder="1" applyAlignment="1">
      <alignment horizontal="center" vertical="center" wrapText="1"/>
    </xf>
    <xf numFmtId="0" fontId="2" fillId="0" borderId="0" xfId="1" applyFont="1" applyAlignment="1">
      <alignment horizontal="left" vertical="center" wrapText="1"/>
    </xf>
    <xf numFmtId="0" fontId="14" fillId="0" borderId="1" xfId="1" quotePrefix="1" applyFont="1" applyBorder="1" applyAlignment="1">
      <alignment horizontal="center" vertical="center" wrapText="1"/>
    </xf>
    <xf numFmtId="0" fontId="2" fillId="3" borderId="6" xfId="0" applyFont="1" applyFill="1" applyBorder="1" applyAlignment="1">
      <alignment horizontal="center" vertical="top" wrapText="1"/>
    </xf>
    <xf numFmtId="0" fontId="2" fillId="3" borderId="7" xfId="0" applyFont="1" applyFill="1" applyBorder="1" applyAlignment="1">
      <alignment horizontal="center" vertical="top" wrapText="1"/>
    </xf>
    <xf numFmtId="0" fontId="5" fillId="0" borderId="1" xfId="0" applyFont="1" applyBorder="1" applyAlignment="1">
      <alignment horizontal="left" vertical="top" wrapText="1"/>
    </xf>
    <xf numFmtId="0" fontId="1" fillId="0" borderId="0" xfId="0" applyFont="1" applyAlignment="1">
      <alignment horizontal="left"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3" xfId="0" applyFont="1" applyBorder="1" applyAlignment="1">
      <alignment horizontal="center" vertical="top"/>
    </xf>
    <xf numFmtId="0" fontId="2" fillId="0" borderId="5" xfId="0" applyFont="1" applyBorder="1" applyAlignment="1">
      <alignment horizontal="center" vertical="top"/>
    </xf>
    <xf numFmtId="0" fontId="2" fillId="0" borderId="4" xfId="0" applyFont="1" applyBorder="1" applyAlignment="1">
      <alignment horizontal="center" vertical="top"/>
    </xf>
    <xf numFmtId="0" fontId="2" fillId="0" borderId="5" xfId="0" applyFont="1" applyBorder="1" applyAlignment="1">
      <alignment horizontal="center" vertical="top" wrapText="1"/>
    </xf>
    <xf numFmtId="0" fontId="11" fillId="0" borderId="1" xfId="1" applyBorder="1" applyAlignment="1">
      <alignment horizontal="center" vertical="center" wrapText="1"/>
    </xf>
    <xf numFmtId="0" fontId="11" fillId="0" borderId="8" xfId="1" applyBorder="1" applyAlignment="1">
      <alignment horizontal="center" vertical="center" wrapText="1"/>
    </xf>
    <xf numFmtId="0" fontId="11" fillId="0" borderId="9" xfId="1" applyBorder="1" applyAlignment="1">
      <alignment horizontal="center" vertical="center" wrapText="1"/>
    </xf>
    <xf numFmtId="0" fontId="12" fillId="0" borderId="0" xfId="1" applyFont="1" applyAlignment="1">
      <alignment horizontal="center" vertical="center" wrapText="1"/>
    </xf>
    <xf numFmtId="0" fontId="15" fillId="0" borderId="0" xfId="0" applyFont="1" applyAlignment="1">
      <alignment horizontal="right" vertical="top" wrapText="1"/>
    </xf>
    <xf numFmtId="0" fontId="15" fillId="0" borderId="0" xfId="0" applyFont="1" applyAlignment="1">
      <alignment horizontal="right" vertical="top"/>
    </xf>
    <xf numFmtId="0" fontId="11" fillId="0" borderId="0" xfId="1" applyAlignment="1">
      <alignment horizontal="right" vertical="center" wrapText="1"/>
    </xf>
    <xf numFmtId="0" fontId="11" fillId="0" borderId="0" xfId="1" applyAlignment="1">
      <alignment horizontal="right" vertical="center" wrapText="1"/>
    </xf>
  </cellXfs>
  <cellStyles count="2">
    <cellStyle name="Normal" xfId="0" builtinId="0"/>
    <cellStyle name="Normal 2" xfId="1" xr:uid="{B341C365-D006-46BA-9FF5-229D834810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2A12B-287A-4ACF-949A-167333A85B1D}">
  <dimension ref="A1:J29"/>
  <sheetViews>
    <sheetView tabSelected="1" zoomScale="80" zoomScaleNormal="80" workbookViewId="0">
      <selection activeCell="F1" sqref="F1:G1"/>
    </sheetView>
  </sheetViews>
  <sheetFormatPr defaultRowHeight="15" x14ac:dyDescent="0.25"/>
  <cols>
    <col min="1" max="1" width="14" style="1" customWidth="1"/>
    <col min="2" max="2" width="37.5703125" style="1" customWidth="1"/>
    <col min="3" max="4" width="28" style="1" customWidth="1"/>
    <col min="5" max="6" width="11.42578125" style="1" customWidth="1"/>
    <col min="7" max="7" width="72.140625" style="1" customWidth="1"/>
    <col min="8" max="8" width="14.5703125" customWidth="1"/>
    <col min="10" max="10" width="11" bestFit="1" customWidth="1"/>
    <col min="12" max="12" width="10" bestFit="1" customWidth="1"/>
  </cols>
  <sheetData>
    <row r="1" spans="1:7" ht="62.25" customHeight="1" x14ac:dyDescent="0.25">
      <c r="F1" s="70" t="s">
        <v>79</v>
      </c>
      <c r="G1" s="71"/>
    </row>
    <row r="2" spans="1:7" ht="15.75" x14ac:dyDescent="0.25">
      <c r="A2" s="59" t="s">
        <v>0</v>
      </c>
      <c r="B2" s="59"/>
      <c r="C2" s="59"/>
    </row>
    <row r="3" spans="1:7" ht="15.75" x14ac:dyDescent="0.25">
      <c r="A3" s="2" t="s">
        <v>12</v>
      </c>
      <c r="B3" s="2"/>
      <c r="C3" s="3"/>
    </row>
    <row r="4" spans="1:7" ht="78.75" x14ac:dyDescent="0.25">
      <c r="A4" s="7" t="s">
        <v>1</v>
      </c>
      <c r="B4" s="7" t="s">
        <v>2</v>
      </c>
      <c r="C4" s="8" t="s">
        <v>13</v>
      </c>
      <c r="D4" s="4" t="s">
        <v>14</v>
      </c>
      <c r="E4" s="4" t="s">
        <v>15</v>
      </c>
      <c r="F4" s="4" t="s">
        <v>16</v>
      </c>
      <c r="G4" s="4" t="s">
        <v>17</v>
      </c>
    </row>
    <row r="5" spans="1:7" ht="15.75" x14ac:dyDescent="0.25">
      <c r="A5" s="60" t="s">
        <v>3</v>
      </c>
      <c r="B5" s="61"/>
      <c r="C5" s="61"/>
      <c r="D5" s="9"/>
      <c r="E5" s="9"/>
      <c r="F5" s="9"/>
      <c r="G5" s="9"/>
    </row>
    <row r="6" spans="1:7" ht="96.75" customHeight="1" x14ac:dyDescent="0.25">
      <c r="A6" s="7" t="s">
        <v>4</v>
      </c>
      <c r="B6" s="10" t="s">
        <v>61</v>
      </c>
      <c r="C6" s="21">
        <v>20448</v>
      </c>
      <c r="D6" s="50">
        <f>C6/112</f>
        <v>182.57142857142858</v>
      </c>
      <c r="E6" s="50">
        <f>D6/11</f>
        <v>16.597402597402599</v>
      </c>
      <c r="F6" s="50">
        <f>E6/8</f>
        <v>2.0746753246753249</v>
      </c>
      <c r="G6" s="51" t="s">
        <v>76</v>
      </c>
    </row>
    <row r="7" spans="1:7" ht="107.45" customHeight="1" x14ac:dyDescent="0.25">
      <c r="A7" s="7" t="s">
        <v>4</v>
      </c>
      <c r="B7" s="10" t="s">
        <v>64</v>
      </c>
      <c r="C7" s="21">
        <v>15365</v>
      </c>
      <c r="D7" s="50">
        <f>C7/112</f>
        <v>137.1875</v>
      </c>
      <c r="E7" s="50">
        <f t="shared" ref="E7:E8" si="0">D7/11</f>
        <v>12.471590909090908</v>
      </c>
      <c r="F7" s="50">
        <f t="shared" ref="F7:F8" si="1">E7/8</f>
        <v>1.5589488636363635</v>
      </c>
      <c r="G7" s="51" t="s">
        <v>77</v>
      </c>
    </row>
    <row r="8" spans="1:7" ht="82.5" customHeight="1" x14ac:dyDescent="0.25">
      <c r="A8" s="7" t="s">
        <v>27</v>
      </c>
      <c r="B8" s="5" t="s">
        <v>60</v>
      </c>
      <c r="C8" s="21">
        <f>SUM(C6:C7)*0.2359</f>
        <v>8448.2867000000006</v>
      </c>
      <c r="D8" s="22">
        <f t="shared" ref="D8" si="2">C8/112</f>
        <v>75.431131250000007</v>
      </c>
      <c r="E8" s="22">
        <f t="shared" si="0"/>
        <v>6.8573755681818191</v>
      </c>
      <c r="F8" s="22">
        <f t="shared" si="1"/>
        <v>0.85717194602272739</v>
      </c>
      <c r="G8" s="12"/>
    </row>
    <row r="9" spans="1:7" ht="15.75" x14ac:dyDescent="0.25">
      <c r="A9" s="62" t="s">
        <v>5</v>
      </c>
      <c r="B9" s="63"/>
      <c r="C9" s="13">
        <f>SUM(C6:C8)</f>
        <v>44261.286699999997</v>
      </c>
      <c r="D9" s="13">
        <f>SUM(D6:D8)</f>
        <v>395.19005982142858</v>
      </c>
      <c r="E9" s="13">
        <f>SUM(E6:E8)</f>
        <v>35.926369074675321</v>
      </c>
      <c r="F9" s="13">
        <f>SUM(F6:F8)</f>
        <v>4.4907961343344152</v>
      </c>
      <c r="G9" s="14"/>
    </row>
    <row r="10" spans="1:7" ht="15.75" x14ac:dyDescent="0.25">
      <c r="A10" s="62" t="s">
        <v>6</v>
      </c>
      <c r="B10" s="64"/>
      <c r="C10" s="64"/>
      <c r="D10" s="12"/>
      <c r="E10" s="12"/>
      <c r="F10" s="12"/>
      <c r="G10" s="12"/>
    </row>
    <row r="11" spans="1:7" ht="47.25" x14ac:dyDescent="0.25">
      <c r="A11" s="7" t="s">
        <v>10</v>
      </c>
      <c r="B11" s="10" t="s">
        <v>29</v>
      </c>
      <c r="C11" s="23">
        <f>80*11*8</f>
        <v>7040</v>
      </c>
      <c r="D11" s="22">
        <f t="shared" ref="D11:D14" si="3">C11/112</f>
        <v>62.857142857142854</v>
      </c>
      <c r="E11" s="22">
        <f t="shared" ref="E11:E14" si="4">D11/11</f>
        <v>5.7142857142857144</v>
      </c>
      <c r="F11" s="22">
        <f t="shared" ref="F11:F14" si="5">E11/8</f>
        <v>0.7142857142857143</v>
      </c>
      <c r="G11" s="11" t="s">
        <v>18</v>
      </c>
    </row>
    <row r="12" spans="1:7" ht="114.6" customHeight="1" x14ac:dyDescent="0.25">
      <c r="A12" s="7" t="s">
        <v>10</v>
      </c>
      <c r="B12" s="15" t="s">
        <v>28</v>
      </c>
      <c r="C12" s="23">
        <f>(5.34+3.35)*112</f>
        <v>973.28</v>
      </c>
      <c r="D12" s="22">
        <f t="shared" si="3"/>
        <v>8.69</v>
      </c>
      <c r="E12" s="22">
        <f t="shared" si="4"/>
        <v>0.78999999999999992</v>
      </c>
      <c r="F12" s="22">
        <f t="shared" si="5"/>
        <v>9.8749999999999991E-2</v>
      </c>
      <c r="G12" s="12"/>
    </row>
    <row r="13" spans="1:7" ht="31.5" x14ac:dyDescent="0.25">
      <c r="A13" s="7" t="s">
        <v>10</v>
      </c>
      <c r="B13" s="16" t="s">
        <v>23</v>
      </c>
      <c r="C13" s="23">
        <f>D13*112</f>
        <v>28697.423999999999</v>
      </c>
      <c r="D13" s="22">
        <v>256.22699999999998</v>
      </c>
      <c r="E13" s="22">
        <f t="shared" si="4"/>
        <v>23.293363636363633</v>
      </c>
      <c r="F13" s="22">
        <f t="shared" si="5"/>
        <v>2.9116704545454541</v>
      </c>
      <c r="G13" s="12"/>
    </row>
    <row r="14" spans="1:7" ht="63" x14ac:dyDescent="0.25">
      <c r="A14" s="7" t="s">
        <v>26</v>
      </c>
      <c r="B14" s="15" t="s">
        <v>30</v>
      </c>
      <c r="C14" s="23">
        <f>278.7727*88</f>
        <v>24531.997599999999</v>
      </c>
      <c r="D14" s="22">
        <f t="shared" si="3"/>
        <v>219.03569285714283</v>
      </c>
      <c r="E14" s="22">
        <f t="shared" si="4"/>
        <v>19.912335714285714</v>
      </c>
      <c r="F14" s="22">
        <f t="shared" si="5"/>
        <v>2.4890419642857142</v>
      </c>
      <c r="G14" s="12"/>
    </row>
    <row r="15" spans="1:7" ht="15.75" x14ac:dyDescent="0.25">
      <c r="A15" s="60" t="s">
        <v>7</v>
      </c>
      <c r="B15" s="65"/>
      <c r="C15" s="13">
        <f>SUM(C11:C14)</f>
        <v>61242.7016</v>
      </c>
      <c r="D15" s="13">
        <f>SUM(D11:D14)</f>
        <v>546.80983571428567</v>
      </c>
      <c r="E15" s="13">
        <f>SUM(E11:E14)</f>
        <v>49.709985064935061</v>
      </c>
      <c r="F15" s="13">
        <f>SUM(F11:F14)</f>
        <v>6.2137481331168827</v>
      </c>
      <c r="G15" s="14"/>
    </row>
    <row r="16" spans="1:7" ht="15.75" x14ac:dyDescent="0.25">
      <c r="A16" s="56" t="s">
        <v>8</v>
      </c>
      <c r="B16" s="57"/>
      <c r="C16" s="24">
        <f>C15+C9</f>
        <v>105503.9883</v>
      </c>
      <c r="D16" s="24">
        <f>D15+D9</f>
        <v>941.99989553571424</v>
      </c>
      <c r="E16" s="24">
        <f>E15+E9</f>
        <v>85.636354139610376</v>
      </c>
      <c r="F16" s="24">
        <f>F15+F9</f>
        <v>10.704544267451297</v>
      </c>
      <c r="G16" s="14"/>
    </row>
    <row r="17" spans="1:10" ht="15.75" x14ac:dyDescent="0.25">
      <c r="A17" s="58" t="s">
        <v>9</v>
      </c>
      <c r="B17" s="58"/>
      <c r="C17" s="25">
        <v>112</v>
      </c>
      <c r="D17" s="25"/>
      <c r="E17" s="25"/>
      <c r="F17" s="25"/>
      <c r="G17" s="17"/>
    </row>
    <row r="18" spans="1:10" ht="15.75" x14ac:dyDescent="0.25">
      <c r="A18" s="58" t="s">
        <v>19</v>
      </c>
      <c r="B18" s="58"/>
      <c r="C18" s="26">
        <f>C16/C17/(8*11)</f>
        <v>10.704544267451299</v>
      </c>
      <c r="D18" s="27"/>
      <c r="E18" s="27"/>
      <c r="F18" s="27"/>
      <c r="G18" s="18"/>
    </row>
    <row r="19" spans="1:10" ht="15.75" x14ac:dyDescent="0.25">
      <c r="A19" s="3"/>
      <c r="B19" s="3"/>
      <c r="C19" s="3"/>
    </row>
    <row r="20" spans="1:10" ht="45" x14ac:dyDescent="0.25">
      <c r="B20" s="19" t="s">
        <v>20</v>
      </c>
      <c r="C20" s="24">
        <f>D20*112</f>
        <v>6720</v>
      </c>
      <c r="D20" s="28">
        <v>60</v>
      </c>
    </row>
    <row r="21" spans="1:10" ht="15.75" x14ac:dyDescent="0.25">
      <c r="B21" s="33" t="s">
        <v>21</v>
      </c>
      <c r="C21" s="34">
        <f>C16+C20</f>
        <v>112223.9883</v>
      </c>
      <c r="D21" s="20"/>
      <c r="E21" s="6"/>
    </row>
    <row r="22" spans="1:10" ht="15.75" x14ac:dyDescent="0.25">
      <c r="B22" s="33" t="s">
        <v>22</v>
      </c>
      <c r="C22" s="34">
        <f>C21/C17</f>
        <v>1001.9998955357142</v>
      </c>
    </row>
    <row r="25" spans="1:10" ht="14.45" customHeight="1" x14ac:dyDescent="0.25">
      <c r="B25" s="29" t="s">
        <v>24</v>
      </c>
      <c r="C25" s="9" t="s">
        <v>25</v>
      </c>
      <c r="H25" s="52"/>
    </row>
    <row r="26" spans="1:10" ht="15.75" x14ac:dyDescent="0.25">
      <c r="B26" s="9">
        <v>1000</v>
      </c>
      <c r="C26" s="31">
        <f>C9</f>
        <v>44261.286699999997</v>
      </c>
      <c r="E26" s="6"/>
      <c r="H26" s="52"/>
    </row>
    <row r="27" spans="1:10" ht="15.75" x14ac:dyDescent="0.25">
      <c r="B27" s="9">
        <v>2000</v>
      </c>
      <c r="C27" s="31">
        <f>C21-C26-C28</f>
        <v>43430.703999999998</v>
      </c>
    </row>
    <row r="28" spans="1:10" s="1" customFormat="1" ht="15.75" x14ac:dyDescent="0.25">
      <c r="B28" s="9">
        <v>5000</v>
      </c>
      <c r="C28" s="31">
        <f>C14</f>
        <v>24531.997599999999</v>
      </c>
      <c r="H28"/>
      <c r="I28"/>
      <c r="J28"/>
    </row>
    <row r="29" spans="1:10" s="1" customFormat="1" ht="15.75" x14ac:dyDescent="0.25">
      <c r="B29" s="30" t="s">
        <v>11</v>
      </c>
      <c r="C29" s="32">
        <f>SUM(C26:C28)</f>
        <v>112223.9883</v>
      </c>
      <c r="H29"/>
      <c r="I29"/>
      <c r="J29"/>
    </row>
  </sheetData>
  <mergeCells count="9">
    <mergeCell ref="A16:B16"/>
    <mergeCell ref="A17:B17"/>
    <mergeCell ref="A18:B18"/>
    <mergeCell ref="F1:G1"/>
    <mergeCell ref="A2:C2"/>
    <mergeCell ref="A5:C5"/>
    <mergeCell ref="A9:B9"/>
    <mergeCell ref="A10:C10"/>
    <mergeCell ref="A15:B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38775-91E0-41A7-8773-2ED9EBF8E07C}">
  <dimension ref="A1:V27"/>
  <sheetViews>
    <sheetView zoomScale="55" zoomScaleNormal="55" workbookViewId="0">
      <pane xSplit="2" ySplit="6" topLeftCell="C7" activePane="bottomRight" state="frozen"/>
      <selection pane="topRight" activeCell="D1" sqref="D1"/>
      <selection pane="bottomLeft" activeCell="A6" sqref="A6"/>
      <selection pane="bottomRight" activeCell="K9" sqref="K9"/>
    </sheetView>
  </sheetViews>
  <sheetFormatPr defaultColWidth="9.85546875" defaultRowHeight="15.75" x14ac:dyDescent="0.25"/>
  <cols>
    <col min="1" max="1" width="9.85546875" style="35" customWidth="1"/>
    <col min="2" max="2" width="33.5703125" style="35" customWidth="1"/>
    <col min="3" max="3" width="9.85546875" style="35" customWidth="1"/>
    <col min="4" max="4" width="13.42578125" style="35" customWidth="1"/>
    <col min="5" max="5" width="12.85546875" style="35" bestFit="1" customWidth="1"/>
    <col min="6" max="7" width="13.140625" style="35" customWidth="1"/>
    <col min="8" max="8" width="13.42578125" style="35" customWidth="1"/>
    <col min="9" max="10" width="14.42578125" style="35" customWidth="1"/>
    <col min="11" max="11" width="13.42578125" style="35" customWidth="1"/>
    <col min="12" max="16" width="15.42578125" style="35" customWidth="1"/>
    <col min="17" max="17" width="16.140625" style="35" customWidth="1"/>
    <col min="18" max="19" width="11.140625" style="35" customWidth="1"/>
    <col min="20" max="20" width="50.5703125" style="35" customWidth="1"/>
    <col min="21" max="21" width="33.42578125" style="35" customWidth="1"/>
    <col min="22" max="22" width="16.42578125" style="35" customWidth="1"/>
    <col min="23" max="16384" width="9.85546875" style="35"/>
  </cols>
  <sheetData>
    <row r="1" spans="1:22" ht="92.25" customHeight="1" x14ac:dyDescent="0.25">
      <c r="Q1" s="73" t="s">
        <v>78</v>
      </c>
      <c r="R1" s="73"/>
      <c r="S1" s="73"/>
      <c r="T1" s="73"/>
    </row>
    <row r="2" spans="1:22" x14ac:dyDescent="0.25">
      <c r="Q2" s="72"/>
    </row>
    <row r="3" spans="1:22" ht="18.75" x14ac:dyDescent="0.25">
      <c r="A3" s="69" t="s">
        <v>49</v>
      </c>
      <c r="B3" s="69"/>
      <c r="C3" s="69"/>
      <c r="D3" s="69"/>
      <c r="E3" s="69"/>
      <c r="F3" s="69"/>
      <c r="G3" s="69"/>
      <c r="H3" s="69"/>
      <c r="I3" s="69"/>
      <c r="J3" s="69"/>
      <c r="K3" s="69"/>
      <c r="L3" s="69"/>
      <c r="M3" s="69"/>
      <c r="N3" s="69"/>
      <c r="O3" s="69"/>
      <c r="P3" s="69"/>
      <c r="Q3" s="69"/>
      <c r="R3" s="69"/>
      <c r="S3" s="69"/>
    </row>
    <row r="4" spans="1:22" ht="31.5" x14ac:dyDescent="0.25">
      <c r="B4" s="54" t="s">
        <v>36</v>
      </c>
      <c r="K4" s="36">
        <v>12</v>
      </c>
      <c r="L4" s="46">
        <v>0.03</v>
      </c>
      <c r="M4" s="46">
        <v>0.17</v>
      </c>
      <c r="N4" s="46"/>
      <c r="O4" s="46"/>
      <c r="P4" s="46"/>
    </row>
    <row r="5" spans="1:22" ht="49.5" customHeight="1" x14ac:dyDescent="0.25">
      <c r="A5" s="66" t="s">
        <v>31</v>
      </c>
      <c r="B5" s="66" t="s">
        <v>37</v>
      </c>
      <c r="C5" s="66" t="s">
        <v>47</v>
      </c>
      <c r="D5" s="66" t="s">
        <v>32</v>
      </c>
      <c r="E5" s="66"/>
      <c r="F5" s="66" t="s">
        <v>33</v>
      </c>
      <c r="G5" s="66" t="s">
        <v>59</v>
      </c>
      <c r="H5" s="67" t="s">
        <v>38</v>
      </c>
      <c r="I5" s="66" t="s">
        <v>39</v>
      </c>
      <c r="J5" s="66" t="s">
        <v>42</v>
      </c>
      <c r="K5" s="66" t="s">
        <v>44</v>
      </c>
      <c r="L5" s="66" t="s">
        <v>45</v>
      </c>
      <c r="M5" s="67" t="s">
        <v>50</v>
      </c>
      <c r="N5" s="67" t="s">
        <v>65</v>
      </c>
      <c r="O5" s="67" t="s">
        <v>66</v>
      </c>
      <c r="P5" s="67" t="s">
        <v>67</v>
      </c>
      <c r="Q5" s="66" t="s">
        <v>46</v>
      </c>
      <c r="R5" s="66" t="s">
        <v>43</v>
      </c>
      <c r="S5" s="66" t="s">
        <v>48</v>
      </c>
      <c r="T5" s="66" t="s">
        <v>17</v>
      </c>
    </row>
    <row r="6" spans="1:22" ht="89.25" customHeight="1" x14ac:dyDescent="0.25">
      <c r="A6" s="66"/>
      <c r="B6" s="66"/>
      <c r="C6" s="66"/>
      <c r="D6" s="37" t="s">
        <v>34</v>
      </c>
      <c r="E6" s="37" t="s">
        <v>35</v>
      </c>
      <c r="F6" s="66"/>
      <c r="G6" s="66"/>
      <c r="H6" s="68"/>
      <c r="I6" s="66"/>
      <c r="J6" s="66"/>
      <c r="K6" s="66"/>
      <c r="L6" s="66"/>
      <c r="M6" s="68"/>
      <c r="N6" s="68"/>
      <c r="O6" s="68"/>
      <c r="P6" s="68"/>
      <c r="Q6" s="66"/>
      <c r="R6" s="66"/>
      <c r="S6" s="66"/>
      <c r="T6" s="66"/>
    </row>
    <row r="7" spans="1:22" ht="51.75" customHeight="1" x14ac:dyDescent="0.25">
      <c r="A7" s="48">
        <v>1</v>
      </c>
      <c r="B7" s="48" t="s">
        <v>55</v>
      </c>
      <c r="C7" s="48"/>
      <c r="D7" s="48"/>
      <c r="E7" s="48"/>
      <c r="F7" s="48"/>
      <c r="G7" s="48"/>
      <c r="H7" s="48"/>
      <c r="I7" s="48"/>
      <c r="J7" s="48"/>
      <c r="K7" s="48"/>
      <c r="L7" s="48"/>
      <c r="M7" s="48"/>
      <c r="N7" s="48"/>
      <c r="O7" s="48"/>
      <c r="P7" s="48"/>
      <c r="Q7" s="48"/>
      <c r="R7" s="48"/>
      <c r="S7" s="48"/>
      <c r="T7" s="48"/>
      <c r="U7" s="41"/>
    </row>
    <row r="8" spans="1:22" ht="70.5" customHeight="1" x14ac:dyDescent="0.25">
      <c r="A8" s="37" t="s">
        <v>72</v>
      </c>
      <c r="B8" s="37" t="s">
        <v>57</v>
      </c>
      <c r="C8" s="37">
        <v>1</v>
      </c>
      <c r="D8" s="42"/>
      <c r="E8" s="37"/>
      <c r="F8" s="37"/>
      <c r="G8" s="37">
        <v>3</v>
      </c>
      <c r="H8" s="37" t="s">
        <v>40</v>
      </c>
      <c r="I8" s="43" t="s">
        <v>41</v>
      </c>
      <c r="J8" s="43">
        <v>3035</v>
      </c>
      <c r="K8" s="43">
        <f>J8*$K$4</f>
        <v>36420</v>
      </c>
      <c r="L8" s="43">
        <f>ROUNDUP(K8*$L$4,0)</f>
        <v>1093</v>
      </c>
      <c r="M8" s="43">
        <f>ROUNDUP(K8*$M$4,0)</f>
        <v>6192</v>
      </c>
      <c r="N8" s="43"/>
      <c r="O8" s="43"/>
      <c r="P8" s="43"/>
      <c r="Q8" s="43">
        <f>ROUNDUP(((K8+L8+M8)),0)</f>
        <v>43705</v>
      </c>
      <c r="R8" s="43">
        <f>Q8*0.2359</f>
        <v>10310.0095</v>
      </c>
      <c r="S8" s="43">
        <f>(Q8+R8)*C8</f>
        <v>54015.0095</v>
      </c>
      <c r="T8" s="37" t="s">
        <v>58</v>
      </c>
      <c r="V8" s="44"/>
    </row>
    <row r="9" spans="1:22" ht="55.5" customHeight="1" x14ac:dyDescent="0.25">
      <c r="A9" s="37" t="s">
        <v>73</v>
      </c>
      <c r="B9" s="47" t="s">
        <v>62</v>
      </c>
      <c r="C9" s="37">
        <f>C13</f>
        <v>1</v>
      </c>
      <c r="D9" s="55">
        <v>33</v>
      </c>
      <c r="E9" s="37" t="s">
        <v>63</v>
      </c>
      <c r="F9" s="37">
        <v>10</v>
      </c>
      <c r="G9" s="37"/>
      <c r="H9" s="37"/>
      <c r="I9" s="43"/>
      <c r="J9" s="43">
        <v>1980</v>
      </c>
      <c r="K9" s="43">
        <f>J9*$K$4</f>
        <v>23760</v>
      </c>
      <c r="L9" s="43"/>
      <c r="M9" s="43"/>
      <c r="N9" s="43">
        <f>ROUNDUP($K$9*0.05,0)</f>
        <v>1188</v>
      </c>
      <c r="O9" s="43">
        <f>ROUNDUP($K$9*0.1,0)</f>
        <v>2376</v>
      </c>
      <c r="P9" s="43">
        <f>ROUNDUP($K$9*0.05,0)</f>
        <v>1188</v>
      </c>
      <c r="Q9" s="43">
        <f>ROUNDUP(((K9+L9+M9+N9+O9+P9)),0)</f>
        <v>28512</v>
      </c>
      <c r="R9" s="43">
        <f>Q9*0.2359</f>
        <v>6725.9808000000003</v>
      </c>
      <c r="S9" s="43">
        <f>(Q9+R9)*C9</f>
        <v>35237.980799999998</v>
      </c>
      <c r="T9" s="53" t="s">
        <v>71</v>
      </c>
      <c r="V9" s="44"/>
    </row>
    <row r="10" spans="1:22" ht="48.75" customHeight="1" x14ac:dyDescent="0.25">
      <c r="A10" s="38"/>
      <c r="B10" s="45" t="s">
        <v>54</v>
      </c>
      <c r="C10" s="45"/>
      <c r="D10" s="39"/>
      <c r="E10" s="38"/>
      <c r="F10" s="38"/>
      <c r="G10" s="38"/>
      <c r="H10" s="38"/>
      <c r="I10" s="40"/>
      <c r="J10" s="40">
        <f>SUM(J8:J9)</f>
        <v>5015</v>
      </c>
      <c r="K10" s="40">
        <f t="shared" ref="K10:R10" si="0">SUM(K8:K9)</f>
        <v>60180</v>
      </c>
      <c r="L10" s="40">
        <f t="shared" si="0"/>
        <v>1093</v>
      </c>
      <c r="M10" s="40">
        <f t="shared" si="0"/>
        <v>6192</v>
      </c>
      <c r="N10" s="40">
        <f t="shared" si="0"/>
        <v>1188</v>
      </c>
      <c r="O10" s="40">
        <f t="shared" si="0"/>
        <v>2376</v>
      </c>
      <c r="P10" s="40">
        <f t="shared" si="0"/>
        <v>1188</v>
      </c>
      <c r="Q10" s="40">
        <f t="shared" si="0"/>
        <v>72217</v>
      </c>
      <c r="R10" s="40">
        <f t="shared" si="0"/>
        <v>17035.990300000001</v>
      </c>
      <c r="S10" s="40">
        <f>SUM(S8:S9)</f>
        <v>89252.990300000005</v>
      </c>
      <c r="T10" s="38"/>
    </row>
    <row r="11" spans="1:22" x14ac:dyDescent="0.25">
      <c r="A11" s="48">
        <v>2</v>
      </c>
      <c r="B11" s="48" t="s">
        <v>53</v>
      </c>
      <c r="C11" s="48"/>
      <c r="D11" s="48"/>
      <c r="E11" s="48"/>
      <c r="F11" s="48"/>
      <c r="G11" s="48"/>
      <c r="H11" s="48"/>
      <c r="I11" s="48"/>
      <c r="J11" s="48"/>
      <c r="K11" s="48"/>
      <c r="L11" s="48"/>
      <c r="M11" s="48"/>
      <c r="N11" s="48"/>
      <c r="O11" s="48"/>
      <c r="P11" s="48"/>
      <c r="Q11" s="48"/>
      <c r="R11" s="48"/>
      <c r="S11" s="48"/>
      <c r="T11" s="48"/>
    </row>
    <row r="12" spans="1:22" x14ac:dyDescent="0.25">
      <c r="A12" s="37" t="s">
        <v>74</v>
      </c>
      <c r="B12" s="37" t="s">
        <v>51</v>
      </c>
      <c r="C12" s="37">
        <v>1</v>
      </c>
      <c r="D12" s="42"/>
      <c r="E12" s="37"/>
      <c r="F12" s="37"/>
      <c r="G12" s="37">
        <v>3</v>
      </c>
      <c r="H12" s="37" t="s">
        <v>40</v>
      </c>
      <c r="I12" s="43" t="s">
        <v>41</v>
      </c>
      <c r="J12" s="43">
        <v>1615</v>
      </c>
      <c r="K12" s="43">
        <f>J12*$K$4</f>
        <v>19380</v>
      </c>
      <c r="L12" s="43">
        <f>ROUNDUP(K12*$L$4,0)</f>
        <v>582</v>
      </c>
      <c r="M12" s="43">
        <f>ROUNDUP(K12*$M$4,0)</f>
        <v>3295</v>
      </c>
      <c r="N12" s="43"/>
      <c r="O12" s="43"/>
      <c r="P12" s="43"/>
      <c r="Q12" s="43">
        <f>ROUNDUP(((K12+L12+M12)),0)</f>
        <v>23257</v>
      </c>
      <c r="R12" s="43">
        <f>Q12*0.2359</f>
        <v>5486.3262999999997</v>
      </c>
      <c r="S12" s="43">
        <f>(Q12+R12)*C12</f>
        <v>28743.326300000001</v>
      </c>
      <c r="T12" s="43"/>
      <c r="V12" s="44"/>
    </row>
    <row r="13" spans="1:22" ht="55.5" customHeight="1" x14ac:dyDescent="0.25">
      <c r="A13" s="37" t="s">
        <v>75</v>
      </c>
      <c r="B13" s="35" t="s">
        <v>68</v>
      </c>
      <c r="C13" s="37">
        <v>1</v>
      </c>
      <c r="D13" s="42" t="s">
        <v>69</v>
      </c>
      <c r="E13" s="37" t="s">
        <v>56</v>
      </c>
      <c r="F13" s="37">
        <v>6</v>
      </c>
      <c r="G13" s="37"/>
      <c r="H13" s="37"/>
      <c r="I13" s="43"/>
      <c r="J13" s="43">
        <v>912.9</v>
      </c>
      <c r="K13" s="43">
        <f>J13*$K$4</f>
        <v>10954.8</v>
      </c>
      <c r="L13" s="43"/>
      <c r="M13" s="43"/>
      <c r="N13" s="43">
        <f>ROUNDUP($K$13*0.05,0)</f>
        <v>548</v>
      </c>
      <c r="O13" s="43">
        <f>ROUNDUP($K$13*0.1,0)</f>
        <v>1096</v>
      </c>
      <c r="P13" s="43">
        <f>ROUNDUP($K$13*0.05,0)</f>
        <v>548</v>
      </c>
      <c r="Q13" s="43">
        <f>ROUNDUP(((K13+L13+M13+N13+O13+P13)),0)</f>
        <v>13147</v>
      </c>
      <c r="R13" s="43">
        <f>Q13*0.2359</f>
        <v>3101.3773000000001</v>
      </c>
      <c r="S13" s="43">
        <f>(Q13+R13)*C13</f>
        <v>16248.3773</v>
      </c>
      <c r="T13" s="43"/>
      <c r="V13" s="44"/>
    </row>
    <row r="14" spans="1:22" x14ac:dyDescent="0.25">
      <c r="A14" s="38"/>
      <c r="B14" s="45" t="s">
        <v>52</v>
      </c>
      <c r="C14" s="45"/>
      <c r="D14" s="39"/>
      <c r="E14" s="38"/>
      <c r="F14" s="38"/>
      <c r="G14" s="38"/>
      <c r="H14" s="38"/>
      <c r="I14" s="40"/>
      <c r="J14" s="40">
        <f>SUM(J12:J13)</f>
        <v>2527.9</v>
      </c>
      <c r="K14" s="40">
        <f t="shared" ref="K14:R14" si="1">SUM(K12:K13)</f>
        <v>30334.799999999999</v>
      </c>
      <c r="L14" s="40">
        <f t="shared" si="1"/>
        <v>582</v>
      </c>
      <c r="M14" s="40">
        <f t="shared" si="1"/>
        <v>3295</v>
      </c>
      <c r="N14" s="40">
        <f t="shared" si="1"/>
        <v>548</v>
      </c>
      <c r="O14" s="40">
        <f t="shared" si="1"/>
        <v>1096</v>
      </c>
      <c r="P14" s="40">
        <f t="shared" si="1"/>
        <v>548</v>
      </c>
      <c r="Q14" s="40">
        <f t="shared" si="1"/>
        <v>36404</v>
      </c>
      <c r="R14" s="40">
        <f t="shared" si="1"/>
        <v>8587.7036000000007</v>
      </c>
      <c r="S14" s="40">
        <f>SUM(S12:S13)</f>
        <v>44991.703600000001</v>
      </c>
      <c r="T14" s="38"/>
    </row>
    <row r="15" spans="1:22" ht="93.75" customHeight="1" x14ac:dyDescent="0.25">
      <c r="A15" s="38"/>
      <c r="B15" s="45"/>
      <c r="C15" s="45"/>
      <c r="D15" s="39"/>
      <c r="E15" s="38"/>
      <c r="F15" s="38"/>
      <c r="G15" s="38"/>
      <c r="H15" s="38"/>
      <c r="I15" s="40"/>
      <c r="J15" s="40">
        <f t="shared" ref="J15:R15" si="2">J10-J14</f>
        <v>2487.1</v>
      </c>
      <c r="K15" s="40">
        <f t="shared" si="2"/>
        <v>29845.200000000001</v>
      </c>
      <c r="L15" s="40">
        <f t="shared" si="2"/>
        <v>511</v>
      </c>
      <c r="M15" s="40">
        <f t="shared" si="2"/>
        <v>2897</v>
      </c>
      <c r="N15" s="40"/>
      <c r="O15" s="40"/>
      <c r="P15" s="40"/>
      <c r="Q15" s="40">
        <f t="shared" si="2"/>
        <v>35813</v>
      </c>
      <c r="R15" s="40">
        <f t="shared" si="2"/>
        <v>8448.2867000000006</v>
      </c>
      <c r="S15" s="40">
        <f>S10-S14</f>
        <v>44261.286700000004</v>
      </c>
      <c r="T15" s="49" t="s">
        <v>70</v>
      </c>
    </row>
    <row r="19" spans="18:19" x14ac:dyDescent="0.25">
      <c r="S19" s="41"/>
    </row>
    <row r="23" spans="18:19" x14ac:dyDescent="0.25">
      <c r="R23" s="41"/>
      <c r="S23" s="41"/>
    </row>
    <row r="27" spans="18:19" x14ac:dyDescent="0.25">
      <c r="S27" s="41"/>
    </row>
  </sheetData>
  <mergeCells count="21">
    <mergeCell ref="Q1:T1"/>
    <mergeCell ref="A3:S3"/>
    <mergeCell ref="A5:A6"/>
    <mergeCell ref="B5:B6"/>
    <mergeCell ref="D5:E5"/>
    <mergeCell ref="F5:F6"/>
    <mergeCell ref="H5:H6"/>
    <mergeCell ref="I5:I6"/>
    <mergeCell ref="J5:J6"/>
    <mergeCell ref="K5:K6"/>
    <mergeCell ref="C5:C6"/>
    <mergeCell ref="G5:G6"/>
    <mergeCell ref="T5:T6"/>
    <mergeCell ref="R5:R6"/>
    <mergeCell ref="S5:S6"/>
    <mergeCell ref="L5:L6"/>
    <mergeCell ref="M5:M6"/>
    <mergeCell ref="Q5:Q6"/>
    <mergeCell ref="N5:N6"/>
    <mergeCell ref="O5:O6"/>
    <mergeCell ref="P5:P6"/>
  </mergeCells>
  <pageMargins left="0.7" right="0.7" top="0.75" bottom="0.75" header="0.3" footer="0.3"/>
  <pageSetup paperSize="9" scale="38" orientation="landscape" verticalDpi="0" r:id="rId1"/>
  <colBreaks count="1" manualBreakCount="1">
    <brk id="2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160066EFCDFA4CAAB69DB45CEFB4A8" ma:contentTypeVersion="5" ma:contentTypeDescription="Create a new document." ma:contentTypeScope="" ma:versionID="77ddace383f76bf5cf5fa8a8d59b3d12">
  <xsd:schema xmlns:xsd="http://www.w3.org/2001/XMLSchema" xmlns:xs="http://www.w3.org/2001/XMLSchema" xmlns:p="http://schemas.microsoft.com/office/2006/metadata/properties" xmlns:ns3="8d6c1308-2788-49f7-9014-abb1ae6d92f4" targetNamespace="http://schemas.microsoft.com/office/2006/metadata/properties" ma:root="true" ma:fieldsID="7bd1d08251cd5418954832bb12496f68" ns3:_="">
    <xsd:import namespace="8d6c1308-2788-49f7-9014-abb1ae6d92f4"/>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6c1308-2788-49f7-9014-abb1ae6d9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36FAC6-5228-419F-83CB-DDB65EE3B96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8d6c1308-2788-49f7-9014-abb1ae6d92f4"/>
    <ds:schemaRef ds:uri="http://www.w3.org/XML/1998/namespace"/>
    <ds:schemaRef ds:uri="http://purl.org/dc/dcmitype/"/>
  </ds:schemaRefs>
</ds:datastoreItem>
</file>

<file path=customXml/itemProps2.xml><?xml version="1.0" encoding="utf-8"?>
<ds:datastoreItem xmlns:ds="http://schemas.openxmlformats.org/officeDocument/2006/customXml" ds:itemID="{EB5C2C75-2370-4AC4-B345-6C8B4A53D1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6c1308-2788-49f7-9014-abb1ae6d92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85036F-6282-446C-A38D-617A26E9FC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OMT vad prec</vt:lpstr>
      <vt:lpstr>VK</vt:lpstr>
      <vt:lpstr>VK!Print_Area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Igors Belovs</cp:lastModifiedBy>
  <dcterms:created xsi:type="dcterms:W3CDTF">2024-06-18T07:56:26Z</dcterms:created>
  <dcterms:modified xsi:type="dcterms:W3CDTF">2024-12-10T11:02:06Z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0x0101006C160066EFCDFA4CAAB69DB45CEFB4A8</vt:lpwstr>
  </property>
</Properties>
</file>