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vnozare.pri\vm\Redirect_profiles\lzandberga\Desktop\LZ\DARBAM_MATERIALI\budzets 2019\2024\antidopinga_cenradis\260724\"/>
    </mc:Choice>
  </mc:AlternateContent>
  <xr:revisionPtr revIDLastSave="0" documentId="8_{95DC13CB-8DF9-4425-91C0-A8E13A5CD69A}" xr6:coauthVersionLast="47" xr6:coauthVersionMax="47" xr10:uidLastSave="{00000000-0000-0000-0000-000000000000}"/>
  <bookViews>
    <workbookView xWindow="-120" yWindow="-120" windowWidth="29040" windowHeight="15840" activeTab="1" xr2:uid="{4BBEA1EE-AA87-4354-BF44-5DF2A38C8808}"/>
  </bookViews>
  <sheets>
    <sheet name="3_pielikums" sheetId="1" r:id="rId1"/>
    <sheet name="3.1_pielikums" sheetId="2" r:id="rId2"/>
  </sheets>
  <externalReferences>
    <externalReference r:id="rId3"/>
  </externalReferences>
  <definedNames>
    <definedName name="_xlnm.Print_Area" localSheetId="0">'3_pielikums'!$A$1:$S$35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34" i="2" l="1"/>
  <c r="V35" i="2" s="1"/>
  <c r="P35" i="2"/>
  <c r="J9" i="1"/>
  <c r="R21" i="2" l="1"/>
  <c r="U35" i="2"/>
  <c r="J35" i="2"/>
  <c r="I35" i="2"/>
  <c r="G35" i="2"/>
  <c r="AK34" i="2"/>
  <c r="AJ34" i="2"/>
  <c r="AI34" i="2"/>
  <c r="AE34" i="2"/>
  <c r="AD34" i="2"/>
  <c r="AC34" i="2"/>
  <c r="AB34" i="2"/>
  <c r="AA34" i="2"/>
  <c r="AG34" i="2" s="1"/>
  <c r="Z34" i="2"/>
  <c r="AF34" i="2" s="1"/>
  <c r="Y34" i="2"/>
  <c r="X34" i="2"/>
  <c r="W34" i="2"/>
  <c r="F34" i="2"/>
  <c r="AK33" i="2"/>
  <c r="AN33" i="2" s="1"/>
  <c r="AJ33" i="2"/>
  <c r="AI33" i="2"/>
  <c r="AL33" i="2" s="1"/>
  <c r="AF33" i="2"/>
  <c r="AE33" i="2"/>
  <c r="AD33" i="2"/>
  <c r="AG33" i="2" s="1"/>
  <c r="AC33" i="2"/>
  <c r="AB33" i="2"/>
  <c r="AH33" i="2" s="1"/>
  <c r="AA33" i="2"/>
  <c r="Z33" i="2"/>
  <c r="Y33" i="2"/>
  <c r="X33" i="2"/>
  <c r="W33" i="2"/>
  <c r="V33" i="2"/>
  <c r="F33" i="2"/>
  <c r="AK32" i="2"/>
  <c r="AJ32" i="2"/>
  <c r="AM32" i="2" s="1"/>
  <c r="AI32" i="2"/>
  <c r="AE32" i="2"/>
  <c r="AC32" i="2"/>
  <c r="AB32" i="2"/>
  <c r="AN32" i="2" s="1"/>
  <c r="AA32" i="2"/>
  <c r="Z32" i="2"/>
  <c r="AF32" i="2" s="1"/>
  <c r="W32" i="2"/>
  <c r="Q32" i="2"/>
  <c r="R32" i="2" s="1"/>
  <c r="V32" i="2" s="1"/>
  <c r="O32" i="2"/>
  <c r="Y32" i="2" s="1"/>
  <c r="N32" i="2"/>
  <c r="X32" i="2" s="1"/>
  <c r="M32" i="2"/>
  <c r="K32" i="2"/>
  <c r="L32" i="2" s="1"/>
  <c r="F32" i="2"/>
  <c r="AK31" i="2"/>
  <c r="AN31" i="2" s="1"/>
  <c r="AJ31" i="2"/>
  <c r="AM31" i="2" s="1"/>
  <c r="AI31" i="2"/>
  <c r="AE31" i="2"/>
  <c r="AH31" i="2" s="1"/>
  <c r="AC31" i="2"/>
  <c r="AF31" i="2" s="1"/>
  <c r="AB31" i="2"/>
  <c r="AA31" i="2"/>
  <c r="AG31" i="2" s="1"/>
  <c r="Z31" i="2"/>
  <c r="X31" i="2"/>
  <c r="W31" i="2"/>
  <c r="Q31" i="2"/>
  <c r="R31" i="2" s="1"/>
  <c r="V31" i="2" s="1"/>
  <c r="O31" i="2"/>
  <c r="Y31" i="2" s="1"/>
  <c r="N31" i="2"/>
  <c r="AD31" i="2" s="1"/>
  <c r="M31" i="2"/>
  <c r="K31" i="2"/>
  <c r="L31" i="2" s="1"/>
  <c r="F31" i="2"/>
  <c r="AK30" i="2"/>
  <c r="AN30" i="2" s="1"/>
  <c r="AJ30" i="2"/>
  <c r="AI30" i="2"/>
  <c r="AH30" i="2"/>
  <c r="AE30" i="2"/>
  <c r="AD30" i="2"/>
  <c r="AC30" i="2"/>
  <c r="AB30" i="2"/>
  <c r="AA30" i="2"/>
  <c r="Z30" i="2"/>
  <c r="Y30" i="2"/>
  <c r="X30" i="2"/>
  <c r="W30" i="2"/>
  <c r="F30" i="2"/>
  <c r="V30" i="2" s="1"/>
  <c r="AK29" i="2"/>
  <c r="AJ29" i="2"/>
  <c r="AM29" i="2" s="1"/>
  <c r="AI29" i="2"/>
  <c r="AL29" i="2" s="1"/>
  <c r="AE29" i="2"/>
  <c r="AD29" i="2"/>
  <c r="AC29" i="2"/>
  <c r="AB29" i="2"/>
  <c r="AH29" i="2" s="1"/>
  <c r="AA29" i="2"/>
  <c r="AG29" i="2" s="1"/>
  <c r="Z29" i="2"/>
  <c r="AF29" i="2" s="1"/>
  <c r="Y29" i="2"/>
  <c r="X29" i="2"/>
  <c r="W29" i="2"/>
  <c r="V29" i="2"/>
  <c r="F29" i="2"/>
  <c r="AK28" i="2"/>
  <c r="AN28" i="2" s="1"/>
  <c r="AJ28" i="2"/>
  <c r="AI28" i="2"/>
  <c r="AC28" i="2"/>
  <c r="AB28" i="2"/>
  <c r="AA28" i="2"/>
  <c r="Z28" i="2"/>
  <c r="W28" i="2"/>
  <c r="Q28" i="2"/>
  <c r="R28" i="2" s="1"/>
  <c r="V28" i="2" s="1"/>
  <c r="O28" i="2"/>
  <c r="AE28" i="2" s="1"/>
  <c r="AH28" i="2" s="1"/>
  <c r="N28" i="2"/>
  <c r="AD28" i="2" s="1"/>
  <c r="M28" i="2"/>
  <c r="L28" i="2"/>
  <c r="K28" i="2"/>
  <c r="F28" i="2"/>
  <c r="AK27" i="2"/>
  <c r="AN27" i="2" s="1"/>
  <c r="AJ27" i="2"/>
  <c r="AI27" i="2"/>
  <c r="AL27" i="2" s="1"/>
  <c r="AD27" i="2"/>
  <c r="AC27" i="2"/>
  <c r="AB27" i="2"/>
  <c r="AA27" i="2"/>
  <c r="AG27" i="2" s="1"/>
  <c r="Z27" i="2"/>
  <c r="AF27" i="2" s="1"/>
  <c r="W27" i="2"/>
  <c r="Q27" i="2"/>
  <c r="R27" i="2" s="1"/>
  <c r="V27" i="2" s="1"/>
  <c r="O27" i="2"/>
  <c r="Y27" i="2" s="1"/>
  <c r="N27" i="2"/>
  <c r="X27" i="2" s="1"/>
  <c r="M27" i="2"/>
  <c r="L27" i="2"/>
  <c r="K27" i="2"/>
  <c r="F27" i="2"/>
  <c r="AK26" i="2"/>
  <c r="AN26" i="2" s="1"/>
  <c r="AJ26" i="2"/>
  <c r="AI26" i="2"/>
  <c r="AL26" i="2" s="1"/>
  <c r="AD26" i="2"/>
  <c r="AG26" i="2" s="1"/>
  <c r="AB26" i="2"/>
  <c r="AA26" i="2"/>
  <c r="Z26" i="2"/>
  <c r="Y26" i="2"/>
  <c r="X26" i="2"/>
  <c r="Q26" i="2"/>
  <c r="R26" i="2" s="1"/>
  <c r="O26" i="2"/>
  <c r="AE26" i="2" s="1"/>
  <c r="AH26" i="2" s="1"/>
  <c r="N26" i="2"/>
  <c r="M26" i="2"/>
  <c r="AC26" i="2" s="1"/>
  <c r="AF26" i="2" s="1"/>
  <c r="L26" i="2"/>
  <c r="K26" i="2"/>
  <c r="F26" i="2"/>
  <c r="AK25" i="2"/>
  <c r="AJ25" i="2"/>
  <c r="AI25" i="2"/>
  <c r="AL25" i="2" s="1"/>
  <c r="AD25" i="2"/>
  <c r="AB25" i="2"/>
  <c r="AA25" i="2"/>
  <c r="Z25" i="2"/>
  <c r="X25" i="2"/>
  <c r="Q25" i="2"/>
  <c r="R25" i="2" s="1"/>
  <c r="V25" i="2" s="1"/>
  <c r="O25" i="2"/>
  <c r="AE25" i="2" s="1"/>
  <c r="N25" i="2"/>
  <c r="M25" i="2"/>
  <c r="W25" i="2" s="1"/>
  <c r="L25" i="2"/>
  <c r="K25" i="2"/>
  <c r="F25" i="2"/>
  <c r="AK24" i="2"/>
  <c r="AJ24" i="2"/>
  <c r="AM24" i="2" s="1"/>
  <c r="AE24" i="2"/>
  <c r="AD24" i="2"/>
  <c r="AB24" i="2"/>
  <c r="AH24" i="2" s="1"/>
  <c r="AA24" i="2"/>
  <c r="AG24" i="2" s="1"/>
  <c r="Z24" i="2"/>
  <c r="T24" i="2"/>
  <c r="X24" i="2" s="1"/>
  <c r="S24" i="2"/>
  <c r="AI24" i="2" s="1"/>
  <c r="AL24" i="2" s="1"/>
  <c r="Q24" i="2"/>
  <c r="R24" i="2" s="1"/>
  <c r="O24" i="2"/>
  <c r="Y24" i="2" s="1"/>
  <c r="N24" i="2"/>
  <c r="M24" i="2"/>
  <c r="AC24" i="2" s="1"/>
  <c r="AF24" i="2" s="1"/>
  <c r="L24" i="2"/>
  <c r="K24" i="2"/>
  <c r="F24" i="2"/>
  <c r="AK23" i="2"/>
  <c r="AJ23" i="2"/>
  <c r="AI23" i="2"/>
  <c r="AG23" i="2"/>
  <c r="AE23" i="2"/>
  <c r="AD23" i="2"/>
  <c r="AC23" i="2"/>
  <c r="AB23" i="2"/>
  <c r="AA23" i="2"/>
  <c r="Z23" i="2"/>
  <c r="AF23" i="2" s="1"/>
  <c r="Y23" i="2"/>
  <c r="X23" i="2"/>
  <c r="W23" i="2"/>
  <c r="V23" i="2"/>
  <c r="AK22" i="2"/>
  <c r="AJ22" i="2"/>
  <c r="AM22" i="2" s="1"/>
  <c r="AI22" i="2"/>
  <c r="AL22" i="2" s="1"/>
  <c r="AE22" i="2"/>
  <c r="AD22" i="2"/>
  <c r="AB22" i="2"/>
  <c r="AH22" i="2" s="1"/>
  <c r="AA22" i="2"/>
  <c r="AG22" i="2" s="1"/>
  <c r="Z22" i="2"/>
  <c r="AF22" i="2" s="1"/>
  <c r="W22" i="2"/>
  <c r="Q22" i="2"/>
  <c r="R22" i="2" s="1"/>
  <c r="V22" i="2" s="1"/>
  <c r="O22" i="2"/>
  <c r="Y22" i="2" s="1"/>
  <c r="N22" i="2"/>
  <c r="X22" i="2" s="1"/>
  <c r="M22" i="2"/>
  <c r="AC22" i="2" s="1"/>
  <c r="K22" i="2"/>
  <c r="L22" i="2" s="1"/>
  <c r="F22" i="2"/>
  <c r="AK21" i="2"/>
  <c r="AE21" i="2"/>
  <c r="AH21" i="2" s="1"/>
  <c r="AB21" i="2"/>
  <c r="AN21" i="2" s="1"/>
  <c r="AA21" i="2"/>
  <c r="Z21" i="2"/>
  <c r="T21" i="2"/>
  <c r="AJ21" i="2" s="1"/>
  <c r="AM21" i="2" s="1"/>
  <c r="S21" i="2"/>
  <c r="AI21" i="2" s="1"/>
  <c r="O21" i="2"/>
  <c r="Y21" i="2" s="1"/>
  <c r="N21" i="2"/>
  <c r="AD21" i="2" s="1"/>
  <c r="AG21" i="2" s="1"/>
  <c r="M21" i="2"/>
  <c r="AC21" i="2" s="1"/>
  <c r="K21" i="2"/>
  <c r="L21" i="2" s="1"/>
  <c r="F21" i="2"/>
  <c r="AK20" i="2"/>
  <c r="AJ20" i="2"/>
  <c r="AM20" i="2" s="1"/>
  <c r="AI20" i="2"/>
  <c r="AL20" i="2" s="1"/>
  <c r="AE20" i="2"/>
  <c r="AD20" i="2"/>
  <c r="AG20" i="2" s="1"/>
  <c r="AB20" i="2"/>
  <c r="AH20" i="2" s="1"/>
  <c r="AA20" i="2"/>
  <c r="Z20" i="2"/>
  <c r="AF20" i="2" s="1"/>
  <c r="Y20" i="2"/>
  <c r="W20" i="2"/>
  <c r="Q20" i="2"/>
  <c r="R20" i="2" s="1"/>
  <c r="V20" i="2" s="1"/>
  <c r="O20" i="2"/>
  <c r="N20" i="2"/>
  <c r="X20" i="2" s="1"/>
  <c r="M20" i="2"/>
  <c r="AC20" i="2" s="1"/>
  <c r="K20" i="2"/>
  <c r="L20" i="2" s="1"/>
  <c r="F20" i="2"/>
  <c r="AK19" i="2"/>
  <c r="AJ19" i="2"/>
  <c r="AM19" i="2" s="1"/>
  <c r="AI19" i="2"/>
  <c r="AG19" i="2"/>
  <c r="AE19" i="2"/>
  <c r="AH19" i="2" s="1"/>
  <c r="AD19" i="2"/>
  <c r="AB19" i="2"/>
  <c r="AA19" i="2"/>
  <c r="Z19" i="2"/>
  <c r="Y19" i="2"/>
  <c r="X19" i="2"/>
  <c r="W19" i="2"/>
  <c r="Q19" i="2"/>
  <c r="O19" i="2"/>
  <c r="N19" i="2"/>
  <c r="M19" i="2"/>
  <c r="AC19" i="2" s="1"/>
  <c r="L19" i="2"/>
  <c r="V19" i="2" s="1"/>
  <c r="K19" i="2"/>
  <c r="F19" i="2"/>
  <c r="AK18" i="2"/>
  <c r="AJ18" i="2"/>
  <c r="AI18" i="2"/>
  <c r="AL18" i="2" s="1"/>
  <c r="AG18" i="2"/>
  <c r="AD18" i="2"/>
  <c r="AB18" i="2"/>
  <c r="AA18" i="2"/>
  <c r="Z18" i="2"/>
  <c r="Y18" i="2"/>
  <c r="Q18" i="2"/>
  <c r="R18" i="2" s="1"/>
  <c r="O18" i="2"/>
  <c r="AE18" i="2" s="1"/>
  <c r="N18" i="2"/>
  <c r="X18" i="2" s="1"/>
  <c r="M18" i="2"/>
  <c r="W18" i="2" s="1"/>
  <c r="K18" i="2"/>
  <c r="L18" i="2" s="1"/>
  <c r="F18" i="2"/>
  <c r="AK17" i="2"/>
  <c r="AJ17" i="2"/>
  <c r="AM17" i="2" s="1"/>
  <c r="AI17" i="2"/>
  <c r="AL17" i="2" s="1"/>
  <c r="AE17" i="2"/>
  <c r="AD17" i="2"/>
  <c r="AG17" i="2" s="1"/>
  <c r="AB17" i="2"/>
  <c r="AH17" i="2" s="1"/>
  <c r="AA17" i="2"/>
  <c r="Z17" i="2"/>
  <c r="Y17" i="2"/>
  <c r="W17" i="2"/>
  <c r="Q17" i="2"/>
  <c r="R17" i="2" s="1"/>
  <c r="O17" i="2"/>
  <c r="N17" i="2"/>
  <c r="X17" i="2" s="1"/>
  <c r="M17" i="2"/>
  <c r="AC17" i="2" s="1"/>
  <c r="K17" i="2"/>
  <c r="L17" i="2" s="1"/>
  <c r="F17" i="2"/>
  <c r="AK16" i="2"/>
  <c r="AJ16" i="2"/>
  <c r="AM16" i="2" s="1"/>
  <c r="AI16" i="2"/>
  <c r="AE16" i="2"/>
  <c r="AH16" i="2" s="1"/>
  <c r="AB16" i="2"/>
  <c r="AA16" i="2"/>
  <c r="Z16" i="2"/>
  <c r="Y16" i="2"/>
  <c r="W16" i="2"/>
  <c r="Q16" i="2"/>
  <c r="R16" i="2" s="1"/>
  <c r="O16" i="2"/>
  <c r="N16" i="2"/>
  <c r="AD16" i="2" s="1"/>
  <c r="AG16" i="2" s="1"/>
  <c r="M16" i="2"/>
  <c r="AC16" i="2" s="1"/>
  <c r="K16" i="2"/>
  <c r="L16" i="2" s="1"/>
  <c r="F16" i="2"/>
  <c r="AK15" i="2"/>
  <c r="AH15" i="2"/>
  <c r="AE15" i="2"/>
  <c r="AC15" i="2"/>
  <c r="AB15" i="2"/>
  <c r="AA15" i="2"/>
  <c r="AG15" i="2" s="1"/>
  <c r="Z15" i="2"/>
  <c r="AF15" i="2" s="1"/>
  <c r="T15" i="2"/>
  <c r="X15" i="2" s="1"/>
  <c r="S15" i="2"/>
  <c r="W15" i="2" s="1"/>
  <c r="Q15" i="2"/>
  <c r="R15" i="2" s="1"/>
  <c r="O15" i="2"/>
  <c r="Y15" i="2" s="1"/>
  <c r="N15" i="2"/>
  <c r="AD15" i="2" s="1"/>
  <c r="M15" i="2"/>
  <c r="K15" i="2"/>
  <c r="L15" i="2" s="1"/>
  <c r="F15" i="2"/>
  <c r="AK14" i="2"/>
  <c r="AB14" i="2"/>
  <c r="AA14" i="2"/>
  <c r="Z14" i="2"/>
  <c r="T14" i="2"/>
  <c r="AJ14" i="2" s="1"/>
  <c r="AM14" i="2" s="1"/>
  <c r="S14" i="2"/>
  <c r="AI14" i="2" s="1"/>
  <c r="Q14" i="2"/>
  <c r="R14" i="2" s="1"/>
  <c r="V14" i="2" s="1"/>
  <c r="O14" i="2"/>
  <c r="Y14" i="2" s="1"/>
  <c r="N14" i="2"/>
  <c r="AD14" i="2" s="1"/>
  <c r="AG14" i="2" s="1"/>
  <c r="M14" i="2"/>
  <c r="K14" i="2"/>
  <c r="L14" i="2" s="1"/>
  <c r="F14" i="2"/>
  <c r="AK13" i="2"/>
  <c r="AE13" i="2"/>
  <c r="AD13" i="2"/>
  <c r="AG13" i="2" s="1"/>
  <c r="AB13" i="2"/>
  <c r="AH13" i="2" s="1"/>
  <c r="AA13" i="2"/>
  <c r="Z13" i="2"/>
  <c r="AF13" i="2" s="1"/>
  <c r="T13" i="2"/>
  <c r="X13" i="2" s="1"/>
  <c r="S13" i="2"/>
  <c r="AI13" i="2" s="1"/>
  <c r="AL13" i="2" s="1"/>
  <c r="Q13" i="2"/>
  <c r="R13" i="2" s="1"/>
  <c r="V13" i="2" s="1"/>
  <c r="O13" i="2"/>
  <c r="Y13" i="2" s="1"/>
  <c r="N13" i="2"/>
  <c r="M13" i="2"/>
  <c r="AC13" i="2" s="1"/>
  <c r="L13" i="2"/>
  <c r="K13" i="2"/>
  <c r="F13" i="2"/>
  <c r="AK12" i="2"/>
  <c r="AG12" i="2"/>
  <c r="AD12" i="2"/>
  <c r="AB12" i="2"/>
  <c r="AA12" i="2"/>
  <c r="Z12" i="2"/>
  <c r="AF12" i="2" s="1"/>
  <c r="T12" i="2"/>
  <c r="X12" i="2" s="1"/>
  <c r="S12" i="2"/>
  <c r="W12" i="2" s="1"/>
  <c r="Q12" i="2"/>
  <c r="R12" i="2" s="1"/>
  <c r="V12" i="2" s="1"/>
  <c r="O12" i="2"/>
  <c r="AE12" i="2" s="1"/>
  <c r="N12" i="2"/>
  <c r="M12" i="2"/>
  <c r="AC12" i="2" s="1"/>
  <c r="L12" i="2"/>
  <c r="K12" i="2"/>
  <c r="F12" i="2"/>
  <c r="AL11" i="2"/>
  <c r="AK11" i="2"/>
  <c r="AN11" i="2" s="1"/>
  <c r="AJ11" i="2"/>
  <c r="AI11" i="2"/>
  <c r="AD11" i="2"/>
  <c r="AG11" i="2" s="1"/>
  <c r="AB11" i="2"/>
  <c r="AH11" i="2" s="1"/>
  <c r="AA11" i="2"/>
  <c r="AM11" i="2" s="1"/>
  <c r="Z11" i="2"/>
  <c r="Y11" i="2"/>
  <c r="X11" i="2"/>
  <c r="Q11" i="2"/>
  <c r="R11" i="2" s="1"/>
  <c r="V11" i="2" s="1"/>
  <c r="O11" i="2"/>
  <c r="AE11" i="2" s="1"/>
  <c r="N11" i="2"/>
  <c r="M11" i="2"/>
  <c r="AC11" i="2" s="1"/>
  <c r="AF11" i="2" s="1"/>
  <c r="L11" i="2"/>
  <c r="K11" i="2"/>
  <c r="F11" i="2"/>
  <c r="AK10" i="2"/>
  <c r="AB10" i="2"/>
  <c r="AA10" i="2"/>
  <c r="Z10" i="2"/>
  <c r="T10" i="2"/>
  <c r="S10" i="2"/>
  <c r="Q10" i="2"/>
  <c r="R10" i="2" s="1"/>
  <c r="O10" i="2"/>
  <c r="AE10" i="2" s="1"/>
  <c r="N10" i="2"/>
  <c r="AD10" i="2" s="1"/>
  <c r="AG10" i="2" s="1"/>
  <c r="M10" i="2"/>
  <c r="AC10" i="2" s="1"/>
  <c r="K10" i="2"/>
  <c r="L10" i="2" s="1"/>
  <c r="F10" i="2"/>
  <c r="AK9" i="2"/>
  <c r="AN9" i="2" s="1"/>
  <c r="AB9" i="2"/>
  <c r="AB35" i="2" s="1"/>
  <c r="AB38" i="2" s="1"/>
  <c r="Z9" i="2"/>
  <c r="Z35" i="2" s="1"/>
  <c r="Z38" i="2" s="1"/>
  <c r="T9" i="2"/>
  <c r="S9" i="2"/>
  <c r="Q9" i="2"/>
  <c r="R9" i="2" s="1"/>
  <c r="O9" i="2"/>
  <c r="N9" i="2"/>
  <c r="N35" i="2" s="1"/>
  <c r="L9" i="2"/>
  <c r="L35" i="2" s="1"/>
  <c r="K9" i="2"/>
  <c r="H9" i="2"/>
  <c r="AA9" i="2" s="1"/>
  <c r="G9" i="2"/>
  <c r="M9" i="2" s="1"/>
  <c r="F9" i="2"/>
  <c r="F35" i="2" s="1"/>
  <c r="O35" i="1"/>
  <c r="I35" i="1"/>
  <c r="S34" i="1"/>
  <c r="R34" i="1"/>
  <c r="Q34" i="1"/>
  <c r="P34" i="1"/>
  <c r="F34" i="1"/>
  <c r="S33" i="1"/>
  <c r="R33" i="1"/>
  <c r="Q33" i="1"/>
  <c r="P33" i="1"/>
  <c r="F33" i="1"/>
  <c r="S32" i="1"/>
  <c r="N32" i="1"/>
  <c r="R32" i="1" s="1"/>
  <c r="M32" i="1"/>
  <c r="Q32" i="1" s="1"/>
  <c r="K32" i="1"/>
  <c r="J32" i="1"/>
  <c r="F32" i="1"/>
  <c r="S31" i="1"/>
  <c r="N31" i="1"/>
  <c r="R31" i="1" s="1"/>
  <c r="M31" i="1"/>
  <c r="Q31" i="1" s="1"/>
  <c r="K31" i="1"/>
  <c r="J31" i="1"/>
  <c r="F31" i="1"/>
  <c r="S30" i="1"/>
  <c r="R30" i="1"/>
  <c r="Q30" i="1"/>
  <c r="F30" i="1"/>
  <c r="P30" i="1" s="1"/>
  <c r="S29" i="1"/>
  <c r="R29" i="1"/>
  <c r="Q29" i="1"/>
  <c r="F29" i="1"/>
  <c r="P29" i="1" s="1"/>
  <c r="S28" i="1"/>
  <c r="N28" i="1"/>
  <c r="R28" i="1" s="1"/>
  <c r="M28" i="1"/>
  <c r="Q28" i="1" s="1"/>
  <c r="K28" i="1"/>
  <c r="J28" i="1"/>
  <c r="F28" i="1"/>
  <c r="S27" i="1"/>
  <c r="N27" i="1"/>
  <c r="R27" i="1" s="1"/>
  <c r="M27" i="1"/>
  <c r="Q27" i="1" s="1"/>
  <c r="K27" i="1"/>
  <c r="J27" i="1"/>
  <c r="F27" i="1"/>
  <c r="S26" i="1"/>
  <c r="N26" i="1"/>
  <c r="R26" i="1" s="1"/>
  <c r="M26" i="1"/>
  <c r="Q26" i="1" s="1"/>
  <c r="K26" i="1"/>
  <c r="J26" i="1"/>
  <c r="F26" i="1"/>
  <c r="S25" i="1"/>
  <c r="N25" i="1"/>
  <c r="R25" i="1" s="1"/>
  <c r="M25" i="1"/>
  <c r="Q25" i="1" s="1"/>
  <c r="K25" i="1"/>
  <c r="J25" i="1"/>
  <c r="F25" i="1"/>
  <c r="S24" i="1"/>
  <c r="N24" i="1"/>
  <c r="R24" i="1" s="1"/>
  <c r="M24" i="1"/>
  <c r="Q24" i="1" s="1"/>
  <c r="K24" i="1"/>
  <c r="J24" i="1"/>
  <c r="F24" i="1"/>
  <c r="S23" i="1"/>
  <c r="R23" i="1"/>
  <c r="Q23" i="1"/>
  <c r="P23" i="1"/>
  <c r="S22" i="1"/>
  <c r="N22" i="1"/>
  <c r="R22" i="1" s="1"/>
  <c r="M22" i="1"/>
  <c r="Q22" i="1" s="1"/>
  <c r="K22" i="1"/>
  <c r="J22" i="1"/>
  <c r="F22" i="1"/>
  <c r="S21" i="1"/>
  <c r="N21" i="1"/>
  <c r="R21" i="1" s="1"/>
  <c r="M21" i="1"/>
  <c r="Q21" i="1" s="1"/>
  <c r="K21" i="1"/>
  <c r="J21" i="1"/>
  <c r="F21" i="1"/>
  <c r="S20" i="1"/>
  <c r="N20" i="1"/>
  <c r="R20" i="1" s="1"/>
  <c r="M20" i="1"/>
  <c r="Q20" i="1" s="1"/>
  <c r="K20" i="1"/>
  <c r="J20" i="1"/>
  <c r="F20" i="1"/>
  <c r="S19" i="1"/>
  <c r="N19" i="1"/>
  <c r="R19" i="1" s="1"/>
  <c r="M19" i="1"/>
  <c r="Q19" i="1" s="1"/>
  <c r="K19" i="1"/>
  <c r="J19" i="1"/>
  <c r="F19" i="1"/>
  <c r="S18" i="1"/>
  <c r="N18" i="1"/>
  <c r="R18" i="1" s="1"/>
  <c r="M18" i="1"/>
  <c r="Q18" i="1" s="1"/>
  <c r="K18" i="1"/>
  <c r="J18" i="1"/>
  <c r="F18" i="1"/>
  <c r="S17" i="1"/>
  <c r="N17" i="1"/>
  <c r="R17" i="1" s="1"/>
  <c r="M17" i="1"/>
  <c r="Q17" i="1" s="1"/>
  <c r="K17" i="1"/>
  <c r="J17" i="1"/>
  <c r="F17" i="1"/>
  <c r="S16" i="1"/>
  <c r="N16" i="1"/>
  <c r="R16" i="1" s="1"/>
  <c r="M16" i="1"/>
  <c r="Q16" i="1" s="1"/>
  <c r="K16" i="1"/>
  <c r="J16" i="1"/>
  <c r="F16" i="1"/>
  <c r="S15" i="1"/>
  <c r="N15" i="1"/>
  <c r="R15" i="1" s="1"/>
  <c r="M15" i="1"/>
  <c r="Q15" i="1" s="1"/>
  <c r="K15" i="1"/>
  <c r="J15" i="1"/>
  <c r="F15" i="1"/>
  <c r="S14" i="1"/>
  <c r="N14" i="1"/>
  <c r="R14" i="1" s="1"/>
  <c r="M14" i="1"/>
  <c r="Q14" i="1" s="1"/>
  <c r="K14" i="1"/>
  <c r="J14" i="1"/>
  <c r="F14" i="1"/>
  <c r="S13" i="1"/>
  <c r="N13" i="1"/>
  <c r="R13" i="1" s="1"/>
  <c r="M13" i="1"/>
  <c r="Q13" i="1" s="1"/>
  <c r="K13" i="1"/>
  <c r="J13" i="1"/>
  <c r="F13" i="1"/>
  <c r="S12" i="1"/>
  <c r="N12" i="1"/>
  <c r="R12" i="1" s="1"/>
  <c r="M12" i="1"/>
  <c r="Q12" i="1" s="1"/>
  <c r="K12" i="1"/>
  <c r="J12" i="1"/>
  <c r="F12" i="1"/>
  <c r="S11" i="1"/>
  <c r="N11" i="1"/>
  <c r="R11" i="1" s="1"/>
  <c r="M11" i="1"/>
  <c r="Q11" i="1" s="1"/>
  <c r="K11" i="1"/>
  <c r="J11" i="1"/>
  <c r="F11" i="1"/>
  <c r="S10" i="1"/>
  <c r="N10" i="1"/>
  <c r="R10" i="1" s="1"/>
  <c r="M10" i="1"/>
  <c r="Q10" i="1" s="1"/>
  <c r="K10" i="1"/>
  <c r="J10" i="1"/>
  <c r="F10" i="1"/>
  <c r="S9" i="1"/>
  <c r="N9" i="1"/>
  <c r="M9" i="1"/>
  <c r="K9" i="1"/>
  <c r="H9" i="1"/>
  <c r="H35" i="1" s="1"/>
  <c r="G9" i="1"/>
  <c r="G35" i="1" s="1"/>
  <c r="F9" i="1"/>
  <c r="F35" i="1" s="1"/>
  <c r="L19" i="1" l="1"/>
  <c r="P19" i="1" s="1"/>
  <c r="M35" i="2"/>
  <c r="AE14" i="2"/>
  <c r="AH14" i="2" s="1"/>
  <c r="W10" i="2"/>
  <c r="X10" i="2"/>
  <c r="AF10" i="2"/>
  <c r="AD9" i="2"/>
  <c r="AG9" i="2" s="1"/>
  <c r="L21" i="1"/>
  <c r="P21" i="1" s="1"/>
  <c r="L24" i="1"/>
  <c r="P24" i="1" s="1"/>
  <c r="L32" i="1"/>
  <c r="O35" i="2"/>
  <c r="T38" i="2" s="1"/>
  <c r="AM23" i="2"/>
  <c r="AI9" i="2"/>
  <c r="AL9" i="2" s="1"/>
  <c r="S35" i="2"/>
  <c r="R38" i="2" s="1"/>
  <c r="AM25" i="2"/>
  <c r="AJ9" i="2"/>
  <c r="AM9" i="2" s="1"/>
  <c r="T35" i="2"/>
  <c r="S38" i="2" s="1"/>
  <c r="AN10" i="2"/>
  <c r="AL16" i="2"/>
  <c r="L25" i="1"/>
  <c r="AM18" i="2"/>
  <c r="L22" i="1"/>
  <c r="P22" i="1" s="1"/>
  <c r="L9" i="1"/>
  <c r="P9" i="1" s="1"/>
  <c r="L13" i="1"/>
  <c r="P13" i="1" s="1"/>
  <c r="AN16" i="2"/>
  <c r="J35" i="1"/>
  <c r="AJ12" i="2"/>
  <c r="AM12" i="2" s="1"/>
  <c r="AJ13" i="2"/>
  <c r="AM13" i="2" s="1"/>
  <c r="L12" i="1"/>
  <c r="P12" i="1" s="1"/>
  <c r="L31" i="1"/>
  <c r="P31" i="1" s="1"/>
  <c r="L14" i="1"/>
  <c r="P14" i="1" s="1"/>
  <c r="L20" i="1"/>
  <c r="P20" i="1" s="1"/>
  <c r="AI12" i="2"/>
  <c r="AL12" i="2" s="1"/>
  <c r="V21" i="2"/>
  <c r="L28" i="1"/>
  <c r="P28" i="1" s="1"/>
  <c r="AM30" i="2"/>
  <c r="AL30" i="2"/>
  <c r="L18" i="1"/>
  <c r="P18" i="1" s="1"/>
  <c r="L27" i="1"/>
  <c r="P27" i="1" s="1"/>
  <c r="L17" i="1"/>
  <c r="P17" i="1" s="1"/>
  <c r="AN15" i="2"/>
  <c r="AN18" i="2"/>
  <c r="AL19" i="2"/>
  <c r="V26" i="2"/>
  <c r="AM33" i="2"/>
  <c r="L10" i="1"/>
  <c r="P10" i="1" s="1"/>
  <c r="L15" i="1"/>
  <c r="P15" i="1" s="1"/>
  <c r="L16" i="1"/>
  <c r="P16" i="1" s="1"/>
  <c r="L26" i="1"/>
  <c r="P26" i="1" s="1"/>
  <c r="AN25" i="2"/>
  <c r="AM26" i="2"/>
  <c r="AN34" i="2"/>
  <c r="S35" i="1"/>
  <c r="X9" i="2"/>
  <c r="AK35" i="2"/>
  <c r="AK38" i="2" s="1"/>
  <c r="AI10" i="2"/>
  <c r="AL10" i="2" s="1"/>
  <c r="AN19" i="2"/>
  <c r="AL31" i="2"/>
  <c r="AN23" i="2"/>
  <c r="M35" i="1"/>
  <c r="AJ10" i="2"/>
  <c r="AM10" i="2" s="1"/>
  <c r="AN12" i="2"/>
  <c r="W14" i="2"/>
  <c r="AN14" i="2"/>
  <c r="AL28" i="2"/>
  <c r="L11" i="1"/>
  <c r="P11" i="1" s="1"/>
  <c r="V24" i="2"/>
  <c r="N35" i="1"/>
  <c r="AJ15" i="2"/>
  <c r="AM15" i="2" s="1"/>
  <c r="AM28" i="2"/>
  <c r="AC9" i="2"/>
  <c r="AF17" i="2"/>
  <c r="AL14" i="2"/>
  <c r="AA35" i="2"/>
  <c r="AA38" i="2" s="1"/>
  <c r="AA40" i="2" s="1"/>
  <c r="V10" i="2"/>
  <c r="V15" i="2"/>
  <c r="V16" i="2"/>
  <c r="V17" i="2"/>
  <c r="AL21" i="2"/>
  <c r="V9" i="2"/>
  <c r="R35" i="2"/>
  <c r="Q38" i="2" s="1"/>
  <c r="V18" i="2"/>
  <c r="Y12" i="2"/>
  <c r="W21" i="2"/>
  <c r="Y25" i="2"/>
  <c r="AG25" i="2"/>
  <c r="X28" i="2"/>
  <c r="AF28" i="2"/>
  <c r="AF30" i="2"/>
  <c r="AH32" i="2"/>
  <c r="AH34" i="2"/>
  <c r="W9" i="2"/>
  <c r="AE9" i="2"/>
  <c r="AH10" i="2"/>
  <c r="W11" i="2"/>
  <c r="AH12" i="2"/>
  <c r="X14" i="2"/>
  <c r="AI15" i="2"/>
  <c r="X16" i="2"/>
  <c r="AF16" i="2"/>
  <c r="AH18" i="2"/>
  <c r="AF19" i="2"/>
  <c r="X21" i="2"/>
  <c r="AF21" i="2"/>
  <c r="AH23" i="2"/>
  <c r="AH25" i="2"/>
  <c r="W26" i="2"/>
  <c r="Y28" i="2"/>
  <c r="AG28" i="2"/>
  <c r="AG30" i="2"/>
  <c r="H35" i="2"/>
  <c r="Y10" i="2"/>
  <c r="AN13" i="2"/>
  <c r="AN17" i="2"/>
  <c r="AC18" i="2"/>
  <c r="AF18" i="2" s="1"/>
  <c r="AN20" i="2"/>
  <c r="AN22" i="2"/>
  <c r="AN24" i="2"/>
  <c r="AC25" i="2"/>
  <c r="AF25" i="2" s="1"/>
  <c r="AE27" i="2"/>
  <c r="AH27" i="2" s="1"/>
  <c r="AM27" i="2"/>
  <c r="AN29" i="2"/>
  <c r="AD32" i="2"/>
  <c r="AL32" i="2"/>
  <c r="AL34" i="2"/>
  <c r="Y9" i="2"/>
  <c r="W13" i="2"/>
  <c r="W24" i="2"/>
  <c r="AL23" i="2"/>
  <c r="AM34" i="2"/>
  <c r="AC14" i="2"/>
  <c r="AF14" i="2" s="1"/>
  <c r="P25" i="1"/>
  <c r="P32" i="1"/>
  <c r="Q9" i="1"/>
  <c r="Q35" i="1" s="1"/>
  <c r="R9" i="1"/>
  <c r="R35" i="1" s="1"/>
  <c r="AD35" i="2" l="1"/>
  <c r="AD38" i="2" s="1"/>
  <c r="AG38" i="2" s="1"/>
  <c r="Y35" i="2"/>
  <c r="X35" i="2"/>
  <c r="W35" i="2"/>
  <c r="AJ35" i="2"/>
  <c r="AJ38" i="2" s="1"/>
  <c r="AI35" i="2"/>
  <c r="AI38" i="2" s="1"/>
  <c r="AL15" i="2"/>
  <c r="L35" i="1"/>
  <c r="AN35" i="2"/>
  <c r="AG32" i="2"/>
  <c r="AM35" i="2"/>
  <c r="AE35" i="2"/>
  <c r="AE38" i="2" s="1"/>
  <c r="AH38" i="2" s="1"/>
  <c r="AN38" i="2" s="1"/>
  <c r="AH9" i="2"/>
  <c r="AH35" i="2" s="1"/>
  <c r="AG35" i="2"/>
  <c r="AL35" i="2"/>
  <c r="AC35" i="2"/>
  <c r="AC38" i="2" s="1"/>
  <c r="AF9" i="2"/>
  <c r="AF35" i="2" s="1"/>
  <c r="P35" i="1"/>
  <c r="AJ40" i="2" l="1"/>
  <c r="AM38" i="2"/>
  <c r="AD40" i="2"/>
  <c r="AF38" i="2"/>
  <c r="AG40" i="2" l="1"/>
  <c r="AL38" i="2"/>
  <c r="AM40" i="2" s="1"/>
</calcChain>
</file>

<file path=xl/sharedStrings.xml><?xml version="1.0" encoding="utf-8"?>
<sst xmlns="http://schemas.openxmlformats.org/spreadsheetml/2006/main" count="191" uniqueCount="73">
  <si>
    <t>3.pielikums
 Ministru kabineta noteikumu projektam 
"Latvijas Antidopinga biroja maksas pakalpojumu cenrādis" 
sākotnējās ietekmes novērtējuma
 ziņojumam (anotācijai)</t>
  </si>
  <si>
    <t>Ieņēmumu no maksas pakalpojumiem izmaiņas sadalījumā pa izdevumu ekonomiskās klasifikācijas kodiem (EKK) salīdzinot 10.07.2018. MK noteikumos Nr.410 "Latvijas Antidopinga biroja maksas pakalpojumu cenrādis" apstiprinātās izmaksas ar noteikumu projektā "Grozījumi 10.07.2018. MK noteikumos Nr.410 "Latvijas Antidopinga biroja maksas pakalpojumu cenrādis""  (jaunā cenrāža projektā) iekļautajām izmaksām</t>
  </si>
  <si>
    <t>Nr. p.k.</t>
  </si>
  <si>
    <t>Pakalpojuma veids</t>
  </si>
  <si>
    <t>Mērvienība</t>
  </si>
  <si>
    <t>Atbilstoši 10.07.2018. MK noteikumiem Nr.410</t>
  </si>
  <si>
    <t>Jaunais cenrādis</t>
  </si>
  <si>
    <t>Izmaksu pieaugums/ samazinājums</t>
  </si>
  <si>
    <t>no tā, izdevumi sadalījumā pa EKK</t>
  </si>
  <si>
    <t>Daudzums</t>
  </si>
  <si>
    <t xml:space="preserve">Cena bez PVN (euro) </t>
  </si>
  <si>
    <t>Summa gadā (euro) bez PVN</t>
  </si>
  <si>
    <t>Dopinga kontroles analīzes</t>
  </si>
  <si>
    <t>1.1.</t>
  </si>
  <si>
    <t>viena urīna parauga analīze dopinga vielu noteikšanai sacensību laikā bez papildu izmeklējumiem un atbildes sniegšana 14 dienu laikā</t>
  </si>
  <si>
    <t>1 analīze</t>
  </si>
  <si>
    <t>1.2.</t>
  </si>
  <si>
    <t>viena urīna parauga analīze dopinga vielu noteikšanai ārpus sacensībām bez papildu izmeklējumiem un atbildes sniegšana 14 dienu laikā</t>
  </si>
  <si>
    <t>1.3.</t>
  </si>
  <si>
    <t>viena urīna parauga analīze dopinga vielu noteikšanai sacensību laikā bez papildu izmeklējumiem un atbildes sniegšana 72 stundu laikā</t>
  </si>
  <si>
    <t>1.4.</t>
  </si>
  <si>
    <t>viena urīna parauga analīze dopinga vielu noteikšanai ārpus sacensībām bez papildu izmeklējumiem un atbildes sniegšana 72 stundu laikā</t>
  </si>
  <si>
    <t>1.5.</t>
  </si>
  <si>
    <t>viena urīna parauga savākšana (bez paraugu transportēšanas uz laboratoriju, laboratorijas pakalpojumu un komandējuma izdevumu apmaksas)</t>
  </si>
  <si>
    <t>1.6.</t>
  </si>
  <si>
    <t>viens papildu izmeklējums eritropoetīna noteikšanai urīnā</t>
  </si>
  <si>
    <t>1.7.</t>
  </si>
  <si>
    <t>viens papildu izmeklējums augšanas hormona atbrīvotājfaktoru noteikšanai urīnā</t>
  </si>
  <si>
    <t>1.8.</t>
  </si>
  <si>
    <t>viens papildu izmeklējums gonadotropīna atbrīvotājhormona noteikšanai urīnā</t>
  </si>
  <si>
    <t>1.9.</t>
  </si>
  <si>
    <t>viens papildu izmeklējums endogēno steroīdu noteikšanai urīnā ar IRMS metodi</t>
  </si>
  <si>
    <t>1.10.</t>
  </si>
  <si>
    <t>viens papildu izmeklējums insulīna noteikšanai urīnā</t>
  </si>
  <si>
    <t>1.11.</t>
  </si>
  <si>
    <t>viens izmeklējums endogēno steroīdu apstiprināšanai urīnā, tai skaitā ar IRMS metodi</t>
  </si>
  <si>
    <t>1.12.</t>
  </si>
  <si>
    <t>viena asins parauga analīze eritropoetīna noteikšanai asins serumā</t>
  </si>
  <si>
    <t>1.13.</t>
  </si>
  <si>
    <t>viena asins parauga analīze augšanas hormona noteikšanai asins serumā</t>
  </si>
  <si>
    <t>1.14.</t>
  </si>
  <si>
    <t>viena asins parauga analīze mākslīgu skābekļa pārnesēju uz hemoglobīna bāzes noteikšanai asins plazmā</t>
  </si>
  <si>
    <t>viena asins parauga analīze eritropoetīna noteikšanai asins plazmā</t>
  </si>
  <si>
    <t>1.15.</t>
  </si>
  <si>
    <t>viena asins parauga analīze sportista bioloģiskajai asins pasei asins plazmā</t>
  </si>
  <si>
    <t>1.16.</t>
  </si>
  <si>
    <t>viena asins parauga savākšana (bez paraugu transportēšanas uz laboratoriju, laboratorijas pakalpojumu un komandējuma izdevumu apmaksas)</t>
  </si>
  <si>
    <t>1.17.</t>
  </si>
  <si>
    <t>viena parauga B daļas kvalitatīvā analīze A paraugā noteiktās dopinga vielas apstiprināšanai</t>
  </si>
  <si>
    <t>1.18.</t>
  </si>
  <si>
    <t>viena parauga B daļas kvantitatīvā analīze A paraugā noteiktās dopinga vielas apstiprināšanai</t>
  </si>
  <si>
    <t>1.19.</t>
  </si>
  <si>
    <t>viena parauga B daļas izmeklējums ar IRMS metodi</t>
  </si>
  <si>
    <t>viena parauga B daļas izmeklējums eritropoetīna un tā analogu apstiprināšanai</t>
  </si>
  <si>
    <t>viena parauga B daļas izmeklējums augšanas hormona apstiprināšanai</t>
  </si>
  <si>
    <t>1.20.</t>
  </si>
  <si>
    <t>dopinga kontroles laboratorijas sagatavots analītisko rezultātu pilns dokumentārs pārskats</t>
  </si>
  <si>
    <t>1 dokuments</t>
  </si>
  <si>
    <t>1.21.</t>
  </si>
  <si>
    <t>dopinga kontroles laboratorijas sagatavots analītisko rezultātu pilns dokumentārs pārskats sportista bioloģiskajai asins pasei</t>
  </si>
  <si>
    <t>lekcija antidopinga jomā (bez komandējuma izdevumu apmaksas)</t>
  </si>
  <si>
    <t>1 akadēmiskā stunda</t>
  </si>
  <si>
    <t>antidopinga stenda prezentācija (divi informatori un izdales materiāli 100 personām, bez komandējuma izdevumu apmaksas)</t>
  </si>
  <si>
    <t>1 stunda</t>
  </si>
  <si>
    <t>KOPĀ:</t>
  </si>
  <si>
    <t>Starpība</t>
  </si>
  <si>
    <t>starpība</t>
  </si>
  <si>
    <t>3.1.pielikums
 Ministru kabineta noteikumu projektam 
"Latvijas Antidopinga biroja maksas pakalpojumu cenrādis" 
sākotnējās ietekmes novērtējuma
 ziņojumam (anotācijai)</t>
  </si>
  <si>
    <t>Ieņēmumu no maksas pakalpojumiem izmaiņas sadalījumā pa izdevumu ekonomiskās klasifikācijas kodiem (EKK) salīdzinot 10.07.2018. MK noteikumos Nr.410 "Latvijas Antidopinga biroja maksas pakalpojumu cenrādis" apstiprinātās izmaksas ar noteikumu projektā "Grozījumi 10.07.2018. MK noteikumos Nr.410 "Latvijas Antidopinga biroja maksas pakalpojumu cenrādis"" (jaunā cenrāža projektā) iekļautajām izmaksām</t>
  </si>
  <si>
    <t>Laboratorijas sagatavots analītisko rezultātu pilns dokumentārs pārskats A vai B paraugam</t>
  </si>
  <si>
    <t>Laboratorijas sagatavots analītisko rezultātu pilns dokumentārs pārskats A un B paraugam</t>
  </si>
  <si>
    <t xml:space="preserve"> cenrādis ar šī brīža spēkā esošajām cenām (2024. gada (janvāris-septembris) prognoze)</t>
  </si>
  <si>
    <t>Jaunais cenrādis ar jaunajām cenām  (2024. gada (oktobris-decembris) prognoze)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</si>
</sst>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1"/>
      <color theme="1"/>
      <name val="Aptos Narrow"/>
      <family val="2"/>
      <charset val="186"/>
      <scheme val="minor"/>
    </font>
    <font>
      <sz val="12"/>
      <color theme="1"/>
      <name val="Times New Roman"/>
      <family val="1"/>
    </font>
    <font>
      <b/>
      <sz val="12"/>
      <color theme="1"/>
      <name val="Times New Roman"/>
      <family val="1"/>
    </font>
    <font>
      <sz val="12"/>
      <name val="Times New Roman"/>
      <family val="1"/>
    </font>
    <font>
      <strike/>
      <sz val="12"/>
      <color rgb="FFFF0000"/>
      <name val="Times New Roman"/>
      <family val="1"/>
    </font>
    <font>
      <sz val="12"/>
      <color rgb="FFFF0000"/>
      <name val="Times New Roman"/>
      <family val="1"/>
    </font>
    <font>
      <b/>
      <sz val="11"/>
      <color theme="1"/>
      <name val="Times New Roman"/>
      <family val="1"/>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00"/>
        <bgColor indexed="64"/>
      </patternFill>
    </fill>
  </fills>
  <borders count="23">
    <border>
      <left/>
      <right/>
      <top/>
      <bottom/>
      <diagonal/>
    </border>
    <border>
      <left style="medium">
        <color auto="1"/>
      </left>
      <right style="thin">
        <color auto="1"/>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thin">
        <color auto="1"/>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medium">
        <color indexed="64"/>
      </bottom>
      <diagonal/>
    </border>
    <border>
      <left/>
      <right style="thin">
        <color auto="1"/>
      </right>
      <top/>
      <bottom style="medium">
        <color auto="1"/>
      </bottom>
      <diagonal/>
    </border>
    <border>
      <left/>
      <right/>
      <top/>
      <bottom style="thin">
        <color auto="1"/>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89">
    <xf numFmtId="0" fontId="0" fillId="0" borderId="0" xfId="0"/>
    <xf numFmtId="0" fontId="1" fillId="0" borderId="0" xfId="0" applyFont="1" applyAlignment="1">
      <alignment vertical="top" wrapText="1"/>
    </xf>
    <xf numFmtId="4" fontId="0" fillId="0" borderId="0" xfId="0" applyNumberFormat="1"/>
    <xf numFmtId="0" fontId="2" fillId="0" borderId="0" xfId="0" applyFont="1"/>
    <xf numFmtId="0" fontId="1" fillId="0" borderId="0" xfId="0" applyFont="1"/>
    <xf numFmtId="0" fontId="1" fillId="0" borderId="8" xfId="0" applyFont="1" applyBorder="1" applyAlignment="1">
      <alignment horizontal="center" vertical="center" wrapText="1"/>
    </xf>
    <xf numFmtId="0" fontId="1" fillId="0" borderId="0" xfId="0" applyFont="1" applyAlignment="1">
      <alignment horizontal="center" vertical="center" wrapText="1"/>
    </xf>
    <xf numFmtId="0" fontId="2" fillId="0" borderId="10"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justify" vertical="center" wrapText="1"/>
    </xf>
    <xf numFmtId="0" fontId="1" fillId="0" borderId="15" xfId="0" applyFont="1" applyBorder="1" applyAlignment="1">
      <alignment horizontal="center" vertical="center"/>
    </xf>
    <xf numFmtId="4" fontId="1" fillId="0" borderId="15" xfId="0" applyNumberFormat="1" applyFont="1" applyBorder="1" applyAlignment="1">
      <alignment horizontal="right" vertical="center"/>
    </xf>
    <xf numFmtId="4" fontId="1" fillId="0" borderId="16" xfId="0" applyNumberFormat="1" applyFont="1" applyBorder="1" applyAlignment="1">
      <alignment horizontal="right" vertical="center"/>
    </xf>
    <xf numFmtId="0" fontId="1" fillId="0" borderId="5" xfId="0" applyFont="1" applyBorder="1" applyAlignment="1">
      <alignment horizontal="center" vertical="center"/>
    </xf>
    <xf numFmtId="2" fontId="1" fillId="0" borderId="5" xfId="0" applyNumberFormat="1" applyFont="1" applyBorder="1" applyAlignment="1">
      <alignment horizontal="right" vertical="center"/>
    </xf>
    <xf numFmtId="4" fontId="1" fillId="0" borderId="5" xfId="0" applyNumberFormat="1" applyFont="1" applyBorder="1" applyAlignment="1">
      <alignment horizontal="right" vertical="center"/>
    </xf>
    <xf numFmtId="4" fontId="1" fillId="2" borderId="5" xfId="0" applyNumberFormat="1" applyFont="1" applyFill="1" applyBorder="1" applyAlignment="1">
      <alignment vertical="center"/>
    </xf>
    <xf numFmtId="4" fontId="1" fillId="2" borderId="5" xfId="0" applyNumberFormat="1" applyFont="1" applyFill="1" applyBorder="1" applyAlignment="1">
      <alignment horizontal="right" vertical="center"/>
    </xf>
    <xf numFmtId="0" fontId="1" fillId="0" borderId="4" xfId="0" applyFont="1" applyBorder="1" applyAlignment="1">
      <alignment horizontal="center" vertical="center"/>
    </xf>
    <xf numFmtId="0" fontId="1" fillId="0" borderId="5" xfId="0" applyFont="1" applyBorder="1" applyAlignment="1">
      <alignment horizontal="justify" vertical="center" wrapText="1"/>
    </xf>
    <xf numFmtId="4" fontId="1" fillId="0" borderId="17" xfId="0" applyNumberFormat="1" applyFont="1" applyBorder="1" applyAlignment="1">
      <alignment horizontal="right" vertical="center"/>
    </xf>
    <xf numFmtId="4" fontId="3" fillId="0" borderId="5" xfId="0" applyNumberFormat="1" applyFont="1" applyBorder="1" applyAlignment="1">
      <alignment horizontal="right" vertical="center"/>
    </xf>
    <xf numFmtId="0" fontId="4" fillId="0" borderId="5" xfId="0" applyFont="1" applyBorder="1" applyAlignment="1">
      <alignment horizontal="justify" vertical="center" wrapText="1"/>
    </xf>
    <xf numFmtId="0" fontId="4" fillId="0" borderId="5" xfId="0" applyFont="1" applyBorder="1" applyAlignment="1">
      <alignment horizontal="center" vertical="center"/>
    </xf>
    <xf numFmtId="4" fontId="4" fillId="0" borderId="5" xfId="0" applyNumberFormat="1" applyFont="1" applyBorder="1" applyAlignment="1">
      <alignment horizontal="right" vertical="center"/>
    </xf>
    <xf numFmtId="0" fontId="3" fillId="0" borderId="5" xfId="0" applyFont="1" applyBorder="1" applyAlignment="1">
      <alignment horizontal="center" vertical="center"/>
    </xf>
    <xf numFmtId="0" fontId="5" fillId="0" borderId="4" xfId="0" applyFont="1" applyBorder="1" applyAlignment="1">
      <alignment horizontal="center" vertical="center"/>
    </xf>
    <xf numFmtId="4" fontId="1" fillId="0" borderId="0" xfId="0" applyNumberFormat="1" applyFont="1"/>
    <xf numFmtId="4" fontId="2" fillId="0" borderId="18" xfId="0" applyNumberFormat="1" applyFont="1" applyBorder="1" applyAlignment="1">
      <alignment horizontal="right"/>
    </xf>
    <xf numFmtId="4" fontId="2" fillId="0" borderId="12" xfId="0" applyNumberFormat="1" applyFont="1" applyBorder="1" applyAlignment="1">
      <alignment horizontal="right"/>
    </xf>
    <xf numFmtId="0" fontId="2" fillId="0" borderId="19" xfId="0" applyFont="1" applyBorder="1" applyAlignment="1">
      <alignment horizontal="right"/>
    </xf>
    <xf numFmtId="4" fontId="2" fillId="0" borderId="12" xfId="0" applyNumberFormat="1" applyFont="1" applyBorder="1" applyAlignment="1">
      <alignment horizontal="right" vertical="center"/>
    </xf>
    <xf numFmtId="0" fontId="1" fillId="0" borderId="0" xfId="0" applyFont="1" applyAlignment="1">
      <alignment horizontal="right"/>
    </xf>
    <xf numFmtId="164" fontId="0" fillId="0" borderId="0" xfId="0" applyNumberFormat="1"/>
    <xf numFmtId="0" fontId="0" fillId="3" borderId="0" xfId="0" applyFill="1"/>
    <xf numFmtId="0" fontId="1" fillId="3" borderId="8" xfId="0" applyFont="1" applyFill="1" applyBorder="1" applyAlignment="1">
      <alignment horizontal="center" vertical="center" wrapText="1"/>
    </xf>
    <xf numFmtId="0" fontId="2" fillId="4" borderId="0" xfId="0" applyFont="1" applyFill="1"/>
    <xf numFmtId="0" fontId="2" fillId="5" borderId="0" xfId="0" applyFont="1" applyFill="1"/>
    <xf numFmtId="4" fontId="1" fillId="3" borderId="16" xfId="0" applyNumberFormat="1" applyFont="1" applyFill="1" applyBorder="1" applyAlignment="1">
      <alignment horizontal="right" vertical="center"/>
    </xf>
    <xf numFmtId="4" fontId="1" fillId="3" borderId="5" xfId="0" applyNumberFormat="1" applyFont="1" applyFill="1" applyBorder="1" applyAlignment="1">
      <alignment horizontal="right" vertical="center"/>
    </xf>
    <xf numFmtId="2" fontId="1" fillId="0" borderId="0" xfId="0" applyNumberFormat="1" applyFont="1"/>
    <xf numFmtId="2" fontId="1" fillId="4" borderId="0" xfId="0" applyNumberFormat="1" applyFont="1" applyFill="1"/>
    <xf numFmtId="2" fontId="1" fillId="5" borderId="0" xfId="0" applyNumberFormat="1" applyFont="1" applyFill="1"/>
    <xf numFmtId="4" fontId="1" fillId="3" borderId="17" xfId="0" applyNumberFormat="1" applyFont="1" applyFill="1" applyBorder="1" applyAlignment="1">
      <alignment horizontal="right" vertical="center"/>
    </xf>
    <xf numFmtId="4" fontId="2" fillId="3" borderId="18" xfId="0" applyNumberFormat="1" applyFont="1" applyFill="1" applyBorder="1" applyAlignment="1">
      <alignment horizontal="right"/>
    </xf>
    <xf numFmtId="2" fontId="2" fillId="0" borderId="12" xfId="0" applyNumberFormat="1" applyFont="1" applyBorder="1" applyAlignment="1">
      <alignment horizontal="right" vertical="center"/>
    </xf>
    <xf numFmtId="4" fontId="2" fillId="3" borderId="11" xfId="0" applyNumberFormat="1" applyFont="1" applyFill="1" applyBorder="1" applyAlignment="1">
      <alignment horizontal="right"/>
    </xf>
    <xf numFmtId="4" fontId="1" fillId="2" borderId="6" xfId="0" applyNumberFormat="1" applyFont="1" applyFill="1" applyBorder="1" applyAlignment="1">
      <alignment horizontal="right" vertical="center"/>
    </xf>
    <xf numFmtId="4" fontId="2" fillId="0" borderId="8" xfId="0" applyNumberFormat="1" applyFont="1" applyBorder="1" applyAlignment="1">
      <alignment horizontal="right"/>
    </xf>
    <xf numFmtId="0" fontId="2" fillId="0" borderId="8" xfId="0" applyFont="1" applyBorder="1" applyAlignment="1">
      <alignment horizontal="right"/>
    </xf>
    <xf numFmtId="4" fontId="2" fillId="3" borderId="8" xfId="0" applyNumberFormat="1" applyFont="1" applyFill="1" applyBorder="1" applyAlignment="1">
      <alignment horizontal="right"/>
    </xf>
    <xf numFmtId="4" fontId="2" fillId="0" borderId="8" xfId="0" applyNumberFormat="1" applyFont="1" applyBorder="1" applyAlignment="1">
      <alignment horizontal="right" vertical="center"/>
    </xf>
    <xf numFmtId="4" fontId="2" fillId="0" borderId="9" xfId="0" applyNumberFormat="1" applyFont="1" applyBorder="1" applyAlignment="1">
      <alignment horizontal="right" vertical="center"/>
    </xf>
    <xf numFmtId="4" fontId="6" fillId="0" borderId="0" xfId="0" applyNumberFormat="1" applyFont="1"/>
    <xf numFmtId="0" fontId="2" fillId="0" borderId="10" xfId="0" applyFont="1" applyBorder="1" applyAlignment="1">
      <alignment horizontal="right"/>
    </xf>
    <xf numFmtId="0" fontId="2" fillId="0" borderId="18" xfId="0" applyFont="1" applyBorder="1" applyAlignment="1">
      <alignment horizontal="right"/>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0" xfId="0" applyFont="1" applyAlignment="1">
      <alignment horizontal="left" vertical="center" wrapText="1"/>
    </xf>
    <xf numFmtId="0" fontId="2" fillId="0" borderId="13" xfId="0" applyFont="1" applyBorder="1" applyAlignment="1">
      <alignment horizontal="left" vertical="center" wrapText="1"/>
    </xf>
    <xf numFmtId="0" fontId="1" fillId="0" borderId="0" xfId="0" applyFont="1" applyAlignment="1">
      <alignment horizontal="right" vertical="top"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0" borderId="20" xfId="0" applyFont="1" applyBorder="1" applyAlignment="1">
      <alignment horizontal="center"/>
    </xf>
    <xf numFmtId="0" fontId="1" fillId="5" borderId="6"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nozare.pri\vm\Redirect_profiles\lzandberga\Desktop\LZ\DARBAM_MATERIALI\budzets%202019\2024\antidopinga_cenradis\VMnotp2_170624_darbam_izejas_dati.xlsx" TargetMode="External"/><Relationship Id="rId1" Type="http://schemas.openxmlformats.org/officeDocument/2006/relationships/externalLinkPath" Target="/Redirect_profiles/lzandberga/Desktop/LZ/DARBAM_MATERIALI/budzets%202019/2024/antidopinga_cenradis/VMnotp2_170624_darbam_izejas_dat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_pielikums (2)"/>
      <sheetName val="1_pielikum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2_pielikums"/>
      <sheetName val="3_pielikums"/>
      <sheetName val="Pozīcijas"/>
      <sheetName val="Tieši attiecināmie izdevumi"/>
      <sheetName val="Netieši attiecināmie izdevumi"/>
    </sheetNames>
    <sheetDataSet>
      <sheetData sheetId="0"/>
      <sheetData sheetId="1"/>
      <sheetData sheetId="2">
        <row r="10">
          <cell r="C10">
            <v>4281.2987012987014</v>
          </cell>
        </row>
        <row r="12">
          <cell r="C12">
            <v>3180</v>
          </cell>
        </row>
        <row r="14">
          <cell r="C14">
            <v>1070.3246753246754</v>
          </cell>
        </row>
        <row r="16">
          <cell r="C16">
            <v>2012.6099545454545</v>
          </cell>
        </row>
        <row r="18">
          <cell r="C18">
            <v>637.05999999999995</v>
          </cell>
        </row>
        <row r="20">
          <cell r="C20">
            <v>8829.7999999999993</v>
          </cell>
        </row>
        <row r="22">
          <cell r="C22">
            <v>60.420000000000009</v>
          </cell>
        </row>
        <row r="24">
          <cell r="C24">
            <v>190.79999999999998</v>
          </cell>
        </row>
        <row r="26">
          <cell r="C26">
            <v>2.0829</v>
          </cell>
        </row>
        <row r="28">
          <cell r="C28">
            <v>859.66</v>
          </cell>
        </row>
        <row r="30">
          <cell r="C30">
            <v>1.4575</v>
          </cell>
        </row>
        <row r="32">
          <cell r="C32">
            <v>26.5</v>
          </cell>
        </row>
        <row r="34">
          <cell r="C34">
            <v>6.8900000000000006</v>
          </cell>
        </row>
        <row r="38">
          <cell r="C38">
            <v>1132.1483111111111</v>
          </cell>
        </row>
        <row r="40">
          <cell r="C40">
            <v>267.07378659111112</v>
          </cell>
        </row>
        <row r="41">
          <cell r="C41">
            <v>51.506836888888898</v>
          </cell>
        </row>
        <row r="43">
          <cell r="C43">
            <v>1697.3779999999999</v>
          </cell>
        </row>
        <row r="45">
          <cell r="C45">
            <v>400.4114702</v>
          </cell>
        </row>
        <row r="47">
          <cell r="C47">
            <v>12.56800974074074</v>
          </cell>
        </row>
        <row r="49">
          <cell r="C49">
            <v>56.297777777777775</v>
          </cell>
        </row>
        <row r="51">
          <cell r="C51">
            <v>932.8823266666667</v>
          </cell>
        </row>
        <row r="53">
          <cell r="C53">
            <v>948.23473066666679</v>
          </cell>
        </row>
        <row r="55">
          <cell r="C55">
            <v>214.12845703333335</v>
          </cell>
        </row>
        <row r="57">
          <cell r="C57">
            <v>47.618537037037044</v>
          </cell>
        </row>
        <row r="64">
          <cell r="C64">
            <v>507.90852782796526</v>
          </cell>
        </row>
      </sheetData>
      <sheetData sheetId="3">
        <row r="8">
          <cell r="C8">
            <v>484.67532467532465</v>
          </cell>
        </row>
        <row r="10">
          <cell r="C10">
            <v>320</v>
          </cell>
        </row>
        <row r="12">
          <cell r="C12">
            <v>161.55844155844156</v>
          </cell>
        </row>
        <row r="14">
          <cell r="C14">
            <v>227.93454545454546</v>
          </cell>
        </row>
        <row r="16">
          <cell r="C16">
            <v>96.16</v>
          </cell>
        </row>
        <row r="18">
          <cell r="C18">
            <v>999.6</v>
          </cell>
        </row>
        <row r="20">
          <cell r="C20">
            <v>28.799999999999997</v>
          </cell>
        </row>
        <row r="22">
          <cell r="C22">
            <v>0.31440000000000001</v>
          </cell>
        </row>
        <row r="24">
          <cell r="C24">
            <v>129.76</v>
          </cell>
        </row>
        <row r="26">
          <cell r="C26">
            <v>0.22</v>
          </cell>
        </row>
        <row r="28">
          <cell r="C28">
            <v>4</v>
          </cell>
        </row>
        <row r="30">
          <cell r="C30">
            <v>1.04</v>
          </cell>
        </row>
        <row r="34">
          <cell r="C34">
            <v>170.89031111111112</v>
          </cell>
        </row>
        <row r="36">
          <cell r="C36">
            <v>40.312950999999998</v>
          </cell>
        </row>
        <row r="38">
          <cell r="C38">
            <v>7.7746168888888905</v>
          </cell>
        </row>
        <row r="40">
          <cell r="C40">
            <v>256.20800000000003</v>
          </cell>
        </row>
        <row r="42">
          <cell r="C42">
            <v>60.439467200000003</v>
          </cell>
        </row>
        <row r="43">
          <cell r="C43">
            <v>1.8970580740740741</v>
          </cell>
        </row>
        <row r="45">
          <cell r="C45">
            <v>8.4977777777777774</v>
          </cell>
        </row>
        <row r="47">
          <cell r="C47">
            <v>140.81242666666665</v>
          </cell>
        </row>
        <row r="49">
          <cell r="C49">
            <v>143.12977066666667</v>
          </cell>
        </row>
        <row r="51">
          <cell r="C51">
            <v>32.321276533333332</v>
          </cell>
        </row>
        <row r="53">
          <cell r="C53">
            <v>7.1877037037037042</v>
          </cell>
        </row>
        <row r="60">
          <cell r="C60">
            <v>415.44175891381678</v>
          </cell>
        </row>
      </sheetData>
      <sheetData sheetId="4">
        <row r="8">
          <cell r="C8">
            <v>80.779220779220779</v>
          </cell>
        </row>
        <row r="10">
          <cell r="C10">
            <v>60</v>
          </cell>
        </row>
        <row r="12">
          <cell r="C12">
            <v>20.194805194805195</v>
          </cell>
        </row>
        <row r="14">
          <cell r="C14">
            <v>37.975181999999997</v>
          </cell>
        </row>
        <row r="16">
          <cell r="C16">
            <v>12.02</v>
          </cell>
        </row>
        <row r="18">
          <cell r="C18">
            <v>274.89</v>
          </cell>
        </row>
        <row r="20">
          <cell r="C20">
            <v>1.1400000000000001</v>
          </cell>
        </row>
        <row r="22">
          <cell r="C22">
            <v>3.5999999999999996</v>
          </cell>
        </row>
        <row r="24">
          <cell r="C24">
            <v>3.9300000000000002E-2</v>
          </cell>
        </row>
        <row r="26">
          <cell r="C26">
            <v>16.22</v>
          </cell>
        </row>
        <row r="28">
          <cell r="C28">
            <v>2.75E-2</v>
          </cell>
        </row>
        <row r="30">
          <cell r="C30">
            <v>0.5</v>
          </cell>
        </row>
        <row r="32">
          <cell r="C32">
            <v>0.13</v>
          </cell>
        </row>
        <row r="36">
          <cell r="C36">
            <v>21.36128888888889</v>
          </cell>
        </row>
        <row r="38">
          <cell r="C38">
            <v>5.038824</v>
          </cell>
        </row>
        <row r="40">
          <cell r="C40">
            <v>0.97182711111111131</v>
          </cell>
        </row>
        <row r="42">
          <cell r="C42">
            <v>32.026000000000003</v>
          </cell>
        </row>
        <row r="44">
          <cell r="C44">
            <v>7.5558770000000006</v>
          </cell>
        </row>
        <row r="46">
          <cell r="C46">
            <v>0.23713225925925926</v>
          </cell>
        </row>
        <row r="48">
          <cell r="C48">
            <v>1.0622222222222222</v>
          </cell>
        </row>
        <row r="50">
          <cell r="C50">
            <v>17.601553333333332</v>
          </cell>
        </row>
        <row r="52">
          <cell r="C52">
            <v>17.891221333333334</v>
          </cell>
        </row>
        <row r="54">
          <cell r="C54">
            <v>4.0401595666666665</v>
          </cell>
        </row>
        <row r="56">
          <cell r="C56">
            <v>0.89846296296296302</v>
          </cell>
        </row>
        <row r="63">
          <cell r="C63">
            <v>616.20057665180377</v>
          </cell>
        </row>
      </sheetData>
      <sheetData sheetId="5">
        <row r="8">
          <cell r="C8">
            <v>121.16883116883116</v>
          </cell>
        </row>
        <row r="10">
          <cell r="C10">
            <v>80</v>
          </cell>
        </row>
        <row r="12">
          <cell r="C12">
            <v>40.38961038961039</v>
          </cell>
        </row>
        <row r="14">
          <cell r="C14">
            <v>56.983636363636364</v>
          </cell>
        </row>
        <row r="16">
          <cell r="C16">
            <v>24.04</v>
          </cell>
        </row>
        <row r="18">
          <cell r="C18">
            <v>449.82</v>
          </cell>
        </row>
        <row r="20">
          <cell r="C20">
            <v>7.1999999999999993</v>
          </cell>
        </row>
        <row r="22">
          <cell r="C22">
            <v>7.8600000000000003E-2</v>
          </cell>
        </row>
        <row r="24">
          <cell r="C24">
            <v>32.44</v>
          </cell>
        </row>
        <row r="26">
          <cell r="C26">
            <v>5.5E-2</v>
          </cell>
        </row>
        <row r="28">
          <cell r="C28">
            <v>1</v>
          </cell>
        </row>
        <row r="30">
          <cell r="C30">
            <v>0.26</v>
          </cell>
        </row>
        <row r="34">
          <cell r="C34">
            <v>42.722577777777779</v>
          </cell>
        </row>
        <row r="37">
          <cell r="C37">
            <v>1.9436542222222226</v>
          </cell>
        </row>
        <row r="39">
          <cell r="C39">
            <v>64.052000000000007</v>
          </cell>
        </row>
        <row r="41">
          <cell r="C41">
            <v>25.646630928800001</v>
          </cell>
        </row>
        <row r="43">
          <cell r="C43">
            <v>0.47426451851851853</v>
          </cell>
        </row>
        <row r="45">
          <cell r="C45">
            <v>2.1244444444444444</v>
          </cell>
        </row>
        <row r="47">
          <cell r="C47">
            <v>35.203106666666663</v>
          </cell>
        </row>
        <row r="49">
          <cell r="C49">
            <v>35.782442666666668</v>
          </cell>
        </row>
        <row r="51">
          <cell r="C51">
            <v>8.0803209037037043</v>
          </cell>
        </row>
        <row r="53">
          <cell r="C53">
            <v>1.796925925925926</v>
          </cell>
        </row>
        <row r="60">
          <cell r="C60">
            <v>515.63102298840204</v>
          </cell>
        </row>
      </sheetData>
      <sheetData sheetId="6">
        <row r="8">
          <cell r="C8">
            <v>646.23376623376623</v>
          </cell>
        </row>
        <row r="10">
          <cell r="C10">
            <v>480</v>
          </cell>
        </row>
        <row r="12">
          <cell r="C12">
            <v>161.55844155844156</v>
          </cell>
        </row>
        <row r="14">
          <cell r="C14">
            <v>303.79018181818185</v>
          </cell>
        </row>
        <row r="16">
          <cell r="C16">
            <v>9.120000000000001</v>
          </cell>
        </row>
        <row r="18">
          <cell r="C18">
            <v>28.799999999999997</v>
          </cell>
        </row>
        <row r="20">
          <cell r="C20">
            <v>0.31440000000000001</v>
          </cell>
        </row>
        <row r="22">
          <cell r="C22">
            <v>129.76</v>
          </cell>
        </row>
        <row r="24">
          <cell r="C24">
            <v>0.22</v>
          </cell>
        </row>
        <row r="26">
          <cell r="C26">
            <v>4</v>
          </cell>
        </row>
        <row r="28">
          <cell r="C28">
            <v>1.04</v>
          </cell>
        </row>
        <row r="32">
          <cell r="C32">
            <v>170.89031111111112</v>
          </cell>
        </row>
        <row r="34">
          <cell r="C34">
            <v>40.313024391111114</v>
          </cell>
        </row>
        <row r="36">
          <cell r="C36">
            <v>7.7746168888888905</v>
          </cell>
        </row>
        <row r="38">
          <cell r="C38">
            <v>256.20800000000003</v>
          </cell>
        </row>
        <row r="40">
          <cell r="C40">
            <v>60.439938999999995</v>
          </cell>
        </row>
        <row r="42">
          <cell r="C42">
            <v>1.8970580740740741</v>
          </cell>
        </row>
        <row r="44">
          <cell r="C44">
            <v>8.4977777777777774</v>
          </cell>
        </row>
        <row r="46">
          <cell r="C46">
            <v>140.81242666666665</v>
          </cell>
        </row>
        <row r="48">
          <cell r="C48">
            <v>143.12977066666667</v>
          </cell>
        </row>
        <row r="50">
          <cell r="C50">
            <v>32.321283614814817</v>
          </cell>
        </row>
        <row r="52">
          <cell r="C52">
            <v>7.1877037037037042</v>
          </cell>
        </row>
        <row r="59">
          <cell r="C59">
            <v>329.28858768815053</v>
          </cell>
        </row>
      </sheetData>
      <sheetData sheetId="7">
        <row r="8">
          <cell r="C8">
            <v>121.16883116883116</v>
          </cell>
        </row>
        <row r="10">
          <cell r="C10">
            <v>28.58372727272727</v>
          </cell>
        </row>
        <row r="12">
          <cell r="C12">
            <v>1256.6399999999999</v>
          </cell>
        </row>
        <row r="16">
          <cell r="C16">
            <v>128.16773333333333</v>
          </cell>
        </row>
        <row r="18">
          <cell r="C18">
            <v>30.234768293333332</v>
          </cell>
        </row>
        <row r="20">
          <cell r="C20">
            <v>5.8309626666666681</v>
          </cell>
        </row>
        <row r="22">
          <cell r="C22">
            <v>192.15599999999998</v>
          </cell>
        </row>
        <row r="24">
          <cell r="C24">
            <v>45.330543999999996</v>
          </cell>
        </row>
        <row r="26">
          <cell r="C26">
            <v>1.4227935555555555</v>
          </cell>
        </row>
        <row r="28">
          <cell r="C28">
            <v>6.3733333333333331</v>
          </cell>
        </row>
        <row r="30">
          <cell r="C30">
            <v>105.60932000000001</v>
          </cell>
        </row>
        <row r="32">
          <cell r="C32">
            <v>107.347328</v>
          </cell>
        </row>
        <row r="34">
          <cell r="C34">
            <v>24.240957400000003</v>
          </cell>
        </row>
        <row r="36">
          <cell r="C36">
            <v>5.3907777777777781</v>
          </cell>
        </row>
        <row r="43">
          <cell r="C43">
            <v>343.08284613359302</v>
          </cell>
        </row>
      </sheetData>
      <sheetData sheetId="8">
        <row r="8">
          <cell r="C8">
            <v>242.33766233766232</v>
          </cell>
        </row>
        <row r="10">
          <cell r="C10">
            <v>57.16745454545454</v>
          </cell>
        </row>
        <row r="12">
          <cell r="C12">
            <v>785.40000000000009</v>
          </cell>
        </row>
        <row r="16">
          <cell r="C16">
            <v>256.33546666666666</v>
          </cell>
        </row>
        <row r="18">
          <cell r="C18">
            <v>60.470605999999997</v>
          </cell>
        </row>
        <row r="20">
          <cell r="C20">
            <v>11.661925333333336</v>
          </cell>
        </row>
        <row r="22">
          <cell r="C22">
            <v>384.31199999999995</v>
          </cell>
        </row>
        <row r="24">
          <cell r="C24">
            <v>90.658728999999994</v>
          </cell>
        </row>
        <row r="26">
          <cell r="C26">
            <v>2.8455871111111111</v>
          </cell>
        </row>
        <row r="28">
          <cell r="C28">
            <v>12.746666666666666</v>
          </cell>
        </row>
        <row r="30">
          <cell r="C30">
            <v>211.21864000000002</v>
          </cell>
        </row>
        <row r="32">
          <cell r="C32">
            <v>214.69465600000001</v>
          </cell>
        </row>
        <row r="34">
          <cell r="C34">
            <v>48.481914800000006</v>
          </cell>
        </row>
        <row r="36">
          <cell r="C36">
            <v>10.781555555555556</v>
          </cell>
        </row>
        <row r="43">
          <cell r="C43">
            <v>199.09273866803753</v>
          </cell>
        </row>
      </sheetData>
      <sheetData sheetId="9">
        <row r="8">
          <cell r="C8">
            <v>20.194805194805195</v>
          </cell>
        </row>
        <row r="10">
          <cell r="C10">
            <v>4.7639545454545456</v>
          </cell>
        </row>
        <row r="12">
          <cell r="C12">
            <v>65.45</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43">
          <cell r="C43">
            <v>199.09332841803752</v>
          </cell>
        </row>
      </sheetData>
      <sheetData sheetId="10">
        <row r="8">
          <cell r="C8">
            <v>20.194805194805195</v>
          </cell>
        </row>
        <row r="10">
          <cell r="C10">
            <v>4.7639545454545456</v>
          </cell>
        </row>
        <row r="12">
          <cell r="C12">
            <v>416.5</v>
          </cell>
        </row>
        <row r="16">
          <cell r="C16">
            <v>21.36128888888889</v>
          </cell>
        </row>
        <row r="19">
          <cell r="C19">
            <v>0.97182711111111131</v>
          </cell>
        </row>
        <row r="21">
          <cell r="C21">
            <v>32.026000000000003</v>
          </cell>
        </row>
        <row r="23">
          <cell r="C23">
            <v>7.5558770000000006</v>
          </cell>
        </row>
        <row r="25">
          <cell r="C25">
            <v>0.23713225925925926</v>
          </cell>
        </row>
        <row r="27">
          <cell r="C27">
            <v>1.0622222222222222</v>
          </cell>
        </row>
        <row r="29">
          <cell r="C29">
            <v>17.601553333333332</v>
          </cell>
        </row>
        <row r="31">
          <cell r="C31">
            <v>17.891221333333334</v>
          </cell>
        </row>
        <row r="33">
          <cell r="C33">
            <v>4.0401595666666665</v>
          </cell>
        </row>
        <row r="35">
          <cell r="C35">
            <v>0.89846296296296302</v>
          </cell>
        </row>
        <row r="42">
          <cell r="C42">
            <v>545.10450441803755</v>
          </cell>
        </row>
      </sheetData>
      <sheetData sheetId="11">
        <row r="8">
          <cell r="C8">
            <v>20.194805194805195</v>
          </cell>
        </row>
        <row r="10">
          <cell r="C10">
            <v>4.7639545454545456</v>
          </cell>
        </row>
        <row r="12">
          <cell r="C12">
            <v>160</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43">
          <cell r="C43">
            <v>293.64332841803753</v>
          </cell>
        </row>
      </sheetData>
      <sheetData sheetId="12">
        <row r="8">
          <cell r="C8">
            <v>20.194805194805195</v>
          </cell>
        </row>
        <row r="10">
          <cell r="C10">
            <v>4.7639545454545456</v>
          </cell>
        </row>
        <row r="12">
          <cell r="C12">
            <v>400</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43">
          <cell r="C43">
            <v>533.64332841803753</v>
          </cell>
        </row>
      </sheetData>
      <sheetData sheetId="13">
        <row r="8">
          <cell r="C8">
            <v>40.38961038961039</v>
          </cell>
        </row>
        <row r="10">
          <cell r="C10">
            <v>80</v>
          </cell>
        </row>
        <row r="12">
          <cell r="C12">
            <v>20.194805194805195</v>
          </cell>
        </row>
        <row r="14">
          <cell r="C14">
            <v>33.165181000000004</v>
          </cell>
        </row>
        <row r="16">
          <cell r="C16">
            <v>16.66</v>
          </cell>
        </row>
        <row r="18">
          <cell r="C18">
            <v>176</v>
          </cell>
        </row>
        <row r="20">
          <cell r="C20">
            <v>3.5999999999999996</v>
          </cell>
        </row>
        <row r="22">
          <cell r="C22">
            <v>66.03</v>
          </cell>
        </row>
        <row r="24">
          <cell r="C24">
            <v>2.75E-2</v>
          </cell>
        </row>
        <row r="26">
          <cell r="C26">
            <v>0.5</v>
          </cell>
        </row>
        <row r="28">
          <cell r="C28">
            <v>0.13</v>
          </cell>
        </row>
        <row r="32">
          <cell r="C32">
            <v>21.36128888888889</v>
          </cell>
        </row>
        <row r="34">
          <cell r="C34">
            <v>5.038824</v>
          </cell>
        </row>
        <row r="36">
          <cell r="C36">
            <v>0.97182711111111131</v>
          </cell>
        </row>
        <row r="38">
          <cell r="C38">
            <v>32.026000000000003</v>
          </cell>
        </row>
        <row r="40">
          <cell r="C40">
            <v>7.5558770000000006</v>
          </cell>
        </row>
        <row r="42">
          <cell r="C42">
            <v>0.23713225925925926</v>
          </cell>
        </row>
        <row r="44">
          <cell r="C44">
            <v>1.0622222222222222</v>
          </cell>
        </row>
        <row r="46">
          <cell r="C46">
            <v>17.601553333333332</v>
          </cell>
        </row>
        <row r="48">
          <cell r="C48">
            <v>17.891221333333334</v>
          </cell>
        </row>
        <row r="50">
          <cell r="C50">
            <v>4.0401595666666665</v>
          </cell>
        </row>
        <row r="52">
          <cell r="C52">
            <v>0.89846296296296302</v>
          </cell>
        </row>
        <row r="59">
          <cell r="C59">
            <v>545.38166526219334</v>
          </cell>
        </row>
      </sheetData>
      <sheetData sheetId="14">
        <row r="8">
          <cell r="C8">
            <v>161.55844155844156</v>
          </cell>
        </row>
        <row r="10">
          <cell r="C10">
            <v>320</v>
          </cell>
        </row>
        <row r="12">
          <cell r="C12">
            <v>80.779220779220779</v>
          </cell>
        </row>
        <row r="14">
          <cell r="C14">
            <v>132.65600600000002</v>
          </cell>
        </row>
        <row r="16">
          <cell r="C16">
            <v>66.64</v>
          </cell>
        </row>
        <row r="18">
          <cell r="C18">
            <v>495.04</v>
          </cell>
        </row>
        <row r="20">
          <cell r="C20">
            <v>14.399999999999999</v>
          </cell>
        </row>
        <row r="22">
          <cell r="C22">
            <v>264.12</v>
          </cell>
        </row>
        <row r="24">
          <cell r="C24">
            <v>0.11</v>
          </cell>
        </row>
        <row r="26">
          <cell r="C26">
            <v>2</v>
          </cell>
        </row>
        <row r="28">
          <cell r="C28">
            <v>0.52</v>
          </cell>
        </row>
        <row r="32">
          <cell r="C32">
            <v>85.445155555555559</v>
          </cell>
        </row>
        <row r="34">
          <cell r="C34">
            <v>20.157655000000002</v>
          </cell>
        </row>
        <row r="36">
          <cell r="C36">
            <v>3.8873084444444452</v>
          </cell>
        </row>
        <row r="38">
          <cell r="C38">
            <v>128.10400000000001</v>
          </cell>
        </row>
        <row r="42">
          <cell r="C42">
            <v>0.94852903703703706</v>
          </cell>
        </row>
        <row r="44">
          <cell r="C44">
            <v>4.2488888888888887</v>
          </cell>
        </row>
        <row r="46">
          <cell r="C46">
            <v>70.406213333333326</v>
          </cell>
        </row>
        <row r="48">
          <cell r="C48">
            <v>71.564885333333336</v>
          </cell>
        </row>
        <row r="50">
          <cell r="C50">
            <v>16.160638266666666</v>
          </cell>
        </row>
        <row r="52">
          <cell r="C52">
            <v>3.5938518518518521</v>
          </cell>
        </row>
        <row r="59">
          <cell r="C59">
            <v>485.58519851219341</v>
          </cell>
        </row>
      </sheetData>
      <sheetData sheetId="15">
        <row r="8">
          <cell r="C8">
            <v>40.38961038961039</v>
          </cell>
        </row>
        <row r="10">
          <cell r="C10">
            <v>80</v>
          </cell>
        </row>
        <row r="12">
          <cell r="C12">
            <v>20.194805194805195</v>
          </cell>
        </row>
        <row r="14">
          <cell r="C14">
            <v>33.165181000000004</v>
          </cell>
        </row>
        <row r="16">
          <cell r="C16">
            <v>16.66</v>
          </cell>
        </row>
        <row r="18">
          <cell r="C18">
            <v>42</v>
          </cell>
        </row>
        <row r="20">
          <cell r="C20">
            <v>3.5999999999999996</v>
          </cell>
        </row>
        <row r="22">
          <cell r="C22">
            <v>66.03</v>
          </cell>
        </row>
        <row r="24">
          <cell r="C24">
            <v>2.75E-2</v>
          </cell>
        </row>
        <row r="26">
          <cell r="C26">
            <v>0.5</v>
          </cell>
        </row>
        <row r="28">
          <cell r="C28">
            <v>0.13</v>
          </cell>
        </row>
        <row r="32">
          <cell r="C32">
            <v>21.36128888888889</v>
          </cell>
        </row>
        <row r="34">
          <cell r="C34">
            <v>5.038824</v>
          </cell>
        </row>
        <row r="36">
          <cell r="C36">
            <v>0.97182711111111131</v>
          </cell>
        </row>
        <row r="38">
          <cell r="C38">
            <v>32.026000000000003</v>
          </cell>
        </row>
        <row r="40">
          <cell r="C40">
            <v>7.5558770000000006</v>
          </cell>
        </row>
        <row r="42">
          <cell r="C42">
            <v>0.23713225925925926</v>
          </cell>
        </row>
        <row r="44">
          <cell r="C44">
            <v>1.0622222222222222</v>
          </cell>
        </row>
        <row r="46">
          <cell r="C46">
            <v>17.601553333333332</v>
          </cell>
        </row>
        <row r="48">
          <cell r="C48">
            <v>17.891221333333334</v>
          </cell>
        </row>
        <row r="50">
          <cell r="C50">
            <v>4.0401595666666665</v>
          </cell>
        </row>
        <row r="52">
          <cell r="C52">
            <v>0.89846296296296302</v>
          </cell>
        </row>
        <row r="59">
          <cell r="C59">
            <v>411.38166526219328</v>
          </cell>
        </row>
      </sheetData>
      <sheetData sheetId="16">
        <row r="8">
          <cell r="C8">
            <v>80.779220779220779</v>
          </cell>
        </row>
        <row r="10">
          <cell r="C10">
            <v>160</v>
          </cell>
        </row>
        <row r="12">
          <cell r="C12">
            <v>40.38961038961039</v>
          </cell>
        </row>
        <row r="14">
          <cell r="C14">
            <v>66.32800300000001</v>
          </cell>
        </row>
        <row r="16">
          <cell r="C16">
            <v>33.32</v>
          </cell>
        </row>
        <row r="18">
          <cell r="C18">
            <v>99.96</v>
          </cell>
        </row>
        <row r="20">
          <cell r="C20">
            <v>7.1999999999999993</v>
          </cell>
        </row>
        <row r="22">
          <cell r="C22">
            <v>132.06</v>
          </cell>
        </row>
        <row r="24">
          <cell r="C24">
            <v>5.5E-2</v>
          </cell>
        </row>
        <row r="26">
          <cell r="C26">
            <v>1</v>
          </cell>
        </row>
        <row r="28">
          <cell r="C28">
            <v>0.26</v>
          </cell>
        </row>
        <row r="32">
          <cell r="C32">
            <v>42.722577777777779</v>
          </cell>
        </row>
        <row r="34">
          <cell r="C34">
            <v>10.077648</v>
          </cell>
        </row>
        <row r="36">
          <cell r="C36">
            <v>1.9436542222222226</v>
          </cell>
        </row>
        <row r="38">
          <cell r="C38">
            <v>64.052000000000007</v>
          </cell>
        </row>
        <row r="40">
          <cell r="C40">
            <v>15.109394999999999</v>
          </cell>
        </row>
        <row r="42">
          <cell r="C42">
            <v>0.47426451851851853</v>
          </cell>
        </row>
        <row r="44">
          <cell r="C44">
            <v>2.1244444444444444</v>
          </cell>
        </row>
        <row r="46">
          <cell r="C46">
            <v>35.203106666666663</v>
          </cell>
        </row>
        <row r="48">
          <cell r="C48">
            <v>35.782442666666668</v>
          </cell>
        </row>
        <row r="50">
          <cell r="C50">
            <v>8.0803191333333331</v>
          </cell>
        </row>
        <row r="52">
          <cell r="C52">
            <v>1.796925925925926</v>
          </cell>
        </row>
        <row r="59">
          <cell r="C59">
            <v>419.36</v>
          </cell>
        </row>
      </sheetData>
      <sheetData sheetId="17">
        <row r="8">
          <cell r="C8">
            <v>40.38961038961039</v>
          </cell>
        </row>
        <row r="10">
          <cell r="C10">
            <v>80</v>
          </cell>
        </row>
        <row r="12">
          <cell r="C12">
            <v>20.194805194805195</v>
          </cell>
        </row>
        <row r="14">
          <cell r="C14">
            <v>33.165181000000004</v>
          </cell>
        </row>
        <row r="16">
          <cell r="C16">
            <v>3.5999999999999996</v>
          </cell>
        </row>
        <row r="18">
          <cell r="C18">
            <v>66.03</v>
          </cell>
        </row>
        <row r="20">
          <cell r="C20">
            <v>2.75E-2</v>
          </cell>
        </row>
        <row r="22">
          <cell r="C22">
            <v>0.5</v>
          </cell>
        </row>
        <row r="24">
          <cell r="C24">
            <v>0.13</v>
          </cell>
        </row>
        <row r="28">
          <cell r="C28">
            <v>21.36128888888889</v>
          </cell>
        </row>
        <row r="30">
          <cell r="C30">
            <v>5.038824</v>
          </cell>
        </row>
        <row r="32">
          <cell r="C32">
            <v>0.97182711111111131</v>
          </cell>
        </row>
        <row r="34">
          <cell r="C34">
            <v>32.026000000000003</v>
          </cell>
        </row>
        <row r="36">
          <cell r="C36">
            <v>7.5558770000000006</v>
          </cell>
        </row>
        <row r="38">
          <cell r="C38">
            <v>0.23713225925925926</v>
          </cell>
        </row>
        <row r="40">
          <cell r="C40">
            <v>1.0622222222222222</v>
          </cell>
        </row>
        <row r="42">
          <cell r="C42">
            <v>17.601553333333332</v>
          </cell>
        </row>
        <row r="44">
          <cell r="C44">
            <v>17.891221333333334</v>
          </cell>
        </row>
        <row r="46">
          <cell r="C46">
            <v>4.0401595666666665</v>
          </cell>
        </row>
        <row r="48">
          <cell r="C48">
            <v>0.89846296296296302</v>
          </cell>
        </row>
        <row r="55">
          <cell r="C55">
            <v>352.72166526219337</v>
          </cell>
        </row>
      </sheetData>
      <sheetData sheetId="18">
        <row r="8">
          <cell r="C8">
            <v>40.38961038961039</v>
          </cell>
        </row>
        <row r="10">
          <cell r="C10">
            <v>9.5279090909090911</v>
          </cell>
        </row>
        <row r="12">
          <cell r="C12">
            <v>900</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43">
          <cell r="C43">
            <v>1058.6020881582972</v>
          </cell>
        </row>
      </sheetData>
      <sheetData sheetId="19">
        <row r="8">
          <cell r="C8">
            <v>40.38961038961039</v>
          </cell>
        </row>
        <row r="10">
          <cell r="C10">
            <v>9.5279090909090911</v>
          </cell>
        </row>
        <row r="12">
          <cell r="C12">
            <v>1200</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43">
          <cell r="C43">
            <v>1358.6020881582974</v>
          </cell>
        </row>
      </sheetData>
      <sheetData sheetId="20">
        <row r="8">
          <cell r="C8">
            <v>40.38961038961039</v>
          </cell>
        </row>
        <row r="10">
          <cell r="C10">
            <v>9.5279090909090911</v>
          </cell>
        </row>
        <row r="12">
          <cell r="C12">
            <v>1800</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43">
          <cell r="C43">
            <v>1958.6020881582974</v>
          </cell>
        </row>
      </sheetData>
      <sheetData sheetId="21">
        <row r="8">
          <cell r="C8">
            <v>40.38961038961039</v>
          </cell>
        </row>
        <row r="10">
          <cell r="C10">
            <v>9.5279090909090911</v>
          </cell>
        </row>
        <row r="12">
          <cell r="C12">
            <v>1130.1500000000001</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43">
          <cell r="C43">
            <v>1288.7520881582975</v>
          </cell>
        </row>
      </sheetData>
      <sheetData sheetId="22">
        <row r="8">
          <cell r="C8">
            <v>40.38961038961039</v>
          </cell>
        </row>
        <row r="10">
          <cell r="C10">
            <v>9.5279090909090911</v>
          </cell>
        </row>
        <row r="12">
          <cell r="C12">
            <v>1350</v>
          </cell>
        </row>
        <row r="16">
          <cell r="C16">
            <v>21.36128888888889</v>
          </cell>
        </row>
        <row r="18">
          <cell r="C18">
            <v>5.038824</v>
          </cell>
        </row>
        <row r="20">
          <cell r="C20">
            <v>0.97182711111111131</v>
          </cell>
        </row>
        <row r="22">
          <cell r="C22">
            <v>32.026000000000003</v>
          </cell>
        </row>
        <row r="24">
          <cell r="C24">
            <v>7.5558770000000006</v>
          </cell>
        </row>
        <row r="26">
          <cell r="C26">
            <v>0.23713225925925926</v>
          </cell>
        </row>
        <row r="28">
          <cell r="C28">
            <v>1.0622222222222222</v>
          </cell>
        </row>
        <row r="30">
          <cell r="C30">
            <v>17.601553333333332</v>
          </cell>
        </row>
        <row r="32">
          <cell r="C32">
            <v>17.891221333333334</v>
          </cell>
        </row>
        <row r="34">
          <cell r="C34">
            <v>4.0401595666666665</v>
          </cell>
        </row>
        <row r="36">
          <cell r="C36">
            <v>0.89846296296296302</v>
          </cell>
        </row>
        <row r="43">
          <cell r="C43">
            <v>1508.6020881582974</v>
          </cell>
        </row>
      </sheetData>
      <sheetData sheetId="23"/>
      <sheetData sheetId="24"/>
      <sheetData sheetId="25">
        <row r="3">
          <cell r="C3">
            <v>53</v>
          </cell>
        </row>
        <row r="4">
          <cell r="C4">
            <v>8</v>
          </cell>
        </row>
        <row r="5">
          <cell r="C5">
            <v>1</v>
          </cell>
        </row>
        <row r="6">
          <cell r="C6">
            <v>2</v>
          </cell>
        </row>
        <row r="7">
          <cell r="C7">
            <v>8</v>
          </cell>
        </row>
        <row r="8">
          <cell r="C8">
            <v>6</v>
          </cell>
        </row>
        <row r="9">
          <cell r="C9">
            <v>12</v>
          </cell>
        </row>
        <row r="10">
          <cell r="C10">
            <v>1</v>
          </cell>
        </row>
        <row r="11">
          <cell r="C11">
            <v>1</v>
          </cell>
        </row>
        <row r="12">
          <cell r="C12">
            <v>1</v>
          </cell>
        </row>
        <row r="13">
          <cell r="C13">
            <v>1</v>
          </cell>
        </row>
        <row r="14">
          <cell r="C14">
            <v>1</v>
          </cell>
        </row>
        <row r="15">
          <cell r="C15">
            <v>4</v>
          </cell>
        </row>
        <row r="16">
          <cell r="C16">
            <v>1</v>
          </cell>
        </row>
        <row r="17">
          <cell r="C17">
            <v>2</v>
          </cell>
        </row>
        <row r="18">
          <cell r="C18">
            <v>1</v>
          </cell>
        </row>
        <row r="19">
          <cell r="C19">
            <v>1</v>
          </cell>
        </row>
        <row r="20">
          <cell r="C20">
            <v>1</v>
          </cell>
        </row>
        <row r="21">
          <cell r="C21">
            <v>1</v>
          </cell>
        </row>
        <row r="22">
          <cell r="C22">
            <v>1</v>
          </cell>
        </row>
        <row r="23">
          <cell r="C23">
            <v>1</v>
          </cell>
        </row>
      </sheetData>
      <sheetData sheetId="26"/>
      <sheetData sheetId="2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EAD07-37CE-4247-A5CC-93ED325EC8F0}">
  <sheetPr>
    <pageSetUpPr fitToPage="1"/>
  </sheetPr>
  <dimension ref="A1:W39"/>
  <sheetViews>
    <sheetView view="pageBreakPreview" topLeftCell="A24" zoomScale="90" zoomScaleNormal="90" zoomScaleSheetLayoutView="90" workbookViewId="0">
      <selection activeCell="M2" sqref="M2"/>
    </sheetView>
  </sheetViews>
  <sheetFormatPr defaultRowHeight="15" x14ac:dyDescent="0.25"/>
  <cols>
    <col min="1" max="1" width="4.5703125" customWidth="1"/>
    <col min="2" max="2" width="39.42578125" customWidth="1"/>
    <col min="3" max="3" width="19.42578125" customWidth="1"/>
    <col min="4" max="5" width="11.140625" customWidth="1"/>
    <col min="6" max="6" width="14.7109375" customWidth="1"/>
    <col min="7" max="7" width="11.140625" customWidth="1"/>
    <col min="8" max="8" width="14" customWidth="1"/>
    <col min="9" max="11" width="11.140625" customWidth="1"/>
    <col min="12" max="12" width="12" customWidth="1"/>
    <col min="13" max="15" width="11.140625" customWidth="1"/>
    <col min="16" max="16" width="15.85546875" customWidth="1"/>
    <col min="17" max="17" width="14.42578125" customWidth="1"/>
    <col min="18" max="18" width="15" customWidth="1"/>
    <col min="19" max="19" width="11.140625" customWidth="1"/>
    <col min="23" max="23" width="20.5703125" customWidth="1"/>
  </cols>
  <sheetData>
    <row r="1" spans="1:19" ht="105" customHeight="1" x14ac:dyDescent="0.25">
      <c r="M1" s="1"/>
      <c r="N1" s="1"/>
      <c r="O1" s="1"/>
      <c r="P1" s="62" t="s">
        <v>0</v>
      </c>
      <c r="Q1" s="62"/>
      <c r="R1" s="62"/>
      <c r="S1" s="62"/>
    </row>
    <row r="2" spans="1:19" x14ac:dyDescent="0.25">
      <c r="H2" s="2"/>
    </row>
    <row r="3" spans="1:19" s="3" customFormat="1" ht="59.45" customHeight="1" x14ac:dyDescent="0.25">
      <c r="A3" s="63" t="s">
        <v>1</v>
      </c>
      <c r="B3" s="63"/>
      <c r="C3" s="63"/>
      <c r="D3" s="63"/>
      <c r="E3" s="63"/>
      <c r="F3" s="63"/>
      <c r="G3" s="63"/>
      <c r="H3" s="63"/>
      <c r="I3" s="63"/>
      <c r="J3" s="63"/>
      <c r="K3" s="63"/>
      <c r="L3" s="63"/>
      <c r="M3" s="63"/>
      <c r="N3" s="63"/>
      <c r="O3" s="63"/>
      <c r="P3" s="63"/>
      <c r="Q3" s="63"/>
      <c r="R3" s="63"/>
      <c r="S3" s="63"/>
    </row>
    <row r="4" spans="1:19" ht="15.75" thickBot="1" x14ac:dyDescent="0.3">
      <c r="H4" s="2"/>
    </row>
    <row r="5" spans="1:19" s="4" customFormat="1" ht="21" customHeight="1" x14ac:dyDescent="0.25">
      <c r="A5" s="64" t="s">
        <v>2</v>
      </c>
      <c r="B5" s="67" t="s">
        <v>3</v>
      </c>
      <c r="C5" s="67" t="s">
        <v>4</v>
      </c>
      <c r="D5" s="67" t="s">
        <v>5</v>
      </c>
      <c r="E5" s="67"/>
      <c r="F5" s="67"/>
      <c r="G5" s="67"/>
      <c r="H5" s="67"/>
      <c r="I5" s="67"/>
      <c r="J5" s="67" t="s">
        <v>6</v>
      </c>
      <c r="K5" s="67"/>
      <c r="L5" s="67"/>
      <c r="M5" s="67"/>
      <c r="N5" s="67"/>
      <c r="O5" s="67"/>
      <c r="P5" s="68" t="s">
        <v>7</v>
      </c>
      <c r="Q5" s="68" t="s">
        <v>8</v>
      </c>
      <c r="R5" s="68"/>
      <c r="S5" s="71"/>
    </row>
    <row r="6" spans="1:19" s="4" customFormat="1" ht="39.75" customHeight="1" x14ac:dyDescent="0.25">
      <c r="A6" s="65"/>
      <c r="B6" s="56"/>
      <c r="C6" s="56"/>
      <c r="D6" s="56" t="s">
        <v>9</v>
      </c>
      <c r="E6" s="56" t="s">
        <v>10</v>
      </c>
      <c r="F6" s="56" t="s">
        <v>11</v>
      </c>
      <c r="G6" s="56" t="s">
        <v>8</v>
      </c>
      <c r="H6" s="56"/>
      <c r="I6" s="56"/>
      <c r="J6" s="56" t="s">
        <v>9</v>
      </c>
      <c r="K6" s="56" t="s">
        <v>10</v>
      </c>
      <c r="L6" s="56" t="s">
        <v>11</v>
      </c>
      <c r="M6" s="56" t="s">
        <v>8</v>
      </c>
      <c r="N6" s="56"/>
      <c r="O6" s="56"/>
      <c r="P6" s="69"/>
      <c r="Q6" s="69">
        <v>1000</v>
      </c>
      <c r="R6" s="69">
        <v>2000</v>
      </c>
      <c r="S6" s="72">
        <v>5000</v>
      </c>
    </row>
    <row r="7" spans="1:19" s="6" customFormat="1" ht="30" customHeight="1" thickBot="1" x14ac:dyDescent="0.3">
      <c r="A7" s="66"/>
      <c r="B7" s="57"/>
      <c r="C7" s="57"/>
      <c r="D7" s="57"/>
      <c r="E7" s="57"/>
      <c r="F7" s="57"/>
      <c r="G7" s="5">
        <v>1000</v>
      </c>
      <c r="H7" s="5">
        <v>2000</v>
      </c>
      <c r="I7" s="5">
        <v>5000</v>
      </c>
      <c r="J7" s="57"/>
      <c r="K7" s="57"/>
      <c r="L7" s="57"/>
      <c r="M7" s="5">
        <v>1000</v>
      </c>
      <c r="N7" s="5">
        <v>2000</v>
      </c>
      <c r="O7" s="5">
        <v>5000</v>
      </c>
      <c r="P7" s="70"/>
      <c r="Q7" s="70"/>
      <c r="R7" s="70"/>
      <c r="S7" s="73"/>
    </row>
    <row r="8" spans="1:19" s="3" customFormat="1" ht="16.5" thickBot="1" x14ac:dyDescent="0.3">
      <c r="A8" s="7">
        <v>1</v>
      </c>
      <c r="B8" s="58" t="s">
        <v>12</v>
      </c>
      <c r="C8" s="59"/>
      <c r="D8" s="59"/>
      <c r="E8" s="59"/>
      <c r="F8" s="59"/>
      <c r="G8" s="59"/>
      <c r="H8" s="59"/>
      <c r="I8" s="59"/>
      <c r="J8" s="60"/>
      <c r="K8" s="60"/>
      <c r="L8" s="60"/>
      <c r="M8" s="60"/>
      <c r="N8" s="60"/>
      <c r="O8" s="60"/>
      <c r="P8" s="60"/>
      <c r="Q8" s="60"/>
      <c r="R8" s="60"/>
      <c r="S8" s="61"/>
    </row>
    <row r="9" spans="1:19" s="4" customFormat="1" ht="63" x14ac:dyDescent="0.25">
      <c r="A9" s="8" t="s">
        <v>13</v>
      </c>
      <c r="B9" s="9" t="s">
        <v>14</v>
      </c>
      <c r="C9" s="10" t="s">
        <v>15</v>
      </c>
      <c r="D9" s="10">
        <v>170</v>
      </c>
      <c r="E9" s="11">
        <v>468.46</v>
      </c>
      <c r="F9" s="11">
        <f>SUM(D9)*E9</f>
        <v>79638.2</v>
      </c>
      <c r="G9" s="11">
        <f>30097.36-752.23</f>
        <v>29345.13</v>
      </c>
      <c r="H9" s="11">
        <f>49490.09+752.29</f>
        <v>50242.38</v>
      </c>
      <c r="I9" s="12">
        <v>50.5</v>
      </c>
      <c r="J9" s="13">
        <f>[1]Pozīcijas!C3</f>
        <v>53</v>
      </c>
      <c r="K9" s="14">
        <f>'[1]1.1.'!C64</f>
        <v>507.90852782796526</v>
      </c>
      <c r="L9" s="15">
        <f>SUM(J9)*K9</f>
        <v>26919.151974882159</v>
      </c>
      <c r="M9" s="15">
        <f>'[1]1.1.'!C10+'[1]1.1.'!C12+'[1]1.1.'!C14+'[1]1.1.'!C16+'[1]1.1.'!C38+'[1]1.1.'!C40+'[1]1.1.'!C43+'[1]1.1.'!C45</f>
        <v>14041.244899071055</v>
      </c>
      <c r="N9" s="15">
        <f>'[1]1.1.'!C18+'[1]1.1.'!C20+'[1]1.1.'!C22+'[1]1.1.'!C24+'[1]1.1.'!C26+'[1]1.1.'!C28+'[1]1.1.'!C30+'[1]1.1.'!C32+'[1]1.1.'!C34+'[1]1.1.'!C41+'[1]1.1.'!C47+'[1]1.1.'!C49+'[1]1.1.'!C51+'[1]1.1.'!C53+'[1]1.1.'!C55+'[1]1.1.'!C57</f>
        <v>12877.907075811108</v>
      </c>
      <c r="O9" s="15">
        <v>0</v>
      </c>
      <c r="P9" s="16">
        <f t="shared" ref="P9:P34" si="0">SUM(L9)-F9</f>
        <v>-52719.048025117838</v>
      </c>
      <c r="Q9" s="17">
        <f>SUM(M9)-G9</f>
        <v>-15303.885100928946</v>
      </c>
      <c r="R9" s="17">
        <f>SUM(N9)-H9</f>
        <v>-37364.472924188885</v>
      </c>
      <c r="S9" s="17">
        <f>SUM(O9)-I9</f>
        <v>-50.5</v>
      </c>
    </row>
    <row r="10" spans="1:19" s="4" customFormat="1" ht="63" x14ac:dyDescent="0.25">
      <c r="A10" s="18" t="s">
        <v>16</v>
      </c>
      <c r="B10" s="19" t="s">
        <v>17</v>
      </c>
      <c r="C10" s="13" t="s">
        <v>15</v>
      </c>
      <c r="D10" s="13">
        <v>80</v>
      </c>
      <c r="E10" s="15">
        <v>380.12</v>
      </c>
      <c r="F10" s="15">
        <f t="shared" ref="F10:F33" si="1">SUM(D10)*E10</f>
        <v>30409.599999999999</v>
      </c>
      <c r="G10" s="15">
        <v>11095.06</v>
      </c>
      <c r="H10" s="15">
        <v>19291.05</v>
      </c>
      <c r="I10" s="20">
        <v>23.77</v>
      </c>
      <c r="J10" s="13">
        <f>[1]Pozīcijas!C4</f>
        <v>8</v>
      </c>
      <c r="K10" s="14">
        <f>'[1]1.2.'!C60</f>
        <v>415.44175891381678</v>
      </c>
      <c r="L10" s="15">
        <f>SUM(J10)*K10</f>
        <v>3323.5340713105343</v>
      </c>
      <c r="M10" s="21">
        <f>'[1]1.2.'!C8+'[1]1.2.'!C10+'[1]1.2.'!C12+'[1]1.2.'!C14+'[1]1.2.'!C34+'[1]1.2.'!C36+'[1]1.2.'!C40+'[1]1.2.'!C42</f>
        <v>1722.0190409994227</v>
      </c>
      <c r="N10" s="21">
        <f>'[1]1.2.'!C16+'[1]1.2.'!C18+'[1]1.2.'!C20+'[1]1.2.'!C22+'[1]1.2.'!C24+'[1]1.2.'!C26+'[1]1.2.'!C28+'[1]1.2.'!C30+'[1]1.2.'!C38+'[1]1.2.'!C43+'[1]1.2.'!C45+'[1]1.2.'!C47+'[1]1.2.'!C49+'[1]1.2.'!C51+'[1]1.2.'!C53</f>
        <v>1601.5150303111109</v>
      </c>
      <c r="O10" s="21">
        <v>0</v>
      </c>
      <c r="P10" s="17">
        <f t="shared" si="0"/>
        <v>-27086.065928689466</v>
      </c>
      <c r="Q10" s="17">
        <f t="shared" ref="Q10:S34" si="2">SUM(M10)-G10</f>
        <v>-9373.0409590005765</v>
      </c>
      <c r="R10" s="17">
        <f t="shared" si="2"/>
        <v>-17689.534969688888</v>
      </c>
      <c r="S10" s="17">
        <f t="shared" si="2"/>
        <v>-23.77</v>
      </c>
    </row>
    <row r="11" spans="1:19" s="4" customFormat="1" ht="63" x14ac:dyDescent="0.25">
      <c r="A11" s="18" t="s">
        <v>18</v>
      </c>
      <c r="B11" s="19" t="s">
        <v>19</v>
      </c>
      <c r="C11" s="13" t="s">
        <v>15</v>
      </c>
      <c r="D11" s="13">
        <v>2</v>
      </c>
      <c r="E11" s="15">
        <v>607.48</v>
      </c>
      <c r="F11" s="15">
        <f>SUM(D11)*E11</f>
        <v>1214.96</v>
      </c>
      <c r="G11" s="15">
        <v>354.09</v>
      </c>
      <c r="H11" s="15">
        <v>860.28</v>
      </c>
      <c r="I11" s="20">
        <v>0.59</v>
      </c>
      <c r="J11" s="13">
        <f>[1]Pozīcijas!C5</f>
        <v>1</v>
      </c>
      <c r="K11" s="14">
        <f>'[1]1.3.'!C63</f>
        <v>616.20057665180377</v>
      </c>
      <c r="L11" s="15">
        <f>SUM(J11)*K11</f>
        <v>616.20057665180377</v>
      </c>
      <c r="M11" s="15">
        <f>'[1]1.3.'!C8+'[1]1.3.'!C10+'[1]1.3.'!C12+'[1]1.3.'!C14+'[1]1.3.'!C36+'[1]1.3.'!C38+'[1]1.3.'!C42+'[1]1.3.'!C44</f>
        <v>264.93119786291487</v>
      </c>
      <c r="N11" s="15">
        <f>'[1]1.3.'!C16+'[1]1.3.'!C18+'[1]1.3.'!C20+'[1]1.3.'!C22+'[1]1.3.'!C24+'[1]1.3.'!C26+'[1]1.3.'!C28+'[1]1.3.'!C30+'[1]1.3.'!C32+'[1]1.3.'!C40+'[1]1.3.'!C46+'[1]1.3.'!C48+'[1]1.3.'!C50+'[1]1.3.'!C52+'[1]1.3.'!C54+'[1]1.3.'!C56</f>
        <v>351.2693787888889</v>
      </c>
      <c r="O11" s="15">
        <v>0</v>
      </c>
      <c r="P11" s="17">
        <f t="shared" si="0"/>
        <v>-598.75942334819626</v>
      </c>
      <c r="Q11" s="17">
        <f t="shared" si="2"/>
        <v>-89.158802137085104</v>
      </c>
      <c r="R11" s="17">
        <f t="shared" si="2"/>
        <v>-509.01062121111107</v>
      </c>
      <c r="S11" s="17">
        <f t="shared" si="2"/>
        <v>-0.59</v>
      </c>
    </row>
    <row r="12" spans="1:19" s="4" customFormat="1" ht="63" x14ac:dyDescent="0.25">
      <c r="A12" s="18" t="s">
        <v>20</v>
      </c>
      <c r="B12" s="19" t="s">
        <v>21</v>
      </c>
      <c r="C12" s="13" t="s">
        <v>15</v>
      </c>
      <c r="D12" s="13">
        <v>2</v>
      </c>
      <c r="E12" s="15">
        <v>519.15</v>
      </c>
      <c r="F12" s="15">
        <f t="shared" si="1"/>
        <v>1038.3</v>
      </c>
      <c r="G12" s="15">
        <v>277.38</v>
      </c>
      <c r="H12" s="15">
        <v>760.32</v>
      </c>
      <c r="I12" s="20">
        <v>0.59</v>
      </c>
      <c r="J12" s="13">
        <f>[1]Pozīcijas!C6</f>
        <v>2</v>
      </c>
      <c r="K12" s="14">
        <f>'[1]1.4.'!C60</f>
        <v>515.63102298840204</v>
      </c>
      <c r="L12" s="15">
        <f t="shared" ref="L12:L28" si="3">SUM(J12)*K12</f>
        <v>1031.2620459768041</v>
      </c>
      <c r="M12" s="15">
        <f>'[1]1.4.'!C8+'[1]1.4.'!C10+'[1]1.4.'!C12+'[1]1.4.'!C14+'[1]1.4.'!C34+'[1]1.4.'!C36+'[1]1.4.'!C39+'[1]1.4.'!C41</f>
        <v>430.96328662865568</v>
      </c>
      <c r="N12" s="15">
        <f>'[1]1.4.'!C16+'[1]1.4.'!C18+'[1]1.4.'!C20+'[1]1.4.'!C22+'[1]1.4.'!C24+'[1]1.4.'!C26+'[1]1.4.'!C28+'[1]1.4.'!C30+'[1]1.4.'!C37+'[1]1.4.'!C43+'[1]1.4.'!C45+'[1]1.4.'!C47+'[1]1.4.'!C49+'[1]1.4.'!C51+'[1]1.4.'!C53</f>
        <v>600.29875934814822</v>
      </c>
      <c r="O12" s="15">
        <v>0</v>
      </c>
      <c r="P12" s="17">
        <f t="shared" si="0"/>
        <v>-7.0379540231958799</v>
      </c>
      <c r="Q12" s="17">
        <f t="shared" si="2"/>
        <v>153.58328662865569</v>
      </c>
      <c r="R12" s="17">
        <f t="shared" si="2"/>
        <v>-160.02124065185183</v>
      </c>
      <c r="S12" s="17">
        <f t="shared" si="2"/>
        <v>-0.59</v>
      </c>
    </row>
    <row r="13" spans="1:19" s="4" customFormat="1" ht="63" x14ac:dyDescent="0.25">
      <c r="A13" s="18" t="s">
        <v>22</v>
      </c>
      <c r="B13" s="19" t="s">
        <v>23</v>
      </c>
      <c r="C13" s="13" t="s">
        <v>15</v>
      </c>
      <c r="D13" s="13">
        <v>2</v>
      </c>
      <c r="E13" s="15">
        <v>257.58</v>
      </c>
      <c r="F13" s="15">
        <f t="shared" si="1"/>
        <v>515.16</v>
      </c>
      <c r="G13" s="15">
        <v>354.09</v>
      </c>
      <c r="H13" s="15">
        <v>160.47999999999999</v>
      </c>
      <c r="I13" s="20">
        <v>0.59</v>
      </c>
      <c r="J13" s="13">
        <f>[1]Pozīcijas!C7</f>
        <v>8</v>
      </c>
      <c r="K13" s="14">
        <f>'[1]1.5.'!C59</f>
        <v>329.28858768815053</v>
      </c>
      <c r="L13" s="15">
        <f>SUM(J13)*K13</f>
        <v>2634.3087015052042</v>
      </c>
      <c r="M13" s="15">
        <f>'[1]1.5.'!C8+'[1]1.5.'!C10+'[1]1.5.'!C12+'[1]1.5.'!C14+'[1]1.5.'!C32+'[1]1.5.'!C34+'[1]1.5.'!C38+'[1]1.5.'!C40</f>
        <v>2119.433664112612</v>
      </c>
      <c r="N13" s="15">
        <f>'[1]1.5.'!C16+'[1]1.5.'!C18+'[1]1.5.'!C20+'[1]1.5.'!C22+'[1]1.5.'!C24+'[1]1.5.'!C26+'[1]1.5.'!C28+'[1]1.5.'!C36+'[1]1.5.'!C42+'[1]1.5.'!C44+'[1]1.5.'!C46+'[1]1.5.'!C48+'[1]1.5.'!C50+'[1]1.5.'!C52</f>
        <v>514.8750373925925</v>
      </c>
      <c r="O13" s="15">
        <v>0</v>
      </c>
      <c r="P13" s="17">
        <f t="shared" si="0"/>
        <v>2119.1487015052044</v>
      </c>
      <c r="Q13" s="17">
        <f t="shared" si="2"/>
        <v>1765.343664112612</v>
      </c>
      <c r="R13" s="17">
        <f t="shared" si="2"/>
        <v>354.39503739259249</v>
      </c>
      <c r="S13" s="17">
        <f t="shared" si="2"/>
        <v>-0.59</v>
      </c>
    </row>
    <row r="14" spans="1:19" s="4" customFormat="1" ht="31.5" x14ac:dyDescent="0.25">
      <c r="A14" s="18" t="s">
        <v>24</v>
      </c>
      <c r="B14" s="19" t="s">
        <v>25</v>
      </c>
      <c r="C14" s="13" t="s">
        <v>15</v>
      </c>
      <c r="D14" s="13">
        <v>20</v>
      </c>
      <c r="E14" s="15">
        <v>243.32</v>
      </c>
      <c r="F14" s="15">
        <f t="shared" si="1"/>
        <v>4866.3999999999996</v>
      </c>
      <c r="G14" s="15">
        <v>168.1</v>
      </c>
      <c r="H14" s="15">
        <v>4698.3900000000003</v>
      </c>
      <c r="I14" s="20"/>
      <c r="J14" s="13">
        <f>[1]Pozīcijas!C8</f>
        <v>6</v>
      </c>
      <c r="K14" s="14">
        <f>'[1]1.6.'!C43</f>
        <v>343.08284613359302</v>
      </c>
      <c r="L14" s="15">
        <f t="shared" si="3"/>
        <v>2058.4970768015583</v>
      </c>
      <c r="M14" s="15">
        <f>'[1]1.6.'!C8+'[1]1.6.'!C10+'[1]1.6.'!C16+'[1]1.6.'!C18+'[1]1.6.'!C22+'[1]1.6.'!C24</f>
        <v>545.64160406822509</v>
      </c>
      <c r="N14" s="15">
        <f>'[1]1.6.'!C12+'[1]1.6.'!C20+'[1]1.6.'!C26+'[1]1.6.'!C28+'[1]1.6.'!C30+'[1]1.6.'!C32+'[1]1.6.'!C34+'[1]1.6.'!C36</f>
        <v>1512.8554727333333</v>
      </c>
      <c r="O14" s="15">
        <v>0</v>
      </c>
      <c r="P14" s="17">
        <f t="shared" si="0"/>
        <v>-2807.9029231984414</v>
      </c>
      <c r="Q14" s="17">
        <f t="shared" si="2"/>
        <v>377.54160406822507</v>
      </c>
      <c r="R14" s="17">
        <f t="shared" si="2"/>
        <v>-3185.5345272666673</v>
      </c>
      <c r="S14" s="17">
        <f t="shared" si="2"/>
        <v>0</v>
      </c>
    </row>
    <row r="15" spans="1:19" s="4" customFormat="1" ht="31.5" x14ac:dyDescent="0.25">
      <c r="A15" s="18" t="s">
        <v>26</v>
      </c>
      <c r="B15" s="19" t="s">
        <v>27</v>
      </c>
      <c r="C15" s="13" t="s">
        <v>15</v>
      </c>
      <c r="D15" s="13">
        <v>30</v>
      </c>
      <c r="E15" s="15">
        <v>108.86</v>
      </c>
      <c r="F15" s="15">
        <f t="shared" si="1"/>
        <v>3265.8</v>
      </c>
      <c r="G15" s="15">
        <v>252.16</v>
      </c>
      <c r="H15" s="15">
        <v>3013.49</v>
      </c>
      <c r="I15" s="20"/>
      <c r="J15" s="13">
        <f>[1]Pozīcijas!C9</f>
        <v>12</v>
      </c>
      <c r="K15" s="14">
        <f>'[1]1.7.'!C43</f>
        <v>199.09273866803753</v>
      </c>
      <c r="L15" s="15">
        <f t="shared" si="3"/>
        <v>2389.1128640164502</v>
      </c>
      <c r="M15" s="15">
        <f>'[1]1.7.'!C8+'[1]1.7.'!C10+'[1]1.7.'!C16+'[1]1.7.'!C18+'[1]1.7.'!C22+'[1]1.7.'!C24</f>
        <v>1091.2819185497835</v>
      </c>
      <c r="N15" s="15">
        <f>'[1]1.7.'!C12+'[1]1.7.'!C20+'[1]1.7.'!C26+'[1]1.7.'!C28+'[1]1.7.'!C30+'[1]1.7.'!C32+'[1]1.7.'!C34+'[1]1.7.'!C36</f>
        <v>1297.8309454666667</v>
      </c>
      <c r="O15" s="15">
        <v>0</v>
      </c>
      <c r="P15" s="17">
        <f t="shared" si="0"/>
        <v>-876.68713598354998</v>
      </c>
      <c r="Q15" s="17">
        <f t="shared" si="2"/>
        <v>839.12191854978357</v>
      </c>
      <c r="R15" s="17">
        <f t="shared" si="2"/>
        <v>-1715.6590545333331</v>
      </c>
      <c r="S15" s="17">
        <f t="shared" si="2"/>
        <v>0</v>
      </c>
    </row>
    <row r="16" spans="1:19" s="4" customFormat="1" ht="31.5" x14ac:dyDescent="0.25">
      <c r="A16" s="18" t="s">
        <v>28</v>
      </c>
      <c r="B16" s="19" t="s">
        <v>29</v>
      </c>
      <c r="C16" s="13" t="s">
        <v>15</v>
      </c>
      <c r="D16" s="13">
        <v>20</v>
      </c>
      <c r="E16" s="15">
        <v>108.85</v>
      </c>
      <c r="F16" s="15">
        <f t="shared" si="1"/>
        <v>2177</v>
      </c>
      <c r="G16" s="15">
        <v>168.1</v>
      </c>
      <c r="H16" s="15">
        <v>2008.99</v>
      </c>
      <c r="I16" s="20"/>
      <c r="J16" s="13">
        <f>[1]Pozīcijas!C10</f>
        <v>1</v>
      </c>
      <c r="K16" s="14">
        <f>'[1]1.8.'!C43</f>
        <v>199.09332841803752</v>
      </c>
      <c r="L16" s="15">
        <f t="shared" si="3"/>
        <v>199.09332841803752</v>
      </c>
      <c r="M16" s="15">
        <f>'[1]1.8.'!C8+'[1]1.8.'!C10+'[1]1.8.'!C16+'[1]1.8.'!C18+'[1]1.8.'!C22+'[1]1.8.'!C24</f>
        <v>90.940749629148627</v>
      </c>
      <c r="N16" s="15">
        <f>'[1]1.8.'!C12++'[1]1.8.'!C20+'[1]1.8.'!C26+'[1]1.8.'!C28+'[1]1.8.'!C30+'[1]1.8.'!C32+'[1]1.8.'!C34+'[1]1.8.'!C36</f>
        <v>108.15257878888887</v>
      </c>
      <c r="O16" s="15">
        <v>0</v>
      </c>
      <c r="P16" s="17">
        <f t="shared" si="0"/>
        <v>-1977.9066715819624</v>
      </c>
      <c r="Q16" s="17">
        <f t="shared" si="2"/>
        <v>-77.159250370851368</v>
      </c>
      <c r="R16" s="17">
        <f t="shared" si="2"/>
        <v>-1900.8374212111112</v>
      </c>
      <c r="S16" s="17">
        <f t="shared" si="2"/>
        <v>0</v>
      </c>
    </row>
    <row r="17" spans="1:19" s="4" customFormat="1" ht="31.5" x14ac:dyDescent="0.25">
      <c r="A17" s="18" t="s">
        <v>30</v>
      </c>
      <c r="B17" s="19" t="s">
        <v>31</v>
      </c>
      <c r="C17" s="13" t="s">
        <v>15</v>
      </c>
      <c r="D17" s="13">
        <v>3</v>
      </c>
      <c r="E17" s="15">
        <v>463.47</v>
      </c>
      <c r="F17" s="15">
        <f t="shared" si="1"/>
        <v>1390.41</v>
      </c>
      <c r="G17" s="15">
        <v>25.21</v>
      </c>
      <c r="H17" s="15">
        <v>1365.21</v>
      </c>
      <c r="I17" s="20"/>
      <c r="J17" s="13">
        <f>[1]Pozīcijas!C11</f>
        <v>1</v>
      </c>
      <c r="K17" s="14">
        <f>'[1]1.9.'!C42</f>
        <v>545.10450441803755</v>
      </c>
      <c r="L17" s="15">
        <f t="shared" si="3"/>
        <v>545.10450441803755</v>
      </c>
      <c r="M17" s="15">
        <f>'[1]1.9.'!C8+'[1]1.9.'!C10+'[1]1.9.'!C16+'[1]1.9.'!C18+'[1]1.9.'!C21+'[1]1.9.'!C23</f>
        <v>85.901925629148636</v>
      </c>
      <c r="N17" s="15">
        <f>'[1]1.9.'!C12+'[1]1.9.'!C19+'[1]1.9.'!C25+'[1]1.9.'!C27+'[1]1.9.'!C29+'[1]1.9.'!C31+'[1]1.9.'!C33+'[1]1.9.'!C35</f>
        <v>459.20257878888896</v>
      </c>
      <c r="O17" s="15">
        <v>0</v>
      </c>
      <c r="P17" s="17">
        <f t="shared" si="0"/>
        <v>-845.30549558196253</v>
      </c>
      <c r="Q17" s="17">
        <f t="shared" si="2"/>
        <v>60.691925629148635</v>
      </c>
      <c r="R17" s="17">
        <f t="shared" si="2"/>
        <v>-906.00742121111102</v>
      </c>
      <c r="S17" s="17">
        <f t="shared" si="2"/>
        <v>0</v>
      </c>
    </row>
    <row r="18" spans="1:19" s="4" customFormat="1" ht="31.5" x14ac:dyDescent="0.25">
      <c r="A18" s="18" t="s">
        <v>32</v>
      </c>
      <c r="B18" s="19" t="s">
        <v>33</v>
      </c>
      <c r="C18" s="13" t="s">
        <v>15</v>
      </c>
      <c r="D18" s="13">
        <v>3</v>
      </c>
      <c r="E18" s="15">
        <v>223.09</v>
      </c>
      <c r="F18" s="15">
        <f t="shared" si="1"/>
        <v>669.27</v>
      </c>
      <c r="G18" s="15">
        <v>25.21</v>
      </c>
      <c r="H18" s="15">
        <v>644.07000000000005</v>
      </c>
      <c r="I18" s="20"/>
      <c r="J18" s="13">
        <f>[1]Pozīcijas!C12</f>
        <v>1</v>
      </c>
      <c r="K18" s="14">
        <f>'[1]1.10.'!C43</f>
        <v>293.64332841803753</v>
      </c>
      <c r="L18" s="15">
        <f t="shared" si="3"/>
        <v>293.64332841803753</v>
      </c>
      <c r="M18" s="15">
        <f>'[1]1.10.'!C8+'[1]1.10.'!C10+'[1]1.10.'!C16+'[1]1.10.'!C18+'[1]1.10.'!C22+'[1]1.10.'!C24</f>
        <v>90.940749629148627</v>
      </c>
      <c r="N18" s="15">
        <f>'[1]1.10.'!C12+'[1]1.10.'!C20+'[1]1.10.'!C26+'[1]1.10.'!C28+'[1]1.10.'!C30+'[1]1.10.'!C32+'[1]1.10.'!C34+'[1]1.10.'!C36</f>
        <v>202.70257878888887</v>
      </c>
      <c r="O18" s="15">
        <v>0</v>
      </c>
      <c r="P18" s="17">
        <f t="shared" si="0"/>
        <v>-375.62667158196246</v>
      </c>
      <c r="Q18" s="17">
        <f t="shared" si="2"/>
        <v>65.730749629148619</v>
      </c>
      <c r="R18" s="17">
        <f t="shared" si="2"/>
        <v>-441.36742121111115</v>
      </c>
      <c r="S18" s="17">
        <f t="shared" si="2"/>
        <v>0</v>
      </c>
    </row>
    <row r="19" spans="1:19" s="4" customFormat="1" ht="47.25" x14ac:dyDescent="0.25">
      <c r="A19" s="18" t="s">
        <v>34</v>
      </c>
      <c r="B19" s="19" t="s">
        <v>35</v>
      </c>
      <c r="C19" s="13" t="s">
        <v>15</v>
      </c>
      <c r="D19" s="13">
        <v>2</v>
      </c>
      <c r="E19" s="15">
        <v>522.98</v>
      </c>
      <c r="F19" s="15">
        <f t="shared" si="1"/>
        <v>1045.96</v>
      </c>
      <c r="G19" s="15">
        <v>16.809999999999999</v>
      </c>
      <c r="H19" s="15">
        <v>1029.1400000000001</v>
      </c>
      <c r="I19" s="20"/>
      <c r="J19" s="13">
        <f>[1]Pozīcijas!C13</f>
        <v>1</v>
      </c>
      <c r="K19" s="14">
        <f>'[1]1.11.'!C43</f>
        <v>533.64332841803753</v>
      </c>
      <c r="L19" s="15">
        <f t="shared" si="3"/>
        <v>533.64332841803753</v>
      </c>
      <c r="M19" s="15">
        <f>'[1]1.11.'!C8+'[1]1.11.'!C10+'[1]1.11.'!C16+'[1]1.11.'!C18+'[1]1.11.'!C22+'[1]1.11.'!C24</f>
        <v>90.940749629148627</v>
      </c>
      <c r="N19" s="15">
        <f>'[1]1.11.'!C12+'[1]1.11.'!C20+'[1]1.11.'!C26+'[1]1.11.'!C28+'[1]1.11.'!C30+'[1]1.11.'!C32+'[1]1.11.'!C34+'[1]1.11.'!C36</f>
        <v>442.70257878888896</v>
      </c>
      <c r="O19" s="15">
        <v>0</v>
      </c>
      <c r="P19" s="17">
        <f t="shared" si="0"/>
        <v>-512.31667158196251</v>
      </c>
      <c r="Q19" s="17">
        <f t="shared" si="2"/>
        <v>74.130749629148625</v>
      </c>
      <c r="R19" s="17">
        <f t="shared" si="2"/>
        <v>-586.43742121111109</v>
      </c>
      <c r="S19" s="17">
        <f t="shared" si="2"/>
        <v>0</v>
      </c>
    </row>
    <row r="20" spans="1:19" s="4" customFormat="1" ht="31.5" x14ac:dyDescent="0.25">
      <c r="A20" s="18" t="s">
        <v>36</v>
      </c>
      <c r="B20" s="19" t="s">
        <v>37</v>
      </c>
      <c r="C20" s="13" t="s">
        <v>15</v>
      </c>
      <c r="D20" s="13">
        <v>10</v>
      </c>
      <c r="E20" s="15">
        <v>448.39</v>
      </c>
      <c r="F20" s="15">
        <f t="shared" si="1"/>
        <v>4483.8999999999996</v>
      </c>
      <c r="G20" s="15">
        <v>594.23</v>
      </c>
      <c r="H20" s="15">
        <v>3889.65</v>
      </c>
      <c r="I20" s="20"/>
      <c r="J20" s="13">
        <f>[1]Pozīcijas!C14</f>
        <v>1</v>
      </c>
      <c r="K20" s="14">
        <f>'[1]1.12.'!C59</f>
        <v>545.38166526219334</v>
      </c>
      <c r="L20" s="15">
        <f t="shared" si="3"/>
        <v>545.38166526219334</v>
      </c>
      <c r="M20" s="15">
        <f>'[1]1.12.'!C8+'[1]1.12.'!C10+'[1]1.12.'!C12+'[1]1.12.'!C14+'[1]1.12.'!C32+'[1]1.12.'!C34+'[1]1.12.'!C38+'[1]1.12.'!C40</f>
        <v>239.7315864733045</v>
      </c>
      <c r="N20" s="15">
        <f>'[1]1.12.'!C16+'[1]1.12.'!C18+'[1]1.12.'!C20+'[1]1.12.'!C22+'[1]1.12.'!C24+'[1]1.12.'!C26+'[1]1.12.'!C28+'[1]1.12.'!C36+'[1]1.12.'!C42+'[1]1.12.'!C44+'[1]1.12.'!C46+'[1]1.12.'!C48+'[1]1.12.'!C50+'[1]1.12.'!C52</f>
        <v>305.65007878888883</v>
      </c>
      <c r="O20" s="15">
        <v>0</v>
      </c>
      <c r="P20" s="17">
        <f t="shared" si="0"/>
        <v>-3938.5183347378061</v>
      </c>
      <c r="Q20" s="17">
        <f t="shared" si="2"/>
        <v>-354.49841352669551</v>
      </c>
      <c r="R20" s="17">
        <f t="shared" si="2"/>
        <v>-3583.9999212111111</v>
      </c>
      <c r="S20" s="17">
        <f t="shared" si="2"/>
        <v>0</v>
      </c>
    </row>
    <row r="21" spans="1:19" s="4" customFormat="1" ht="31.5" x14ac:dyDescent="0.25">
      <c r="A21" s="18" t="s">
        <v>38</v>
      </c>
      <c r="B21" s="19" t="s">
        <v>39</v>
      </c>
      <c r="C21" s="13" t="s">
        <v>15</v>
      </c>
      <c r="D21" s="13">
        <v>30</v>
      </c>
      <c r="E21" s="15">
        <v>359.14</v>
      </c>
      <c r="F21" s="15">
        <f t="shared" si="1"/>
        <v>10774.199999999999</v>
      </c>
      <c r="G21" s="15">
        <v>1782.69</v>
      </c>
      <c r="H21" s="15">
        <v>8991.43</v>
      </c>
      <c r="I21" s="20"/>
      <c r="J21" s="13">
        <f>[1]Pozīcijas!C15</f>
        <v>4</v>
      </c>
      <c r="K21" s="14">
        <f>'[1]1.13.'!C59</f>
        <v>485.58519851219341</v>
      </c>
      <c r="L21" s="15">
        <f t="shared" si="3"/>
        <v>1942.3407940487737</v>
      </c>
      <c r="M21" s="15">
        <f>'[1]1.13.'!C8+'[1]1.13.'!C10+'[1]1.13.'!C12+'[1]1.13.'!C14+'[1]1.13.'!C32+'[1]1.13.'!C34+'[1]1.13.'!C38+'[1]1.13.'!C40</f>
        <v>928.70047889321791</v>
      </c>
      <c r="N21" s="15">
        <f>'[1]1.13.'!C16+'[1]1.13.'!C18+'[1]1.13.'!C20+'[1]1.13.'!C22+'[1]1.13.'!C24+'[1]1.13.'!C26+'[1]1.13.'!C28+'[1]1.13.'!C36+'[1]1.13.'!C42+'[1]1.13.'!C44+'[1]1.13.'!C46+'[1]1.13.'!C48+'[1]1.13.'!C50+'[1]1.13.'!C52</f>
        <v>1013.6403151555555</v>
      </c>
      <c r="O21" s="15">
        <v>0</v>
      </c>
      <c r="P21" s="17">
        <f t="shared" si="0"/>
        <v>-8831.8592059512248</v>
      </c>
      <c r="Q21" s="17">
        <f t="shared" si="2"/>
        <v>-853.98952110678215</v>
      </c>
      <c r="R21" s="17">
        <f t="shared" si="2"/>
        <v>-7977.7896848444452</v>
      </c>
      <c r="S21" s="17">
        <f t="shared" si="2"/>
        <v>0</v>
      </c>
    </row>
    <row r="22" spans="1:19" s="4" customFormat="1" ht="47.25" x14ac:dyDescent="0.25">
      <c r="A22" s="18" t="s">
        <v>40</v>
      </c>
      <c r="B22" s="19" t="s">
        <v>41</v>
      </c>
      <c r="C22" s="13" t="s">
        <v>15</v>
      </c>
      <c r="D22" s="13">
        <v>2</v>
      </c>
      <c r="E22" s="15">
        <v>281</v>
      </c>
      <c r="F22" s="15">
        <f t="shared" si="1"/>
        <v>562</v>
      </c>
      <c r="G22" s="15">
        <v>118.84</v>
      </c>
      <c r="H22" s="15">
        <v>443.15</v>
      </c>
      <c r="I22" s="20"/>
      <c r="J22" s="13">
        <f>[1]Pozīcijas!C16</f>
        <v>1</v>
      </c>
      <c r="K22" s="14">
        <f>'[1]1.14.'!C59</f>
        <v>411.38166526219328</v>
      </c>
      <c r="L22" s="15">
        <f t="shared" si="3"/>
        <v>411.38166526219328</v>
      </c>
      <c r="M22" s="15">
        <f>'[1]1.14.'!C8+'[1]1.14.'!C10+'[1]1.14.'!C12+'[1]1.14.'!C14+'[1]1.14.'!C32+'[1]1.14.'!C34+'[1]1.14.'!C38+'[1]1.14.'!C40</f>
        <v>239.7315864733045</v>
      </c>
      <c r="N22" s="15">
        <f>'[1]1.14.'!C16+'[1]1.14.'!C18+'[1]1.14.'!C20+'[1]1.14.'!C22+'[1]1.14.'!C24+'[1]1.14.'!C26+'[1]1.14.'!C28+'[1]1.14.'!C36+'[1]1.14.'!C42+'[1]1.14.'!C44+'[1]1.14.'!C46+'[1]1.14.'!C48+'[1]1.14.'!C50+'[1]1.14.'!C52</f>
        <v>171.65007878888886</v>
      </c>
      <c r="O22" s="15">
        <v>0</v>
      </c>
      <c r="P22" s="17">
        <f t="shared" si="0"/>
        <v>-150.61833473780672</v>
      </c>
      <c r="Q22" s="17">
        <f t="shared" si="2"/>
        <v>120.8915864733045</v>
      </c>
      <c r="R22" s="17">
        <f t="shared" si="2"/>
        <v>-271.49992121111109</v>
      </c>
      <c r="S22" s="17">
        <f t="shared" si="2"/>
        <v>0</v>
      </c>
    </row>
    <row r="23" spans="1:19" s="4" customFormat="1" ht="31.5" x14ac:dyDescent="0.25">
      <c r="A23" s="18"/>
      <c r="B23" s="22" t="s">
        <v>42</v>
      </c>
      <c r="C23" s="23" t="s">
        <v>15</v>
      </c>
      <c r="D23" s="23">
        <v>2</v>
      </c>
      <c r="E23" s="24">
        <v>442.84</v>
      </c>
      <c r="F23" s="24">
        <v>885.68</v>
      </c>
      <c r="G23" s="24">
        <v>118.84</v>
      </c>
      <c r="H23" s="24">
        <v>766.84</v>
      </c>
      <c r="I23" s="20"/>
      <c r="J23" s="13"/>
      <c r="K23" s="14"/>
      <c r="L23" s="15"/>
      <c r="M23" s="15"/>
      <c r="N23" s="15"/>
      <c r="O23" s="15"/>
      <c r="P23" s="17">
        <f t="shared" si="0"/>
        <v>-885.68</v>
      </c>
      <c r="Q23" s="17">
        <f t="shared" si="2"/>
        <v>-118.84</v>
      </c>
      <c r="R23" s="17">
        <f t="shared" si="2"/>
        <v>-766.84</v>
      </c>
      <c r="S23" s="17">
        <f t="shared" si="2"/>
        <v>0</v>
      </c>
    </row>
    <row r="24" spans="1:19" s="4" customFormat="1" ht="31.5" x14ac:dyDescent="0.25">
      <c r="A24" s="18" t="s">
        <v>43</v>
      </c>
      <c r="B24" s="19" t="s">
        <v>44</v>
      </c>
      <c r="C24" s="13" t="s">
        <v>15</v>
      </c>
      <c r="D24" s="25">
        <v>2</v>
      </c>
      <c r="E24" s="21">
        <v>285.72000000000003</v>
      </c>
      <c r="F24" s="21">
        <f>SUM(D24)*E24</f>
        <v>571.44000000000005</v>
      </c>
      <c r="G24" s="21">
        <v>118.84</v>
      </c>
      <c r="H24" s="21">
        <v>452.6</v>
      </c>
      <c r="I24" s="20"/>
      <c r="J24" s="13">
        <f>[1]Pozīcijas!C17</f>
        <v>2</v>
      </c>
      <c r="K24" s="14">
        <f>'[1]1.15.'!C59</f>
        <v>419.36</v>
      </c>
      <c r="L24" s="15">
        <f>SUM(J24)*K24</f>
        <v>838.72</v>
      </c>
      <c r="M24" s="15">
        <f>'[1]1.15.'!C8+'[1]1.15.'!C10+'[1]1.15.'!C12+'[1]1.15.'!C14+'[1]1.15.'!C32+'[1]1.15.'!C34+'[1]1.15.'!C38+'[1]1.15.'!C40</f>
        <v>479.45845494660898</v>
      </c>
      <c r="N24" s="15">
        <f>'[1]1.15.'!C16+'[1]1.15.'!C18+'[1]1.15.'!C20+'[1]1.15.'!C22+'[1]1.15.'!C24+'[1]1.15.'!C26+'[1]1.15.'!C28+'[1]1.15.'!C36+'[1]1.15.'!C42+'[1]1.15.'!C44+'[1]1.15.'!C46+'[1]1.15.'!C48+'[1]1.15.'!C50+'[1]1.15.'!C52</f>
        <v>359.2601575777777</v>
      </c>
      <c r="O24" s="15">
        <v>0</v>
      </c>
      <c r="P24" s="17">
        <f t="shared" si="0"/>
        <v>267.27999999999997</v>
      </c>
      <c r="Q24" s="17">
        <f t="shared" si="2"/>
        <v>360.61845494660895</v>
      </c>
      <c r="R24" s="17">
        <f t="shared" si="2"/>
        <v>-93.339842422222318</v>
      </c>
      <c r="S24" s="17">
        <f t="shared" si="2"/>
        <v>0</v>
      </c>
    </row>
    <row r="25" spans="1:19" s="4" customFormat="1" ht="63" x14ac:dyDescent="0.25">
      <c r="A25" s="18" t="s">
        <v>45</v>
      </c>
      <c r="B25" s="19" t="s">
        <v>46</v>
      </c>
      <c r="C25" s="13" t="s">
        <v>15</v>
      </c>
      <c r="D25" s="13">
        <v>2</v>
      </c>
      <c r="E25" s="15">
        <v>245.7</v>
      </c>
      <c r="F25" s="15">
        <f t="shared" si="1"/>
        <v>491.4</v>
      </c>
      <c r="G25" s="15">
        <v>118.84</v>
      </c>
      <c r="H25" s="15">
        <v>372.55</v>
      </c>
      <c r="I25" s="20"/>
      <c r="J25" s="13">
        <f>[1]Pozīcijas!C18</f>
        <v>1</v>
      </c>
      <c r="K25" s="14">
        <f>'[1]1.16.'!C55</f>
        <v>352.72166526219337</v>
      </c>
      <c r="L25" s="15">
        <f t="shared" si="3"/>
        <v>352.72166526219337</v>
      </c>
      <c r="M25" s="15">
        <f>'[1]1.16.'!C8+'[1]1.16.'!C10+'[1]1.16.'!C12+'[1]1.16.'!C14+'[1]1.16.'!C28+'[1]1.16.'!C30+'[1]1.16.'!C34+'[1]1.16.'!C36</f>
        <v>239.7315864733045</v>
      </c>
      <c r="N25" s="15">
        <f>'[1]1.16.'!C16+'[1]1.16.'!C18+'[1]1.16.'!C20+'[1]1.16.'!C22+'[1]1.16.'!C24+'[1]1.16.'!C32+'[1]1.16.'!C38+'[1]1.16.'!C40+'[1]1.16.'!C42+'[1]1.16.'!C44+'[1]1.16.'!C46+'[1]1.16.'!C48</f>
        <v>112.99007878888888</v>
      </c>
      <c r="O25" s="15">
        <v>0</v>
      </c>
      <c r="P25" s="17">
        <f t="shared" si="0"/>
        <v>-138.67833473780661</v>
      </c>
      <c r="Q25" s="17">
        <f t="shared" si="2"/>
        <v>120.8915864733045</v>
      </c>
      <c r="R25" s="17">
        <f t="shared" si="2"/>
        <v>-259.55992121111115</v>
      </c>
      <c r="S25" s="17">
        <f t="shared" si="2"/>
        <v>0</v>
      </c>
    </row>
    <row r="26" spans="1:19" s="4" customFormat="1" ht="47.25" x14ac:dyDescent="0.25">
      <c r="A26" s="18" t="s">
        <v>47</v>
      </c>
      <c r="B26" s="19" t="s">
        <v>48</v>
      </c>
      <c r="C26" s="13" t="s">
        <v>15</v>
      </c>
      <c r="D26" s="13">
        <v>2</v>
      </c>
      <c r="E26" s="15">
        <v>684.86</v>
      </c>
      <c r="F26" s="15">
        <f t="shared" si="1"/>
        <v>1369.72</v>
      </c>
      <c r="G26" s="15">
        <v>109.71</v>
      </c>
      <c r="H26" s="15">
        <v>1260</v>
      </c>
      <c r="I26" s="20"/>
      <c r="J26" s="13">
        <f>[1]Pozīcijas!C19</f>
        <v>1</v>
      </c>
      <c r="K26" s="14">
        <f>'[1]1.17.'!C43</f>
        <v>1058.6020881582972</v>
      </c>
      <c r="L26" s="15">
        <f t="shared" si="3"/>
        <v>1058.6020881582972</v>
      </c>
      <c r="M26" s="15">
        <f>'[1]1.17.'!C8+'[1]1.17.'!C10+'[1]1.17.'!C16+'[1]1.17.'!C18+'[1]1.17.'!C22+'[1]1.17.'!C24</f>
        <v>115.89950936940836</v>
      </c>
      <c r="N26" s="15">
        <f>'[1]1.17.'!C12+'[1]1.17.'!C20+'[1]1.17.'!C26+'[1]1.17.'!C28+'[1]1.17.'!C30+'[1]1.17.'!C32+'[1]1.17.'!C34+'[1]1.17.'!C36</f>
        <v>942.7025787888889</v>
      </c>
      <c r="O26" s="15">
        <v>0</v>
      </c>
      <c r="P26" s="17">
        <f t="shared" si="0"/>
        <v>-311.11791184170283</v>
      </c>
      <c r="Q26" s="17">
        <f t="shared" si="2"/>
        <v>6.1895093694083698</v>
      </c>
      <c r="R26" s="17">
        <f t="shared" si="2"/>
        <v>-317.2974212111111</v>
      </c>
      <c r="S26" s="17">
        <f t="shared" si="2"/>
        <v>0</v>
      </c>
    </row>
    <row r="27" spans="1:19" s="4" customFormat="1" ht="47.25" x14ac:dyDescent="0.25">
      <c r="A27" s="18" t="s">
        <v>49</v>
      </c>
      <c r="B27" s="19" t="s">
        <v>50</v>
      </c>
      <c r="C27" s="13" t="s">
        <v>15</v>
      </c>
      <c r="D27" s="13">
        <v>2</v>
      </c>
      <c r="E27" s="15">
        <v>1101.3599999999999</v>
      </c>
      <c r="F27" s="15">
        <f t="shared" si="1"/>
        <v>2202.7199999999998</v>
      </c>
      <c r="G27" s="15">
        <v>109.71</v>
      </c>
      <c r="H27" s="15">
        <v>2093</v>
      </c>
      <c r="I27" s="20"/>
      <c r="J27" s="13">
        <f>[1]Pozīcijas!C20</f>
        <v>1</v>
      </c>
      <c r="K27" s="14">
        <f>'[1]1.18.'!C43</f>
        <v>1358.6020881582974</v>
      </c>
      <c r="L27" s="15">
        <f t="shared" si="3"/>
        <v>1358.6020881582974</v>
      </c>
      <c r="M27" s="15">
        <f>'[1]1.18.'!C8+'[1]1.18.'!C10+'[1]1.18.'!C16+'[1]1.18.'!C18+'[1]1.18.'!C22+'[1]1.18.'!C24</f>
        <v>115.89950936940836</v>
      </c>
      <c r="N27" s="15">
        <f>'[1]1.18.'!C12+'[1]1.18.'!C20+'[1]1.18.'!C26+'[1]1.18.'!C28+'[1]1.18.'!C30+'[1]1.18.'!C32+'[1]1.18.'!C34+'[1]1.18.'!C36</f>
        <v>1242.702578788889</v>
      </c>
      <c r="O27" s="15">
        <v>0</v>
      </c>
      <c r="P27" s="17">
        <f t="shared" si="0"/>
        <v>-844.11791184170238</v>
      </c>
      <c r="Q27" s="17">
        <f t="shared" si="2"/>
        <v>6.1895093694083698</v>
      </c>
      <c r="R27" s="17">
        <f t="shared" si="2"/>
        <v>-850.29742121111099</v>
      </c>
      <c r="S27" s="17">
        <f t="shared" si="2"/>
        <v>0</v>
      </c>
    </row>
    <row r="28" spans="1:19" s="4" customFormat="1" ht="31.5" x14ac:dyDescent="0.25">
      <c r="A28" s="18" t="s">
        <v>51</v>
      </c>
      <c r="B28" s="19" t="s">
        <v>52</v>
      </c>
      <c r="C28" s="13" t="s">
        <v>15</v>
      </c>
      <c r="D28" s="13">
        <v>2</v>
      </c>
      <c r="E28" s="15">
        <v>684.86</v>
      </c>
      <c r="F28" s="15">
        <f t="shared" si="1"/>
        <v>1369.72</v>
      </c>
      <c r="G28" s="15">
        <v>109.71</v>
      </c>
      <c r="H28" s="15">
        <v>1260</v>
      </c>
      <c r="I28" s="20"/>
      <c r="J28" s="13">
        <f>[1]Pozīcijas!C21</f>
        <v>1</v>
      </c>
      <c r="K28" s="14">
        <f>'[1]1.19.'!C43</f>
        <v>1958.6020881582974</v>
      </c>
      <c r="L28" s="15">
        <f t="shared" si="3"/>
        <v>1958.6020881582974</v>
      </c>
      <c r="M28" s="15">
        <f>'[1]1.19.'!C8+'[1]1.19.'!C10+'[1]1.19.'!C16+'[1]1.19.'!C18+'[1]1.19.'!C22+'[1]1.19.'!C24</f>
        <v>115.89950936940836</v>
      </c>
      <c r="N28" s="15">
        <f>'[1]1.19.'!C12+'[1]1.19.'!C20+'[1]1.19.'!C26+'[1]1.19.'!C28+'[1]1.19.'!C30+'[1]1.19.'!C32+'[1]1.19.'!C34+'[1]1.19.'!C36</f>
        <v>1842.702578788889</v>
      </c>
      <c r="O28" s="15">
        <v>0</v>
      </c>
      <c r="P28" s="17">
        <f t="shared" si="0"/>
        <v>588.88208815829739</v>
      </c>
      <c r="Q28" s="17">
        <f t="shared" si="2"/>
        <v>6.1895093694083698</v>
      </c>
      <c r="R28" s="17">
        <f t="shared" si="2"/>
        <v>582.70257878888901</v>
      </c>
      <c r="S28" s="17">
        <f t="shared" si="2"/>
        <v>0</v>
      </c>
    </row>
    <row r="29" spans="1:19" s="4" customFormat="1" ht="31.5" x14ac:dyDescent="0.25">
      <c r="A29" s="26"/>
      <c r="B29" s="22" t="s">
        <v>53</v>
      </c>
      <c r="C29" s="23" t="s">
        <v>15</v>
      </c>
      <c r="D29" s="23">
        <v>2</v>
      </c>
      <c r="E29" s="24">
        <v>684.86</v>
      </c>
      <c r="F29" s="24">
        <f t="shared" si="1"/>
        <v>1369.72</v>
      </c>
      <c r="G29" s="24">
        <v>109.71</v>
      </c>
      <c r="H29" s="24">
        <v>1260</v>
      </c>
      <c r="I29" s="20"/>
      <c r="J29" s="13"/>
      <c r="K29" s="14"/>
      <c r="L29" s="15"/>
      <c r="M29" s="15"/>
      <c r="N29" s="15"/>
      <c r="O29" s="15"/>
      <c r="P29" s="17">
        <f t="shared" si="0"/>
        <v>-1369.72</v>
      </c>
      <c r="Q29" s="17">
        <f t="shared" si="2"/>
        <v>-109.71</v>
      </c>
      <c r="R29" s="17">
        <f t="shared" si="2"/>
        <v>-1260</v>
      </c>
      <c r="S29" s="17">
        <f t="shared" si="2"/>
        <v>0</v>
      </c>
    </row>
    <row r="30" spans="1:19" s="4" customFormat="1" ht="31.5" x14ac:dyDescent="0.25">
      <c r="A30" s="26"/>
      <c r="B30" s="22" t="s">
        <v>54</v>
      </c>
      <c r="C30" s="23" t="s">
        <v>15</v>
      </c>
      <c r="D30" s="23">
        <v>2</v>
      </c>
      <c r="E30" s="24">
        <v>684.86</v>
      </c>
      <c r="F30" s="24">
        <f t="shared" si="1"/>
        <v>1369.72</v>
      </c>
      <c r="G30" s="24">
        <v>109.71</v>
      </c>
      <c r="H30" s="24">
        <v>1260</v>
      </c>
      <c r="I30" s="20"/>
      <c r="J30" s="13"/>
      <c r="K30" s="14"/>
      <c r="L30" s="15"/>
      <c r="M30" s="15"/>
      <c r="N30" s="15"/>
      <c r="O30" s="15"/>
      <c r="P30" s="17">
        <f t="shared" si="0"/>
        <v>-1369.72</v>
      </c>
      <c r="Q30" s="17">
        <f t="shared" si="2"/>
        <v>-109.71</v>
      </c>
      <c r="R30" s="17">
        <f t="shared" si="2"/>
        <v>-1260</v>
      </c>
      <c r="S30" s="17">
        <f t="shared" si="2"/>
        <v>0</v>
      </c>
    </row>
    <row r="31" spans="1:19" s="4" customFormat="1" ht="47.25" x14ac:dyDescent="0.25">
      <c r="A31" s="18" t="s">
        <v>55</v>
      </c>
      <c r="B31" s="19" t="s">
        <v>69</v>
      </c>
      <c r="C31" s="13" t="s">
        <v>57</v>
      </c>
      <c r="D31" s="13">
        <v>4</v>
      </c>
      <c r="E31" s="15">
        <v>803.85</v>
      </c>
      <c r="F31" s="15">
        <f t="shared" si="1"/>
        <v>3215.4</v>
      </c>
      <c r="G31" s="15">
        <v>219.41</v>
      </c>
      <c r="H31" s="15">
        <v>2996</v>
      </c>
      <c r="I31" s="20"/>
      <c r="J31" s="13">
        <f>[1]Pozīcijas!C22</f>
        <v>1</v>
      </c>
      <c r="K31" s="14">
        <f>'[1]1.20.'!C43</f>
        <v>1288.7520881582975</v>
      </c>
      <c r="L31" s="15">
        <f>SUM(J31)*K31</f>
        <v>1288.7520881582975</v>
      </c>
      <c r="M31" s="15">
        <f>'[1]1.20.'!C8+'[1]1.20.'!C10+'[1]1.20.'!C16+'[1]1.20.'!C18+'[1]1.20.'!C22+'[1]1.20.'!C24</f>
        <v>115.89950936940836</v>
      </c>
      <c r="N31" s="15">
        <f>'[1]1.20.'!C12+'[1]1.20.'!C20+'[1]1.20.'!C26+'[1]1.20.'!C28+'[1]1.20.'!C30+'[1]1.20.'!C32+'[1]1.20.'!C34+'[1]1.20.'!C36</f>
        <v>1172.8525787888891</v>
      </c>
      <c r="O31" s="15">
        <v>0</v>
      </c>
      <c r="P31" s="17">
        <f t="shared" si="0"/>
        <v>-1926.6479118417026</v>
      </c>
      <c r="Q31" s="17">
        <f t="shared" si="2"/>
        <v>-103.51049063059163</v>
      </c>
      <c r="R31" s="17">
        <f t="shared" si="2"/>
        <v>-1823.1474212111109</v>
      </c>
      <c r="S31" s="17">
        <f t="shared" si="2"/>
        <v>0</v>
      </c>
    </row>
    <row r="32" spans="1:19" s="4" customFormat="1" ht="47.25" x14ac:dyDescent="0.25">
      <c r="A32" s="13" t="s">
        <v>58</v>
      </c>
      <c r="B32" s="19" t="s">
        <v>70</v>
      </c>
      <c r="C32" s="13" t="s">
        <v>57</v>
      </c>
      <c r="D32" s="13">
        <v>4</v>
      </c>
      <c r="E32" s="15">
        <v>387.35</v>
      </c>
      <c r="F32" s="15">
        <f t="shared" si="1"/>
        <v>1549.4</v>
      </c>
      <c r="G32" s="15">
        <v>219.41</v>
      </c>
      <c r="H32" s="15">
        <v>1330</v>
      </c>
      <c r="I32" s="20"/>
      <c r="J32" s="13">
        <f>[1]Pozīcijas!C23</f>
        <v>1</v>
      </c>
      <c r="K32" s="14">
        <f>'[1]1.21.'!C43</f>
        <v>1508.6020881582974</v>
      </c>
      <c r="L32" s="15">
        <f>SUM(J32)*K32</f>
        <v>1508.6020881582974</v>
      </c>
      <c r="M32" s="15">
        <f>'[1]1.21.'!C8+'[1]1.21.'!C10+'[1]1.21.'!C16+'[1]1.21.'!C18+'[1]1.21.'!C22+'[1]1.21.'!C24</f>
        <v>115.89950936940836</v>
      </c>
      <c r="N32" s="15">
        <f>'[1]1.21.'!C12+'[1]1.21.'!C20+'[1]1.21.'!C26+'[1]1.21.'!C28+'[1]1.21.'!C30+'[1]1.21.'!C32+'[1]1.21.'!C34+'[1]1.21.'!C36</f>
        <v>1392.702578788889</v>
      </c>
      <c r="O32" s="15">
        <v>0</v>
      </c>
      <c r="P32" s="17">
        <f>SUM(L32)-F32</f>
        <v>-40.797911841702671</v>
      </c>
      <c r="Q32" s="17">
        <f t="shared" si="2"/>
        <v>-103.51049063059163</v>
      </c>
      <c r="R32" s="17">
        <f t="shared" si="2"/>
        <v>62.702578788889014</v>
      </c>
      <c r="S32" s="17">
        <f t="shared" si="2"/>
        <v>0</v>
      </c>
    </row>
    <row r="33" spans="1:23" s="4" customFormat="1" ht="31.5" x14ac:dyDescent="0.25">
      <c r="A33" s="13"/>
      <c r="B33" s="22" t="s">
        <v>60</v>
      </c>
      <c r="C33" s="23" t="s">
        <v>61</v>
      </c>
      <c r="D33" s="23">
        <v>15</v>
      </c>
      <c r="E33" s="24">
        <v>20.02</v>
      </c>
      <c r="F33" s="24">
        <f t="shared" si="1"/>
        <v>300.3</v>
      </c>
      <c r="G33" s="24">
        <v>300.3</v>
      </c>
      <c r="H33" s="15"/>
      <c r="I33" s="20"/>
      <c r="J33" s="13"/>
      <c r="K33" s="14"/>
      <c r="L33" s="15"/>
      <c r="M33" s="15"/>
      <c r="N33" s="15"/>
      <c r="O33" s="15"/>
      <c r="P33" s="17">
        <f t="shared" si="0"/>
        <v>-300.3</v>
      </c>
      <c r="Q33" s="17">
        <f t="shared" si="2"/>
        <v>-300.3</v>
      </c>
      <c r="R33" s="17">
        <f t="shared" si="2"/>
        <v>0</v>
      </c>
      <c r="S33" s="17">
        <f t="shared" si="2"/>
        <v>0</v>
      </c>
    </row>
    <row r="34" spans="1:23" s="4" customFormat="1" ht="63" x14ac:dyDescent="0.25">
      <c r="A34" s="13"/>
      <c r="B34" s="22" t="s">
        <v>62</v>
      </c>
      <c r="C34" s="23" t="s">
        <v>63</v>
      </c>
      <c r="D34" s="23">
        <v>60</v>
      </c>
      <c r="E34" s="24">
        <v>18.36</v>
      </c>
      <c r="F34" s="24">
        <f>D34*E34</f>
        <v>1101.5999999999999</v>
      </c>
      <c r="G34" s="24">
        <v>1101.5999999999999</v>
      </c>
      <c r="H34" s="15"/>
      <c r="I34" s="20"/>
      <c r="J34" s="13"/>
      <c r="K34" s="14"/>
      <c r="L34" s="15"/>
      <c r="M34" s="15"/>
      <c r="N34" s="15"/>
      <c r="O34" s="15"/>
      <c r="P34" s="17">
        <f t="shared" si="0"/>
        <v>-1101.5999999999999</v>
      </c>
      <c r="Q34" s="17">
        <f t="shared" si="2"/>
        <v>-1101.5999999999999</v>
      </c>
      <c r="R34" s="17">
        <f t="shared" si="2"/>
        <v>0</v>
      </c>
      <c r="S34" s="17">
        <f t="shared" si="2"/>
        <v>0</v>
      </c>
      <c r="W34" s="27"/>
    </row>
    <row r="35" spans="1:23" s="32" customFormat="1" ht="16.5" thickBot="1" x14ac:dyDescent="0.3">
      <c r="A35" s="54" t="s">
        <v>64</v>
      </c>
      <c r="B35" s="55"/>
      <c r="C35" s="55"/>
      <c r="D35" s="55"/>
      <c r="E35" s="55"/>
      <c r="F35" s="28">
        <f>ROUND(SUM(F9:F34),0)</f>
        <v>157848</v>
      </c>
      <c r="G35" s="28">
        <f>ROUND(SUM(G9:G34),0)</f>
        <v>47323</v>
      </c>
      <c r="H35" s="28">
        <f>ROUND(SUM(H9:H34),0)</f>
        <v>110449</v>
      </c>
      <c r="I35" s="28">
        <f>ROUND(SUM(I9:I34),0)</f>
        <v>76</v>
      </c>
      <c r="J35" s="29">
        <f>SUM(J9:J34)</f>
        <v>108</v>
      </c>
      <c r="K35" s="30"/>
      <c r="L35" s="28">
        <f>ROUND(SUM(L9:L34),0)</f>
        <v>51807</v>
      </c>
      <c r="M35" s="28">
        <f t="shared" ref="M35:O35" si="4">ROUND(SUM(M9:M34),0)</f>
        <v>23281</v>
      </c>
      <c r="N35" s="28">
        <f t="shared" si="4"/>
        <v>28526</v>
      </c>
      <c r="O35" s="28">
        <f t="shared" si="4"/>
        <v>0</v>
      </c>
      <c r="P35" s="31">
        <f>ROUND(SUM(P9:P34),0)</f>
        <v>-106041</v>
      </c>
      <c r="Q35" s="31">
        <f>ROUND(SUM(Q9:Q34),0)</f>
        <v>-24042</v>
      </c>
      <c r="R35" s="31">
        <f>ROUND(SUM(R9:R34),0)</f>
        <v>-81923</v>
      </c>
      <c r="S35" s="31">
        <f>ROUND(SUM(S9:S34),0)</f>
        <v>-76</v>
      </c>
    </row>
    <row r="36" spans="1:23" x14ac:dyDescent="0.25">
      <c r="G36" s="2"/>
      <c r="H36" s="2"/>
      <c r="I36" s="2"/>
    </row>
    <row r="38" spans="1:23" x14ac:dyDescent="0.25">
      <c r="G38" s="2"/>
      <c r="H38" s="2"/>
      <c r="L38" s="33"/>
    </row>
    <row r="39" spans="1:23" x14ac:dyDescent="0.25">
      <c r="G39" s="2"/>
    </row>
  </sheetData>
  <mergeCells count="22">
    <mergeCell ref="P1:S1"/>
    <mergeCell ref="A3:S3"/>
    <mergeCell ref="A5:A7"/>
    <mergeCell ref="B5:B7"/>
    <mergeCell ref="C5:C7"/>
    <mergeCell ref="D5:I5"/>
    <mergeCell ref="J5:O5"/>
    <mergeCell ref="P5:P7"/>
    <mergeCell ref="Q5:S5"/>
    <mergeCell ref="D6:D7"/>
    <mergeCell ref="M6:O6"/>
    <mergeCell ref="Q6:Q7"/>
    <mergeCell ref="R6:R7"/>
    <mergeCell ref="S6:S7"/>
    <mergeCell ref="A35:E35"/>
    <mergeCell ref="E6:E7"/>
    <mergeCell ref="F6:F7"/>
    <mergeCell ref="G6:I6"/>
    <mergeCell ref="J6:J7"/>
    <mergeCell ref="B8:S8"/>
    <mergeCell ref="K6:K7"/>
    <mergeCell ref="L6:L7"/>
  </mergeCells>
  <pageMargins left="0.70866141732283472" right="0.70866141732283472" top="0.74803149606299213" bottom="0.74803149606299213"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3A313-38F0-4EEB-8550-FFDAECCBB126}">
  <sheetPr>
    <pageSetUpPr fitToPage="1"/>
  </sheetPr>
  <dimension ref="A1:AN40"/>
  <sheetViews>
    <sheetView tabSelected="1" view="pageBreakPreview" topLeftCell="E1" zoomScale="90" zoomScaleNormal="90" zoomScaleSheetLayoutView="90" workbookViewId="0">
      <selection activeCell="L35" sqref="L35:N35"/>
    </sheetView>
  </sheetViews>
  <sheetFormatPr defaultRowHeight="15" x14ac:dyDescent="0.25"/>
  <cols>
    <col min="1" max="1" width="4.5703125" customWidth="1"/>
    <col min="2" max="2" width="39.42578125" customWidth="1"/>
    <col min="3" max="3" width="19.42578125" customWidth="1"/>
    <col min="4" max="5" width="11.140625" customWidth="1"/>
    <col min="6" max="6" width="14.7109375" customWidth="1"/>
    <col min="7" max="7" width="11.140625" customWidth="1"/>
    <col min="8" max="8" width="14" customWidth="1"/>
    <col min="9" max="9" width="11.140625" style="34" customWidth="1"/>
    <col min="10" max="11" width="11.140625" customWidth="1"/>
    <col min="12" max="12" width="15.28515625" customWidth="1"/>
    <col min="13" max="14" width="11.140625" customWidth="1"/>
    <col min="15" max="15" width="11.140625" style="34" customWidth="1"/>
    <col min="16" max="17" width="11.140625" customWidth="1"/>
    <col min="18" max="18" width="12" customWidth="1"/>
    <col min="19" max="20" width="11.140625" customWidth="1"/>
    <col min="21" max="21" width="11.140625" style="34" customWidth="1"/>
    <col min="22" max="22" width="15.85546875" customWidth="1"/>
    <col min="23" max="23" width="14.42578125" customWidth="1"/>
    <col min="24" max="24" width="15" customWidth="1"/>
    <col min="25" max="25" width="11.140625" customWidth="1"/>
    <col min="26" max="27" width="13.5703125" hidden="1" customWidth="1"/>
    <col min="28" max="28" width="10.5703125" hidden="1" customWidth="1"/>
    <col min="29" max="29" width="13" hidden="1" customWidth="1"/>
    <col min="30" max="30" width="13.85546875" hidden="1" customWidth="1"/>
    <col min="31" max="31" width="10.5703125" hidden="1" customWidth="1"/>
    <col min="32" max="32" width="11.5703125" hidden="1" customWidth="1"/>
    <col min="33" max="33" width="12.42578125" hidden="1" customWidth="1"/>
    <col min="34" max="34" width="10.5703125" hidden="1" customWidth="1"/>
    <col min="35" max="36" width="13.42578125" hidden="1" customWidth="1"/>
    <col min="37" max="37" width="10.5703125" hidden="1" customWidth="1"/>
    <col min="38" max="38" width="14" hidden="1" customWidth="1"/>
    <col min="39" max="39" width="12.5703125" hidden="1" customWidth="1"/>
    <col min="40" max="40" width="10.5703125" hidden="1" customWidth="1"/>
  </cols>
  <sheetData>
    <row r="1" spans="1:40" ht="105" customHeight="1" x14ac:dyDescent="0.25">
      <c r="I1"/>
      <c r="M1" s="1"/>
      <c r="N1" s="1"/>
      <c r="O1" s="1"/>
      <c r="S1" s="1"/>
      <c r="T1" s="1"/>
      <c r="U1" s="1"/>
      <c r="V1" s="62" t="s">
        <v>67</v>
      </c>
      <c r="W1" s="62"/>
      <c r="X1" s="62"/>
      <c r="Y1" s="62"/>
    </row>
    <row r="2" spans="1:40" x14ac:dyDescent="0.25">
      <c r="H2" s="2"/>
      <c r="I2"/>
      <c r="O2"/>
      <c r="U2"/>
    </row>
    <row r="3" spans="1:40" s="3" customFormat="1" ht="59.45" customHeight="1" x14ac:dyDescent="0.25">
      <c r="A3" s="63" t="s">
        <v>68</v>
      </c>
      <c r="B3" s="63"/>
      <c r="C3" s="63"/>
      <c r="D3" s="63"/>
      <c r="E3" s="63"/>
      <c r="F3" s="63"/>
      <c r="G3" s="63"/>
      <c r="H3" s="63"/>
      <c r="I3" s="63"/>
      <c r="J3" s="63"/>
      <c r="K3" s="63"/>
      <c r="L3" s="63"/>
      <c r="M3" s="63"/>
      <c r="N3" s="63"/>
      <c r="O3" s="63"/>
      <c r="P3" s="63"/>
      <c r="Q3" s="63"/>
      <c r="R3" s="63"/>
      <c r="S3" s="63"/>
      <c r="T3" s="63"/>
      <c r="U3" s="63"/>
      <c r="V3" s="63"/>
      <c r="W3" s="63"/>
      <c r="X3" s="63"/>
      <c r="Y3" s="63"/>
    </row>
    <row r="4" spans="1:40" ht="15.75" thickBot="1" x14ac:dyDescent="0.3">
      <c r="H4" s="2"/>
      <c r="I4"/>
      <c r="O4"/>
      <c r="U4"/>
    </row>
    <row r="5" spans="1:40" s="4" customFormat="1" ht="15.75" x14ac:dyDescent="0.25">
      <c r="A5" s="64" t="s">
        <v>2</v>
      </c>
      <c r="B5" s="67" t="s">
        <v>3</v>
      </c>
      <c r="C5" s="67" t="s">
        <v>4</v>
      </c>
      <c r="D5" s="67" t="s">
        <v>5</v>
      </c>
      <c r="E5" s="67"/>
      <c r="F5" s="67"/>
      <c r="G5" s="67"/>
      <c r="H5" s="67"/>
      <c r="I5" s="67"/>
      <c r="J5" s="67" t="s">
        <v>71</v>
      </c>
      <c r="K5" s="67"/>
      <c r="L5" s="67"/>
      <c r="M5" s="67"/>
      <c r="N5" s="67"/>
      <c r="O5" s="67"/>
      <c r="P5" s="67" t="s">
        <v>72</v>
      </c>
      <c r="Q5" s="67"/>
      <c r="R5" s="67"/>
      <c r="S5" s="67"/>
      <c r="T5" s="67"/>
      <c r="U5" s="67"/>
      <c r="V5" s="68" t="s">
        <v>7</v>
      </c>
      <c r="W5" s="68" t="s">
        <v>8</v>
      </c>
      <c r="X5" s="68"/>
      <c r="Y5" s="71"/>
      <c r="AF5" s="82" t="s">
        <v>65</v>
      </c>
      <c r="AG5" s="82"/>
      <c r="AH5" s="82"/>
      <c r="AL5" s="82" t="s">
        <v>66</v>
      </c>
      <c r="AM5" s="82"/>
      <c r="AN5" s="82"/>
    </row>
    <row r="6" spans="1:40" s="4" customFormat="1" ht="15.75" x14ac:dyDescent="0.25">
      <c r="A6" s="65"/>
      <c r="B6" s="56"/>
      <c r="C6" s="56"/>
      <c r="D6" s="56" t="s">
        <v>9</v>
      </c>
      <c r="E6" s="56" t="s">
        <v>10</v>
      </c>
      <c r="F6" s="56" t="s">
        <v>11</v>
      </c>
      <c r="G6" s="56" t="s">
        <v>8</v>
      </c>
      <c r="H6" s="56"/>
      <c r="I6" s="56"/>
      <c r="J6" s="56" t="s">
        <v>9</v>
      </c>
      <c r="K6" s="56" t="s">
        <v>10</v>
      </c>
      <c r="L6" s="56" t="s">
        <v>11</v>
      </c>
      <c r="M6" s="56" t="s">
        <v>8</v>
      </c>
      <c r="N6" s="56"/>
      <c r="O6" s="56"/>
      <c r="P6" s="56" t="s">
        <v>9</v>
      </c>
      <c r="Q6" s="56" t="s">
        <v>10</v>
      </c>
      <c r="R6" s="56" t="s">
        <v>11</v>
      </c>
      <c r="S6" s="56" t="s">
        <v>8</v>
      </c>
      <c r="T6" s="56"/>
      <c r="U6" s="56"/>
      <c r="V6" s="69"/>
      <c r="W6" s="69">
        <v>1000</v>
      </c>
      <c r="X6" s="69">
        <v>2000</v>
      </c>
      <c r="Y6" s="72">
        <v>5000</v>
      </c>
      <c r="Z6" s="78">
        <v>1000</v>
      </c>
      <c r="AA6" s="69">
        <v>2000</v>
      </c>
      <c r="AB6" s="72">
        <v>5000</v>
      </c>
      <c r="AC6" s="80">
        <v>1000</v>
      </c>
      <c r="AD6" s="80">
        <v>2000</v>
      </c>
      <c r="AE6" s="76">
        <v>5000</v>
      </c>
      <c r="AF6" s="69">
        <v>1000</v>
      </c>
      <c r="AG6" s="69">
        <v>2000</v>
      </c>
      <c r="AH6" s="72">
        <v>5000</v>
      </c>
      <c r="AI6" s="74">
        <v>1000</v>
      </c>
      <c r="AJ6" s="74">
        <v>2000</v>
      </c>
      <c r="AK6" s="83">
        <v>5000</v>
      </c>
      <c r="AL6" s="85">
        <v>1000</v>
      </c>
      <c r="AM6" s="85">
        <v>2000</v>
      </c>
      <c r="AN6" s="87">
        <v>5000</v>
      </c>
    </row>
    <row r="7" spans="1:40" s="6" customFormat="1" ht="30" customHeight="1" thickBot="1" x14ac:dyDescent="0.3">
      <c r="A7" s="66"/>
      <c r="B7" s="57"/>
      <c r="C7" s="57"/>
      <c r="D7" s="57"/>
      <c r="E7" s="57"/>
      <c r="F7" s="57"/>
      <c r="G7" s="5">
        <v>1000</v>
      </c>
      <c r="H7" s="5">
        <v>2000</v>
      </c>
      <c r="I7" s="35">
        <v>5000</v>
      </c>
      <c r="J7" s="57"/>
      <c r="K7" s="57"/>
      <c r="L7" s="57"/>
      <c r="M7" s="5">
        <v>1000</v>
      </c>
      <c r="N7" s="5">
        <v>2000</v>
      </c>
      <c r="O7" s="35">
        <v>5000</v>
      </c>
      <c r="P7" s="57"/>
      <c r="Q7" s="57"/>
      <c r="R7" s="57"/>
      <c r="S7" s="5">
        <v>1000</v>
      </c>
      <c r="T7" s="5">
        <v>2000</v>
      </c>
      <c r="U7" s="35">
        <v>5000</v>
      </c>
      <c r="V7" s="70"/>
      <c r="W7" s="70"/>
      <c r="X7" s="70"/>
      <c r="Y7" s="73"/>
      <c r="Z7" s="79"/>
      <c r="AA7" s="70"/>
      <c r="AB7" s="73"/>
      <c r="AC7" s="81"/>
      <c r="AD7" s="81"/>
      <c r="AE7" s="77"/>
      <c r="AF7" s="70"/>
      <c r="AG7" s="70"/>
      <c r="AH7" s="73"/>
      <c r="AI7" s="75"/>
      <c r="AJ7" s="75"/>
      <c r="AK7" s="84"/>
      <c r="AL7" s="86"/>
      <c r="AM7" s="86"/>
      <c r="AN7" s="88"/>
    </row>
    <row r="8" spans="1:40" s="3" customFormat="1" ht="16.5" thickBot="1" x14ac:dyDescent="0.3">
      <c r="A8" s="7">
        <v>1</v>
      </c>
      <c r="B8" s="58" t="s">
        <v>12</v>
      </c>
      <c r="C8" s="59"/>
      <c r="D8" s="59"/>
      <c r="E8" s="59"/>
      <c r="F8" s="59"/>
      <c r="G8" s="59"/>
      <c r="H8" s="59"/>
      <c r="I8" s="59"/>
      <c r="J8" s="60"/>
      <c r="K8" s="60"/>
      <c r="L8" s="60"/>
      <c r="M8" s="60"/>
      <c r="N8" s="60"/>
      <c r="O8" s="60"/>
      <c r="P8" s="60"/>
      <c r="Q8" s="60"/>
      <c r="R8" s="60"/>
      <c r="S8" s="60"/>
      <c r="T8" s="60"/>
      <c r="U8" s="60"/>
      <c r="V8" s="60"/>
      <c r="W8" s="60"/>
      <c r="X8" s="60"/>
      <c r="Y8" s="61"/>
      <c r="AC8" s="36"/>
      <c r="AD8" s="36"/>
      <c r="AE8" s="36"/>
      <c r="AI8" s="37"/>
      <c r="AJ8" s="37"/>
      <c r="AK8" s="37"/>
    </row>
    <row r="9" spans="1:40" s="4" customFormat="1" ht="63" x14ac:dyDescent="0.25">
      <c r="A9" s="8" t="s">
        <v>13</v>
      </c>
      <c r="B9" s="9" t="s">
        <v>14</v>
      </c>
      <c r="C9" s="10" t="s">
        <v>15</v>
      </c>
      <c r="D9" s="10">
        <v>170</v>
      </c>
      <c r="E9" s="11">
        <v>468.46</v>
      </c>
      <c r="F9" s="11">
        <f>SUM(D9)*E9</f>
        <v>79638.2</v>
      </c>
      <c r="G9" s="11">
        <f>30097.36-752.23</f>
        <v>29345.13</v>
      </c>
      <c r="H9" s="11">
        <f>49490.09+752.29</f>
        <v>50242.38</v>
      </c>
      <c r="I9" s="38">
        <v>50.5</v>
      </c>
      <c r="J9" s="13">
        <v>50</v>
      </c>
      <c r="K9" s="14">
        <f>E9</f>
        <v>468.46</v>
      </c>
      <c r="L9" s="15">
        <f>SUM(J9)*K9</f>
        <v>23423</v>
      </c>
      <c r="M9" s="15">
        <f>G9/D9*J9</f>
        <v>8630.9205882352944</v>
      </c>
      <c r="N9" s="15">
        <f>H9/D9*J9</f>
        <v>14777.170588235293</v>
      </c>
      <c r="O9" s="39">
        <f>I9/D9*J9</f>
        <v>14.852941176470589</v>
      </c>
      <c r="P9" s="13">
        <v>10</v>
      </c>
      <c r="Q9" s="14">
        <f>'[1]1.1.'!C64</f>
        <v>507.90852782796526</v>
      </c>
      <c r="R9" s="15">
        <f>SUM(P9)*Q9</f>
        <v>5079.0852782796528</v>
      </c>
      <c r="S9" s="15">
        <f>('[1]1.1.'!C10+'[1]1.1.'!C12+'[1]1.1.'!C14+'[1]1.1.'!C16+'[1]1.1.'!C38+'[1]1.1.'!C40+'[1]1.1.'!C43+'[1]1.1.'!C45)/53*P9</f>
        <v>2649.2914903907649</v>
      </c>
      <c r="T9" s="15">
        <f>('[1]1.1.'!C18+'[1]1.1.'!C20+'[1]1.1.'!C22+'[1]1.1.'!C24+'[1]1.1.'!C26+'[1]1.1.'!C28+'[1]1.1.'!C30+'[1]1.1.'!C32+'[1]1.1.'!C34+'[1]1.1.'!C41+'[1]1.1.'!C47+'[1]1.1.'!C49+'[1]1.1.'!C51+'[1]1.1.'!C53+'[1]1.1.'!C55+'[1]1.1.'!C57)/53*P9</f>
        <v>2429.7937878888883</v>
      </c>
      <c r="U9" s="39">
        <v>0</v>
      </c>
      <c r="V9" s="16">
        <f>SUM(R9+L9)-F9</f>
        <v>-51136.11472172034</v>
      </c>
      <c r="W9" s="17">
        <f>SUM(S9+M9)-G9</f>
        <v>-18064.917921373941</v>
      </c>
      <c r="X9" s="17">
        <f>SUM(T9+N9)-H9</f>
        <v>-33035.415623875815</v>
      </c>
      <c r="Y9" s="47">
        <f>SUM(U9+O9)-I9</f>
        <v>-35.647058823529413</v>
      </c>
      <c r="Z9" s="40">
        <f>G9/12</f>
        <v>2445.4275000000002</v>
      </c>
      <c r="AA9" s="40">
        <f>H9/12</f>
        <v>4186.8649999999998</v>
      </c>
      <c r="AB9" s="40">
        <f>I9/12</f>
        <v>4.208333333333333</v>
      </c>
      <c r="AC9" s="41">
        <f>M9/7</f>
        <v>1232.9886554621849</v>
      </c>
      <c r="AD9" s="41">
        <f>N9/7</f>
        <v>2111.0243697478991</v>
      </c>
      <c r="AE9" s="41">
        <f>O9/7</f>
        <v>2.1218487394957983</v>
      </c>
      <c r="AF9" s="40">
        <f>Z9-AC9</f>
        <v>1212.4388445378154</v>
      </c>
      <c r="AG9" s="40">
        <f t="shared" ref="AG9:AH24" si="0">AA9-AD9</f>
        <v>2075.8406302521007</v>
      </c>
      <c r="AH9" s="40">
        <f t="shared" si="0"/>
        <v>2.0864845938375347</v>
      </c>
      <c r="AI9" s="42">
        <f>S9/5</f>
        <v>529.85829807815298</v>
      </c>
      <c r="AJ9" s="42">
        <f t="shared" ref="AJ9:AK24" si="1">T9/5</f>
        <v>485.95875757777765</v>
      </c>
      <c r="AK9" s="42">
        <f t="shared" si="1"/>
        <v>0</v>
      </c>
      <c r="AL9" s="40">
        <f>Z9-AI9</f>
        <v>1915.5692019218473</v>
      </c>
      <c r="AM9" s="40">
        <f>AA9-AJ9</f>
        <v>3700.906242422222</v>
      </c>
      <c r="AN9" s="40">
        <f t="shared" ref="AN9:AN34" si="2">AB9-AK9</f>
        <v>4.208333333333333</v>
      </c>
    </row>
    <row r="10" spans="1:40" s="4" customFormat="1" ht="63" x14ac:dyDescent="0.25">
      <c r="A10" s="18" t="s">
        <v>16</v>
      </c>
      <c r="B10" s="19" t="s">
        <v>17</v>
      </c>
      <c r="C10" s="13" t="s">
        <v>15</v>
      </c>
      <c r="D10" s="13">
        <v>80</v>
      </c>
      <c r="E10" s="15">
        <v>380.12</v>
      </c>
      <c r="F10" s="15">
        <f t="shared" ref="F10:F33" si="3">SUM(D10)*E10</f>
        <v>30409.599999999999</v>
      </c>
      <c r="G10" s="15">
        <v>11095.06</v>
      </c>
      <c r="H10" s="15">
        <v>19291.05</v>
      </c>
      <c r="I10" s="43">
        <v>23.77</v>
      </c>
      <c r="J10" s="13">
        <v>6</v>
      </c>
      <c r="K10" s="14">
        <f>E10</f>
        <v>380.12</v>
      </c>
      <c r="L10" s="15">
        <f>SUM(J10)*K10</f>
        <v>2280.7200000000003</v>
      </c>
      <c r="M10" s="15">
        <f>G10/D10*J10</f>
        <v>832.12949999999989</v>
      </c>
      <c r="N10" s="15">
        <f>H10/D10*J10</f>
        <v>1446.8287500000001</v>
      </c>
      <c r="O10" s="39">
        <f>I10/D10*J10</f>
        <v>1.7827499999999998</v>
      </c>
      <c r="P10" s="13">
        <v>2</v>
      </c>
      <c r="Q10" s="14">
        <f>'[1]1.2.'!C60</f>
        <v>415.44175891381678</v>
      </c>
      <c r="R10" s="15">
        <f>SUM(P10)*Q10</f>
        <v>830.88351782763357</v>
      </c>
      <c r="S10" s="15">
        <f>('[1]1.2.'!C8+'[1]1.2.'!C10+'[1]1.2.'!C12+'[1]1.2.'!C14+'[1]1.2.'!C34+'[1]1.2.'!C36+'[1]1.2.'!C40+'[1]1.2.'!C42)/8*P10</f>
        <v>430.50476024985568</v>
      </c>
      <c r="T10" s="15">
        <f>('[1]1.2.'!C16+'[1]1.2.'!C18+'[1]1.2.'!C20+'[1]1.2.'!C22+'[1]1.2.'!C24+'[1]1.2.'!C26+'[1]1.2.'!C28+'[1]1.2.'!C30+'[1]1.2.'!C38+'[1]1.2.'!C43+'[1]1.2.'!C45+'[1]1.2.'!C47+'[1]1.2.'!C49+'[1]1.2.'!C51+'[1]1.2.'!C53)/8*P10</f>
        <v>400.37875757777772</v>
      </c>
      <c r="U10" s="39">
        <v>0</v>
      </c>
      <c r="V10" s="16">
        <f t="shared" ref="V10:V34" si="4">SUM(R10+L10)-F10</f>
        <v>-27297.996482172366</v>
      </c>
      <c r="W10" s="17">
        <f t="shared" ref="W10:W34" si="5">SUM(S10+M10)-G10</f>
        <v>-9832.4257397501442</v>
      </c>
      <c r="X10" s="17">
        <f t="shared" ref="X10:Y34" si="6">SUM(T10+N10)-H10</f>
        <v>-17443.84249242222</v>
      </c>
      <c r="Y10" s="47">
        <f>SUM(U10+O10)-I10</f>
        <v>-21.98725</v>
      </c>
      <c r="Z10" s="40">
        <f t="shared" ref="Z10:AB34" si="7">G10/12</f>
        <v>924.58833333333325</v>
      </c>
      <c r="AA10" s="40">
        <f t="shared" si="7"/>
        <v>1607.5874999999999</v>
      </c>
      <c r="AB10" s="40">
        <f>I10/12</f>
        <v>1.9808333333333332</v>
      </c>
      <c r="AC10" s="41">
        <f t="shared" ref="AC10:AE34" si="8">M10/7</f>
        <v>118.87564285714284</v>
      </c>
      <c r="AD10" s="41">
        <f t="shared" si="8"/>
        <v>206.68982142857143</v>
      </c>
      <c r="AE10" s="41">
        <f t="shared" si="8"/>
        <v>0.25467857142857142</v>
      </c>
      <c r="AF10" s="40">
        <f t="shared" ref="AF10:AH34" si="9">Z10-AC10</f>
        <v>805.71269047619046</v>
      </c>
      <c r="AG10" s="40">
        <f t="shared" si="0"/>
        <v>1400.8976785714285</v>
      </c>
      <c r="AH10" s="40">
        <f t="shared" si="0"/>
        <v>1.7261547619047617</v>
      </c>
      <c r="AI10" s="42">
        <f t="shared" ref="AI10:AK34" si="10">S10/5</f>
        <v>86.100952049971141</v>
      </c>
      <c r="AJ10" s="42">
        <f t="shared" si="1"/>
        <v>80.075751515555538</v>
      </c>
      <c r="AK10" s="42">
        <f t="shared" si="1"/>
        <v>0</v>
      </c>
      <c r="AL10" s="40">
        <f t="shared" ref="AL10:AM33" si="11">Z10-AI10</f>
        <v>838.48738128336208</v>
      </c>
      <c r="AM10" s="40">
        <f t="shared" si="11"/>
        <v>1527.5117484844443</v>
      </c>
      <c r="AN10" s="40">
        <f t="shared" si="2"/>
        <v>1.9808333333333332</v>
      </c>
    </row>
    <row r="11" spans="1:40" s="4" customFormat="1" ht="63" x14ac:dyDescent="0.25">
      <c r="A11" s="18" t="s">
        <v>18</v>
      </c>
      <c r="B11" s="19" t="s">
        <v>19</v>
      </c>
      <c r="C11" s="13" t="s">
        <v>15</v>
      </c>
      <c r="D11" s="13">
        <v>2</v>
      </c>
      <c r="E11" s="15">
        <v>607.48</v>
      </c>
      <c r="F11" s="15">
        <f>SUM(D11)*E11</f>
        <v>1214.96</v>
      </c>
      <c r="G11" s="15">
        <v>354.09</v>
      </c>
      <c r="H11" s="15">
        <v>860.28</v>
      </c>
      <c r="I11" s="43">
        <v>0.59</v>
      </c>
      <c r="J11" s="13">
        <v>0</v>
      </c>
      <c r="K11" s="14">
        <f t="shared" ref="K11:K32" si="12">E11</f>
        <v>607.48</v>
      </c>
      <c r="L11" s="15">
        <f t="shared" ref="L11:L22" si="13">SUM(J11)*K11</f>
        <v>0</v>
      </c>
      <c r="M11" s="15">
        <f t="shared" ref="M11:M22" si="14">G11/D11*J11</f>
        <v>0</v>
      </c>
      <c r="N11" s="15">
        <f t="shared" ref="N11:N22" si="15">H11/D11*J11</f>
        <v>0</v>
      </c>
      <c r="O11" s="39">
        <f t="shared" ref="O11:O22" si="16">I11/D11*J11</f>
        <v>0</v>
      </c>
      <c r="P11" s="13">
        <v>0</v>
      </c>
      <c r="Q11" s="14">
        <f>'[1]1.3.'!C63</f>
        <v>616.20057665180377</v>
      </c>
      <c r="R11" s="15">
        <f>SUM(P11)*Q11</f>
        <v>0</v>
      </c>
      <c r="S11" s="15"/>
      <c r="T11" s="15"/>
      <c r="U11" s="39"/>
      <c r="V11" s="16">
        <f t="shared" si="4"/>
        <v>-1214.96</v>
      </c>
      <c r="W11" s="17">
        <f t="shared" si="5"/>
        <v>-354.09</v>
      </c>
      <c r="X11" s="17">
        <f t="shared" si="6"/>
        <v>-860.28</v>
      </c>
      <c r="Y11" s="47">
        <f t="shared" si="6"/>
        <v>-0.59</v>
      </c>
      <c r="Z11" s="40">
        <f t="shared" si="7"/>
        <v>29.507499999999997</v>
      </c>
      <c r="AA11" s="40">
        <f t="shared" si="7"/>
        <v>71.69</v>
      </c>
      <c r="AB11" s="40">
        <f>I11/12</f>
        <v>4.9166666666666664E-2</v>
      </c>
      <c r="AC11" s="41">
        <f t="shared" si="8"/>
        <v>0</v>
      </c>
      <c r="AD11" s="41">
        <f t="shared" si="8"/>
        <v>0</v>
      </c>
      <c r="AE11" s="41">
        <f t="shared" si="8"/>
        <v>0</v>
      </c>
      <c r="AF11" s="40">
        <f t="shared" si="9"/>
        <v>29.507499999999997</v>
      </c>
      <c r="AG11" s="40">
        <f t="shared" si="0"/>
        <v>71.69</v>
      </c>
      <c r="AH11" s="40">
        <f t="shared" si="0"/>
        <v>4.9166666666666664E-2</v>
      </c>
      <c r="AI11" s="42">
        <f t="shared" si="10"/>
        <v>0</v>
      </c>
      <c r="AJ11" s="42">
        <f t="shared" si="1"/>
        <v>0</v>
      </c>
      <c r="AK11" s="42">
        <f t="shared" si="1"/>
        <v>0</v>
      </c>
      <c r="AL11" s="40">
        <f t="shared" si="11"/>
        <v>29.507499999999997</v>
      </c>
      <c r="AM11" s="40">
        <f t="shared" si="11"/>
        <v>71.69</v>
      </c>
      <c r="AN11" s="40">
        <f t="shared" si="2"/>
        <v>4.9166666666666664E-2</v>
      </c>
    </row>
    <row r="12" spans="1:40" s="4" customFormat="1" ht="63" x14ac:dyDescent="0.25">
      <c r="A12" s="18" t="s">
        <v>20</v>
      </c>
      <c r="B12" s="19" t="s">
        <v>21</v>
      </c>
      <c r="C12" s="13" t="s">
        <v>15</v>
      </c>
      <c r="D12" s="13">
        <v>2</v>
      </c>
      <c r="E12" s="15">
        <v>519.15</v>
      </c>
      <c r="F12" s="15">
        <f t="shared" si="3"/>
        <v>1038.3</v>
      </c>
      <c r="G12" s="15">
        <v>277.38</v>
      </c>
      <c r="H12" s="15">
        <v>760.32</v>
      </c>
      <c r="I12" s="43">
        <v>0.59</v>
      </c>
      <c r="J12" s="13">
        <v>0</v>
      </c>
      <c r="K12" s="14">
        <f t="shared" si="12"/>
        <v>519.15</v>
      </c>
      <c r="L12" s="15">
        <f t="shared" si="13"/>
        <v>0</v>
      </c>
      <c r="M12" s="15">
        <f t="shared" si="14"/>
        <v>0</v>
      </c>
      <c r="N12" s="15">
        <f t="shared" si="15"/>
        <v>0</v>
      </c>
      <c r="O12" s="39">
        <f t="shared" si="16"/>
        <v>0</v>
      </c>
      <c r="P12" s="13">
        <v>1</v>
      </c>
      <c r="Q12" s="14">
        <f>'[1]1.4.'!C60</f>
        <v>515.63102298840204</v>
      </c>
      <c r="R12" s="15">
        <f t="shared" ref="R12:R32" si="17">SUM(P12)*Q12</f>
        <v>515.63102298840204</v>
      </c>
      <c r="S12" s="15">
        <f>('[1]1.4.'!C8+'[1]1.4.'!C10+'[1]1.4.'!C12+'[1]1.4.'!C14+'[1]1.4.'!C34+'[1]1.4.'!C36+'[1]1.4.'!C39+'[1]1.4.'!C41)/2*P12</f>
        <v>215.48164331432784</v>
      </c>
      <c r="T12" s="15">
        <f>('[1]1.4.'!C16+'[1]1.4.'!C18+'[1]1.4.'!C20+'[1]1.4.'!C22+'[1]1.4.'!C24+'[1]1.4.'!C26+'[1]1.4.'!C28+'[1]1.4.'!C30+'[1]1.4.'!C37+'[1]1.4.'!C43+'[1]1.4.'!C45+'[1]1.4.'!C47+'[1]1.4.'!C49+'[1]1.4.'!C51+'[1]1.4.'!C53)/2*P12</f>
        <v>300.14937967407411</v>
      </c>
      <c r="U12" s="39">
        <v>0</v>
      </c>
      <c r="V12" s="16">
        <f t="shared" si="4"/>
        <v>-522.66897701159792</v>
      </c>
      <c r="W12" s="17">
        <f t="shared" si="5"/>
        <v>-61.898356685672155</v>
      </c>
      <c r="X12" s="17">
        <f t="shared" si="6"/>
        <v>-460.17062032592594</v>
      </c>
      <c r="Y12" s="47">
        <f t="shared" si="6"/>
        <v>-0.59</v>
      </c>
      <c r="Z12" s="40">
        <f t="shared" si="7"/>
        <v>23.114999999999998</v>
      </c>
      <c r="AA12" s="40">
        <f t="shared" si="7"/>
        <v>63.360000000000007</v>
      </c>
      <c r="AB12" s="40">
        <f t="shared" si="7"/>
        <v>4.9166666666666664E-2</v>
      </c>
      <c r="AC12" s="41">
        <f t="shared" si="8"/>
        <v>0</v>
      </c>
      <c r="AD12" s="41">
        <f t="shared" si="8"/>
        <v>0</v>
      </c>
      <c r="AE12" s="41">
        <f t="shared" si="8"/>
        <v>0</v>
      </c>
      <c r="AF12" s="40">
        <f t="shared" si="9"/>
        <v>23.114999999999998</v>
      </c>
      <c r="AG12" s="40">
        <f t="shared" si="0"/>
        <v>63.360000000000007</v>
      </c>
      <c r="AH12" s="40">
        <f t="shared" si="0"/>
        <v>4.9166666666666664E-2</v>
      </c>
      <c r="AI12" s="42">
        <f t="shared" si="10"/>
        <v>43.096328662865567</v>
      </c>
      <c r="AJ12" s="42">
        <f t="shared" si="1"/>
        <v>60.029875934814825</v>
      </c>
      <c r="AK12" s="42">
        <f t="shared" si="1"/>
        <v>0</v>
      </c>
      <c r="AL12" s="40">
        <f t="shared" si="11"/>
        <v>-19.981328662865568</v>
      </c>
      <c r="AM12" s="40">
        <f t="shared" si="11"/>
        <v>3.3301240651851813</v>
      </c>
      <c r="AN12" s="40">
        <f t="shared" si="2"/>
        <v>4.9166666666666664E-2</v>
      </c>
    </row>
    <row r="13" spans="1:40" s="4" customFormat="1" ht="63" x14ac:dyDescent="0.25">
      <c r="A13" s="18" t="s">
        <v>22</v>
      </c>
      <c r="B13" s="19" t="s">
        <v>23</v>
      </c>
      <c r="C13" s="13" t="s">
        <v>15</v>
      </c>
      <c r="D13" s="13">
        <v>2</v>
      </c>
      <c r="E13" s="15">
        <v>257.58</v>
      </c>
      <c r="F13" s="15">
        <f t="shared" si="3"/>
        <v>515.16</v>
      </c>
      <c r="G13" s="15">
        <v>354.09</v>
      </c>
      <c r="H13" s="15">
        <v>160.47999999999999</v>
      </c>
      <c r="I13" s="43">
        <v>0.59</v>
      </c>
      <c r="J13" s="13">
        <v>0</v>
      </c>
      <c r="K13" s="14">
        <f t="shared" si="12"/>
        <v>257.58</v>
      </c>
      <c r="L13" s="15">
        <f t="shared" si="13"/>
        <v>0</v>
      </c>
      <c r="M13" s="15">
        <f t="shared" si="14"/>
        <v>0</v>
      </c>
      <c r="N13" s="15">
        <f t="shared" si="15"/>
        <v>0</v>
      </c>
      <c r="O13" s="39">
        <f t="shared" si="16"/>
        <v>0</v>
      </c>
      <c r="P13" s="13">
        <v>4</v>
      </c>
      <c r="Q13" s="14">
        <f>'[1]1.5.'!C59</f>
        <v>329.28858768815053</v>
      </c>
      <c r="R13" s="15">
        <f>SUM(P13)*Q13</f>
        <v>1317.1543507526021</v>
      </c>
      <c r="S13" s="15">
        <f>('[1]1.5.'!C8+'[1]1.5.'!C10+'[1]1.5.'!C12+'[1]1.5.'!C14+'[1]1.5.'!C32+'[1]1.5.'!C34+'[1]1.5.'!C38+'[1]1.5.'!C40)/8*P13</f>
        <v>1059.716832056306</v>
      </c>
      <c r="T13" s="15">
        <f>('[1]1.5.'!C16+'[1]1.5.'!C18+'[1]1.5.'!C20+'[1]1.5.'!C22+'[1]1.5.'!C24+'[1]1.5.'!C26+'[1]1.5.'!C28+'[1]1.5.'!C36+'[1]1.5.'!C42+'[1]1.5.'!C44+'[1]1.5.'!C46+'[1]1.5.'!C48+'[1]1.5.'!C50+'[1]1.5.'!C52)/8*P13</f>
        <v>257.43751869629625</v>
      </c>
      <c r="U13" s="39">
        <v>0</v>
      </c>
      <c r="V13" s="16">
        <f t="shared" si="4"/>
        <v>801.99435075260214</v>
      </c>
      <c r="W13" s="17">
        <f t="shared" si="5"/>
        <v>705.62683205630606</v>
      </c>
      <c r="X13" s="17">
        <f t="shared" si="6"/>
        <v>96.957518696296262</v>
      </c>
      <c r="Y13" s="47">
        <f t="shared" si="6"/>
        <v>-0.59</v>
      </c>
      <c r="Z13" s="40">
        <f t="shared" si="7"/>
        <v>29.507499999999997</v>
      </c>
      <c r="AA13" s="40">
        <f t="shared" si="7"/>
        <v>13.373333333333333</v>
      </c>
      <c r="AB13" s="40">
        <f t="shared" si="7"/>
        <v>4.9166666666666664E-2</v>
      </c>
      <c r="AC13" s="41">
        <f t="shared" si="8"/>
        <v>0</v>
      </c>
      <c r="AD13" s="41">
        <f t="shared" si="8"/>
        <v>0</v>
      </c>
      <c r="AE13" s="41">
        <f t="shared" si="8"/>
        <v>0</v>
      </c>
      <c r="AF13" s="40">
        <f t="shared" si="9"/>
        <v>29.507499999999997</v>
      </c>
      <c r="AG13" s="40">
        <f t="shared" si="0"/>
        <v>13.373333333333333</v>
      </c>
      <c r="AH13" s="40">
        <f>AB13-AE13</f>
        <v>4.9166666666666664E-2</v>
      </c>
      <c r="AI13" s="42">
        <f t="shared" si="10"/>
        <v>211.9433664112612</v>
      </c>
      <c r="AJ13" s="42">
        <f t="shared" si="1"/>
        <v>51.487503739259253</v>
      </c>
      <c r="AK13" s="42">
        <f t="shared" si="1"/>
        <v>0</v>
      </c>
      <c r="AL13" s="40">
        <f t="shared" si="11"/>
        <v>-182.4358664112612</v>
      </c>
      <c r="AM13" s="40">
        <f t="shared" si="11"/>
        <v>-38.114170405925918</v>
      </c>
      <c r="AN13" s="40">
        <f>AB13-AK13</f>
        <v>4.9166666666666664E-2</v>
      </c>
    </row>
    <row r="14" spans="1:40" s="4" customFormat="1" ht="31.5" x14ac:dyDescent="0.25">
      <c r="A14" s="18" t="s">
        <v>24</v>
      </c>
      <c r="B14" s="19" t="s">
        <v>25</v>
      </c>
      <c r="C14" s="13" t="s">
        <v>15</v>
      </c>
      <c r="D14" s="13">
        <v>20</v>
      </c>
      <c r="E14" s="15">
        <v>243.32</v>
      </c>
      <c r="F14" s="15">
        <f t="shared" si="3"/>
        <v>4866.3999999999996</v>
      </c>
      <c r="G14" s="15">
        <v>168.1</v>
      </c>
      <c r="H14" s="15">
        <v>4698.3900000000003</v>
      </c>
      <c r="I14" s="43"/>
      <c r="J14" s="13">
        <v>2</v>
      </c>
      <c r="K14" s="14">
        <f t="shared" si="12"/>
        <v>243.32</v>
      </c>
      <c r="L14" s="15">
        <f t="shared" si="13"/>
        <v>486.64</v>
      </c>
      <c r="M14" s="15">
        <f t="shared" si="14"/>
        <v>16.809999999999999</v>
      </c>
      <c r="N14" s="15">
        <f t="shared" si="15"/>
        <v>469.83900000000006</v>
      </c>
      <c r="O14" s="39">
        <f t="shared" si="16"/>
        <v>0</v>
      </c>
      <c r="P14" s="13">
        <v>1</v>
      </c>
      <c r="Q14" s="14">
        <f>'[1]1.6.'!C43</f>
        <v>343.08284613359302</v>
      </c>
      <c r="R14" s="15">
        <f t="shared" si="17"/>
        <v>343.08284613359302</v>
      </c>
      <c r="S14" s="15">
        <f>('[1]1.6.'!C8+'[1]1.6.'!C10+'[1]1.6.'!C16+'[1]1.6.'!C18+'[1]1.6.'!C22+'[1]1.6.'!C24)/6*P14</f>
        <v>90.940267344704182</v>
      </c>
      <c r="T14" s="15">
        <f>('[1]1.6.'!C12+'[1]1.6.'!C20+'[1]1.6.'!C26+'[1]1.6.'!C28+'[1]1.6.'!C30+'[1]1.6.'!C32+'[1]1.6.'!C34+'[1]1.6.'!C36)/6*P14</f>
        <v>252.14257878888887</v>
      </c>
      <c r="U14" s="39">
        <v>0</v>
      </c>
      <c r="V14" s="16">
        <f t="shared" si="4"/>
        <v>-4036.6771538664066</v>
      </c>
      <c r="W14" s="17">
        <f t="shared" si="5"/>
        <v>-60.34973265529581</v>
      </c>
      <c r="X14" s="17">
        <f t="shared" si="6"/>
        <v>-3976.4084212111115</v>
      </c>
      <c r="Y14" s="47">
        <f t="shared" si="6"/>
        <v>0</v>
      </c>
      <c r="Z14" s="40">
        <f t="shared" si="7"/>
        <v>14.008333333333333</v>
      </c>
      <c r="AA14" s="40">
        <f t="shared" si="7"/>
        <v>391.53250000000003</v>
      </c>
      <c r="AB14" s="40">
        <f t="shared" si="7"/>
        <v>0</v>
      </c>
      <c r="AC14" s="41">
        <f t="shared" si="8"/>
        <v>2.4014285714285712</v>
      </c>
      <c r="AD14" s="41">
        <f t="shared" si="8"/>
        <v>67.119857142857157</v>
      </c>
      <c r="AE14" s="41">
        <f t="shared" si="8"/>
        <v>0</v>
      </c>
      <c r="AF14" s="40">
        <f t="shared" si="9"/>
        <v>11.606904761904762</v>
      </c>
      <c r="AG14" s="40">
        <f t="shared" si="0"/>
        <v>324.41264285714288</v>
      </c>
      <c r="AH14" s="40">
        <f t="shared" si="0"/>
        <v>0</v>
      </c>
      <c r="AI14" s="42">
        <f t="shared" si="10"/>
        <v>18.188053468940836</v>
      </c>
      <c r="AJ14" s="42">
        <f t="shared" si="1"/>
        <v>50.428515757777774</v>
      </c>
      <c r="AK14" s="42">
        <f t="shared" si="1"/>
        <v>0</v>
      </c>
      <c r="AL14" s="40">
        <f t="shared" si="11"/>
        <v>-4.1797201356075036</v>
      </c>
      <c r="AM14" s="40">
        <f t="shared" si="11"/>
        <v>341.10398424222228</v>
      </c>
      <c r="AN14" s="40">
        <f t="shared" si="2"/>
        <v>0</v>
      </c>
    </row>
    <row r="15" spans="1:40" s="4" customFormat="1" ht="31.5" x14ac:dyDescent="0.25">
      <c r="A15" s="18" t="s">
        <v>26</v>
      </c>
      <c r="B15" s="19" t="s">
        <v>27</v>
      </c>
      <c r="C15" s="13" t="s">
        <v>15</v>
      </c>
      <c r="D15" s="13">
        <v>30</v>
      </c>
      <c r="E15" s="15">
        <v>108.86</v>
      </c>
      <c r="F15" s="15">
        <f t="shared" si="3"/>
        <v>3265.8</v>
      </c>
      <c r="G15" s="15">
        <v>252.16</v>
      </c>
      <c r="H15" s="15">
        <v>3013.49</v>
      </c>
      <c r="I15" s="43"/>
      <c r="J15" s="13">
        <v>0</v>
      </c>
      <c r="K15" s="14">
        <f t="shared" si="12"/>
        <v>108.86</v>
      </c>
      <c r="L15" s="15">
        <f t="shared" si="13"/>
        <v>0</v>
      </c>
      <c r="M15" s="15">
        <f t="shared" si="14"/>
        <v>0</v>
      </c>
      <c r="N15" s="15">
        <f t="shared" si="15"/>
        <v>0</v>
      </c>
      <c r="O15" s="39">
        <f t="shared" si="16"/>
        <v>0</v>
      </c>
      <c r="P15" s="13">
        <v>6</v>
      </c>
      <c r="Q15" s="14">
        <f>'[1]1.7.'!C43</f>
        <v>199.09273866803753</v>
      </c>
      <c r="R15" s="15">
        <f t="shared" si="17"/>
        <v>1194.5564320082251</v>
      </c>
      <c r="S15" s="15">
        <f>('[1]1.7.'!C8+'[1]1.7.'!C10+'[1]1.7.'!C16+'[1]1.7.'!C18+'[1]1.7.'!C22+'[1]1.7.'!C24)/12*P15</f>
        <v>545.64095927489177</v>
      </c>
      <c r="T15" s="15">
        <f>('[1]1.7.'!C12+'[1]1.7.'!C20+'[1]1.7.'!C26+'[1]1.7.'!C28+'[1]1.7.'!C30+'[1]1.7.'!C32+'[1]1.7.'!C34+'[1]1.7.'!C36)/12*P15</f>
        <v>648.91547273333333</v>
      </c>
      <c r="U15" s="39">
        <v>0</v>
      </c>
      <c r="V15" s="16">
        <f t="shared" si="4"/>
        <v>-2071.2435679917753</v>
      </c>
      <c r="W15" s="17">
        <f t="shared" si="5"/>
        <v>293.4809592748918</v>
      </c>
      <c r="X15" s="17">
        <f t="shared" si="6"/>
        <v>-2364.5745272666663</v>
      </c>
      <c r="Y15" s="47">
        <f t="shared" si="6"/>
        <v>0</v>
      </c>
      <c r="Z15" s="40">
        <f t="shared" si="7"/>
        <v>21.013333333333332</v>
      </c>
      <c r="AA15" s="40">
        <f t="shared" si="7"/>
        <v>251.12416666666664</v>
      </c>
      <c r="AB15" s="40">
        <f t="shared" si="7"/>
        <v>0</v>
      </c>
      <c r="AC15" s="41">
        <f t="shared" si="8"/>
        <v>0</v>
      </c>
      <c r="AD15" s="41">
        <f t="shared" si="8"/>
        <v>0</v>
      </c>
      <c r="AE15" s="41">
        <f t="shared" si="8"/>
        <v>0</v>
      </c>
      <c r="AF15" s="40">
        <f t="shared" si="9"/>
        <v>21.013333333333332</v>
      </c>
      <c r="AG15" s="40">
        <f t="shared" si="0"/>
        <v>251.12416666666664</v>
      </c>
      <c r="AH15" s="40">
        <f t="shared" si="0"/>
        <v>0</v>
      </c>
      <c r="AI15" s="42">
        <f t="shared" si="10"/>
        <v>109.12819185497835</v>
      </c>
      <c r="AJ15" s="42">
        <f t="shared" si="1"/>
        <v>129.78309454666666</v>
      </c>
      <c r="AK15" s="42">
        <f t="shared" si="1"/>
        <v>0</v>
      </c>
      <c r="AL15" s="40">
        <f t="shared" si="11"/>
        <v>-88.114858521645019</v>
      </c>
      <c r="AM15" s="40">
        <f t="shared" si="11"/>
        <v>121.34107211999998</v>
      </c>
      <c r="AN15" s="40">
        <f t="shared" si="2"/>
        <v>0</v>
      </c>
    </row>
    <row r="16" spans="1:40" s="4" customFormat="1" ht="31.5" x14ac:dyDescent="0.25">
      <c r="A16" s="18" t="s">
        <v>28</v>
      </c>
      <c r="B16" s="19" t="s">
        <v>29</v>
      </c>
      <c r="C16" s="13" t="s">
        <v>15</v>
      </c>
      <c r="D16" s="13">
        <v>20</v>
      </c>
      <c r="E16" s="15">
        <v>108.85</v>
      </c>
      <c r="F16" s="15">
        <f t="shared" si="3"/>
        <v>2177</v>
      </c>
      <c r="G16" s="15">
        <v>168.1</v>
      </c>
      <c r="H16" s="15">
        <v>2008.99</v>
      </c>
      <c r="I16" s="43"/>
      <c r="J16" s="13">
        <v>0</v>
      </c>
      <c r="K16" s="14">
        <f t="shared" si="12"/>
        <v>108.85</v>
      </c>
      <c r="L16" s="15">
        <f t="shared" si="13"/>
        <v>0</v>
      </c>
      <c r="M16" s="15">
        <f t="shared" si="14"/>
        <v>0</v>
      </c>
      <c r="N16" s="15">
        <f t="shared" si="15"/>
        <v>0</v>
      </c>
      <c r="O16" s="39">
        <f t="shared" si="16"/>
        <v>0</v>
      </c>
      <c r="P16" s="13">
        <v>0</v>
      </c>
      <c r="Q16" s="14">
        <f>'[1]1.8.'!C43</f>
        <v>199.09332841803752</v>
      </c>
      <c r="R16" s="15">
        <f t="shared" si="17"/>
        <v>0</v>
      </c>
      <c r="S16" s="15"/>
      <c r="T16" s="15"/>
      <c r="U16" s="39"/>
      <c r="V16" s="16">
        <f t="shared" si="4"/>
        <v>-2177</v>
      </c>
      <c r="W16" s="17">
        <f t="shared" si="5"/>
        <v>-168.1</v>
      </c>
      <c r="X16" s="17">
        <f t="shared" si="6"/>
        <v>-2008.99</v>
      </c>
      <c r="Y16" s="47">
        <f t="shared" si="6"/>
        <v>0</v>
      </c>
      <c r="Z16" s="40">
        <f t="shared" si="7"/>
        <v>14.008333333333333</v>
      </c>
      <c r="AA16" s="40">
        <f t="shared" si="7"/>
        <v>167.41583333333332</v>
      </c>
      <c r="AB16" s="40">
        <f t="shared" si="7"/>
        <v>0</v>
      </c>
      <c r="AC16" s="41">
        <f t="shared" si="8"/>
        <v>0</v>
      </c>
      <c r="AD16" s="41">
        <f t="shared" si="8"/>
        <v>0</v>
      </c>
      <c r="AE16" s="41">
        <f t="shared" si="8"/>
        <v>0</v>
      </c>
      <c r="AF16" s="40">
        <f t="shared" si="9"/>
        <v>14.008333333333333</v>
      </c>
      <c r="AG16" s="40">
        <f t="shared" si="0"/>
        <v>167.41583333333332</v>
      </c>
      <c r="AH16" s="40">
        <f t="shared" si="0"/>
        <v>0</v>
      </c>
      <c r="AI16" s="42">
        <f t="shared" si="10"/>
        <v>0</v>
      </c>
      <c r="AJ16" s="42">
        <f t="shared" si="1"/>
        <v>0</v>
      </c>
      <c r="AK16" s="42">
        <f t="shared" si="1"/>
        <v>0</v>
      </c>
      <c r="AL16" s="40">
        <f t="shared" si="11"/>
        <v>14.008333333333333</v>
      </c>
      <c r="AM16" s="40">
        <f t="shared" si="11"/>
        <v>167.41583333333332</v>
      </c>
      <c r="AN16" s="40">
        <f t="shared" si="2"/>
        <v>0</v>
      </c>
    </row>
    <row r="17" spans="1:40" s="4" customFormat="1" ht="31.5" x14ac:dyDescent="0.25">
      <c r="A17" s="18" t="s">
        <v>30</v>
      </c>
      <c r="B17" s="19" t="s">
        <v>31</v>
      </c>
      <c r="C17" s="13" t="s">
        <v>15</v>
      </c>
      <c r="D17" s="13">
        <v>3</v>
      </c>
      <c r="E17" s="15">
        <v>463.47</v>
      </c>
      <c r="F17" s="15">
        <f t="shared" si="3"/>
        <v>1390.41</v>
      </c>
      <c r="G17" s="15">
        <v>25.21</v>
      </c>
      <c r="H17" s="15">
        <v>1365.21</v>
      </c>
      <c r="I17" s="43"/>
      <c r="J17" s="13">
        <v>0</v>
      </c>
      <c r="K17" s="14">
        <f t="shared" si="12"/>
        <v>463.47</v>
      </c>
      <c r="L17" s="15">
        <f t="shared" si="13"/>
        <v>0</v>
      </c>
      <c r="M17" s="15">
        <f t="shared" si="14"/>
        <v>0</v>
      </c>
      <c r="N17" s="15">
        <f t="shared" si="15"/>
        <v>0</v>
      </c>
      <c r="O17" s="39">
        <f t="shared" si="16"/>
        <v>0</v>
      </c>
      <c r="P17" s="13">
        <v>0</v>
      </c>
      <c r="Q17" s="14">
        <f>'[1]1.9.'!C42</f>
        <v>545.10450441803755</v>
      </c>
      <c r="R17" s="15">
        <f t="shared" si="17"/>
        <v>0</v>
      </c>
      <c r="S17" s="15"/>
      <c r="T17" s="15"/>
      <c r="U17" s="39"/>
      <c r="V17" s="16">
        <f t="shared" si="4"/>
        <v>-1390.41</v>
      </c>
      <c r="W17" s="17">
        <f t="shared" si="5"/>
        <v>-25.21</v>
      </c>
      <c r="X17" s="17">
        <f t="shared" si="6"/>
        <v>-1365.21</v>
      </c>
      <c r="Y17" s="47">
        <f t="shared" si="6"/>
        <v>0</v>
      </c>
      <c r="Z17" s="40">
        <f t="shared" si="7"/>
        <v>2.1008333333333336</v>
      </c>
      <c r="AA17" s="40">
        <f t="shared" si="7"/>
        <v>113.7675</v>
      </c>
      <c r="AB17" s="40">
        <f t="shared" si="7"/>
        <v>0</v>
      </c>
      <c r="AC17" s="41">
        <f t="shared" si="8"/>
        <v>0</v>
      </c>
      <c r="AD17" s="41">
        <f t="shared" si="8"/>
        <v>0</v>
      </c>
      <c r="AE17" s="41">
        <f t="shared" si="8"/>
        <v>0</v>
      </c>
      <c r="AF17" s="40">
        <f t="shared" si="9"/>
        <v>2.1008333333333336</v>
      </c>
      <c r="AG17" s="40">
        <f t="shared" si="0"/>
        <v>113.7675</v>
      </c>
      <c r="AH17" s="40">
        <f t="shared" si="0"/>
        <v>0</v>
      </c>
      <c r="AI17" s="42">
        <f t="shared" si="10"/>
        <v>0</v>
      </c>
      <c r="AJ17" s="42">
        <f t="shared" si="1"/>
        <v>0</v>
      </c>
      <c r="AK17" s="42">
        <f t="shared" si="1"/>
        <v>0</v>
      </c>
      <c r="AL17" s="40">
        <f t="shared" si="11"/>
        <v>2.1008333333333336</v>
      </c>
      <c r="AM17" s="40">
        <f t="shared" si="11"/>
        <v>113.7675</v>
      </c>
      <c r="AN17" s="40">
        <f t="shared" si="2"/>
        <v>0</v>
      </c>
    </row>
    <row r="18" spans="1:40" s="4" customFormat="1" ht="31.5" x14ac:dyDescent="0.25">
      <c r="A18" s="18" t="s">
        <v>32</v>
      </c>
      <c r="B18" s="19" t="s">
        <v>33</v>
      </c>
      <c r="C18" s="13" t="s">
        <v>15</v>
      </c>
      <c r="D18" s="13">
        <v>3</v>
      </c>
      <c r="E18" s="15">
        <v>223.09</v>
      </c>
      <c r="F18" s="15">
        <f t="shared" si="3"/>
        <v>669.27</v>
      </c>
      <c r="G18" s="15">
        <v>25.21</v>
      </c>
      <c r="H18" s="15">
        <v>644.07000000000005</v>
      </c>
      <c r="I18" s="43"/>
      <c r="J18" s="13">
        <v>0</v>
      </c>
      <c r="K18" s="14">
        <f t="shared" si="12"/>
        <v>223.09</v>
      </c>
      <c r="L18" s="15">
        <f t="shared" si="13"/>
        <v>0</v>
      </c>
      <c r="M18" s="15">
        <f t="shared" si="14"/>
        <v>0</v>
      </c>
      <c r="N18" s="15">
        <f t="shared" si="15"/>
        <v>0</v>
      </c>
      <c r="O18" s="39">
        <f t="shared" si="16"/>
        <v>0</v>
      </c>
      <c r="P18" s="13">
        <v>0</v>
      </c>
      <c r="Q18" s="14">
        <f>'[1]1.10.'!C43</f>
        <v>293.64332841803753</v>
      </c>
      <c r="R18" s="15">
        <f t="shared" si="17"/>
        <v>0</v>
      </c>
      <c r="S18" s="15"/>
      <c r="T18" s="15"/>
      <c r="U18" s="39"/>
      <c r="V18" s="16">
        <f t="shared" si="4"/>
        <v>-669.27</v>
      </c>
      <c r="W18" s="17">
        <f t="shared" si="5"/>
        <v>-25.21</v>
      </c>
      <c r="X18" s="17">
        <f t="shared" si="6"/>
        <v>-644.07000000000005</v>
      </c>
      <c r="Y18" s="47">
        <f t="shared" si="6"/>
        <v>0</v>
      </c>
      <c r="Z18" s="40">
        <f t="shared" si="7"/>
        <v>2.1008333333333336</v>
      </c>
      <c r="AA18" s="40">
        <f t="shared" si="7"/>
        <v>53.672500000000007</v>
      </c>
      <c r="AB18" s="40">
        <f t="shared" si="7"/>
        <v>0</v>
      </c>
      <c r="AC18" s="41">
        <f t="shared" si="8"/>
        <v>0</v>
      </c>
      <c r="AD18" s="41">
        <f t="shared" si="8"/>
        <v>0</v>
      </c>
      <c r="AE18" s="41">
        <f t="shared" si="8"/>
        <v>0</v>
      </c>
      <c r="AF18" s="40">
        <f t="shared" si="9"/>
        <v>2.1008333333333336</v>
      </c>
      <c r="AG18" s="40">
        <f t="shared" si="0"/>
        <v>53.672500000000007</v>
      </c>
      <c r="AH18" s="40">
        <f t="shared" si="0"/>
        <v>0</v>
      </c>
      <c r="AI18" s="42">
        <f t="shared" si="10"/>
        <v>0</v>
      </c>
      <c r="AJ18" s="42">
        <f t="shared" si="1"/>
        <v>0</v>
      </c>
      <c r="AK18" s="42">
        <f t="shared" si="1"/>
        <v>0</v>
      </c>
      <c r="AL18" s="40">
        <f t="shared" si="11"/>
        <v>2.1008333333333336</v>
      </c>
      <c r="AM18" s="40">
        <f t="shared" si="11"/>
        <v>53.672500000000007</v>
      </c>
      <c r="AN18" s="40">
        <f t="shared" si="2"/>
        <v>0</v>
      </c>
    </row>
    <row r="19" spans="1:40" s="4" customFormat="1" ht="47.25" x14ac:dyDescent="0.25">
      <c r="A19" s="18" t="s">
        <v>34</v>
      </c>
      <c r="B19" s="19" t="s">
        <v>35</v>
      </c>
      <c r="C19" s="13" t="s">
        <v>15</v>
      </c>
      <c r="D19" s="13">
        <v>2</v>
      </c>
      <c r="E19" s="15">
        <v>522.98</v>
      </c>
      <c r="F19" s="15">
        <f t="shared" si="3"/>
        <v>1045.96</v>
      </c>
      <c r="G19" s="15">
        <v>16.809999999999999</v>
      </c>
      <c r="H19" s="15">
        <v>1029.1400000000001</v>
      </c>
      <c r="I19" s="43"/>
      <c r="J19" s="13">
        <v>0</v>
      </c>
      <c r="K19" s="14">
        <f t="shared" si="12"/>
        <v>522.98</v>
      </c>
      <c r="L19" s="15">
        <f t="shared" si="13"/>
        <v>0</v>
      </c>
      <c r="M19" s="15">
        <f t="shared" si="14"/>
        <v>0</v>
      </c>
      <c r="N19" s="15">
        <f t="shared" si="15"/>
        <v>0</v>
      </c>
      <c r="O19" s="39">
        <f t="shared" si="16"/>
        <v>0</v>
      </c>
      <c r="P19" s="13">
        <v>0</v>
      </c>
      <c r="Q19" s="14">
        <f>'[1]1.11.'!C43</f>
        <v>533.64332841803753</v>
      </c>
      <c r="R19" s="15">
        <v>0</v>
      </c>
      <c r="S19" s="15"/>
      <c r="T19" s="15"/>
      <c r="U19" s="39"/>
      <c r="V19" s="16">
        <f t="shared" si="4"/>
        <v>-1045.96</v>
      </c>
      <c r="W19" s="17">
        <f t="shared" si="5"/>
        <v>-16.809999999999999</v>
      </c>
      <c r="X19" s="17">
        <f t="shared" si="6"/>
        <v>-1029.1400000000001</v>
      </c>
      <c r="Y19" s="47">
        <f t="shared" si="6"/>
        <v>0</v>
      </c>
      <c r="Z19" s="40">
        <f t="shared" si="7"/>
        <v>1.4008333333333332</v>
      </c>
      <c r="AA19" s="40">
        <f t="shared" si="7"/>
        <v>85.76166666666667</v>
      </c>
      <c r="AB19" s="40">
        <f t="shared" si="7"/>
        <v>0</v>
      </c>
      <c r="AC19" s="41">
        <f t="shared" si="8"/>
        <v>0</v>
      </c>
      <c r="AD19" s="41">
        <f t="shared" si="8"/>
        <v>0</v>
      </c>
      <c r="AE19" s="41">
        <f t="shared" si="8"/>
        <v>0</v>
      </c>
      <c r="AF19" s="40">
        <f t="shared" si="9"/>
        <v>1.4008333333333332</v>
      </c>
      <c r="AG19" s="40">
        <f t="shared" si="0"/>
        <v>85.76166666666667</v>
      </c>
      <c r="AH19" s="40">
        <f t="shared" si="0"/>
        <v>0</v>
      </c>
      <c r="AI19" s="42">
        <f t="shared" si="10"/>
        <v>0</v>
      </c>
      <c r="AJ19" s="42">
        <f t="shared" si="1"/>
        <v>0</v>
      </c>
      <c r="AK19" s="42">
        <f t="shared" si="1"/>
        <v>0</v>
      </c>
      <c r="AL19" s="40">
        <f t="shared" si="11"/>
        <v>1.4008333333333332</v>
      </c>
      <c r="AM19" s="40">
        <f t="shared" si="11"/>
        <v>85.76166666666667</v>
      </c>
      <c r="AN19" s="40">
        <f t="shared" si="2"/>
        <v>0</v>
      </c>
    </row>
    <row r="20" spans="1:40" s="4" customFormat="1" ht="31.5" x14ac:dyDescent="0.25">
      <c r="A20" s="18" t="s">
        <v>36</v>
      </c>
      <c r="B20" s="19" t="s">
        <v>37</v>
      </c>
      <c r="C20" s="13" t="s">
        <v>15</v>
      </c>
      <c r="D20" s="13">
        <v>10</v>
      </c>
      <c r="E20" s="15">
        <v>448.39</v>
      </c>
      <c r="F20" s="15">
        <f t="shared" si="3"/>
        <v>4483.8999999999996</v>
      </c>
      <c r="G20" s="15">
        <v>594.23</v>
      </c>
      <c r="H20" s="15">
        <v>3889.65</v>
      </c>
      <c r="I20" s="43"/>
      <c r="J20" s="13">
        <v>0</v>
      </c>
      <c r="K20" s="14">
        <f t="shared" si="12"/>
        <v>448.39</v>
      </c>
      <c r="L20" s="15">
        <f t="shared" si="13"/>
        <v>0</v>
      </c>
      <c r="M20" s="15">
        <f t="shared" si="14"/>
        <v>0</v>
      </c>
      <c r="N20" s="15">
        <f t="shared" si="15"/>
        <v>0</v>
      </c>
      <c r="O20" s="39">
        <f t="shared" si="16"/>
        <v>0</v>
      </c>
      <c r="P20" s="13">
        <v>0</v>
      </c>
      <c r="Q20" s="14">
        <f>'[1]1.12.'!C59</f>
        <v>545.38166526219334</v>
      </c>
      <c r="R20" s="15">
        <f t="shared" si="17"/>
        <v>0</v>
      </c>
      <c r="S20" s="15"/>
      <c r="T20" s="15"/>
      <c r="U20" s="39"/>
      <c r="V20" s="16">
        <f t="shared" si="4"/>
        <v>-4483.8999999999996</v>
      </c>
      <c r="W20" s="17">
        <f t="shared" si="5"/>
        <v>-594.23</v>
      </c>
      <c r="X20" s="17">
        <f t="shared" si="6"/>
        <v>-3889.65</v>
      </c>
      <c r="Y20" s="47">
        <f t="shared" si="6"/>
        <v>0</v>
      </c>
      <c r="Z20" s="40">
        <f t="shared" si="7"/>
        <v>49.519166666666671</v>
      </c>
      <c r="AA20" s="40">
        <f t="shared" si="7"/>
        <v>324.13749999999999</v>
      </c>
      <c r="AB20" s="40">
        <f t="shared" si="7"/>
        <v>0</v>
      </c>
      <c r="AC20" s="41">
        <f t="shared" si="8"/>
        <v>0</v>
      </c>
      <c r="AD20" s="41">
        <f t="shared" si="8"/>
        <v>0</v>
      </c>
      <c r="AE20" s="41">
        <f t="shared" si="8"/>
        <v>0</v>
      </c>
      <c r="AF20" s="40">
        <f t="shared" si="9"/>
        <v>49.519166666666671</v>
      </c>
      <c r="AG20" s="40">
        <f t="shared" si="0"/>
        <v>324.13749999999999</v>
      </c>
      <c r="AH20" s="40">
        <f t="shared" si="0"/>
        <v>0</v>
      </c>
      <c r="AI20" s="42">
        <f t="shared" si="10"/>
        <v>0</v>
      </c>
      <c r="AJ20" s="42">
        <f t="shared" si="1"/>
        <v>0</v>
      </c>
      <c r="AK20" s="42">
        <f t="shared" si="1"/>
        <v>0</v>
      </c>
      <c r="AL20" s="40">
        <f t="shared" si="11"/>
        <v>49.519166666666671</v>
      </c>
      <c r="AM20" s="40">
        <f t="shared" si="11"/>
        <v>324.13749999999999</v>
      </c>
      <c r="AN20" s="40">
        <f t="shared" si="2"/>
        <v>0</v>
      </c>
    </row>
    <row r="21" spans="1:40" s="4" customFormat="1" ht="31.5" x14ac:dyDescent="0.25">
      <c r="A21" s="18" t="s">
        <v>38</v>
      </c>
      <c r="B21" s="19" t="s">
        <v>39</v>
      </c>
      <c r="C21" s="13" t="s">
        <v>15</v>
      </c>
      <c r="D21" s="13">
        <v>30</v>
      </c>
      <c r="E21" s="15">
        <v>359.14</v>
      </c>
      <c r="F21" s="15">
        <f t="shared" si="3"/>
        <v>10774.199999999999</v>
      </c>
      <c r="G21" s="15">
        <v>1782.69</v>
      </c>
      <c r="H21" s="15">
        <v>8991.43</v>
      </c>
      <c r="I21" s="43"/>
      <c r="J21" s="13">
        <v>0</v>
      </c>
      <c r="K21" s="14">
        <f t="shared" si="12"/>
        <v>359.14</v>
      </c>
      <c r="L21" s="15">
        <f t="shared" si="13"/>
        <v>0</v>
      </c>
      <c r="M21" s="15">
        <f t="shared" si="14"/>
        <v>0</v>
      </c>
      <c r="N21" s="15">
        <f t="shared" si="15"/>
        <v>0</v>
      </c>
      <c r="O21" s="39">
        <f t="shared" si="16"/>
        <v>0</v>
      </c>
      <c r="P21" s="13">
        <v>2</v>
      </c>
      <c r="Q21" s="14">
        <v>485.59</v>
      </c>
      <c r="R21" s="15">
        <f>SUM(P21)*Q21</f>
        <v>971.18</v>
      </c>
      <c r="S21" s="15">
        <f>('[1]1.13.'!C8+'[1]1.13.'!C10+'[1]1.13.'!C12+'[1]1.13.'!C14+'[1]1.13.'!C32+'[1]1.13.'!C34+'[1]1.13.'!C38+'[1]1.13.'!C40)/4*P21</f>
        <v>464.35023944660895</v>
      </c>
      <c r="T21" s="15">
        <f>('[1]1.13.'!C16+'[1]1.13.'!C18+'[1]1.13.'!C20+'[1]1.13.'!C22+'[1]1.13.'!C24+'[1]1.13.'!C26+'[1]1.13.'!C28+'[1]1.13.'!C36+'[1]1.13.'!C42+'[1]1.13.'!C44+'[1]1.13.'!C46+'[1]1.13.'!C48+'[1]1.13.'!C50+'[1]1.13.'!C52)/4*P21</f>
        <v>506.82015757777776</v>
      </c>
      <c r="U21" s="39">
        <v>0</v>
      </c>
      <c r="V21" s="16">
        <f t="shared" si="4"/>
        <v>-9803.0199999999986</v>
      </c>
      <c r="W21" s="17">
        <f t="shared" si="5"/>
        <v>-1318.339760553391</v>
      </c>
      <c r="X21" s="17">
        <f t="shared" si="6"/>
        <v>-8484.6098424222218</v>
      </c>
      <c r="Y21" s="47">
        <f t="shared" si="6"/>
        <v>0</v>
      </c>
      <c r="Z21" s="40">
        <f t="shared" si="7"/>
        <v>148.5575</v>
      </c>
      <c r="AA21" s="40">
        <f t="shared" si="7"/>
        <v>749.28583333333336</v>
      </c>
      <c r="AB21" s="40">
        <f t="shared" si="7"/>
        <v>0</v>
      </c>
      <c r="AC21" s="41">
        <f t="shared" si="8"/>
        <v>0</v>
      </c>
      <c r="AD21" s="41">
        <f t="shared" si="8"/>
        <v>0</v>
      </c>
      <c r="AE21" s="41">
        <f t="shared" si="8"/>
        <v>0</v>
      </c>
      <c r="AF21" s="40">
        <f t="shared" si="9"/>
        <v>148.5575</v>
      </c>
      <c r="AG21" s="40">
        <f t="shared" si="0"/>
        <v>749.28583333333336</v>
      </c>
      <c r="AH21" s="40">
        <f t="shared" si="0"/>
        <v>0</v>
      </c>
      <c r="AI21" s="42">
        <f t="shared" si="10"/>
        <v>92.870047889321796</v>
      </c>
      <c r="AJ21" s="42">
        <f t="shared" si="1"/>
        <v>101.36403151555555</v>
      </c>
      <c r="AK21" s="42">
        <f t="shared" si="1"/>
        <v>0</v>
      </c>
      <c r="AL21" s="40">
        <f t="shared" si="11"/>
        <v>55.687452110678208</v>
      </c>
      <c r="AM21" s="40">
        <f t="shared" si="11"/>
        <v>647.9218018177778</v>
      </c>
      <c r="AN21" s="40">
        <f t="shared" si="2"/>
        <v>0</v>
      </c>
    </row>
    <row r="22" spans="1:40" s="4" customFormat="1" ht="47.25" x14ac:dyDescent="0.25">
      <c r="A22" s="18" t="s">
        <v>40</v>
      </c>
      <c r="B22" s="19" t="s">
        <v>41</v>
      </c>
      <c r="C22" s="13" t="s">
        <v>15</v>
      </c>
      <c r="D22" s="13">
        <v>2</v>
      </c>
      <c r="E22" s="15">
        <v>281</v>
      </c>
      <c r="F22" s="15">
        <f t="shared" si="3"/>
        <v>562</v>
      </c>
      <c r="G22" s="15">
        <v>118.84</v>
      </c>
      <c r="H22" s="15">
        <v>443.15</v>
      </c>
      <c r="I22" s="43"/>
      <c r="J22" s="13">
        <v>0</v>
      </c>
      <c r="K22" s="14">
        <f t="shared" si="12"/>
        <v>281</v>
      </c>
      <c r="L22" s="15">
        <f t="shared" si="13"/>
        <v>0</v>
      </c>
      <c r="M22" s="15">
        <f t="shared" si="14"/>
        <v>0</v>
      </c>
      <c r="N22" s="15">
        <f t="shared" si="15"/>
        <v>0</v>
      </c>
      <c r="O22" s="39">
        <f t="shared" si="16"/>
        <v>0</v>
      </c>
      <c r="P22" s="13">
        <v>0</v>
      </c>
      <c r="Q22" s="14">
        <f>'[1]1.14.'!C59</f>
        <v>411.38166526219328</v>
      </c>
      <c r="R22" s="15">
        <f t="shared" si="17"/>
        <v>0</v>
      </c>
      <c r="S22" s="15"/>
      <c r="T22" s="15"/>
      <c r="U22" s="39"/>
      <c r="V22" s="16">
        <f t="shared" si="4"/>
        <v>-562</v>
      </c>
      <c r="W22" s="17">
        <f t="shared" si="5"/>
        <v>-118.84</v>
      </c>
      <c r="X22" s="17">
        <f t="shared" si="6"/>
        <v>-443.15</v>
      </c>
      <c r="Y22" s="47">
        <f t="shared" si="6"/>
        <v>0</v>
      </c>
      <c r="Z22" s="40">
        <f t="shared" si="7"/>
        <v>9.9033333333333342</v>
      </c>
      <c r="AA22" s="40">
        <f t="shared" si="7"/>
        <v>36.929166666666667</v>
      </c>
      <c r="AB22" s="40">
        <f t="shared" si="7"/>
        <v>0</v>
      </c>
      <c r="AC22" s="41">
        <f t="shared" si="8"/>
        <v>0</v>
      </c>
      <c r="AD22" s="41">
        <f t="shared" si="8"/>
        <v>0</v>
      </c>
      <c r="AE22" s="41">
        <f t="shared" si="8"/>
        <v>0</v>
      </c>
      <c r="AF22" s="40">
        <f t="shared" si="9"/>
        <v>9.9033333333333342</v>
      </c>
      <c r="AG22" s="40">
        <f t="shared" si="0"/>
        <v>36.929166666666667</v>
      </c>
      <c r="AH22" s="40">
        <f t="shared" si="0"/>
        <v>0</v>
      </c>
      <c r="AI22" s="42">
        <f t="shared" si="10"/>
        <v>0</v>
      </c>
      <c r="AJ22" s="42">
        <f t="shared" si="1"/>
        <v>0</v>
      </c>
      <c r="AK22" s="42">
        <f t="shared" si="1"/>
        <v>0</v>
      </c>
      <c r="AL22" s="40">
        <f t="shared" si="11"/>
        <v>9.9033333333333342</v>
      </c>
      <c r="AM22" s="40">
        <f t="shared" si="11"/>
        <v>36.929166666666667</v>
      </c>
      <c r="AN22" s="40">
        <f t="shared" si="2"/>
        <v>0</v>
      </c>
    </row>
    <row r="23" spans="1:40" s="4" customFormat="1" ht="31.5" x14ac:dyDescent="0.25">
      <c r="A23" s="18"/>
      <c r="B23" s="22" t="s">
        <v>42</v>
      </c>
      <c r="C23" s="23" t="s">
        <v>15</v>
      </c>
      <c r="D23" s="23">
        <v>2</v>
      </c>
      <c r="E23" s="24">
        <v>442.84</v>
      </c>
      <c r="F23" s="24">
        <v>885.68</v>
      </c>
      <c r="G23" s="24">
        <v>118.84</v>
      </c>
      <c r="H23" s="24">
        <v>766.84</v>
      </c>
      <c r="I23" s="43"/>
      <c r="J23" s="13"/>
      <c r="K23" s="14"/>
      <c r="L23" s="15"/>
      <c r="M23" s="15"/>
      <c r="N23" s="15"/>
      <c r="O23" s="39"/>
      <c r="P23" s="13"/>
      <c r="Q23" s="14"/>
      <c r="R23" s="15"/>
      <c r="S23" s="15"/>
      <c r="T23" s="15"/>
      <c r="U23" s="39"/>
      <c r="V23" s="16">
        <f t="shared" si="4"/>
        <v>-885.68</v>
      </c>
      <c r="W23" s="17">
        <f t="shared" si="5"/>
        <v>-118.84</v>
      </c>
      <c r="X23" s="17">
        <f t="shared" si="6"/>
        <v>-766.84</v>
      </c>
      <c r="Y23" s="47">
        <f t="shared" si="6"/>
        <v>0</v>
      </c>
      <c r="Z23" s="40">
        <f t="shared" si="7"/>
        <v>9.9033333333333342</v>
      </c>
      <c r="AA23" s="40">
        <f t="shared" si="7"/>
        <v>63.903333333333336</v>
      </c>
      <c r="AB23" s="40">
        <f t="shared" si="7"/>
        <v>0</v>
      </c>
      <c r="AC23" s="41">
        <f t="shared" si="8"/>
        <v>0</v>
      </c>
      <c r="AD23" s="41">
        <f t="shared" si="8"/>
        <v>0</v>
      </c>
      <c r="AE23" s="41">
        <f t="shared" si="8"/>
        <v>0</v>
      </c>
      <c r="AF23" s="40">
        <f t="shared" si="9"/>
        <v>9.9033333333333342</v>
      </c>
      <c r="AG23" s="40">
        <f t="shared" si="0"/>
        <v>63.903333333333336</v>
      </c>
      <c r="AH23" s="40">
        <f t="shared" si="0"/>
        <v>0</v>
      </c>
      <c r="AI23" s="42">
        <f t="shared" si="10"/>
        <v>0</v>
      </c>
      <c r="AJ23" s="42">
        <f t="shared" si="1"/>
        <v>0</v>
      </c>
      <c r="AK23" s="42">
        <f t="shared" si="1"/>
        <v>0</v>
      </c>
      <c r="AL23" s="40">
        <f t="shared" si="11"/>
        <v>9.9033333333333342</v>
      </c>
      <c r="AM23" s="40">
        <f t="shared" si="11"/>
        <v>63.903333333333336</v>
      </c>
      <c r="AN23" s="40">
        <f t="shared" si="2"/>
        <v>0</v>
      </c>
    </row>
    <row r="24" spans="1:40" s="4" customFormat="1" ht="31.5" x14ac:dyDescent="0.25">
      <c r="A24" s="18" t="s">
        <v>43</v>
      </c>
      <c r="B24" s="19" t="s">
        <v>44</v>
      </c>
      <c r="C24" s="13" t="s">
        <v>15</v>
      </c>
      <c r="D24" s="25">
        <v>2</v>
      </c>
      <c r="E24" s="21">
        <v>285.72000000000003</v>
      </c>
      <c r="F24" s="21">
        <f>SUM(D24)*E24</f>
        <v>571.44000000000005</v>
      </c>
      <c r="G24" s="21">
        <v>118.84</v>
      </c>
      <c r="H24" s="21">
        <v>452.6</v>
      </c>
      <c r="I24" s="43"/>
      <c r="J24" s="13">
        <v>1</v>
      </c>
      <c r="K24" s="14">
        <f t="shared" si="12"/>
        <v>285.72000000000003</v>
      </c>
      <c r="L24" s="15">
        <f t="shared" ref="L24:L28" si="18">SUM(J24)*K24</f>
        <v>285.72000000000003</v>
      </c>
      <c r="M24" s="15">
        <f>G24/D24*J24</f>
        <v>59.42</v>
      </c>
      <c r="N24" s="15">
        <f>H24/D24*J24</f>
        <v>226.3</v>
      </c>
      <c r="O24" s="39">
        <f>I24/D24*J24</f>
        <v>0</v>
      </c>
      <c r="P24" s="13">
        <v>1</v>
      </c>
      <c r="Q24" s="14">
        <f>'[1]1.15.'!C59</f>
        <v>419.36</v>
      </c>
      <c r="R24" s="15">
        <f t="shared" si="17"/>
        <v>419.36</v>
      </c>
      <c r="S24" s="15">
        <f>('[1]1.15.'!C8+'[1]1.15.'!C10+'[1]1.15.'!C12+'[1]1.15.'!C14+'[1]1.15.'!C32+'[1]1.15.'!C34+'[1]1.15.'!C38+'[1]1.15.'!C40)/2*P24</f>
        <v>239.72922747330449</v>
      </c>
      <c r="T24" s="15">
        <f>('[1]1.15.'!C16+'[1]1.15.'!C18+'[1]1.15.'!C20+'[1]1.15.'!C22+'[1]1.15.'!C24+'[1]1.15.'!C26+'[1]1.15.'!C28+'[1]1.15.'!C36+'[1]1.15.'!C42+'[1]1.15.'!C44+'[1]1.15.'!C46+'[1]1.15.'!C48+'[1]1.15.'!C50+'[1]1.15.'!C52)/2*P24</f>
        <v>179.63007878888885</v>
      </c>
      <c r="U24" s="39">
        <v>0</v>
      </c>
      <c r="V24" s="16">
        <f t="shared" si="4"/>
        <v>133.63999999999999</v>
      </c>
      <c r="W24" s="17">
        <f t="shared" si="5"/>
        <v>180.3092274733045</v>
      </c>
      <c r="X24" s="17">
        <f t="shared" si="6"/>
        <v>-46.669921211111159</v>
      </c>
      <c r="Y24" s="47">
        <f t="shared" si="6"/>
        <v>0</v>
      </c>
      <c r="Z24" s="40">
        <f t="shared" si="7"/>
        <v>9.9033333333333342</v>
      </c>
      <c r="AA24" s="40">
        <f t="shared" si="7"/>
        <v>37.716666666666669</v>
      </c>
      <c r="AB24" s="40">
        <f t="shared" si="7"/>
        <v>0</v>
      </c>
      <c r="AC24" s="41">
        <f t="shared" si="8"/>
        <v>8.4885714285714293</v>
      </c>
      <c r="AD24" s="41">
        <f t="shared" si="8"/>
        <v>32.328571428571429</v>
      </c>
      <c r="AE24" s="41">
        <f t="shared" si="8"/>
        <v>0</v>
      </c>
      <c r="AF24" s="40">
        <f t="shared" si="9"/>
        <v>1.4147619047619049</v>
      </c>
      <c r="AG24" s="40">
        <f t="shared" si="0"/>
        <v>5.3880952380952394</v>
      </c>
      <c r="AH24" s="40">
        <f t="shared" si="0"/>
        <v>0</v>
      </c>
      <c r="AI24" s="42">
        <f t="shared" si="10"/>
        <v>47.945845494660901</v>
      </c>
      <c r="AJ24" s="42">
        <f t="shared" si="1"/>
        <v>35.926015757777769</v>
      </c>
      <c r="AK24" s="42">
        <f t="shared" si="1"/>
        <v>0</v>
      </c>
      <c r="AL24" s="40">
        <f t="shared" si="11"/>
        <v>-38.042512161327565</v>
      </c>
      <c r="AM24" s="40">
        <f t="shared" si="11"/>
        <v>1.7906509088888996</v>
      </c>
      <c r="AN24" s="40">
        <f t="shared" si="2"/>
        <v>0</v>
      </c>
    </row>
    <row r="25" spans="1:40" s="4" customFormat="1" ht="63" x14ac:dyDescent="0.25">
      <c r="A25" s="18" t="s">
        <v>45</v>
      </c>
      <c r="B25" s="19" t="s">
        <v>46</v>
      </c>
      <c r="C25" s="13" t="s">
        <v>15</v>
      </c>
      <c r="D25" s="13">
        <v>2</v>
      </c>
      <c r="E25" s="15">
        <v>245.7</v>
      </c>
      <c r="F25" s="15">
        <f t="shared" si="3"/>
        <v>491.4</v>
      </c>
      <c r="G25" s="15">
        <v>118.84</v>
      </c>
      <c r="H25" s="15">
        <v>372.55</v>
      </c>
      <c r="I25" s="43"/>
      <c r="J25" s="13">
        <v>0</v>
      </c>
      <c r="K25" s="14">
        <f t="shared" si="12"/>
        <v>245.7</v>
      </c>
      <c r="L25" s="15">
        <f t="shared" si="18"/>
        <v>0</v>
      </c>
      <c r="M25" s="15">
        <f t="shared" ref="M25:M32" si="19">G25/D25*J25</f>
        <v>0</v>
      </c>
      <c r="N25" s="15">
        <f t="shared" ref="N25:N32" si="20">H25/D25*J25</f>
        <v>0</v>
      </c>
      <c r="O25" s="39">
        <f t="shared" ref="O25:O32" si="21">I25/D25*J25</f>
        <v>0</v>
      </c>
      <c r="P25" s="13">
        <v>0</v>
      </c>
      <c r="Q25" s="14">
        <f>'[1]1.16.'!C55</f>
        <v>352.72166526219337</v>
      </c>
      <c r="R25" s="15">
        <f t="shared" si="17"/>
        <v>0</v>
      </c>
      <c r="S25" s="15"/>
      <c r="T25" s="15"/>
      <c r="U25" s="39"/>
      <c r="V25" s="16">
        <f t="shared" si="4"/>
        <v>-491.4</v>
      </c>
      <c r="W25" s="17">
        <f t="shared" si="5"/>
        <v>-118.84</v>
      </c>
      <c r="X25" s="17">
        <f t="shared" si="6"/>
        <v>-372.55</v>
      </c>
      <c r="Y25" s="47">
        <f t="shared" si="6"/>
        <v>0</v>
      </c>
      <c r="Z25" s="40">
        <f t="shared" si="7"/>
        <v>9.9033333333333342</v>
      </c>
      <c r="AA25" s="40">
        <f t="shared" si="7"/>
        <v>31.045833333333334</v>
      </c>
      <c r="AB25" s="40">
        <f t="shared" si="7"/>
        <v>0</v>
      </c>
      <c r="AC25" s="41">
        <f>M25/7</f>
        <v>0</v>
      </c>
      <c r="AD25" s="41">
        <f t="shared" si="8"/>
        <v>0</v>
      </c>
      <c r="AE25" s="41">
        <f t="shared" si="8"/>
        <v>0</v>
      </c>
      <c r="AF25" s="40">
        <f t="shared" si="9"/>
        <v>9.9033333333333342</v>
      </c>
      <c r="AG25" s="40">
        <f t="shared" si="9"/>
        <v>31.045833333333334</v>
      </c>
      <c r="AH25" s="40">
        <f t="shared" si="9"/>
        <v>0</v>
      </c>
      <c r="AI25" s="42">
        <f t="shared" si="10"/>
        <v>0</v>
      </c>
      <c r="AJ25" s="42">
        <f t="shared" si="10"/>
        <v>0</v>
      </c>
      <c r="AK25" s="42">
        <f t="shared" si="10"/>
        <v>0</v>
      </c>
      <c r="AL25" s="40">
        <f t="shared" si="11"/>
        <v>9.9033333333333342</v>
      </c>
      <c r="AM25" s="40">
        <f t="shared" si="11"/>
        <v>31.045833333333334</v>
      </c>
      <c r="AN25" s="40">
        <f t="shared" si="2"/>
        <v>0</v>
      </c>
    </row>
    <row r="26" spans="1:40" s="4" customFormat="1" ht="47.25" x14ac:dyDescent="0.25">
      <c r="A26" s="18" t="s">
        <v>47</v>
      </c>
      <c r="B26" s="19" t="s">
        <v>48</v>
      </c>
      <c r="C26" s="13" t="s">
        <v>15</v>
      </c>
      <c r="D26" s="13">
        <v>2</v>
      </c>
      <c r="E26" s="15">
        <v>684.86</v>
      </c>
      <c r="F26" s="15">
        <f t="shared" si="3"/>
        <v>1369.72</v>
      </c>
      <c r="G26" s="15">
        <v>109.71</v>
      </c>
      <c r="H26" s="15">
        <v>1260</v>
      </c>
      <c r="I26" s="43"/>
      <c r="J26" s="13">
        <v>0</v>
      </c>
      <c r="K26" s="14">
        <f t="shared" si="12"/>
        <v>684.86</v>
      </c>
      <c r="L26" s="15">
        <f t="shared" si="18"/>
        <v>0</v>
      </c>
      <c r="M26" s="15">
        <f t="shared" si="19"/>
        <v>0</v>
      </c>
      <c r="N26" s="15">
        <f t="shared" si="20"/>
        <v>0</v>
      </c>
      <c r="O26" s="39">
        <f t="shared" si="21"/>
        <v>0</v>
      </c>
      <c r="P26" s="13">
        <v>0</v>
      </c>
      <c r="Q26" s="14">
        <f>'[1]1.17.'!C43</f>
        <v>1058.6020881582972</v>
      </c>
      <c r="R26" s="15">
        <f t="shared" si="17"/>
        <v>0</v>
      </c>
      <c r="S26" s="15"/>
      <c r="T26" s="15"/>
      <c r="U26" s="39"/>
      <c r="V26" s="16">
        <f t="shared" si="4"/>
        <v>-1369.72</v>
      </c>
      <c r="W26" s="17">
        <f t="shared" si="5"/>
        <v>-109.71</v>
      </c>
      <c r="X26" s="17">
        <f t="shared" si="6"/>
        <v>-1260</v>
      </c>
      <c r="Y26" s="47">
        <f t="shared" si="6"/>
        <v>0</v>
      </c>
      <c r="Z26" s="40">
        <f t="shared" si="7"/>
        <v>9.1425000000000001</v>
      </c>
      <c r="AA26" s="40">
        <f t="shared" si="7"/>
        <v>105</v>
      </c>
      <c r="AB26" s="40">
        <f t="shared" si="7"/>
        <v>0</v>
      </c>
      <c r="AC26" s="41">
        <f t="shared" si="8"/>
        <v>0</v>
      </c>
      <c r="AD26" s="41">
        <f t="shared" si="8"/>
        <v>0</v>
      </c>
      <c r="AE26" s="41">
        <f t="shared" si="8"/>
        <v>0</v>
      </c>
      <c r="AF26" s="40">
        <f t="shared" si="9"/>
        <v>9.1425000000000001</v>
      </c>
      <c r="AG26" s="40">
        <f t="shared" si="9"/>
        <v>105</v>
      </c>
      <c r="AH26" s="40">
        <f t="shared" si="9"/>
        <v>0</v>
      </c>
      <c r="AI26" s="42">
        <f t="shared" si="10"/>
        <v>0</v>
      </c>
      <c r="AJ26" s="42">
        <f t="shared" si="10"/>
        <v>0</v>
      </c>
      <c r="AK26" s="42">
        <f t="shared" si="10"/>
        <v>0</v>
      </c>
      <c r="AL26" s="40">
        <f t="shared" si="11"/>
        <v>9.1425000000000001</v>
      </c>
      <c r="AM26" s="40">
        <f t="shared" si="11"/>
        <v>105</v>
      </c>
      <c r="AN26" s="40">
        <f t="shared" si="2"/>
        <v>0</v>
      </c>
    </row>
    <row r="27" spans="1:40" s="4" customFormat="1" ht="47.25" x14ac:dyDescent="0.25">
      <c r="A27" s="18" t="s">
        <v>49</v>
      </c>
      <c r="B27" s="19" t="s">
        <v>50</v>
      </c>
      <c r="C27" s="13" t="s">
        <v>15</v>
      </c>
      <c r="D27" s="13">
        <v>2</v>
      </c>
      <c r="E27" s="15">
        <v>1101.3599999999999</v>
      </c>
      <c r="F27" s="15">
        <f t="shared" si="3"/>
        <v>2202.7199999999998</v>
      </c>
      <c r="G27" s="15">
        <v>109.71</v>
      </c>
      <c r="H27" s="15">
        <v>2093</v>
      </c>
      <c r="I27" s="43"/>
      <c r="J27" s="13">
        <v>0</v>
      </c>
      <c r="K27" s="14">
        <f t="shared" si="12"/>
        <v>1101.3599999999999</v>
      </c>
      <c r="L27" s="15">
        <f t="shared" si="18"/>
        <v>0</v>
      </c>
      <c r="M27" s="15">
        <f t="shared" si="19"/>
        <v>0</v>
      </c>
      <c r="N27" s="15">
        <f t="shared" si="20"/>
        <v>0</v>
      </c>
      <c r="O27" s="39">
        <f t="shared" si="21"/>
        <v>0</v>
      </c>
      <c r="P27" s="13">
        <v>0</v>
      </c>
      <c r="Q27" s="14">
        <f>'[1]1.18.'!C43</f>
        <v>1358.6020881582974</v>
      </c>
      <c r="R27" s="15">
        <f t="shared" si="17"/>
        <v>0</v>
      </c>
      <c r="S27" s="15"/>
      <c r="T27" s="15"/>
      <c r="U27" s="39"/>
      <c r="V27" s="16">
        <f t="shared" si="4"/>
        <v>-2202.7199999999998</v>
      </c>
      <c r="W27" s="17">
        <f t="shared" si="5"/>
        <v>-109.71</v>
      </c>
      <c r="X27" s="17">
        <f t="shared" si="6"/>
        <v>-2093</v>
      </c>
      <c r="Y27" s="47">
        <f t="shared" si="6"/>
        <v>0</v>
      </c>
      <c r="Z27" s="40">
        <f t="shared" si="7"/>
        <v>9.1425000000000001</v>
      </c>
      <c r="AA27" s="40">
        <f t="shared" si="7"/>
        <v>174.41666666666666</v>
      </c>
      <c r="AB27" s="40">
        <f t="shared" si="7"/>
        <v>0</v>
      </c>
      <c r="AC27" s="41">
        <f t="shared" si="8"/>
        <v>0</v>
      </c>
      <c r="AD27" s="41">
        <f t="shared" si="8"/>
        <v>0</v>
      </c>
      <c r="AE27" s="41">
        <f t="shared" si="8"/>
        <v>0</v>
      </c>
      <c r="AF27" s="40">
        <f t="shared" si="9"/>
        <v>9.1425000000000001</v>
      </c>
      <c r="AG27" s="40">
        <f t="shared" si="9"/>
        <v>174.41666666666666</v>
      </c>
      <c r="AH27" s="40">
        <f t="shared" si="9"/>
        <v>0</v>
      </c>
      <c r="AI27" s="42">
        <f t="shared" si="10"/>
        <v>0</v>
      </c>
      <c r="AJ27" s="42">
        <f t="shared" si="10"/>
        <v>0</v>
      </c>
      <c r="AK27" s="42">
        <f t="shared" si="10"/>
        <v>0</v>
      </c>
      <c r="AL27" s="40">
        <f t="shared" si="11"/>
        <v>9.1425000000000001</v>
      </c>
      <c r="AM27" s="40">
        <f t="shared" si="11"/>
        <v>174.41666666666666</v>
      </c>
      <c r="AN27" s="40">
        <f t="shared" si="2"/>
        <v>0</v>
      </c>
    </row>
    <row r="28" spans="1:40" s="4" customFormat="1" ht="31.5" x14ac:dyDescent="0.25">
      <c r="A28" s="18" t="s">
        <v>51</v>
      </c>
      <c r="B28" s="19" t="s">
        <v>52</v>
      </c>
      <c r="C28" s="13" t="s">
        <v>15</v>
      </c>
      <c r="D28" s="13">
        <v>2</v>
      </c>
      <c r="E28" s="15">
        <v>684.86</v>
      </c>
      <c r="F28" s="15">
        <f t="shared" si="3"/>
        <v>1369.72</v>
      </c>
      <c r="G28" s="15">
        <v>109.71</v>
      </c>
      <c r="H28" s="15">
        <v>1260</v>
      </c>
      <c r="I28" s="43"/>
      <c r="J28" s="13">
        <v>0</v>
      </c>
      <c r="K28" s="14">
        <f t="shared" si="12"/>
        <v>684.86</v>
      </c>
      <c r="L28" s="15">
        <f t="shared" si="18"/>
        <v>0</v>
      </c>
      <c r="M28" s="15">
        <f t="shared" si="19"/>
        <v>0</v>
      </c>
      <c r="N28" s="15">
        <f t="shared" si="20"/>
        <v>0</v>
      </c>
      <c r="O28" s="39">
        <f t="shared" si="21"/>
        <v>0</v>
      </c>
      <c r="P28" s="13">
        <v>0</v>
      </c>
      <c r="Q28" s="14">
        <f>'[1]1.19.'!C43</f>
        <v>1958.6020881582974</v>
      </c>
      <c r="R28" s="15">
        <f t="shared" si="17"/>
        <v>0</v>
      </c>
      <c r="S28" s="15"/>
      <c r="T28" s="15"/>
      <c r="U28" s="39"/>
      <c r="V28" s="16">
        <f t="shared" si="4"/>
        <v>-1369.72</v>
      </c>
      <c r="W28" s="17">
        <f t="shared" si="5"/>
        <v>-109.71</v>
      </c>
      <c r="X28" s="17">
        <f t="shared" si="6"/>
        <v>-1260</v>
      </c>
      <c r="Y28" s="47">
        <f t="shared" si="6"/>
        <v>0</v>
      </c>
      <c r="Z28" s="40">
        <f t="shared" si="7"/>
        <v>9.1425000000000001</v>
      </c>
      <c r="AA28" s="40">
        <f t="shared" si="7"/>
        <v>105</v>
      </c>
      <c r="AB28" s="40">
        <f t="shared" si="7"/>
        <v>0</v>
      </c>
      <c r="AC28" s="41">
        <f t="shared" si="8"/>
        <v>0</v>
      </c>
      <c r="AD28" s="41">
        <f t="shared" si="8"/>
        <v>0</v>
      </c>
      <c r="AE28" s="41">
        <f t="shared" si="8"/>
        <v>0</v>
      </c>
      <c r="AF28" s="40">
        <f t="shared" si="9"/>
        <v>9.1425000000000001</v>
      </c>
      <c r="AG28" s="40">
        <f t="shared" si="9"/>
        <v>105</v>
      </c>
      <c r="AH28" s="40">
        <f t="shared" si="9"/>
        <v>0</v>
      </c>
      <c r="AI28" s="42">
        <f t="shared" si="10"/>
        <v>0</v>
      </c>
      <c r="AJ28" s="42">
        <f t="shared" si="10"/>
        <v>0</v>
      </c>
      <c r="AK28" s="42">
        <f t="shared" si="10"/>
        <v>0</v>
      </c>
      <c r="AL28" s="40">
        <f t="shared" si="11"/>
        <v>9.1425000000000001</v>
      </c>
      <c r="AM28" s="40">
        <f t="shared" si="11"/>
        <v>105</v>
      </c>
      <c r="AN28" s="40">
        <f t="shared" si="2"/>
        <v>0</v>
      </c>
    </row>
    <row r="29" spans="1:40" s="4" customFormat="1" ht="31.5" x14ac:dyDescent="0.25">
      <c r="A29" s="26"/>
      <c r="B29" s="22" t="s">
        <v>53</v>
      </c>
      <c r="C29" s="23" t="s">
        <v>15</v>
      </c>
      <c r="D29" s="23">
        <v>2</v>
      </c>
      <c r="E29" s="24">
        <v>684.86</v>
      </c>
      <c r="F29" s="24">
        <f t="shared" si="3"/>
        <v>1369.72</v>
      </c>
      <c r="G29" s="24">
        <v>109.71</v>
      </c>
      <c r="H29" s="24">
        <v>1260</v>
      </c>
      <c r="I29" s="43"/>
      <c r="J29" s="13"/>
      <c r="K29" s="14"/>
      <c r="L29" s="15"/>
      <c r="M29" s="15"/>
      <c r="N29" s="15"/>
      <c r="O29" s="39"/>
      <c r="P29" s="13"/>
      <c r="Q29" s="14"/>
      <c r="R29" s="15"/>
      <c r="S29" s="15"/>
      <c r="T29" s="15"/>
      <c r="U29" s="39"/>
      <c r="V29" s="16">
        <f t="shared" si="4"/>
        <v>-1369.72</v>
      </c>
      <c r="W29" s="17">
        <f t="shared" si="5"/>
        <v>-109.71</v>
      </c>
      <c r="X29" s="17">
        <f t="shared" si="6"/>
        <v>-1260</v>
      </c>
      <c r="Y29" s="47">
        <f t="shared" si="6"/>
        <v>0</v>
      </c>
      <c r="Z29" s="40">
        <f t="shared" si="7"/>
        <v>9.1425000000000001</v>
      </c>
      <c r="AA29" s="40">
        <f t="shared" si="7"/>
        <v>105</v>
      </c>
      <c r="AB29" s="40">
        <f t="shared" si="7"/>
        <v>0</v>
      </c>
      <c r="AC29" s="41">
        <f t="shared" si="8"/>
        <v>0</v>
      </c>
      <c r="AD29" s="41">
        <f t="shared" si="8"/>
        <v>0</v>
      </c>
      <c r="AE29" s="41">
        <f t="shared" si="8"/>
        <v>0</v>
      </c>
      <c r="AF29" s="40">
        <f t="shared" si="9"/>
        <v>9.1425000000000001</v>
      </c>
      <c r="AG29" s="40">
        <f t="shared" si="9"/>
        <v>105</v>
      </c>
      <c r="AH29" s="40">
        <f t="shared" si="9"/>
        <v>0</v>
      </c>
      <c r="AI29" s="42">
        <f t="shared" si="10"/>
        <v>0</v>
      </c>
      <c r="AJ29" s="42">
        <f t="shared" si="10"/>
        <v>0</v>
      </c>
      <c r="AK29" s="42">
        <f t="shared" si="10"/>
        <v>0</v>
      </c>
      <c r="AL29" s="40">
        <f t="shared" si="11"/>
        <v>9.1425000000000001</v>
      </c>
      <c r="AM29" s="40">
        <f t="shared" si="11"/>
        <v>105</v>
      </c>
      <c r="AN29" s="40">
        <f t="shared" si="2"/>
        <v>0</v>
      </c>
    </row>
    <row r="30" spans="1:40" s="4" customFormat="1" ht="31.5" x14ac:dyDescent="0.25">
      <c r="A30" s="26"/>
      <c r="B30" s="22" t="s">
        <v>54</v>
      </c>
      <c r="C30" s="23" t="s">
        <v>15</v>
      </c>
      <c r="D30" s="23">
        <v>2</v>
      </c>
      <c r="E30" s="24">
        <v>684.86</v>
      </c>
      <c r="F30" s="24">
        <f t="shared" si="3"/>
        <v>1369.72</v>
      </c>
      <c r="G30" s="24">
        <v>109.71</v>
      </c>
      <c r="H30" s="24">
        <v>1260</v>
      </c>
      <c r="I30" s="43"/>
      <c r="J30" s="13"/>
      <c r="K30" s="14"/>
      <c r="L30" s="15"/>
      <c r="M30" s="15"/>
      <c r="N30" s="15"/>
      <c r="O30" s="39"/>
      <c r="P30" s="13"/>
      <c r="Q30" s="14"/>
      <c r="R30" s="15"/>
      <c r="S30" s="15"/>
      <c r="T30" s="15"/>
      <c r="U30" s="39"/>
      <c r="V30" s="16">
        <f t="shared" si="4"/>
        <v>-1369.72</v>
      </c>
      <c r="W30" s="17">
        <f t="shared" si="5"/>
        <v>-109.71</v>
      </c>
      <c r="X30" s="17">
        <f t="shared" si="6"/>
        <v>-1260</v>
      </c>
      <c r="Y30" s="47">
        <f t="shared" si="6"/>
        <v>0</v>
      </c>
      <c r="Z30" s="40">
        <f t="shared" si="7"/>
        <v>9.1425000000000001</v>
      </c>
      <c r="AA30" s="40">
        <f t="shared" si="7"/>
        <v>105</v>
      </c>
      <c r="AB30" s="40">
        <f t="shared" si="7"/>
        <v>0</v>
      </c>
      <c r="AC30" s="41">
        <f t="shared" si="8"/>
        <v>0</v>
      </c>
      <c r="AD30" s="41">
        <f t="shared" si="8"/>
        <v>0</v>
      </c>
      <c r="AE30" s="41">
        <f t="shared" si="8"/>
        <v>0</v>
      </c>
      <c r="AF30" s="40">
        <f t="shared" si="9"/>
        <v>9.1425000000000001</v>
      </c>
      <c r="AG30" s="40">
        <f t="shared" si="9"/>
        <v>105</v>
      </c>
      <c r="AH30" s="40">
        <f t="shared" si="9"/>
        <v>0</v>
      </c>
      <c r="AI30" s="42">
        <f t="shared" si="10"/>
        <v>0</v>
      </c>
      <c r="AJ30" s="42">
        <f t="shared" si="10"/>
        <v>0</v>
      </c>
      <c r="AK30" s="42">
        <f t="shared" si="10"/>
        <v>0</v>
      </c>
      <c r="AL30" s="40">
        <f t="shared" si="11"/>
        <v>9.1425000000000001</v>
      </c>
      <c r="AM30" s="40">
        <f t="shared" si="11"/>
        <v>105</v>
      </c>
      <c r="AN30" s="40">
        <f t="shared" si="2"/>
        <v>0</v>
      </c>
    </row>
    <row r="31" spans="1:40" s="4" customFormat="1" ht="47.25" x14ac:dyDescent="0.25">
      <c r="A31" s="18" t="s">
        <v>55</v>
      </c>
      <c r="B31" s="19" t="s">
        <v>56</v>
      </c>
      <c r="C31" s="13" t="s">
        <v>57</v>
      </c>
      <c r="D31" s="13">
        <v>4</v>
      </c>
      <c r="E31" s="15">
        <v>803.85</v>
      </c>
      <c r="F31" s="15">
        <f t="shared" si="3"/>
        <v>3215.4</v>
      </c>
      <c r="G31" s="15">
        <v>219.41</v>
      </c>
      <c r="H31" s="15">
        <v>2996</v>
      </c>
      <c r="I31" s="43"/>
      <c r="J31" s="13">
        <v>0</v>
      </c>
      <c r="K31" s="14">
        <f t="shared" si="12"/>
        <v>803.85</v>
      </c>
      <c r="L31" s="15">
        <f t="shared" ref="L31:L32" si="22">SUM(J31)*K31</f>
        <v>0</v>
      </c>
      <c r="M31" s="15">
        <f t="shared" si="19"/>
        <v>0</v>
      </c>
      <c r="N31" s="15">
        <f t="shared" si="20"/>
        <v>0</v>
      </c>
      <c r="O31" s="39">
        <f t="shared" si="21"/>
        <v>0</v>
      </c>
      <c r="P31" s="13">
        <v>0</v>
      </c>
      <c r="Q31" s="14">
        <f>'[1]1.20.'!C43</f>
        <v>1288.7520881582975</v>
      </c>
      <c r="R31" s="15">
        <f t="shared" si="17"/>
        <v>0</v>
      </c>
      <c r="S31" s="15"/>
      <c r="T31" s="15"/>
      <c r="U31" s="39"/>
      <c r="V31" s="16">
        <f t="shared" si="4"/>
        <v>-3215.4</v>
      </c>
      <c r="W31" s="17">
        <f t="shared" si="5"/>
        <v>-219.41</v>
      </c>
      <c r="X31" s="17">
        <f t="shared" si="6"/>
        <v>-2996</v>
      </c>
      <c r="Y31" s="47">
        <f t="shared" si="6"/>
        <v>0</v>
      </c>
      <c r="Z31" s="40">
        <f t="shared" si="7"/>
        <v>18.284166666666668</v>
      </c>
      <c r="AA31" s="40">
        <f t="shared" si="7"/>
        <v>249.66666666666666</v>
      </c>
      <c r="AB31" s="40">
        <f t="shared" si="7"/>
        <v>0</v>
      </c>
      <c r="AC31" s="41">
        <f t="shared" si="8"/>
        <v>0</v>
      </c>
      <c r="AD31" s="41">
        <f t="shared" si="8"/>
        <v>0</v>
      </c>
      <c r="AE31" s="41">
        <f t="shared" si="8"/>
        <v>0</v>
      </c>
      <c r="AF31" s="40">
        <f t="shared" si="9"/>
        <v>18.284166666666668</v>
      </c>
      <c r="AG31" s="40">
        <f t="shared" si="9"/>
        <v>249.66666666666666</v>
      </c>
      <c r="AH31" s="40">
        <f t="shared" si="9"/>
        <v>0</v>
      </c>
      <c r="AI31" s="42">
        <f t="shared" si="10"/>
        <v>0</v>
      </c>
      <c r="AJ31" s="42">
        <f t="shared" si="10"/>
        <v>0</v>
      </c>
      <c r="AK31" s="42">
        <f t="shared" si="10"/>
        <v>0</v>
      </c>
      <c r="AL31" s="40">
        <f t="shared" si="11"/>
        <v>18.284166666666668</v>
      </c>
      <c r="AM31" s="40">
        <f t="shared" si="11"/>
        <v>249.66666666666666</v>
      </c>
      <c r="AN31" s="40">
        <f t="shared" si="2"/>
        <v>0</v>
      </c>
    </row>
    <row r="32" spans="1:40" s="4" customFormat="1" ht="47.25" x14ac:dyDescent="0.25">
      <c r="A32" s="18" t="s">
        <v>58</v>
      </c>
      <c r="B32" s="19" t="s">
        <v>59</v>
      </c>
      <c r="C32" s="13" t="s">
        <v>57</v>
      </c>
      <c r="D32" s="13">
        <v>4</v>
      </c>
      <c r="E32" s="15">
        <v>387.35</v>
      </c>
      <c r="F32" s="15">
        <f t="shared" si="3"/>
        <v>1549.4</v>
      </c>
      <c r="G32" s="15">
        <v>219.41</v>
      </c>
      <c r="H32" s="15">
        <v>1330</v>
      </c>
      <c r="I32" s="43"/>
      <c r="J32" s="13">
        <v>0</v>
      </c>
      <c r="K32" s="14">
        <f t="shared" si="12"/>
        <v>387.35</v>
      </c>
      <c r="L32" s="15">
        <f t="shared" si="22"/>
        <v>0</v>
      </c>
      <c r="M32" s="15">
        <f t="shared" si="19"/>
        <v>0</v>
      </c>
      <c r="N32" s="15">
        <f t="shared" si="20"/>
        <v>0</v>
      </c>
      <c r="O32" s="39">
        <f t="shared" si="21"/>
        <v>0</v>
      </c>
      <c r="P32" s="13">
        <v>0</v>
      </c>
      <c r="Q32" s="14">
        <f>'[1]1.21.'!C43</f>
        <v>1508.6020881582974</v>
      </c>
      <c r="R32" s="15">
        <f t="shared" si="17"/>
        <v>0</v>
      </c>
      <c r="S32" s="15"/>
      <c r="T32" s="15"/>
      <c r="U32" s="39"/>
      <c r="V32" s="16">
        <f t="shared" si="4"/>
        <v>-1549.4</v>
      </c>
      <c r="W32" s="17">
        <f t="shared" si="5"/>
        <v>-219.41</v>
      </c>
      <c r="X32" s="17">
        <f t="shared" si="6"/>
        <v>-1330</v>
      </c>
      <c r="Y32" s="47">
        <f t="shared" si="6"/>
        <v>0</v>
      </c>
      <c r="Z32" s="40">
        <f t="shared" si="7"/>
        <v>18.284166666666668</v>
      </c>
      <c r="AA32" s="40">
        <f t="shared" si="7"/>
        <v>110.83333333333333</v>
      </c>
      <c r="AB32" s="40">
        <f t="shared" si="7"/>
        <v>0</v>
      </c>
      <c r="AC32" s="41">
        <f t="shared" si="8"/>
        <v>0</v>
      </c>
      <c r="AD32" s="41">
        <f t="shared" si="8"/>
        <v>0</v>
      </c>
      <c r="AE32" s="41">
        <f t="shared" si="8"/>
        <v>0</v>
      </c>
      <c r="AF32" s="40">
        <f t="shared" si="9"/>
        <v>18.284166666666668</v>
      </c>
      <c r="AG32" s="40">
        <f t="shared" si="9"/>
        <v>110.83333333333333</v>
      </c>
      <c r="AH32" s="40">
        <f t="shared" si="9"/>
        <v>0</v>
      </c>
      <c r="AI32" s="42">
        <f t="shared" si="10"/>
        <v>0</v>
      </c>
      <c r="AJ32" s="42">
        <f t="shared" si="10"/>
        <v>0</v>
      </c>
      <c r="AK32" s="42">
        <f t="shared" si="10"/>
        <v>0</v>
      </c>
      <c r="AL32" s="40">
        <f t="shared" si="11"/>
        <v>18.284166666666668</v>
      </c>
      <c r="AM32" s="40">
        <f t="shared" si="11"/>
        <v>110.83333333333333</v>
      </c>
      <c r="AN32" s="40">
        <f t="shared" si="2"/>
        <v>0</v>
      </c>
    </row>
    <row r="33" spans="1:40" s="4" customFormat="1" ht="31.5" x14ac:dyDescent="0.25">
      <c r="A33" s="18"/>
      <c r="B33" s="22" t="s">
        <v>60</v>
      </c>
      <c r="C33" s="23" t="s">
        <v>61</v>
      </c>
      <c r="D33" s="23">
        <v>15</v>
      </c>
      <c r="E33" s="24">
        <v>20.02</v>
      </c>
      <c r="F33" s="24">
        <f t="shared" si="3"/>
        <v>300.3</v>
      </c>
      <c r="G33" s="24">
        <v>300.3</v>
      </c>
      <c r="H33" s="15"/>
      <c r="I33" s="43"/>
      <c r="J33" s="13"/>
      <c r="K33" s="14"/>
      <c r="L33" s="15"/>
      <c r="M33" s="15"/>
      <c r="N33" s="15"/>
      <c r="O33" s="39"/>
      <c r="P33" s="13"/>
      <c r="Q33" s="14"/>
      <c r="R33" s="15"/>
      <c r="S33" s="15"/>
      <c r="T33" s="15"/>
      <c r="U33" s="39"/>
      <c r="V33" s="16">
        <f t="shared" si="4"/>
        <v>-300.3</v>
      </c>
      <c r="W33" s="17">
        <f t="shared" si="5"/>
        <v>-300.3</v>
      </c>
      <c r="X33" s="17">
        <f t="shared" si="6"/>
        <v>0</v>
      </c>
      <c r="Y33" s="47">
        <f t="shared" si="6"/>
        <v>0</v>
      </c>
      <c r="Z33" s="40">
        <f t="shared" si="7"/>
        <v>25.025000000000002</v>
      </c>
      <c r="AA33" s="40">
        <f t="shared" si="7"/>
        <v>0</v>
      </c>
      <c r="AB33" s="40">
        <f t="shared" si="7"/>
        <v>0</v>
      </c>
      <c r="AC33" s="41">
        <f t="shared" si="8"/>
        <v>0</v>
      </c>
      <c r="AD33" s="41">
        <f t="shared" si="8"/>
        <v>0</v>
      </c>
      <c r="AE33" s="41">
        <f t="shared" si="8"/>
        <v>0</v>
      </c>
      <c r="AF33" s="40">
        <f t="shared" si="9"/>
        <v>25.025000000000002</v>
      </c>
      <c r="AG33" s="40">
        <f t="shared" si="9"/>
        <v>0</v>
      </c>
      <c r="AH33" s="40">
        <f t="shared" si="9"/>
        <v>0</v>
      </c>
      <c r="AI33" s="42">
        <f t="shared" si="10"/>
        <v>0</v>
      </c>
      <c r="AJ33" s="42">
        <f t="shared" si="10"/>
        <v>0</v>
      </c>
      <c r="AK33" s="42">
        <f t="shared" si="10"/>
        <v>0</v>
      </c>
      <c r="AL33" s="40">
        <f t="shared" si="11"/>
        <v>25.025000000000002</v>
      </c>
      <c r="AM33" s="40">
        <f t="shared" si="11"/>
        <v>0</v>
      </c>
      <c r="AN33" s="40">
        <f t="shared" si="2"/>
        <v>0</v>
      </c>
    </row>
    <row r="34" spans="1:40" s="4" customFormat="1" ht="63" x14ac:dyDescent="0.25">
      <c r="A34" s="18"/>
      <c r="B34" s="22" t="s">
        <v>62</v>
      </c>
      <c r="C34" s="23" t="s">
        <v>63</v>
      </c>
      <c r="D34" s="23">
        <v>60</v>
      </c>
      <c r="E34" s="24">
        <v>18.36</v>
      </c>
      <c r="F34" s="24">
        <f>D34*E34</f>
        <v>1101.5999999999999</v>
      </c>
      <c r="G34" s="24">
        <v>1101.5999999999999</v>
      </c>
      <c r="H34" s="15"/>
      <c r="I34" s="43"/>
      <c r="J34" s="13"/>
      <c r="K34" s="14"/>
      <c r="L34" s="15"/>
      <c r="M34" s="15"/>
      <c r="N34" s="15"/>
      <c r="O34" s="39"/>
      <c r="P34" s="13"/>
      <c r="Q34" s="14"/>
      <c r="R34" s="15"/>
      <c r="S34" s="15"/>
      <c r="T34" s="15"/>
      <c r="U34" s="39"/>
      <c r="V34" s="16">
        <f>SUM(R34+L34)-F34</f>
        <v>-1101.5999999999999</v>
      </c>
      <c r="W34" s="17">
        <f t="shared" si="5"/>
        <v>-1101.5999999999999</v>
      </c>
      <c r="X34" s="17">
        <f t="shared" si="6"/>
        <v>0</v>
      </c>
      <c r="Y34" s="47">
        <f t="shared" si="6"/>
        <v>0</v>
      </c>
      <c r="Z34" s="40">
        <f t="shared" si="7"/>
        <v>91.8</v>
      </c>
      <c r="AA34" s="40">
        <f t="shared" si="7"/>
        <v>0</v>
      </c>
      <c r="AB34" s="40">
        <f t="shared" si="7"/>
        <v>0</v>
      </c>
      <c r="AC34" s="41">
        <f t="shared" si="8"/>
        <v>0</v>
      </c>
      <c r="AD34" s="41">
        <f t="shared" si="8"/>
        <v>0</v>
      </c>
      <c r="AE34" s="41">
        <f t="shared" si="8"/>
        <v>0</v>
      </c>
      <c r="AF34" s="40">
        <f t="shared" si="9"/>
        <v>91.8</v>
      </c>
      <c r="AG34" s="40">
        <f t="shared" si="9"/>
        <v>0</v>
      </c>
      <c r="AH34" s="40">
        <f t="shared" si="9"/>
        <v>0</v>
      </c>
      <c r="AI34" s="42">
        <f t="shared" si="10"/>
        <v>0</v>
      </c>
      <c r="AJ34" s="42">
        <f t="shared" si="10"/>
        <v>0</v>
      </c>
      <c r="AK34" s="42">
        <f t="shared" si="10"/>
        <v>0</v>
      </c>
      <c r="AL34" s="40">
        <f>Z34-AI34</f>
        <v>91.8</v>
      </c>
      <c r="AM34" s="40">
        <f t="shared" ref="AM34" si="23">AA34-AJ34</f>
        <v>0</v>
      </c>
      <c r="AN34" s="40">
        <f t="shared" si="2"/>
        <v>0</v>
      </c>
    </row>
    <row r="35" spans="1:40" s="32" customFormat="1" ht="16.5" thickBot="1" x14ac:dyDescent="0.3">
      <c r="A35" s="54" t="s">
        <v>64</v>
      </c>
      <c r="B35" s="55"/>
      <c r="C35" s="55"/>
      <c r="D35" s="55"/>
      <c r="E35" s="55"/>
      <c r="F35" s="28">
        <f>ROUND(SUM(F9:F34),0)</f>
        <v>157848</v>
      </c>
      <c r="G35" s="28">
        <f>ROUND(SUM(G9:G34),0)</f>
        <v>47323</v>
      </c>
      <c r="H35" s="28">
        <f>ROUND(SUM(H9:H34),0)</f>
        <v>110449</v>
      </c>
      <c r="I35" s="44">
        <f>ROUND(SUM(I9:I34),0)</f>
        <v>76</v>
      </c>
      <c r="J35" s="29">
        <f>SUM(J9:J34)</f>
        <v>59</v>
      </c>
      <c r="K35" s="30"/>
      <c r="L35" s="28">
        <f>ROUND(SUM(L9:L32),0)</f>
        <v>26476</v>
      </c>
      <c r="M35" s="28">
        <f>ROUND(SUM(M9:M32),0)</f>
        <v>9539</v>
      </c>
      <c r="N35" s="28">
        <f>ROUND(SUM(N9:N32),0)</f>
        <v>16920</v>
      </c>
      <c r="O35" s="46">
        <f>ROUND(SUM(O9:O32),0)</f>
        <v>17</v>
      </c>
      <c r="P35" s="48">
        <f>SUM(P9:P34)</f>
        <v>27</v>
      </c>
      <c r="Q35" s="49"/>
      <c r="R35" s="48">
        <f>ROUND(SUM(R9:R32),0)</f>
        <v>10671</v>
      </c>
      <c r="S35" s="48">
        <f>ROUND(SUM(S9:S32),0)</f>
        <v>5696</v>
      </c>
      <c r="T35" s="48">
        <f>ROUND(SUM(T9:T32),0)</f>
        <v>4975</v>
      </c>
      <c r="U35" s="50">
        <f>SUM(U9:U32)</f>
        <v>0</v>
      </c>
      <c r="V35" s="51">
        <f>ROUND(SUM(V9:V34),0)</f>
        <v>-120701</v>
      </c>
      <c r="W35" s="51">
        <f>ROUND(SUM(W9:W34),0)</f>
        <v>-32088</v>
      </c>
      <c r="X35" s="51">
        <f>ROUND(SUM(X9:X34),0)</f>
        <v>-88554</v>
      </c>
      <c r="Y35" s="52">
        <f>ROUND(SUM(Y9:Y34),0)</f>
        <v>-59</v>
      </c>
      <c r="Z35" s="45">
        <f>ROUND(SUM(Z9:Z34),2)</f>
        <v>3943.57</v>
      </c>
      <c r="AA35" s="45">
        <f>ROUND(SUM(AA9:AA34),2)</f>
        <v>9204.09</v>
      </c>
      <c r="AB35" s="45">
        <f>ROUND(SUM(AB9:AB34),2)</f>
        <v>6.34</v>
      </c>
      <c r="AC35" s="45">
        <f t="shared" ref="AC35:AN35" si="24">ROUND(SUM(AC9:AC34),2)</f>
        <v>1362.75</v>
      </c>
      <c r="AD35" s="45">
        <f t="shared" si="24"/>
        <v>2417.16</v>
      </c>
      <c r="AE35" s="45">
        <f t="shared" si="24"/>
        <v>2.38</v>
      </c>
      <c r="AF35" s="45">
        <f t="shared" si="24"/>
        <v>2580.8200000000002</v>
      </c>
      <c r="AG35" s="45">
        <f t="shared" si="24"/>
        <v>6786.92</v>
      </c>
      <c r="AH35" s="45">
        <f t="shared" si="24"/>
        <v>3.96</v>
      </c>
      <c r="AI35" s="45">
        <f t="shared" si="24"/>
        <v>1139.1300000000001</v>
      </c>
      <c r="AJ35" s="45">
        <f t="shared" si="24"/>
        <v>995.05</v>
      </c>
      <c r="AK35" s="45">
        <f t="shared" si="24"/>
        <v>0</v>
      </c>
      <c r="AL35" s="45">
        <f>ROUND(SUM(AL9:AL34),2)</f>
        <v>2804.44</v>
      </c>
      <c r="AM35" s="45">
        <f t="shared" si="24"/>
        <v>8209.0300000000007</v>
      </c>
      <c r="AN35" s="45">
        <f t="shared" si="24"/>
        <v>6.34</v>
      </c>
    </row>
    <row r="36" spans="1:40" x14ac:dyDescent="0.25">
      <c r="G36" s="2"/>
      <c r="H36" s="2"/>
      <c r="I36" s="2"/>
      <c r="O36"/>
      <c r="U36"/>
    </row>
    <row r="37" spans="1:40" x14ac:dyDescent="0.25">
      <c r="I37"/>
      <c r="O37"/>
      <c r="U37"/>
    </row>
    <row r="38" spans="1:40" ht="16.5" thickBot="1" x14ac:dyDescent="0.3">
      <c r="G38" s="2"/>
      <c r="H38" s="2"/>
      <c r="I38"/>
      <c r="L38" s="33"/>
      <c r="O38"/>
      <c r="Q38" s="53">
        <f>L35+R35</f>
        <v>37147</v>
      </c>
      <c r="R38" s="53">
        <f>M35+S35</f>
        <v>15235</v>
      </c>
      <c r="S38" s="53">
        <f>N35+T35</f>
        <v>21895</v>
      </c>
      <c r="T38" s="53">
        <f>O35+U35</f>
        <v>17</v>
      </c>
      <c r="U38"/>
      <c r="Z38" s="31">
        <f>Z35*12</f>
        <v>47322.840000000004</v>
      </c>
      <c r="AA38" s="31">
        <f t="shared" ref="AA38" si="25">AA35*12</f>
        <v>110449.08</v>
      </c>
      <c r="AB38" s="31">
        <f>AB35*12</f>
        <v>76.08</v>
      </c>
      <c r="AC38" s="31">
        <f>AC35*7</f>
        <v>9539.25</v>
      </c>
      <c r="AD38" s="31">
        <f t="shared" ref="AD38:AE38" si="26">AD35*7</f>
        <v>16920.12</v>
      </c>
      <c r="AE38" s="31">
        <f t="shared" si="26"/>
        <v>16.66</v>
      </c>
      <c r="AF38" s="31">
        <f>Z38-AC38</f>
        <v>37783.590000000004</v>
      </c>
      <c r="AG38" s="31">
        <f>AA38-AD38</f>
        <v>93528.960000000006</v>
      </c>
      <c r="AH38" s="31">
        <f t="shared" ref="AH38" si="27">AB38-AE38</f>
        <v>59.42</v>
      </c>
      <c r="AI38" s="31">
        <f>AI35*5</f>
        <v>5695.6500000000005</v>
      </c>
      <c r="AJ38" s="31">
        <f t="shared" ref="AJ38:AK38" si="28">AJ35*5</f>
        <v>4975.25</v>
      </c>
      <c r="AK38" s="31">
        <f t="shared" si="28"/>
        <v>0</v>
      </c>
      <c r="AL38" s="31">
        <f>AF38-AI38</f>
        <v>32087.940000000002</v>
      </c>
      <c r="AM38" s="31">
        <f t="shared" ref="AM38:AN38" si="29">AG38-AJ38</f>
        <v>88553.71</v>
      </c>
      <c r="AN38" s="31">
        <f t="shared" si="29"/>
        <v>59.42</v>
      </c>
    </row>
    <row r="39" spans="1:40" x14ac:dyDescent="0.25">
      <c r="G39" s="2"/>
      <c r="I39"/>
      <c r="O39"/>
      <c r="U39"/>
    </row>
    <row r="40" spans="1:40" x14ac:dyDescent="0.25">
      <c r="I40"/>
      <c r="O40"/>
      <c r="U40"/>
      <c r="AA40" s="2">
        <f>Z38+AA38+AB38</f>
        <v>157848</v>
      </c>
      <c r="AD40" s="2">
        <f>AC38+AD38+AE38</f>
        <v>26476.03</v>
      </c>
      <c r="AG40" s="2">
        <f>AF38+AG38+AH38</f>
        <v>131371.97000000003</v>
      </c>
      <c r="AJ40" s="2">
        <f>AI38+AJ38+AK38</f>
        <v>10670.900000000001</v>
      </c>
      <c r="AM40" s="2">
        <f>AL38+AM38+AN38</f>
        <v>120701.07</v>
      </c>
    </row>
  </sheetData>
  <mergeCells count="44">
    <mergeCell ref="V1:Y1"/>
    <mergeCell ref="A3:Y3"/>
    <mergeCell ref="A5:A7"/>
    <mergeCell ref="B5:B7"/>
    <mergeCell ref="C5:C7"/>
    <mergeCell ref="D5:I5"/>
    <mergeCell ref="J5:O5"/>
    <mergeCell ref="P5:U5"/>
    <mergeCell ref="V5:V7"/>
    <mergeCell ref="W5:Y5"/>
    <mergeCell ref="AL5:AN5"/>
    <mergeCell ref="D6:D7"/>
    <mergeCell ref="E6:E7"/>
    <mergeCell ref="F6:F7"/>
    <mergeCell ref="G6:I6"/>
    <mergeCell ref="J6:J7"/>
    <mergeCell ref="K6:K7"/>
    <mergeCell ref="L6:L7"/>
    <mergeCell ref="M6:O6"/>
    <mergeCell ref="AK6:AK7"/>
    <mergeCell ref="AL6:AL7"/>
    <mergeCell ref="AM6:AM7"/>
    <mergeCell ref="AN6:AN7"/>
    <mergeCell ref="Q6:Q7"/>
    <mergeCell ref="R6:R7"/>
    <mergeCell ref="S6:U6"/>
    <mergeCell ref="W6:W7"/>
    <mergeCell ref="AF5:AH5"/>
    <mergeCell ref="B8:Y8"/>
    <mergeCell ref="AI6:AI7"/>
    <mergeCell ref="AJ6:AJ7"/>
    <mergeCell ref="X6:X7"/>
    <mergeCell ref="A35:E35"/>
    <mergeCell ref="AE6:AE7"/>
    <mergeCell ref="AF6:AF7"/>
    <mergeCell ref="AG6:AG7"/>
    <mergeCell ref="AH6:AH7"/>
    <mergeCell ref="Y6:Y7"/>
    <mergeCell ref="Z6:Z7"/>
    <mergeCell ref="AA6:AA7"/>
    <mergeCell ref="AB6:AB7"/>
    <mergeCell ref="AC6:AC7"/>
    <mergeCell ref="AD6:AD7"/>
    <mergeCell ref="P6:P7"/>
  </mergeCells>
  <pageMargins left="0.7" right="0.7" top="0.75" bottom="0.75" header="0.3" footer="0.3"/>
  <pageSetup scale="3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3_pielikums</vt:lpstr>
      <vt:lpstr>3.1_pielikums</vt:lpstr>
      <vt:lpstr>'3_pielikums'!Print_Area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Lāsma Zandberga</dc:creator>
  <cp:lastModifiedBy>Lāsma Zandberga</cp:lastModifiedBy>
  <dcterms:created xsi:type="dcterms:W3CDTF">2024-06-17T12:15:05Z</dcterms:created>
  <dcterms:modified xsi:type="dcterms:W3CDTF">2024-07-26T06:07:26Z</dcterms:modified>
</cp:coreProperties>
</file>