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 2024/UC atbalsts_2024/MK rikojuma grozijumi/Par plana iesniegsanu/"/>
    </mc:Choice>
  </mc:AlternateContent>
  <xr:revisionPtr revIDLastSave="1837" documentId="8_{BB549D2A-2733-4D5D-8279-A3C0C687EA65}" xr6:coauthVersionLast="47" xr6:coauthVersionMax="47" xr10:uidLastSave="{C6CBE630-DFF0-43D5-825B-EADCDF043A34}"/>
  <bookViews>
    <workbookView xWindow="28680" yWindow="-120" windowWidth="29040" windowHeight="15840" xr2:uid="{3E41C751-36CB-434B-B88B-8889450F2FD4}"/>
  </bookViews>
  <sheets>
    <sheet name="APKOPOJUMS" sheetId="1" r:id="rId1"/>
    <sheet name="1.pielikums_EM_prognoze" sheetId="2" r:id="rId2"/>
    <sheet name="2.pielikums_LM_prognoze" sheetId="3" r:id="rId3"/>
    <sheet name="3.pielikums_IzM_prognoze" sheetId="4" r:id="rId4"/>
    <sheet name="4.pielikums_VARAM_KAC_prognoze" sheetId="5" r:id="rId5"/>
    <sheet name="5.pielikums_VARAM_māj_uzlab" sheetId="6" r:id="rId6"/>
    <sheet name="6.pielikums Rīgas centrs UC" sheetId="7"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5" i="7" l="1"/>
  <c r="D9" i="1"/>
  <c r="C10" i="1" l="1"/>
  <c r="E10" i="1" s="1"/>
  <c r="E20" i="5"/>
  <c r="F5" i="1"/>
  <c r="F6" i="1"/>
  <c r="F7" i="1"/>
  <c r="F8" i="1"/>
  <c r="F9" i="1"/>
  <c r="B11" i="1"/>
  <c r="E5" i="1"/>
  <c r="E6" i="1"/>
  <c r="E7" i="1"/>
  <c r="E8" i="1"/>
  <c r="E9" i="1"/>
  <c r="D10" i="1"/>
  <c r="G5" i="7"/>
  <c r="F5" i="7"/>
  <c r="E5" i="7"/>
  <c r="D5" i="7"/>
  <c r="F10" i="1" l="1"/>
  <c r="G7" i="6"/>
  <c r="F7" i="6"/>
  <c r="E7" i="6"/>
  <c r="D7" i="6"/>
  <c r="C7" i="6"/>
  <c r="H6" i="6"/>
  <c r="G6" i="6"/>
  <c r="H5" i="6"/>
  <c r="H7" i="6" s="1"/>
  <c r="G5" i="6"/>
  <c r="S28" i="3" l="1"/>
  <c r="Q28" i="3"/>
  <c r="U27" i="3"/>
  <c r="W27" i="3" s="1"/>
  <c r="Y27" i="3" s="1"/>
  <c r="T27" i="3"/>
  <c r="V27" i="3" s="1"/>
  <c r="X27" i="3" s="1"/>
  <c r="Z27" i="3" s="1"/>
  <c r="AB27" i="3" s="1"/>
  <c r="AD27" i="3" s="1"/>
  <c r="O26" i="3"/>
  <c r="U26" i="3" s="1"/>
  <c r="W26" i="3" s="1"/>
  <c r="N26" i="3"/>
  <c r="T26" i="3" s="1"/>
  <c r="V26" i="3" s="1"/>
  <c r="X26" i="3" s="1"/>
  <c r="Z26" i="3" s="1"/>
  <c r="AB26" i="3" s="1"/>
  <c r="AD26" i="3" s="1"/>
  <c r="O25" i="3"/>
  <c r="U25" i="3" s="1"/>
  <c r="W25" i="3" s="1"/>
  <c r="N25" i="3"/>
  <c r="T25" i="3" s="1"/>
  <c r="V25" i="3" s="1"/>
  <c r="X25" i="3" s="1"/>
  <c r="Z25" i="3" s="1"/>
  <c r="AB25" i="3" s="1"/>
  <c r="AD25" i="3" s="1"/>
  <c r="L25" i="3"/>
  <c r="M24" i="3"/>
  <c r="M28" i="3" s="1"/>
  <c r="L24" i="3"/>
  <c r="K24" i="3"/>
  <c r="J24" i="3"/>
  <c r="I24" i="3"/>
  <c r="H24" i="3"/>
  <c r="G24" i="3"/>
  <c r="F24" i="3"/>
  <c r="E24" i="3"/>
  <c r="D24" i="3"/>
  <c r="C24" i="3"/>
  <c r="B24" i="3"/>
  <c r="O23" i="3"/>
  <c r="U23" i="3" s="1"/>
  <c r="N23" i="3"/>
  <c r="T23" i="3" s="1"/>
  <c r="V23" i="3" s="1"/>
  <c r="X23" i="3" s="1"/>
  <c r="Z23" i="3" s="1"/>
  <c r="AB23" i="3" s="1"/>
  <c r="AD23" i="3" s="1"/>
  <c r="O22" i="3"/>
  <c r="U22" i="3" s="1"/>
  <c r="N22" i="3"/>
  <c r="T22" i="3" s="1"/>
  <c r="V22" i="3" s="1"/>
  <c r="X22" i="3" s="1"/>
  <c r="Z22" i="3" s="1"/>
  <c r="AB22" i="3" s="1"/>
  <c r="AD22" i="3" s="1"/>
  <c r="L22" i="3"/>
  <c r="M21" i="3"/>
  <c r="L21" i="3"/>
  <c r="K21" i="3"/>
  <c r="J21" i="3"/>
  <c r="I21" i="3"/>
  <c r="H21" i="3"/>
  <c r="G21" i="3"/>
  <c r="F21" i="3"/>
  <c r="E21" i="3"/>
  <c r="D21" i="3"/>
  <c r="C21" i="3"/>
  <c r="B21" i="3"/>
  <c r="N21" i="3" s="1"/>
  <c r="T21" i="3" s="1"/>
  <c r="V21" i="3" s="1"/>
  <c r="X21" i="3" s="1"/>
  <c r="Z21" i="3" s="1"/>
  <c r="AB21" i="3" s="1"/>
  <c r="AD21" i="3" s="1"/>
  <c r="T20" i="3"/>
  <c r="V20" i="3" s="1"/>
  <c r="X20" i="3" s="1"/>
  <c r="Z20" i="3" s="1"/>
  <c r="AB20" i="3" s="1"/>
  <c r="AD20" i="3" s="1"/>
  <c r="O20" i="3"/>
  <c r="U20" i="3" s="1"/>
  <c r="W20" i="3" s="1"/>
  <c r="Y20" i="3" s="1"/>
  <c r="AA20" i="3" s="1"/>
  <c r="AC20" i="3" s="1"/>
  <c r="AE20" i="3" s="1"/>
  <c r="N20" i="3"/>
  <c r="T19" i="3"/>
  <c r="V19" i="3" s="1"/>
  <c r="X19" i="3" s="1"/>
  <c r="Z19" i="3" s="1"/>
  <c r="AB19" i="3" s="1"/>
  <c r="AD19" i="3" s="1"/>
  <c r="O19" i="3"/>
  <c r="U19" i="3" s="1"/>
  <c r="W19" i="3" s="1"/>
  <c r="Y19" i="3" s="1"/>
  <c r="AA19" i="3" s="1"/>
  <c r="AC19" i="3" s="1"/>
  <c r="AE19" i="3" s="1"/>
  <c r="O18" i="3"/>
  <c r="U18" i="3" s="1"/>
  <c r="N18" i="3"/>
  <c r="T18" i="3" s="1"/>
  <c r="V18" i="3" s="1"/>
  <c r="X18" i="3" s="1"/>
  <c r="Z18" i="3" s="1"/>
  <c r="AB18" i="3" s="1"/>
  <c r="AD18" i="3" s="1"/>
  <c r="O17" i="3"/>
  <c r="U17" i="3" s="1"/>
  <c r="N17" i="3"/>
  <c r="T17" i="3" s="1"/>
  <c r="V17" i="3" s="1"/>
  <c r="X17" i="3" s="1"/>
  <c r="Z17" i="3" s="1"/>
  <c r="AB17" i="3" s="1"/>
  <c r="AD17" i="3" s="1"/>
  <c r="O16" i="3"/>
  <c r="U16" i="3" s="1"/>
  <c r="N16" i="3"/>
  <c r="T16" i="3" s="1"/>
  <c r="V16" i="3" s="1"/>
  <c r="X16" i="3" s="1"/>
  <c r="Z16" i="3" s="1"/>
  <c r="AB16" i="3" s="1"/>
  <c r="AD16" i="3" s="1"/>
  <c r="O15" i="3"/>
  <c r="U15" i="3" s="1"/>
  <c r="N15" i="3"/>
  <c r="T15" i="3" s="1"/>
  <c r="V15" i="3" s="1"/>
  <c r="X15" i="3" s="1"/>
  <c r="Z15" i="3" s="1"/>
  <c r="AB15" i="3" s="1"/>
  <c r="AD15" i="3" s="1"/>
  <c r="O14" i="3"/>
  <c r="U14" i="3" s="1"/>
  <c r="N14" i="3"/>
  <c r="T14" i="3" s="1"/>
  <c r="V14" i="3" s="1"/>
  <c r="X14" i="3" s="1"/>
  <c r="Z14" i="3" s="1"/>
  <c r="AB14" i="3" s="1"/>
  <c r="AD14" i="3" s="1"/>
  <c r="O13" i="3"/>
  <c r="U13" i="3" s="1"/>
  <c r="N13" i="3"/>
  <c r="T13" i="3" s="1"/>
  <c r="V13" i="3" s="1"/>
  <c r="X13" i="3" s="1"/>
  <c r="Z13" i="3" s="1"/>
  <c r="AB13" i="3" s="1"/>
  <c r="AD13" i="3" s="1"/>
  <c r="O12" i="3"/>
  <c r="U12" i="3" s="1"/>
  <c r="N12" i="3"/>
  <c r="T12" i="3" s="1"/>
  <c r="V12" i="3" s="1"/>
  <c r="X12" i="3" s="1"/>
  <c r="Z12" i="3" s="1"/>
  <c r="AB12" i="3" s="1"/>
  <c r="AD12" i="3" s="1"/>
  <c r="O11" i="3"/>
  <c r="U11" i="3" s="1"/>
  <c r="N11" i="3"/>
  <c r="T11" i="3" s="1"/>
  <c r="V11" i="3" s="1"/>
  <c r="X11" i="3" s="1"/>
  <c r="Z11" i="3" s="1"/>
  <c r="AB11" i="3" s="1"/>
  <c r="AD11" i="3" s="1"/>
  <c r="O10" i="3"/>
  <c r="U10" i="3" s="1"/>
  <c r="N10" i="3"/>
  <c r="T10" i="3" s="1"/>
  <c r="V10" i="3" s="1"/>
  <c r="X10" i="3" s="1"/>
  <c r="Z10" i="3" s="1"/>
  <c r="AB10" i="3" s="1"/>
  <c r="AD10" i="3" s="1"/>
  <c r="O9" i="3"/>
  <c r="U9" i="3" s="1"/>
  <c r="N9" i="3"/>
  <c r="T9" i="3" s="1"/>
  <c r="V9" i="3" s="1"/>
  <c r="X9" i="3" s="1"/>
  <c r="Z9" i="3" s="1"/>
  <c r="AB9" i="3" s="1"/>
  <c r="AD9" i="3" s="1"/>
  <c r="O8" i="3"/>
  <c r="U8" i="3" s="1"/>
  <c r="N8" i="3"/>
  <c r="T8" i="3" s="1"/>
  <c r="V8" i="3" s="1"/>
  <c r="X8" i="3" s="1"/>
  <c r="Z8" i="3" s="1"/>
  <c r="AB8" i="3" s="1"/>
  <c r="AD8" i="3" s="1"/>
  <c r="U5" i="3"/>
  <c r="O21" i="3" l="1"/>
  <c r="U21" i="3" s="1"/>
  <c r="G28" i="3"/>
  <c r="I28" i="3"/>
  <c r="N24" i="3"/>
  <c r="T24" i="3" s="1"/>
  <c r="V24" i="3" s="1"/>
  <c r="X24" i="3" s="1"/>
  <c r="Z24" i="3" s="1"/>
  <c r="AB24" i="3" s="1"/>
  <c r="AD24" i="3" s="1"/>
  <c r="C28" i="3"/>
  <c r="K28" i="3"/>
  <c r="E28" i="3"/>
  <c r="W23" i="3"/>
  <c r="Y25" i="3"/>
  <c r="AA25" i="3" s="1"/>
  <c r="AC25" i="3" s="1"/>
  <c r="AE25" i="3" s="1"/>
  <c r="W10" i="3"/>
  <c r="W14" i="3"/>
  <c r="Y26" i="3"/>
  <c r="AA26" i="3" s="1"/>
  <c r="AC26" i="3" s="1"/>
  <c r="AE26" i="3" s="1"/>
  <c r="W13" i="3"/>
  <c r="W11" i="3"/>
  <c r="W15" i="3"/>
  <c r="W18" i="3"/>
  <c r="W12" i="3"/>
  <c r="W22" i="3"/>
  <c r="AA27" i="3"/>
  <c r="W9" i="3"/>
  <c r="W17" i="3"/>
  <c r="W21" i="3"/>
  <c r="W8" i="3"/>
  <c r="W16" i="3"/>
  <c r="O24" i="3"/>
  <c r="AF19" i="3"/>
  <c r="AG19" i="3" s="1"/>
  <c r="AF20" i="3"/>
  <c r="AG20" i="3" s="1"/>
  <c r="C32" i="3" l="1"/>
  <c r="AF25" i="3"/>
  <c r="AG25" i="3" s="1"/>
  <c r="Y18" i="3"/>
  <c r="AA18" i="3" s="1"/>
  <c r="AC18" i="3" s="1"/>
  <c r="AE18" i="3" s="1"/>
  <c r="Y23" i="3"/>
  <c r="AA23" i="3" s="1"/>
  <c r="AC23" i="3" s="1"/>
  <c r="AE23" i="3" s="1"/>
  <c r="Y21" i="3"/>
  <c r="AA21" i="3" s="1"/>
  <c r="AC21" i="3" s="1"/>
  <c r="AE21" i="3" s="1"/>
  <c r="AF26" i="3"/>
  <c r="AG26" i="3" s="1"/>
  <c r="Y22" i="3"/>
  <c r="AA22" i="3" s="1"/>
  <c r="AC22" i="3" s="1"/>
  <c r="AE22" i="3" s="1"/>
  <c r="AF22" i="3"/>
  <c r="AG22" i="3" s="1"/>
  <c r="Y15" i="3"/>
  <c r="AA15" i="3" s="1"/>
  <c r="AC15" i="3" s="1"/>
  <c r="AE15" i="3" s="1"/>
  <c r="Y14" i="3"/>
  <c r="AA14" i="3" s="1"/>
  <c r="AC14" i="3" s="1"/>
  <c r="AE14" i="3" s="1"/>
  <c r="Y8" i="3"/>
  <c r="AA8" i="3" s="1"/>
  <c r="AC8" i="3" s="1"/>
  <c r="AE8" i="3" s="1"/>
  <c r="AC27" i="3"/>
  <c r="O28" i="3"/>
  <c r="C4" i="1" s="1"/>
  <c r="U24" i="3"/>
  <c r="Y17" i="3"/>
  <c r="AA17" i="3" s="1"/>
  <c r="AC17" i="3" s="1"/>
  <c r="AE17" i="3" s="1"/>
  <c r="Y11" i="3"/>
  <c r="AA11" i="3" s="1"/>
  <c r="AC11" i="3" s="1"/>
  <c r="AE11" i="3" s="1"/>
  <c r="AF11" i="3"/>
  <c r="AG11" i="3" s="1"/>
  <c r="Y10" i="3"/>
  <c r="AA10" i="3" s="1"/>
  <c r="AC10" i="3" s="1"/>
  <c r="AE10" i="3" s="1"/>
  <c r="Y16" i="3"/>
  <c r="AA16" i="3" s="1"/>
  <c r="AC16" i="3" s="1"/>
  <c r="AE16" i="3" s="1"/>
  <c r="Y12" i="3"/>
  <c r="AA12" i="3" s="1"/>
  <c r="AC12" i="3" s="1"/>
  <c r="AE12" i="3" s="1"/>
  <c r="Y9" i="3"/>
  <c r="AA9" i="3" s="1"/>
  <c r="AC9" i="3" s="1"/>
  <c r="AE9" i="3" s="1"/>
  <c r="AF9" i="3"/>
  <c r="AG9" i="3" s="1"/>
  <c r="Y13" i="3"/>
  <c r="AA13" i="3" s="1"/>
  <c r="AC13" i="3" s="1"/>
  <c r="AE13" i="3" s="1"/>
  <c r="AF13" i="3"/>
  <c r="AG13" i="3" s="1"/>
  <c r="AF21" i="3" l="1"/>
  <c r="AG21" i="3" s="1"/>
  <c r="AF18" i="3"/>
  <c r="AG18" i="3" s="1"/>
  <c r="AF10" i="3"/>
  <c r="AG10" i="3" s="1"/>
  <c r="AF8" i="3"/>
  <c r="AG8" i="3" s="1"/>
  <c r="E4" i="1"/>
  <c r="E11" i="1" s="1"/>
  <c r="C11" i="1"/>
  <c r="AE27" i="3"/>
  <c r="AF27" i="3" s="1"/>
  <c r="AG27" i="3" s="1"/>
  <c r="AF12" i="3"/>
  <c r="AG12" i="3" s="1"/>
  <c r="AF17" i="3"/>
  <c r="AG17" i="3" s="1"/>
  <c r="AF14" i="3"/>
  <c r="AG14" i="3" s="1"/>
  <c r="AF23" i="3"/>
  <c r="AG23" i="3" s="1"/>
  <c r="AF16" i="3"/>
  <c r="AG16" i="3" s="1"/>
  <c r="W24" i="3"/>
  <c r="U28" i="3"/>
  <c r="AF15" i="3"/>
  <c r="AG15" i="3" s="1"/>
  <c r="Y24" i="3" l="1"/>
  <c r="W28" i="3"/>
  <c r="AA24" i="3" l="1"/>
  <c r="Y28" i="3"/>
  <c r="AC24" i="3" l="1"/>
  <c r="AA28" i="3"/>
  <c r="AE24" i="3" l="1"/>
  <c r="AE28" i="3" s="1"/>
  <c r="AC28" i="3"/>
  <c r="D4" i="1" s="1"/>
  <c r="AG28" i="3" l="1"/>
  <c r="AF24" i="3"/>
  <c r="AG24" i="3" s="1"/>
  <c r="AF28" i="3"/>
  <c r="D11" i="1" l="1"/>
  <c r="B12" i="1" s="1"/>
  <c r="F4" i="1"/>
  <c r="F11" i="1" s="1"/>
  <c r="Z10" i="5"/>
  <c r="Z11" i="5"/>
  <c r="Z12" i="5"/>
  <c r="Z13" i="5"/>
  <c r="Z14" i="5"/>
  <c r="Z15" i="5"/>
  <c r="Z16" i="5"/>
  <c r="Z9" i="5"/>
  <c r="X10" i="5"/>
  <c r="X11" i="5"/>
  <c r="X12" i="5"/>
  <c r="X13" i="5"/>
  <c r="X14" i="5"/>
  <c r="X15" i="5"/>
  <c r="X16" i="5"/>
  <c r="X9" i="5"/>
  <c r="V10" i="5"/>
  <c r="V11" i="5"/>
  <c r="V12" i="5"/>
  <c r="V13" i="5"/>
  <c r="V14" i="5"/>
  <c r="V15" i="5"/>
  <c r="V16" i="5"/>
  <c r="V9" i="5"/>
  <c r="T10" i="5"/>
  <c r="T11" i="5"/>
  <c r="T12" i="5"/>
  <c r="T13" i="5"/>
  <c r="T14" i="5"/>
  <c r="T15" i="5"/>
  <c r="T16" i="5"/>
  <c r="T9" i="5"/>
  <c r="R10" i="5"/>
  <c r="R11" i="5"/>
  <c r="R12" i="5"/>
  <c r="R13" i="5"/>
  <c r="R14" i="5"/>
  <c r="R15" i="5"/>
  <c r="R16" i="5"/>
  <c r="R9" i="5"/>
  <c r="AA12" i="4" l="1"/>
  <c r="Y12" i="4"/>
  <c r="W12" i="4"/>
  <c r="U12" i="4"/>
  <c r="S12" i="4"/>
  <c r="AA11" i="4"/>
  <c r="Y11" i="4"/>
  <c r="W11" i="4"/>
  <c r="U11" i="4"/>
  <c r="S11" i="4"/>
  <c r="AA10" i="4"/>
  <c r="Y10" i="4"/>
  <c r="W10" i="4"/>
  <c r="V10" i="4"/>
  <c r="U10" i="4"/>
  <c r="S10" i="4"/>
  <c r="AA9" i="4"/>
  <c r="Z9" i="4"/>
  <c r="Y9" i="4"/>
  <c r="X9" i="4"/>
  <c r="W9" i="4"/>
  <c r="V9" i="4"/>
  <c r="U9" i="4"/>
  <c r="S9" i="4"/>
  <c r="C8" i="1" l="1"/>
  <c r="P16" i="5"/>
  <c r="P15" i="5"/>
  <c r="P14" i="5"/>
  <c r="P13" i="5"/>
  <c r="P12" i="5"/>
  <c r="P11" i="5"/>
  <c r="P10" i="5"/>
  <c r="P9" i="5"/>
  <c r="AA8" i="5" l="1"/>
  <c r="C5" i="1" l="1"/>
  <c r="Q12" i="4"/>
  <c r="Q11" i="4"/>
  <c r="N12" i="4" l="1"/>
  <c r="N10" i="4"/>
  <c r="N9" i="4"/>
  <c r="O12" i="4"/>
  <c r="O10" i="4"/>
  <c r="O9" i="4"/>
  <c r="L12" i="4"/>
  <c r="L10" i="4"/>
  <c r="L9" i="4"/>
  <c r="M12" i="4"/>
  <c r="M10" i="4"/>
  <c r="M9" i="4"/>
  <c r="J12" i="4"/>
  <c r="J10" i="4"/>
  <c r="J9" i="4"/>
  <c r="K12" i="4"/>
  <c r="K10" i="4"/>
  <c r="K9" i="4"/>
  <c r="H12" i="4"/>
  <c r="F10" i="4"/>
  <c r="D10" i="4"/>
  <c r="H10" i="4"/>
  <c r="H9" i="4"/>
  <c r="I12" i="4"/>
  <c r="I10" i="4"/>
  <c r="I9" i="4"/>
  <c r="F9" i="4"/>
  <c r="G9" i="4"/>
  <c r="G12" i="4"/>
  <c r="G10" i="4"/>
  <c r="D9" i="4"/>
  <c r="E12" i="4"/>
  <c r="E10" i="4"/>
  <c r="E9" i="4"/>
  <c r="B11" i="4"/>
  <c r="C11" i="4"/>
  <c r="Y13" i="4"/>
  <c r="W13" i="4"/>
  <c r="AA13" i="4"/>
  <c r="U13" i="4"/>
  <c r="S13" i="4"/>
  <c r="D7" i="1"/>
  <c r="D6" i="1"/>
  <c r="C9" i="4" l="1"/>
  <c r="B9" i="4" s="1"/>
  <c r="C12" i="4"/>
  <c r="B12" i="4" s="1"/>
  <c r="C10" i="4"/>
  <c r="B10" i="4" s="1"/>
  <c r="C13" i="4" l="1"/>
  <c r="E13" i="4" l="1"/>
  <c r="K13" i="4" l="1"/>
  <c r="B13" i="4"/>
  <c r="Q13" i="4"/>
  <c r="D5" i="1" s="1"/>
  <c r="M13" i="4"/>
  <c r="O13" i="4"/>
  <c r="I13" i="4"/>
  <c r="G13" i="4"/>
  <c r="AA16" i="5" l="1"/>
  <c r="AA14" i="5"/>
  <c r="AA15" i="5"/>
  <c r="AA13" i="5"/>
  <c r="AA12" i="5"/>
  <c r="AA10" i="5"/>
  <c r="AA9" i="5"/>
  <c r="D17" i="5"/>
  <c r="C17" i="5"/>
  <c r="C7" i="1" l="1"/>
  <c r="C6" i="1"/>
  <c r="C11" i="2"/>
  <c r="B10" i="2"/>
  <c r="B9" i="2"/>
  <c r="Y17" i="5" l="1"/>
  <c r="W17" i="5"/>
  <c r="U17" i="5"/>
  <c r="S17" i="5"/>
  <c r="Q17" i="5"/>
  <c r="O17" i="5"/>
  <c r="L17" i="5"/>
  <c r="K17" i="5"/>
  <c r="J17" i="5"/>
  <c r="I17" i="5"/>
  <c r="H17" i="5"/>
  <c r="G17" i="5"/>
  <c r="F17" i="5"/>
  <c r="E17" i="5"/>
  <c r="P17" i="5"/>
  <c r="N17" i="5"/>
  <c r="M17" i="5"/>
  <c r="R17" i="5" l="1"/>
  <c r="T17" i="5"/>
  <c r="V17" i="5"/>
  <c r="X17" i="5"/>
  <c r="AA11" i="5"/>
  <c r="Z17" i="5"/>
  <c r="D8" i="1" l="1"/>
  <c r="AA17" i="5"/>
  <c r="N11" i="2" l="1"/>
  <c r="M11" i="2"/>
  <c r="L11" i="2"/>
  <c r="K11" i="2"/>
  <c r="J11" i="2"/>
  <c r="I11" i="2"/>
  <c r="H11" i="2"/>
  <c r="G11" i="2"/>
  <c r="F11" i="2"/>
  <c r="E11" i="2"/>
  <c r="D11" i="2"/>
  <c r="B11" i="2" l="1"/>
</calcChain>
</file>

<file path=xl/sharedStrings.xml><?xml version="1.0" encoding="utf-8"?>
<sst xmlns="http://schemas.openxmlformats.org/spreadsheetml/2006/main" count="413" uniqueCount="142">
  <si>
    <t>Pasākumi atbilstoši jomām</t>
  </si>
  <si>
    <t>KOPĀ</t>
  </si>
  <si>
    <r>
      <t xml:space="preserve">Par vienotu valsts un pašvaldību sniegtā atbalsta koordinācijas punktu darbības nodrošināšanu
</t>
    </r>
    <r>
      <rPr>
        <vertAlign val="superscript"/>
        <sz val="12"/>
        <color theme="1"/>
        <rFont val="Times New Roman"/>
        <family val="1"/>
        <charset val="186"/>
      </rPr>
      <t>[2]</t>
    </r>
    <r>
      <rPr>
        <sz val="12"/>
        <color theme="1"/>
        <rFont val="Times New Roman"/>
        <family val="1"/>
        <charset val="186"/>
      </rPr>
      <t> </t>
    </r>
    <r>
      <rPr>
        <i/>
        <sz val="12"/>
        <color theme="1"/>
        <rFont val="Times New Roman"/>
        <family val="1"/>
        <charset val="186"/>
      </rPr>
      <t>1. "Personu uzņemšana un reģistrācija, informēšanas pasākumi" 1.6. apakšpunkts</t>
    </r>
  </si>
  <si>
    <t>1. pielikums</t>
  </si>
  <si>
    <t>Indikatīvais izdevumu aprēķins Ekonomikas ministrijas primāri sniedzamā atbalsta nodrošināšanai</t>
  </si>
  <si>
    <t>Gads</t>
  </si>
  <si>
    <t>komentāri</t>
  </si>
  <si>
    <t xml:space="preserve">Pārskata periods </t>
  </si>
  <si>
    <t>Janvāris</t>
  </si>
  <si>
    <t>Februāris</t>
  </si>
  <si>
    <t>Marts</t>
  </si>
  <si>
    <t>Aprīlis</t>
  </si>
  <si>
    <t>Maijs</t>
  </si>
  <si>
    <t>Jūnijs</t>
  </si>
  <si>
    <t>Jūlijs</t>
  </si>
  <si>
    <t>Augusts</t>
  </si>
  <si>
    <t>Septembris</t>
  </si>
  <si>
    <t>Oktobris</t>
  </si>
  <si>
    <t>Novembris</t>
  </si>
  <si>
    <t>Decembris</t>
  </si>
  <si>
    <t>(euro,centi)</t>
  </si>
  <si>
    <t>Rādītāja nosaukums</t>
  </si>
  <si>
    <t>Faktiskie izdevumi pārskata periodā</t>
  </si>
  <si>
    <r>
      <rPr>
        <b/>
        <u/>
        <sz val="10"/>
        <color theme="1"/>
        <rFont val="Times New Roman"/>
        <family val="1"/>
        <charset val="186"/>
      </rPr>
      <t>Plānotie</t>
    </r>
    <r>
      <rPr>
        <sz val="10"/>
        <color theme="1"/>
        <rFont val="Times New Roman"/>
        <family val="1"/>
        <charset val="186"/>
      </rPr>
      <t xml:space="preserve"> izdevumi pārskata periodā</t>
    </r>
  </si>
  <si>
    <t>Izmitināšana</t>
  </si>
  <si>
    <t>Ēdināšana</t>
  </si>
  <si>
    <t>KOPĀ:</t>
  </si>
  <si>
    <t>2. pielikums</t>
  </si>
  <si>
    <t>2023</t>
  </si>
  <si>
    <t>Saņēmēju skaits</t>
  </si>
  <si>
    <r>
      <rPr>
        <b/>
        <u/>
        <sz val="10"/>
        <color theme="1"/>
        <rFont val="Times New Roman"/>
        <family val="1"/>
        <charset val="186"/>
      </rPr>
      <t>Plānotais</t>
    </r>
    <r>
      <rPr>
        <sz val="10"/>
        <color theme="1"/>
        <rFont val="Times New Roman"/>
        <family val="1"/>
        <charset val="186"/>
      </rPr>
      <t xml:space="preserve"> saņēmēju skaits</t>
    </r>
  </si>
  <si>
    <t>Atlīdzība par ārkārtas aizbildņa pienākumu pildīšanu (UCAL 19.panta pirmā un otrā daļa)</t>
  </si>
  <si>
    <t>Pabalsts nepavadīta bērna uzturam (UCAL 19.panta pirmā, trešā un septītā daļa)</t>
  </si>
  <si>
    <t>Pabalsts apģērba un mīkstā inventāra iegādei (UCAL 19.panta pirmā un piektā daļa)</t>
  </si>
  <si>
    <t>Garantētā minimālā ienākuma (GMI) pabalsts (UCAL 7.panta trešā daļa)</t>
  </si>
  <si>
    <t>Pabalsts krīzes situācijā (UCAL 7.panta trešā daļa un 3 prim daļa)</t>
  </si>
  <si>
    <t>Mājokļa pabalsts mājsaimniecībai no Ukrainas ar īres līgumu (UCAL 7.panta trešā daļa)</t>
  </si>
  <si>
    <t>Pabalsts atsevišķu izdevumu apmaksai (UCAL 7.panta trešā daļa)</t>
  </si>
  <si>
    <t>Pakalpojums pārvietošanās atbalstam (UCAL 13.panta pirmās daļas 1.punkts)</t>
  </si>
  <si>
    <t xml:space="preserve">Sociālās rehabilitācijas pakalpojums vardarbībā cietušiem bērniem (UCAL 7.panta pirmā prim un trešā daļa) </t>
  </si>
  <si>
    <t xml:space="preserve">Sociālās rehabilitācijas pakalpojums vardarbībā cietušām pilngadīgām personām (UCAL 7.panta pirmā prim un trešā daļa) </t>
  </si>
  <si>
    <t>Ilgstošas sociālās aprūpes un sociālās rehabilitācijas pakalpojumi bērniem (UCAL 7.panta pirmā prim un trešā daļa un 18.panta deviņpadsmitā daļa)</t>
  </si>
  <si>
    <t xml:space="preserve">Ilgstošas sociālās aprūpes un sociālās rehabilitācijas pakalpojumi pilngadīgām personām (UCAL 7.panta pirmā prim un trešā daļa) </t>
  </si>
  <si>
    <t>Piemaksa pie mēnešalgas un virsstundu darbs bāriņtiesu darbiniekiem, kuri iesaistīti atbalsta sniegšanā Ukrainas civiliedzīvotājiem (UCAL 13.panta pirmā prim daļa un pirmā divi prim daļa.)</t>
  </si>
  <si>
    <t>Piemaksa pie mēnešalgas</t>
  </si>
  <si>
    <t>Virsstundu darbs</t>
  </si>
  <si>
    <t>Piemaksa pie mēnešalgas un virsstundu darbs pašvaldības sociālo dienestu darbiniekiem, kuri iesaistīti atbalsta sniegšanā Ukrainas civiliedzīvotājiem (UCAL 13.panta pirmā prim daļa un pirmā divi prim daļa.)</t>
  </si>
  <si>
    <t xml:space="preserve">Piemaksa pie mēnešalgas </t>
  </si>
  <si>
    <t>Citi pašvaldības piešķirtie sociālā atbalsta pasākumi (UCAL 7.panta trešā daļa, un pirmā prim daļa un 19.panta sestā daļa):</t>
  </si>
  <si>
    <t>Bērna piedzimšanas pabalsts</t>
  </si>
  <si>
    <t>x</t>
  </si>
  <si>
    <t>3. pielikums</t>
  </si>
  <si>
    <t>Indikatīvais izdevumu ietekmes aprēķins Izglītības un zinātnes ministrijas atbildības jomā plānotajiem atbalsta pasākumiem</t>
  </si>
  <si>
    <r>
      <t>Pedagogu darba samaksa izglītības ieguves nodrošināšanai (UCAL 13</t>
    </r>
    <r>
      <rPr>
        <vertAlign val="superscript"/>
        <sz val="10"/>
        <rFont val="Times New Roman"/>
        <family val="1"/>
      </rPr>
      <t>1</t>
    </r>
    <r>
      <rPr>
        <sz val="10"/>
        <rFont val="Times New Roman"/>
        <family val="1"/>
        <charset val="186"/>
      </rPr>
      <t>.pants)</t>
    </r>
  </si>
  <si>
    <r>
      <t>Vienreizēja palīdzība mācību līdzekļu nodrošināšanai (UCAL 13</t>
    </r>
    <r>
      <rPr>
        <vertAlign val="superscript"/>
        <sz val="10"/>
        <rFont val="Times New Roman"/>
        <family val="1"/>
      </rPr>
      <t>1</t>
    </r>
    <r>
      <rPr>
        <sz val="10"/>
        <rFont val="Times New Roman"/>
        <family val="1"/>
        <charset val="186"/>
      </rPr>
      <t>.pants)</t>
    </r>
  </si>
  <si>
    <r>
      <t>Papildus izmaksas pašvaldību profesionālajām izglītības iestādēm profesionālās izglītības ieguves nodrošināšanai (stipendija, uzturēšanas izmaksas) (UCAL 13</t>
    </r>
    <r>
      <rPr>
        <vertAlign val="superscript"/>
        <sz val="10"/>
        <rFont val="Times New Roman"/>
        <family val="1"/>
      </rPr>
      <t>1</t>
    </r>
    <r>
      <rPr>
        <sz val="10"/>
        <rFont val="Times New Roman"/>
        <family val="1"/>
        <charset val="186"/>
      </rPr>
      <t>.pants)</t>
    </r>
  </si>
  <si>
    <r>
      <t>Nepilngadīgo Ukrainas civiliedzīvotāju, kuri izglītības iestādēs klātienē apgūst pamatizglītības programmas 1., 2., 3. un 4. klasē, ēdināšana. (UCAL 13</t>
    </r>
    <r>
      <rPr>
        <vertAlign val="superscript"/>
        <sz val="10"/>
        <rFont val="Times New Roman"/>
        <family val="1"/>
      </rPr>
      <t>1</t>
    </r>
    <r>
      <rPr>
        <sz val="10"/>
        <rFont val="Times New Roman"/>
        <family val="1"/>
        <charset val="186"/>
      </rPr>
      <t>.pants)</t>
    </r>
  </si>
  <si>
    <t>4. pielikums</t>
  </si>
  <si>
    <t>Indikatīvais izdevumu ietekmes aprēķins Vides aizsardzības un reģionālās attīstības ministrijas atbildības valsts pārvaldes pakalpojumu pieteikšanas atbalsta jomai</t>
  </si>
  <si>
    <r>
      <t xml:space="preserve">Rādītāja nosaukums
</t>
    </r>
    <r>
      <rPr>
        <i/>
        <sz val="10"/>
        <rFont val="Times New Roman"/>
        <family val="1"/>
        <charset val="186"/>
      </rPr>
      <t>(pēc izmaiņām 2023. maijā)</t>
    </r>
  </si>
  <si>
    <t>E-paklapojuma “Vīzas pieteikums” aizpildīšana un iesniegšana</t>
  </si>
  <si>
    <t>E-pakalpojuma “Anketas iesniegšanas uzturēšanās atļaujas pieprasīšanai” aizpildīšana un iesniegšana</t>
  </si>
  <si>
    <t>Uzturēšanās atļaujas pieprasīšana un reģistrācija; Ielūguma vai izsaukuma apstiprināšanas vīzas vai uzturēšanās atļaujas pieprasīšanai Latvijas Republikā</t>
  </si>
  <si>
    <t>Fizisko personu reģistrācija Fizisko personu reģistrā</t>
  </si>
  <si>
    <t>Ziņu iekļaušana un aktualizēšana Fizisko personu reģistrā</t>
  </si>
  <si>
    <t>Fizisko personu reģistrācija Ukrainas civiliedzīvotāju atbalsta sniegšanai nepieciešamās informācijas reģistrā (UCANIR)</t>
  </si>
  <si>
    <t>Ukrainas civiliedzīvotāju reģistrācija UCANIR</t>
  </si>
  <si>
    <t>Izdruka no Fizisko personu reģistra</t>
  </si>
  <si>
    <t>Izziņa no fizisko personu reģistra</t>
  </si>
  <si>
    <t>Pakalpojuma "Pabalsts Ukrainas civiliedzīvotājam" aizpildīšana un iesniegšana</t>
  </si>
  <si>
    <t>Bērna kopšanas pabalsts</t>
  </si>
  <si>
    <t>Ģimenes valsts pabalsts</t>
  </si>
  <si>
    <t>Atbalsts pagaidu aizsardzības statusa anulēšanas pieteikšanai</t>
  </si>
  <si>
    <t>Nepilsoņa statusa zaudēšana</t>
  </si>
  <si>
    <t>5. pielikums</t>
  </si>
  <si>
    <t>Nr. p. k.</t>
  </si>
  <si>
    <t>Pašvaldības nosaukums</t>
  </si>
  <si>
    <t>Plānotais jaunizveidoto vietu skaits</t>
  </si>
  <si>
    <t>Siguldas novada pašvaldība</t>
  </si>
  <si>
    <t>Smiltenes  novada pašvaldībai</t>
  </si>
  <si>
    <r>
      <t xml:space="preserve">Par palīdzību izglītības jomā (IzM)
</t>
    </r>
    <r>
      <rPr>
        <vertAlign val="superscript"/>
        <sz val="12"/>
        <color theme="1"/>
        <rFont val="Times New Roman"/>
        <family val="1"/>
        <charset val="186"/>
      </rPr>
      <t>[2]</t>
    </r>
    <r>
      <rPr>
        <sz val="12"/>
        <color theme="1"/>
        <rFont val="Times New Roman"/>
        <family val="1"/>
        <charset val="186"/>
      </rPr>
      <t> </t>
    </r>
    <r>
      <rPr>
        <i/>
        <sz val="12"/>
        <color theme="1"/>
        <rFont val="Times New Roman"/>
        <family val="1"/>
        <charset val="186"/>
      </rPr>
      <t>6. "Izglītība"</t>
    </r>
  </si>
  <si>
    <r>
      <t xml:space="preserve">Par palīdzību ēdināšanas jomā (EM)
</t>
    </r>
    <r>
      <rPr>
        <vertAlign val="superscript"/>
        <sz val="12"/>
        <color theme="1"/>
        <rFont val="Times New Roman"/>
        <family val="1"/>
        <charset val="186"/>
      </rPr>
      <t>[2]</t>
    </r>
    <r>
      <rPr>
        <i/>
        <sz val="12"/>
        <color theme="1"/>
        <rFont val="Times New Roman"/>
        <family val="1"/>
        <charset val="186"/>
      </rPr>
      <t> 2. "Personu izmitināšana un ēdināšana"</t>
    </r>
  </si>
  <si>
    <r>
      <t xml:space="preserve">Par palīdzību izmitināšanas jomā (EM)
</t>
    </r>
    <r>
      <rPr>
        <vertAlign val="superscript"/>
        <sz val="12"/>
        <color theme="1"/>
        <rFont val="Times New Roman"/>
        <family val="1"/>
        <charset val="186"/>
      </rPr>
      <t>[2]</t>
    </r>
    <r>
      <rPr>
        <sz val="12"/>
        <color theme="1"/>
        <rFont val="Times New Roman"/>
        <family val="1"/>
        <charset val="186"/>
      </rPr>
      <t> </t>
    </r>
    <r>
      <rPr>
        <i/>
        <sz val="12"/>
        <color theme="1"/>
        <rFont val="Times New Roman"/>
        <family val="1"/>
        <charset val="186"/>
      </rPr>
      <t>2. "Personu izmitināšana un ēdināšana"</t>
    </r>
  </si>
  <si>
    <r>
      <t xml:space="preserve">Par izlietoto finansējumu valsts pārvaldes pakalpojumu pieteikšanas un fizisko personu reģistrācijas pasākumiem (VARAM)
</t>
    </r>
    <r>
      <rPr>
        <vertAlign val="superscript"/>
        <sz val="12"/>
        <color theme="1"/>
        <rFont val="Times New Roman"/>
        <family val="1"/>
        <charset val="186"/>
      </rPr>
      <t>[2]</t>
    </r>
    <r>
      <rPr>
        <sz val="12"/>
        <color theme="1"/>
        <rFont val="Times New Roman"/>
        <family val="1"/>
        <charset val="186"/>
      </rPr>
      <t> </t>
    </r>
    <r>
      <rPr>
        <i/>
        <sz val="12"/>
        <color theme="1"/>
        <rFont val="Times New Roman"/>
        <family val="1"/>
        <charset val="186"/>
      </rPr>
      <t>1. "Personu uzņemšana un reģistrācija, informēšanas pasākumi" 1.7. apakšpunkts</t>
    </r>
  </si>
  <si>
    <r>
      <t xml:space="preserve">Par pašvaldību veiktajiem uzlabojumiem pašvaldību ēkās, lai nodrošinātu Ukrainas civiliedzīvotāju izmitināšanu (VARAM)
</t>
    </r>
    <r>
      <rPr>
        <vertAlign val="superscript"/>
        <sz val="12"/>
        <color theme="1"/>
        <rFont val="Times New Roman"/>
        <family val="1"/>
        <charset val="186"/>
      </rPr>
      <t>[2]</t>
    </r>
    <r>
      <rPr>
        <sz val="12"/>
        <color theme="1"/>
        <rFont val="Times New Roman"/>
        <family val="1"/>
        <charset val="186"/>
      </rPr>
      <t> </t>
    </r>
    <r>
      <rPr>
        <i/>
        <sz val="12"/>
        <color theme="1"/>
        <rFont val="Times New Roman"/>
        <family val="1"/>
        <charset val="186"/>
      </rPr>
      <t>2. "Personu izmitināšana un ēdināšana" 2.3. apakšpunkts</t>
    </r>
  </si>
  <si>
    <t>Detalizēta informācija papildu nepieciešamajam finansējumam</t>
  </si>
  <si>
    <r>
      <t xml:space="preserve">Atbalstītais finansējums (2023. gada decembris - 2024. gada jūnijs), </t>
    </r>
    <r>
      <rPr>
        <b/>
        <i/>
        <sz val="12"/>
        <color theme="1"/>
        <rFont val="Times New Roman"/>
        <family val="1"/>
        <charset val="186"/>
      </rPr>
      <t xml:space="preserve">euro </t>
    </r>
    <r>
      <rPr>
        <vertAlign val="superscript"/>
        <sz val="12"/>
        <color theme="1"/>
        <rFont val="Times New Roman"/>
        <family val="1"/>
        <charset val="186"/>
      </rPr>
      <t xml:space="preserve">[1] </t>
    </r>
  </si>
  <si>
    <r>
      <rPr>
        <vertAlign val="superscript"/>
        <sz val="11"/>
        <color theme="1"/>
        <rFont val="Calibri"/>
        <family val="2"/>
        <charset val="186"/>
        <scheme val="minor"/>
      </rPr>
      <t>[1]</t>
    </r>
    <r>
      <rPr>
        <sz val="11"/>
        <color theme="1"/>
        <rFont val="Calibri"/>
        <family val="2"/>
        <charset val="186"/>
        <scheme val="minor"/>
      </rPr>
      <t xml:space="preserve"> </t>
    </r>
    <r>
      <rPr>
        <i/>
        <sz val="11"/>
        <color theme="1"/>
        <rFont val="Calibri"/>
        <family val="2"/>
        <charset val="186"/>
        <scheme val="minor"/>
      </rPr>
      <t>Ar MK 23.01.2024. rīkojumu Nr. 62 "Par finanšu līdzekļu piešķiršanu no valsts budžeta programmas 17.00.00 "Finansējums Ukrainas civiliedzīvotāju atbalsta likumā noteikto pasākumu īstenošanai""</t>
    </r>
  </si>
  <si>
    <r>
      <rPr>
        <b/>
        <u/>
        <sz val="14"/>
        <color theme="1"/>
        <rFont val="Times New Roman"/>
        <family val="1"/>
        <charset val="186"/>
      </rPr>
      <t>Papildus</t>
    </r>
    <r>
      <rPr>
        <b/>
        <sz val="14"/>
        <color theme="1"/>
        <rFont val="Times New Roman"/>
        <family val="1"/>
        <charset val="186"/>
      </rPr>
      <t xml:space="preserve"> no valsts budžeta programmas 17.00.00 "Finansējums Ukrainas civiliedzīvotāju atbalsta likumā noteikto pasākumu īstenošanai" </t>
    </r>
    <r>
      <rPr>
        <b/>
        <u/>
        <sz val="14"/>
        <color theme="1"/>
        <rFont val="Times New Roman"/>
        <family val="1"/>
        <charset val="186"/>
      </rPr>
      <t>nepieciešamais finansējums</t>
    </r>
    <r>
      <rPr>
        <b/>
        <sz val="14"/>
        <color theme="1"/>
        <rFont val="Times New Roman"/>
        <family val="1"/>
        <charset val="186"/>
      </rPr>
      <t xml:space="preserve"> 2024. gada jūlijs - novembris, </t>
    </r>
    <r>
      <rPr>
        <b/>
        <i/>
        <sz val="14"/>
        <color theme="1"/>
        <rFont val="Times New Roman"/>
        <family val="1"/>
        <charset val="186"/>
      </rPr>
      <t>euro</t>
    </r>
  </si>
  <si>
    <r>
      <t xml:space="preserve">Starpība  starp atbalstīto finansējumu  un faktiskajiem izdevumiem, jeb finanšu līdzekļu atlikums no MK rīkojuma Nr. 62 1. punktā paredzētā finansējuma, </t>
    </r>
    <r>
      <rPr>
        <b/>
        <i/>
        <sz val="12"/>
        <color theme="1"/>
        <rFont val="Times New Roman"/>
        <family val="1"/>
        <charset val="186"/>
      </rPr>
      <t>euro</t>
    </r>
  </si>
  <si>
    <r>
      <t xml:space="preserve">Kopā nepieciešamais plānotais finansējums 2023. gada decembrim - 2024. gada novembrim, </t>
    </r>
    <r>
      <rPr>
        <b/>
        <i/>
        <sz val="12"/>
        <color theme="1"/>
        <rFont val="Times New Roman"/>
        <family val="1"/>
        <charset val="186"/>
      </rPr>
      <t>euro</t>
    </r>
  </si>
  <si>
    <t>2024</t>
  </si>
  <si>
    <t>2023/2024</t>
  </si>
  <si>
    <r>
      <rPr>
        <b/>
        <u/>
        <sz val="10"/>
        <color theme="1"/>
        <rFont val="Times New Roman"/>
        <family val="1"/>
        <charset val="186"/>
      </rPr>
      <t>Faktiskie</t>
    </r>
    <r>
      <rPr>
        <sz val="10"/>
        <color theme="1"/>
        <rFont val="Times New Roman"/>
        <family val="1"/>
        <charset val="186"/>
      </rPr>
      <t xml:space="preserve"> izdevumi pārskata periodā</t>
    </r>
  </si>
  <si>
    <t>2023.g. decembris - 2024.g. maijs</t>
  </si>
  <si>
    <t>2023.g. decembris - 2024.g. novembris</t>
  </si>
  <si>
    <t>2023.g. decembris - 2024. g. novembris</t>
  </si>
  <si>
    <r>
      <rPr>
        <b/>
        <u/>
        <sz val="10"/>
        <color theme="1"/>
        <rFont val="Times New Roman"/>
        <family val="1"/>
        <charset val="186"/>
      </rPr>
      <t xml:space="preserve">Plānotais </t>
    </r>
    <r>
      <rPr>
        <sz val="10"/>
        <color theme="1"/>
        <rFont val="Times New Roman"/>
        <family val="1"/>
        <charset val="186"/>
      </rPr>
      <t>izglītojamo  skaits</t>
    </r>
  </si>
  <si>
    <t>Asistenta pakalpojumi (UCAL 13. panta pirmās daļas 1.punkts)</t>
  </si>
  <si>
    <t>2023.g.decembris - 2024.g. novembris</t>
  </si>
  <si>
    <r>
      <rPr>
        <b/>
        <u/>
        <sz val="10"/>
        <color theme="1"/>
        <rFont val="Times New Roman"/>
        <family val="1"/>
        <charset val="186"/>
      </rPr>
      <t>Faktiskais</t>
    </r>
    <r>
      <rPr>
        <sz val="10"/>
        <color theme="1"/>
        <rFont val="Times New Roman"/>
        <family val="1"/>
        <charset val="186"/>
      </rPr>
      <t xml:space="preserve"> izglītojamo  skaits</t>
    </r>
  </si>
  <si>
    <r>
      <rPr>
        <b/>
        <u/>
        <sz val="10"/>
        <color theme="1"/>
        <rFont val="Times New Roman"/>
        <family val="1"/>
        <charset val="186"/>
      </rPr>
      <t xml:space="preserve">Faktiskais </t>
    </r>
    <r>
      <rPr>
        <sz val="10"/>
        <color theme="1"/>
        <rFont val="Times New Roman"/>
        <family val="1"/>
        <charset val="186"/>
      </rPr>
      <t>izglītojamo  skaits</t>
    </r>
  </si>
  <si>
    <t>2023.g.decembris - 2024.g. maijs</t>
  </si>
  <si>
    <r>
      <rPr>
        <b/>
        <u/>
        <sz val="10"/>
        <color theme="1"/>
        <rFont val="Times New Roman"/>
        <family val="1"/>
        <charset val="186"/>
      </rPr>
      <t>Faktiskais</t>
    </r>
    <r>
      <rPr>
        <sz val="10"/>
        <color theme="1"/>
        <rFont val="Times New Roman"/>
        <family val="1"/>
        <charset val="186"/>
      </rPr>
      <t xml:space="preserve"> saņēmēju skaits</t>
    </r>
  </si>
  <si>
    <t>Plānotais finansējuma apmērs pašvaldībām 2024. gadā par veiktajiem/plānotajiem uzlabojumiem pašvaldību ēkās, lai nodrošinātu Ukrainas civiliedzīvotāju izmitināšanu</t>
  </si>
  <si>
    <t>Jaunizveidoto vietu skaits</t>
  </si>
  <si>
    <t>Faktiskie izdevumi pārskata periodā (2024. gada jūnijā), euro</t>
  </si>
  <si>
    <r>
      <t xml:space="preserve">Plānotais </t>
    </r>
    <r>
      <rPr>
        <b/>
        <u/>
        <sz val="12"/>
        <rFont val="Times New Roman"/>
        <family val="1"/>
        <charset val="186"/>
      </rPr>
      <t>papildus nepieciešamais finansējums</t>
    </r>
    <r>
      <rPr>
        <b/>
        <sz val="12"/>
        <rFont val="Times New Roman"/>
        <family val="1"/>
        <charset val="186"/>
      </rPr>
      <t xml:space="preserve"> līdz 2024. gada novembrim, </t>
    </r>
    <r>
      <rPr>
        <b/>
        <i/>
        <sz val="12"/>
        <rFont val="Times New Roman"/>
        <family val="1"/>
        <charset val="186"/>
      </rPr>
      <t>euro</t>
    </r>
  </si>
  <si>
    <t>Plānotais jaunizveidoto vietu skaits pārskata periodā</t>
  </si>
  <si>
    <r>
      <t xml:space="preserve">Plānotais finansējums pārskata periodā, </t>
    </r>
    <r>
      <rPr>
        <b/>
        <i/>
        <sz val="12"/>
        <rFont val="Times New Roman"/>
        <family val="1"/>
        <charset val="186"/>
      </rPr>
      <t>euro</t>
    </r>
  </si>
  <si>
    <r>
      <t xml:space="preserve">Pašvaldību </t>
    </r>
    <r>
      <rPr>
        <b/>
        <u/>
        <sz val="12"/>
        <color theme="1"/>
        <rFont val="Times New Roman"/>
        <family val="1"/>
        <charset val="186"/>
      </rPr>
      <t>plānotie</t>
    </r>
    <r>
      <rPr>
        <b/>
        <sz val="12"/>
        <color theme="1"/>
        <rFont val="Times New Roman"/>
        <family val="1"/>
        <charset val="186"/>
      </rPr>
      <t xml:space="preserve"> </t>
    </r>
    <r>
      <rPr>
        <b/>
        <u/>
        <sz val="12"/>
        <color theme="1"/>
        <rFont val="Times New Roman"/>
        <family val="1"/>
        <charset val="186"/>
      </rPr>
      <t>izdevumi</t>
    </r>
    <r>
      <rPr>
        <b/>
        <sz val="12"/>
        <color theme="1"/>
        <rFont val="Times New Roman"/>
        <family val="1"/>
        <charset val="186"/>
      </rPr>
      <t xml:space="preserve"> par sniegto atbalstu Ukrainas civiliedzīvotājiem par 2024. gada jūniju - novembri, </t>
    </r>
    <r>
      <rPr>
        <b/>
        <i/>
        <sz val="12"/>
        <color theme="1"/>
        <rFont val="Times New Roman"/>
        <family val="1"/>
        <charset val="186"/>
      </rPr>
      <t>euro</t>
    </r>
  </si>
  <si>
    <t>Plānotie izdevumi 2023/2024. gadam  pārskata periodā</t>
  </si>
  <si>
    <t xml:space="preserve">Indikatīvais izdevumu aprēķins primāri sniedzamā atbalsta nodrošināšanai 2024.gada otram pusgadam tika veikts, ekstrapolējot līdz šim vērojamās izmitināšanas un ēdināšanas pakalpojumiem pašvaldību pieprasīto izdevumu kompensācijas tendences pa mēnešiem, sākot no 2024. gada sākuma. </t>
  </si>
  <si>
    <t>Septembris*</t>
  </si>
  <si>
    <t>*Saskaņā ar Grozījumu projektu Ukrainas civiliedzīvotāju atbalsta likumā (24-TA-913), Sākot ar 2024. gada 1. septembri, visi obligātās izglītības vecumu sasniegušie  civiliedzīvotāji, kuriem piešķirts pagaidu aizsardzības statuss, uzsāks mācības izglītības iestādē klātienē (1842 nepilngadīgo Ukrainas civiliedzīvotāju (kuriem uz 2024.gada aprīli nav reģistrēta piederība Latvijas izglītības iestādē))</t>
  </si>
  <si>
    <t xml:space="preserve">Ar 2024.gada 2.pusgadu, netiek sniegts "E-paklapojuma “Vīzas pieteikums” aizpildīšana un iesniegšana".
Ņemot verā 2024.gada 1.pusgada rezultātus, atbalsta apjoms tiek koriģēts, samazinot progrnozes.
</t>
  </si>
  <si>
    <t xml:space="preserve">Atbilstoši Iekšlietu ministrijas sniegtajai informācijai (30.05.2024. vēstule Nr.1-23/1416), no jauna ieceļojošo Ukrainas civiliedzīvotāju plūsma 2024. gadā saglabājas mērena un stabila, ar nedaudz sarūkošu tendenci, kā arī pēdējos sešos mēnešos (2023. gada novembris- 2024. gada aprīlis) FPRIS no jauna reģistrēto personu skaits ir nostabilizējies vidēji no 450 – 500 jaunām reģistrācijām mēnesī, 2024. gada aprīlī no jauna reģistrējās 566 personas. 
Pamatojoties uz IeM sniegto informāciju, prognozēts, ka periodā 2024. gada jūlijs  – decembris, saņēmēju skaits un izdevumi saglabāsies stabili  (atbilst faktiskajai izpildei vidēji mēnesī periodā 2023. gada decembris  – 2024. gada jūnijs). </t>
  </si>
  <si>
    <t>Indikatīvais izdevumu ietekmes aprēķins Labklājības ministrijas atbildības sociālā atbalsta nodrošināšanas jomai*</t>
  </si>
  <si>
    <t>Jūnijs/ plāns</t>
  </si>
  <si>
    <t>jūlijs - novembris</t>
  </si>
  <si>
    <t>2023.g. decembris- 2024.g. novembris</t>
  </si>
  <si>
    <t>(euro, centi)</t>
  </si>
  <si>
    <t xml:space="preserve">*Aprēķini veikti excel vidē, kas, noapaļojot ciparu ar 0 (nulle) zīmēm aiz komata var veidot 1 euro nobīdi aprēķina rezultātā. </t>
  </si>
  <si>
    <r>
      <t xml:space="preserve">2023.g. decembris - 2024.g. jūnijs 
</t>
    </r>
    <r>
      <rPr>
        <b/>
        <i/>
        <sz val="11"/>
        <rFont val="Times New Roman"/>
        <family val="1"/>
        <charset val="186"/>
      </rPr>
      <t>(naudas plūsma 2024)</t>
    </r>
  </si>
  <si>
    <r>
      <rPr>
        <b/>
        <u/>
        <sz val="11"/>
        <color rgb="FF0070C0"/>
        <rFont val="Times New Roman"/>
        <family val="1"/>
        <charset val="186"/>
      </rPr>
      <t>Plānotais</t>
    </r>
    <r>
      <rPr>
        <sz val="11"/>
        <color rgb="FF0070C0"/>
        <rFont val="Times New Roman"/>
        <family val="1"/>
        <charset val="186"/>
      </rPr>
      <t xml:space="preserve"> saņēmēju skaits</t>
    </r>
  </si>
  <si>
    <r>
      <rPr>
        <b/>
        <u/>
        <sz val="11"/>
        <color rgb="FF0070C0"/>
        <rFont val="Times New Roman"/>
        <family val="1"/>
        <charset val="186"/>
      </rPr>
      <t>Plānotie</t>
    </r>
    <r>
      <rPr>
        <sz val="11"/>
        <color rgb="FF0070C0"/>
        <rFont val="Times New Roman"/>
        <family val="1"/>
        <charset val="186"/>
      </rPr>
      <t xml:space="preserve"> izdevumi pārskata periodā</t>
    </r>
  </si>
  <si>
    <r>
      <rPr>
        <b/>
        <u/>
        <sz val="11"/>
        <color rgb="FF0070C0"/>
        <rFont val="Times New Roman"/>
        <family val="1"/>
        <charset val="186"/>
      </rPr>
      <t>Plānotai</t>
    </r>
    <r>
      <rPr>
        <sz val="11"/>
        <color rgb="FF0070C0"/>
        <rFont val="Times New Roman"/>
        <family val="1"/>
        <charset val="186"/>
      </rPr>
      <t>s saņēmēju skaits</t>
    </r>
  </si>
  <si>
    <r>
      <rPr>
        <b/>
        <u/>
        <sz val="11"/>
        <color rgb="FF0070C0"/>
        <rFont val="Times New Roman"/>
        <family val="1"/>
        <charset val="186"/>
      </rPr>
      <t>Plānotie</t>
    </r>
    <r>
      <rPr>
        <sz val="11"/>
        <color rgb="FF0070C0"/>
        <rFont val="Times New Roman"/>
        <family val="1"/>
        <charset val="186"/>
      </rPr>
      <t xml:space="preserve"> izdevumi pārskata periodā (naudas plūsma 2024)</t>
    </r>
  </si>
  <si>
    <r>
      <rPr>
        <b/>
        <u/>
        <sz val="11"/>
        <color rgb="FF0070C0"/>
        <rFont val="Times New Roman"/>
        <family val="1"/>
        <charset val="186"/>
      </rPr>
      <t>Plānotie</t>
    </r>
    <r>
      <rPr>
        <b/>
        <sz val="11"/>
        <color rgb="FF0070C0"/>
        <rFont val="Times New Roman"/>
        <family val="1"/>
        <charset val="186"/>
      </rPr>
      <t xml:space="preserve"> izdevumi pārskata periodā (naudas plūsma 2024)</t>
    </r>
  </si>
  <si>
    <t>Izdevumi par Rīgas vienotā valsts un pašvaldības atbalsta centra Ukrainas civiliedzīvotājiem darbības nodrošināšanu</t>
  </si>
  <si>
    <t>Rīgas valstspilsētas pašvaldības izdevumi par Rīgas vienotā valsts un pašvaldības atbalsta centra Ukrainas civiliedzīvotājiem darbības nodrošināšanu</t>
  </si>
  <si>
    <t>6. pielikums</t>
  </si>
  <si>
    <r>
      <t xml:space="preserve">Faktiskie izdevumi par 2023. gada decembri, </t>
    </r>
    <r>
      <rPr>
        <b/>
        <i/>
        <sz val="11"/>
        <color theme="1"/>
        <rFont val="Times New Roman"/>
        <family val="1"/>
        <charset val="186"/>
      </rPr>
      <t>euro</t>
    </r>
  </si>
  <si>
    <r>
      <t xml:space="preserve">VARAM kompensētie (atbilstoši pārrēķinam) izdevumi par 2023. gada decembri, </t>
    </r>
    <r>
      <rPr>
        <b/>
        <i/>
        <sz val="11"/>
        <color theme="1"/>
        <rFont val="Times New Roman"/>
        <family val="1"/>
        <charset val="186"/>
      </rPr>
      <t>euro</t>
    </r>
  </si>
  <si>
    <r>
      <t xml:space="preserve">Faktiskie izdevumi par 2024. gada janvāri - martu, </t>
    </r>
    <r>
      <rPr>
        <b/>
        <i/>
        <sz val="11"/>
        <color theme="1"/>
        <rFont val="Times New Roman"/>
        <family val="1"/>
        <charset val="186"/>
      </rPr>
      <t>euro</t>
    </r>
  </si>
  <si>
    <r>
      <t xml:space="preserve">VARAM kompensētie (atbilstoši pārrēķinam) izdevumi par 2024. gada janvāri - martu, </t>
    </r>
    <r>
      <rPr>
        <b/>
        <i/>
        <sz val="11"/>
        <color theme="1"/>
        <rFont val="Times New Roman"/>
        <family val="1"/>
        <charset val="186"/>
      </rPr>
      <t>euro</t>
    </r>
  </si>
  <si>
    <r>
      <t>Faktiskie izdevumi par 2024. gada aprīli - jūniju,</t>
    </r>
    <r>
      <rPr>
        <b/>
        <i/>
        <sz val="11"/>
        <color theme="1"/>
        <rFont val="Times New Roman"/>
        <family val="1"/>
        <charset val="186"/>
      </rPr>
      <t xml:space="preserve"> euro</t>
    </r>
  </si>
  <si>
    <r>
      <t xml:space="preserve">VARAM atbalstāmie (atbilstoši pārrēķinam) izdevumi par 2024. gada aprīli - jūniju, </t>
    </r>
    <r>
      <rPr>
        <b/>
        <i/>
        <sz val="11"/>
        <color theme="1"/>
        <rFont val="Times New Roman"/>
        <family val="1"/>
        <charset val="186"/>
      </rPr>
      <t>euro</t>
    </r>
  </si>
  <si>
    <r>
      <rPr>
        <b/>
        <u/>
        <sz val="11"/>
        <color theme="1"/>
        <rFont val="Times New Roman"/>
        <family val="1"/>
        <charset val="186"/>
      </rPr>
      <t>Plānotie</t>
    </r>
    <r>
      <rPr>
        <b/>
        <sz val="11"/>
        <color theme="1"/>
        <rFont val="Times New Roman"/>
        <family val="1"/>
        <charset val="186"/>
      </rPr>
      <t xml:space="preserve"> izdevumi 2024. gada jūlijam - novembrim, </t>
    </r>
    <r>
      <rPr>
        <b/>
        <i/>
        <sz val="11"/>
        <color theme="1"/>
        <rFont val="Times New Roman"/>
        <family val="1"/>
        <charset val="186"/>
      </rPr>
      <t>euro</t>
    </r>
  </si>
  <si>
    <r>
      <rPr>
        <vertAlign val="superscript"/>
        <sz val="11"/>
        <color theme="1"/>
        <rFont val="Calibri"/>
        <family val="2"/>
        <charset val="186"/>
        <scheme val="minor"/>
      </rPr>
      <t xml:space="preserve">[2] </t>
    </r>
    <r>
      <rPr>
        <i/>
        <sz val="11"/>
        <color theme="1"/>
        <rFont val="Calibri"/>
        <family val="2"/>
        <charset val="186"/>
        <scheme val="minor"/>
      </rPr>
      <t>Saskaņā ar Ministru kabineta 2023. gada 23. decembra rīkojuma Nr. 927 “Par Pasākumu plānu atbalsta sniegšanai Ukrainas civiliedzīvotājiem Latvijas Republikā 2024. gadam".</t>
    </r>
  </si>
  <si>
    <r>
      <t xml:space="preserve">Par palīdzību sociālā atbalsta jomā kopā (LM)
</t>
    </r>
    <r>
      <rPr>
        <vertAlign val="superscript"/>
        <sz val="12"/>
        <color theme="1"/>
        <rFont val="Times New Roman"/>
        <family val="1"/>
        <charset val="186"/>
      </rPr>
      <t>[2]</t>
    </r>
    <r>
      <rPr>
        <sz val="12"/>
        <color theme="1"/>
        <rFont val="Times New Roman"/>
        <family val="1"/>
        <charset val="186"/>
      </rPr>
      <t xml:space="preserve"> </t>
    </r>
    <r>
      <rPr>
        <i/>
        <sz val="12"/>
        <color theme="1"/>
        <rFont val="Times New Roman"/>
        <family val="1"/>
        <charset val="186"/>
      </rPr>
      <t>4. "Sociālā palīdzība, finansiālais atbalsts, pakalpojumi" un 5. "Nepilngadīgie"</t>
    </r>
  </si>
  <si>
    <r>
      <t xml:space="preserve">Pamatojoties uz Finanšu ministrijas rīkojumiem:
1) 19.02.2024., Nr.56
2) 18.03.2024., Nr.92
3) 09.04.2024., Nr.118
4) 17.05.2024., Nr.176
5) 31.05.2024., Nr.202
6) 08.07.2024., Nr.250
uz 18.07.2024. kopā </t>
    </r>
    <r>
      <rPr>
        <b/>
        <u/>
        <sz val="12"/>
        <color theme="1"/>
        <rFont val="Times New Roman"/>
        <family val="1"/>
        <charset val="186"/>
      </rPr>
      <t>pašvaldībām pārskaitītais finansējums</t>
    </r>
    <r>
      <rPr>
        <b/>
        <sz val="12"/>
        <color theme="1"/>
        <rFont val="Times New Roman"/>
        <family val="1"/>
        <charset val="186"/>
      </rPr>
      <t xml:space="preserve"> par 2023. gada decembri - 2024. gada maiju, </t>
    </r>
    <r>
      <rPr>
        <b/>
        <i/>
        <sz val="12"/>
        <color theme="1"/>
        <rFont val="Times New Roman"/>
        <family val="1"/>
        <charset val="186"/>
      </rPr>
      <t>euro</t>
    </r>
    <r>
      <rPr>
        <b/>
        <sz val="12"/>
        <color theme="1"/>
        <rFont val="Times New Roman"/>
        <family val="1"/>
        <charset val="186"/>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</si>
</sst>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5" x14ac:knownFonts="1">
    <font>
      <sz val="11"/>
      <color theme="1"/>
      <name val="Calibri"/>
      <family val="2"/>
      <charset val="186"/>
      <scheme val="minor"/>
    </font>
    <font>
      <i/>
      <sz val="11"/>
      <color theme="1"/>
      <name val="Calibri"/>
      <family val="2"/>
      <charset val="186"/>
      <scheme val="minor"/>
    </font>
    <font>
      <vertAlign val="superscript"/>
      <sz val="11"/>
      <color theme="1"/>
      <name val="Calibri"/>
      <family val="2"/>
      <charset val="186"/>
      <scheme val="minor"/>
    </font>
    <font>
      <sz val="12"/>
      <color theme="1"/>
      <name val="Times New Roman"/>
      <family val="1"/>
      <charset val="186"/>
    </font>
    <font>
      <vertAlign val="superscript"/>
      <sz val="12"/>
      <color theme="1"/>
      <name val="Times New Roman"/>
      <family val="1"/>
      <charset val="186"/>
    </font>
    <font>
      <i/>
      <sz val="12"/>
      <color theme="1"/>
      <name val="Times New Roman"/>
      <family val="1"/>
      <charset val="186"/>
    </font>
    <font>
      <sz val="10"/>
      <color theme="1"/>
      <name val="Times New Roman"/>
      <family val="1"/>
      <charset val="186"/>
    </font>
    <font>
      <i/>
      <sz val="10"/>
      <color theme="1"/>
      <name val="Times New Roman"/>
      <family val="1"/>
      <charset val="186"/>
    </font>
    <font>
      <sz val="11"/>
      <color theme="1"/>
      <name val="Times New Roman"/>
      <family val="1"/>
      <charset val="186"/>
    </font>
    <font>
      <b/>
      <sz val="14"/>
      <color theme="1"/>
      <name val="Times New Roman"/>
      <family val="1"/>
      <charset val="186"/>
    </font>
    <font>
      <sz val="11"/>
      <color indexed="8"/>
      <name val="Calibri"/>
      <family val="2"/>
    </font>
    <font>
      <sz val="10"/>
      <name val="Times New Roman"/>
      <family val="1"/>
      <charset val="186"/>
    </font>
    <font>
      <b/>
      <sz val="10"/>
      <color theme="1"/>
      <name val="Times New Roman"/>
      <family val="1"/>
      <charset val="186"/>
    </font>
    <font>
      <i/>
      <sz val="10"/>
      <name val="Times New Roman"/>
      <family val="1"/>
      <charset val="186"/>
    </font>
    <font>
      <b/>
      <i/>
      <sz val="10"/>
      <color theme="1"/>
      <name val="Times New Roman"/>
      <family val="1"/>
      <charset val="186"/>
    </font>
    <font>
      <b/>
      <u/>
      <sz val="10"/>
      <color theme="1"/>
      <name val="Times New Roman"/>
      <family val="1"/>
      <charset val="186"/>
    </font>
    <font>
      <sz val="8"/>
      <color theme="1"/>
      <name val="Times New Roman"/>
      <family val="1"/>
      <charset val="186"/>
    </font>
    <font>
      <sz val="11"/>
      <color indexed="8"/>
      <name val="Calibri"/>
      <family val="2"/>
      <charset val="186"/>
    </font>
    <font>
      <sz val="11"/>
      <color theme="1"/>
      <name val="Calibri"/>
      <family val="2"/>
      <charset val="186"/>
    </font>
    <font>
      <b/>
      <sz val="13"/>
      <color theme="1"/>
      <name val="Times New Roman"/>
      <family val="1"/>
      <charset val="186"/>
    </font>
    <font>
      <i/>
      <sz val="11"/>
      <color theme="1"/>
      <name val="Calibri"/>
      <family val="2"/>
      <charset val="186"/>
    </font>
    <font>
      <i/>
      <sz val="8"/>
      <color theme="1"/>
      <name val="Times New Roman"/>
      <family val="1"/>
      <charset val="186"/>
    </font>
    <font>
      <sz val="8"/>
      <name val="Times New Roman"/>
      <family val="1"/>
      <charset val="186"/>
    </font>
    <font>
      <b/>
      <sz val="10"/>
      <name val="Times New Roman"/>
      <family val="1"/>
      <charset val="186"/>
    </font>
    <font>
      <i/>
      <sz val="10"/>
      <color indexed="8"/>
      <name val="Times New Roman"/>
      <family val="1"/>
      <charset val="186"/>
    </font>
    <font>
      <b/>
      <sz val="13"/>
      <color indexed="8"/>
      <name val="Times New Roman"/>
      <family val="1"/>
      <charset val="186"/>
    </font>
    <font>
      <i/>
      <sz val="9"/>
      <color indexed="8"/>
      <name val="Calibri"/>
      <family val="2"/>
      <charset val="186"/>
    </font>
    <font>
      <i/>
      <sz val="8"/>
      <name val="Times New Roman"/>
      <family val="1"/>
      <charset val="186"/>
    </font>
    <font>
      <i/>
      <sz val="8"/>
      <color indexed="8"/>
      <name val="Calibri"/>
      <family val="2"/>
      <charset val="186"/>
    </font>
    <font>
      <sz val="11"/>
      <name val="Calibri"/>
      <family val="2"/>
      <charset val="186"/>
    </font>
    <font>
      <vertAlign val="superscript"/>
      <sz val="10"/>
      <name val="Times New Roman"/>
      <family val="1"/>
    </font>
    <font>
      <i/>
      <sz val="9"/>
      <name val="Calibri"/>
      <family val="2"/>
      <charset val="186"/>
    </font>
    <font>
      <sz val="11"/>
      <color indexed="8"/>
      <name val="Times New Roman"/>
      <family val="1"/>
      <charset val="186"/>
    </font>
    <font>
      <sz val="11"/>
      <color rgb="FFFF0000"/>
      <name val="Times New Roman"/>
      <family val="1"/>
      <charset val="186"/>
    </font>
    <font>
      <sz val="9"/>
      <name val="Calibri"/>
      <family val="2"/>
      <charset val="186"/>
    </font>
    <font>
      <b/>
      <sz val="10"/>
      <color theme="0" tint="-0.499984740745262"/>
      <name val="Times New Roman"/>
      <family val="1"/>
      <charset val="186"/>
    </font>
    <font>
      <b/>
      <sz val="12"/>
      <color theme="1"/>
      <name val="Times New Roman"/>
      <family val="1"/>
      <charset val="186"/>
    </font>
    <font>
      <b/>
      <sz val="12"/>
      <name val="Times New Roman"/>
      <family val="1"/>
      <charset val="186"/>
    </font>
    <font>
      <b/>
      <u/>
      <sz val="12"/>
      <name val="Times New Roman"/>
      <family val="1"/>
      <charset val="186"/>
    </font>
    <font>
      <b/>
      <u/>
      <sz val="12"/>
      <color theme="1"/>
      <name val="Times New Roman"/>
      <family val="1"/>
      <charset val="186"/>
    </font>
    <font>
      <b/>
      <sz val="14"/>
      <name val="Times New Roman"/>
      <family val="1"/>
      <charset val="186"/>
    </font>
    <font>
      <b/>
      <i/>
      <sz val="12"/>
      <color theme="1"/>
      <name val="Times New Roman"/>
      <family val="1"/>
      <charset val="186"/>
    </font>
    <font>
      <b/>
      <u/>
      <sz val="14"/>
      <color theme="1"/>
      <name val="Times New Roman"/>
      <family val="1"/>
      <charset val="186"/>
    </font>
    <font>
      <b/>
      <i/>
      <sz val="14"/>
      <color theme="1"/>
      <name val="Times New Roman"/>
      <family val="1"/>
      <charset val="186"/>
    </font>
    <font>
      <b/>
      <sz val="20"/>
      <color theme="1"/>
      <name val="Times New Roman"/>
      <family val="1"/>
      <charset val="186"/>
    </font>
    <font>
      <sz val="8"/>
      <name val="Calibri"/>
      <family val="2"/>
      <charset val="186"/>
      <scheme val="minor"/>
    </font>
    <font>
      <b/>
      <i/>
      <sz val="12"/>
      <name val="Times New Roman"/>
      <family val="1"/>
      <charset val="186"/>
    </font>
    <font>
      <sz val="11"/>
      <name val="Times New Roman"/>
      <family val="1"/>
      <charset val="186"/>
    </font>
    <font>
      <i/>
      <sz val="11"/>
      <name val="Times New Roman"/>
      <family val="1"/>
      <charset val="186"/>
    </font>
    <font>
      <b/>
      <sz val="11"/>
      <color theme="1"/>
      <name val="Calibri"/>
      <family val="2"/>
      <charset val="186"/>
    </font>
    <font>
      <i/>
      <sz val="11"/>
      <color theme="1"/>
      <name val="Times New Roman"/>
      <family val="1"/>
      <charset val="186"/>
    </font>
    <font>
      <b/>
      <sz val="11"/>
      <color theme="1"/>
      <name val="Times New Roman"/>
      <family val="1"/>
      <charset val="186"/>
    </font>
    <font>
      <sz val="11"/>
      <color rgb="FF0070C0"/>
      <name val="Times New Roman"/>
      <family val="1"/>
      <charset val="186"/>
    </font>
    <font>
      <b/>
      <i/>
      <sz val="11"/>
      <name val="Times New Roman"/>
      <family val="1"/>
      <charset val="186"/>
    </font>
    <font>
      <b/>
      <sz val="11"/>
      <color rgb="FF0070C0"/>
      <name val="Times New Roman"/>
      <family val="1"/>
      <charset val="186"/>
    </font>
    <font>
      <b/>
      <i/>
      <sz val="11"/>
      <color theme="1"/>
      <name val="Times New Roman"/>
      <family val="1"/>
      <charset val="186"/>
    </font>
    <font>
      <i/>
      <sz val="11"/>
      <color rgb="FF0070C0"/>
      <name val="Times New Roman"/>
      <family val="1"/>
      <charset val="186"/>
    </font>
    <font>
      <b/>
      <i/>
      <sz val="11"/>
      <color rgb="FF0070C0"/>
      <name val="Times New Roman"/>
      <family val="1"/>
      <charset val="186"/>
    </font>
    <font>
      <b/>
      <u/>
      <sz val="11"/>
      <color rgb="FF0070C0"/>
      <name val="Times New Roman"/>
      <family val="1"/>
      <charset val="186"/>
    </font>
    <font>
      <b/>
      <sz val="11"/>
      <name val="Times New Roman"/>
      <family val="1"/>
      <charset val="186"/>
    </font>
    <font>
      <i/>
      <sz val="11"/>
      <color indexed="8"/>
      <name val="Times New Roman"/>
      <family val="1"/>
      <charset val="186"/>
    </font>
    <font>
      <b/>
      <sz val="11"/>
      <color rgb="FF000000"/>
      <name val="Times New Roman"/>
      <family val="1"/>
      <charset val="186"/>
    </font>
    <font>
      <b/>
      <u/>
      <sz val="11"/>
      <color theme="1"/>
      <name val="Times New Roman"/>
      <family val="1"/>
      <charset val="186"/>
    </font>
    <font>
      <b/>
      <sz val="12"/>
      <color rgb="FFFF0000"/>
      <name val="Times New Roman"/>
      <family val="1"/>
      <charset val="186"/>
    </font>
    <font>
      <b/>
      <sz val="14"/>
      <color rgb="FFFF0000"/>
      <name val="Times New Roman"/>
      <family val="1"/>
      <charset val="186"/>
    </font>
  </fonts>
  <fills count="15">
    <fill>
      <patternFill patternType="none"/>
    </fill>
    <fill>
      <patternFill patternType="gray125"/>
    </fill>
    <fill>
      <patternFill patternType="solid">
        <fgColor rgb="FFFFFFFF"/>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indexed="9"/>
        <bgColor indexed="26"/>
      </patternFill>
    </fill>
    <fill>
      <patternFill patternType="solid">
        <fgColor theme="0" tint="-4.9989318521683403E-2"/>
        <bgColor indexed="64"/>
      </patternFill>
    </fill>
    <fill>
      <patternFill patternType="solid">
        <fgColor theme="0" tint="-0.14999847407452621"/>
        <bgColor indexed="26"/>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79998168889431442"/>
        <bgColor indexed="26"/>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34998626667073579"/>
        <bgColor indexed="26"/>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4">
    <xf numFmtId="0" fontId="0" fillId="0" borderId="0"/>
    <xf numFmtId="0" fontId="10" fillId="0" borderId="0"/>
    <xf numFmtId="0" fontId="17" fillId="0" borderId="0"/>
    <xf numFmtId="0" fontId="17" fillId="0" borderId="0"/>
  </cellStyleXfs>
  <cellXfs count="255">
    <xf numFmtId="0" fontId="0" fillId="0" borderId="0" xfId="0"/>
    <xf numFmtId="0" fontId="6" fillId="0" borderId="0" xfId="0" applyFont="1" applyAlignment="1">
      <alignment wrapText="1"/>
    </xf>
    <xf numFmtId="0" fontId="7" fillId="0" borderId="0" xfId="0" applyFont="1" applyAlignment="1">
      <alignment horizontal="right" wrapText="1"/>
    </xf>
    <xf numFmtId="0" fontId="8" fillId="0" borderId="0" xfId="0" applyFont="1" applyAlignment="1">
      <alignment wrapText="1"/>
    </xf>
    <xf numFmtId="0" fontId="11" fillId="0" borderId="1" xfId="1" applyFont="1" applyBorder="1" applyAlignment="1">
      <alignment horizontal="right" vertical="center" wrapText="1"/>
    </xf>
    <xf numFmtId="49" fontId="12" fillId="0" borderId="1" xfId="1" applyNumberFormat="1" applyFont="1" applyBorder="1" applyAlignment="1">
      <alignment horizontal="center" vertical="center" wrapText="1"/>
    </xf>
    <xf numFmtId="49" fontId="6" fillId="0" borderId="1" xfId="1" applyNumberFormat="1" applyFont="1" applyBorder="1" applyAlignment="1">
      <alignment horizontal="center" vertical="center" wrapText="1"/>
    </xf>
    <xf numFmtId="0" fontId="11" fillId="0" borderId="1" xfId="1" applyFont="1" applyBorder="1" applyAlignment="1">
      <alignment horizontal="left" vertical="center" wrapText="1"/>
    </xf>
    <xf numFmtId="0" fontId="14" fillId="0" borderId="1" xfId="1" applyFont="1" applyBorder="1" applyAlignment="1">
      <alignment horizontal="right" vertical="center"/>
    </xf>
    <xf numFmtId="0" fontId="7" fillId="0" borderId="1" xfId="1" applyFont="1" applyBorder="1" applyAlignment="1">
      <alignment horizontal="right" vertical="center"/>
    </xf>
    <xf numFmtId="49" fontId="6" fillId="5" borderId="1" xfId="1" applyNumberFormat="1" applyFont="1" applyFill="1" applyBorder="1" applyAlignment="1">
      <alignment horizontal="center" vertical="center" wrapText="1"/>
    </xf>
    <xf numFmtId="0" fontId="16" fillId="0" borderId="1" xfId="0" applyFont="1" applyBorder="1" applyAlignment="1">
      <alignment horizontal="center" wrapText="1"/>
    </xf>
    <xf numFmtId="0" fontId="16" fillId="0" borderId="1" xfId="2" applyFont="1" applyBorder="1" applyAlignment="1">
      <alignment horizontal="center" vertical="center"/>
    </xf>
    <xf numFmtId="0" fontId="16" fillId="0" borderId="1" xfId="0" quotePrefix="1" applyFont="1" applyBorder="1" applyAlignment="1">
      <alignment horizontal="center" wrapText="1"/>
    </xf>
    <xf numFmtId="3" fontId="12" fillId="0" borderId="1" xfId="0" applyNumberFormat="1" applyFont="1" applyBorder="1" applyAlignment="1">
      <alignment vertical="center" wrapText="1"/>
    </xf>
    <xf numFmtId="4" fontId="12" fillId="0" borderId="1" xfId="2" applyNumberFormat="1" applyFont="1" applyBorder="1" applyAlignment="1">
      <alignment horizontal="right" vertical="center"/>
    </xf>
    <xf numFmtId="0" fontId="12" fillId="0" borderId="1" xfId="0" applyFont="1" applyBorder="1" applyAlignment="1">
      <alignment horizontal="left" vertical="center" wrapText="1"/>
    </xf>
    <xf numFmtId="3" fontId="8" fillId="0" borderId="0" xfId="0" applyNumberFormat="1" applyFont="1" applyAlignment="1">
      <alignment wrapText="1"/>
    </xf>
    <xf numFmtId="4" fontId="8" fillId="0" borderId="0" xfId="0" applyNumberFormat="1" applyFont="1" applyAlignment="1">
      <alignment wrapText="1"/>
    </xf>
    <xf numFmtId="0" fontId="18" fillId="0" borderId="0" xfId="2" applyFont="1" applyAlignment="1">
      <alignment vertical="center"/>
    </xf>
    <xf numFmtId="0" fontId="21" fillId="0" borderId="1" xfId="1" applyFont="1" applyBorder="1" applyAlignment="1">
      <alignment horizontal="right" vertical="center"/>
    </xf>
    <xf numFmtId="0" fontId="22" fillId="0" borderId="1" xfId="2" applyFont="1" applyBorder="1" applyAlignment="1">
      <alignment horizontal="center" vertical="center"/>
    </xf>
    <xf numFmtId="4" fontId="11" fillId="0" borderId="1" xfId="2" applyNumberFormat="1" applyFont="1" applyBorder="1" applyAlignment="1">
      <alignment horizontal="right" vertical="center"/>
    </xf>
    <xf numFmtId="0" fontId="8" fillId="0" borderId="0" xfId="2" applyFont="1" applyAlignment="1">
      <alignment vertical="center"/>
    </xf>
    <xf numFmtId="0" fontId="17" fillId="0" borderId="0" xfId="2" applyAlignment="1">
      <alignment vertical="center"/>
    </xf>
    <xf numFmtId="0" fontId="25" fillId="0" borderId="0" xfId="1" applyFont="1" applyAlignment="1">
      <alignment horizontal="center" vertical="center" wrapText="1"/>
    </xf>
    <xf numFmtId="0" fontId="27" fillId="5" borderId="1" xfId="1" applyFont="1" applyFill="1" applyBorder="1" applyAlignment="1">
      <alignment horizontal="justify" vertical="center"/>
    </xf>
    <xf numFmtId="0" fontId="28" fillId="0" borderId="0" xfId="2" applyFont="1" applyAlignment="1">
      <alignment vertical="center"/>
    </xf>
    <xf numFmtId="49" fontId="11" fillId="5" borderId="1" xfId="1" applyNumberFormat="1" applyFont="1" applyFill="1" applyBorder="1" applyAlignment="1">
      <alignment horizontal="center" vertical="center" wrapText="1"/>
    </xf>
    <xf numFmtId="0" fontId="22" fillId="5" borderId="1" xfId="2" applyFont="1" applyFill="1" applyBorder="1" applyAlignment="1">
      <alignment horizontal="center" vertical="center"/>
    </xf>
    <xf numFmtId="0" fontId="29" fillId="0" borderId="0" xfId="2" applyFont="1" applyAlignment="1">
      <alignment vertical="center"/>
    </xf>
    <xf numFmtId="0" fontId="11" fillId="0" borderId="1" xfId="2" applyFont="1" applyBorder="1" applyAlignment="1">
      <alignment horizontal="left" vertical="center" wrapText="1"/>
    </xf>
    <xf numFmtId="0" fontId="23" fillId="0" borderId="1" xfId="2" applyFont="1" applyBorder="1" applyAlignment="1">
      <alignment horizontal="left" vertical="center" wrapText="1"/>
    </xf>
    <xf numFmtId="4" fontId="23" fillId="0" borderId="1" xfId="2" applyNumberFormat="1" applyFont="1" applyBorder="1" applyAlignment="1">
      <alignment horizontal="center" vertical="center"/>
    </xf>
    <xf numFmtId="4" fontId="23" fillId="0" borderId="1" xfId="2" applyNumberFormat="1" applyFont="1" applyBorder="1" applyAlignment="1">
      <alignment horizontal="right" vertical="center"/>
    </xf>
    <xf numFmtId="0" fontId="31" fillId="0" borderId="1" xfId="2" applyFont="1" applyBorder="1" applyAlignment="1">
      <alignment horizontal="left" vertical="center" wrapText="1"/>
    </xf>
    <xf numFmtId="0" fontId="32" fillId="0" borderId="0" xfId="2" applyFont="1" applyAlignment="1">
      <alignment vertical="center"/>
    </xf>
    <xf numFmtId="3" fontId="33" fillId="0" borderId="0" xfId="2" applyNumberFormat="1" applyFont="1" applyAlignment="1">
      <alignment vertical="center"/>
    </xf>
    <xf numFmtId="0" fontId="33" fillId="0" borderId="0" xfId="2" applyFont="1" applyAlignment="1">
      <alignment vertical="center"/>
    </xf>
    <xf numFmtId="4" fontId="33" fillId="0" borderId="0" xfId="2" applyNumberFormat="1" applyFont="1" applyAlignment="1">
      <alignment vertical="center"/>
    </xf>
    <xf numFmtId="0" fontId="26" fillId="0" borderId="0" xfId="2" applyFont="1" applyAlignment="1">
      <alignment horizontal="left" vertical="center" wrapText="1"/>
    </xf>
    <xf numFmtId="3" fontId="11" fillId="0" borderId="1" xfId="2" applyNumberFormat="1" applyFont="1" applyBorder="1" applyAlignment="1">
      <alignment horizontal="right" vertical="center"/>
    </xf>
    <xf numFmtId="1" fontId="11" fillId="0" borderId="1" xfId="2" applyNumberFormat="1" applyFont="1" applyBorder="1" applyAlignment="1">
      <alignment horizontal="right" vertical="center"/>
    </xf>
    <xf numFmtId="0" fontId="34" fillId="0" borderId="0" xfId="2" applyFont="1" applyAlignment="1">
      <alignment vertical="center"/>
    </xf>
    <xf numFmtId="3" fontId="35" fillId="0" borderId="1" xfId="2" applyNumberFormat="1" applyFont="1" applyBorder="1" applyAlignment="1">
      <alignment horizontal="center" vertical="center"/>
    </xf>
    <xf numFmtId="1" fontId="35" fillId="0" borderId="1" xfId="2" applyNumberFormat="1" applyFont="1" applyBorder="1" applyAlignment="1">
      <alignment horizontal="center" vertical="center"/>
    </xf>
    <xf numFmtId="49" fontId="32" fillId="0" borderId="0" xfId="2" applyNumberFormat="1" applyFont="1" applyAlignment="1">
      <alignment vertical="center" wrapText="1"/>
    </xf>
    <xf numFmtId="49" fontId="0" fillId="0" borderId="0" xfId="0" applyNumberFormat="1" applyAlignment="1">
      <alignment vertical="center" wrapText="1"/>
    </xf>
    <xf numFmtId="4" fontId="0" fillId="0" borderId="0" xfId="0" applyNumberFormat="1" applyAlignment="1">
      <alignment vertical="center" wrapText="1"/>
    </xf>
    <xf numFmtId="49" fontId="36" fillId="2" borderId="1" xfId="0" applyNumberFormat="1" applyFont="1" applyFill="1" applyBorder="1" applyAlignment="1">
      <alignment horizontal="center" vertical="center" wrapText="1"/>
    </xf>
    <xf numFmtId="49" fontId="36" fillId="0" borderId="1" xfId="0" applyNumberFormat="1" applyFont="1" applyBorder="1" applyAlignment="1">
      <alignment horizontal="center" vertical="center" wrapText="1"/>
    </xf>
    <xf numFmtId="49" fontId="36" fillId="4" borderId="1" xfId="0" applyNumberFormat="1" applyFont="1" applyFill="1" applyBorder="1" applyAlignment="1">
      <alignment horizontal="center" vertical="center" wrapText="1"/>
    </xf>
    <xf numFmtId="4" fontId="3" fillId="2" borderId="1" xfId="0" applyNumberFormat="1" applyFont="1" applyFill="1" applyBorder="1" applyAlignment="1">
      <alignment horizontal="right" vertical="center"/>
    </xf>
    <xf numFmtId="4" fontId="3" fillId="4" borderId="1" xfId="0" applyNumberFormat="1" applyFont="1" applyFill="1" applyBorder="1" applyAlignment="1">
      <alignment horizontal="right" vertical="center"/>
    </xf>
    <xf numFmtId="4" fontId="0" fillId="0" borderId="0" xfId="0" applyNumberFormat="1"/>
    <xf numFmtId="0" fontId="36" fillId="2" borderId="1" xfId="0" applyFont="1" applyFill="1" applyBorder="1" applyAlignment="1">
      <alignment horizontal="right" vertical="center"/>
    </xf>
    <xf numFmtId="3" fontId="36" fillId="2" borderId="1" xfId="0" applyNumberFormat="1" applyFont="1" applyFill="1" applyBorder="1" applyAlignment="1">
      <alignment horizontal="right" vertical="center"/>
    </xf>
    <xf numFmtId="0" fontId="9" fillId="3" borderId="1" xfId="0" applyFont="1" applyFill="1" applyBorder="1" applyAlignment="1">
      <alignment horizontal="justify" vertical="center" wrapText="1"/>
    </xf>
    <xf numFmtId="3" fontId="0" fillId="0" borderId="0" xfId="0" applyNumberFormat="1"/>
    <xf numFmtId="0" fontId="44" fillId="0" borderId="0" xfId="0" applyFont="1"/>
    <xf numFmtId="49" fontId="6" fillId="0" borderId="7" xfId="1" applyNumberFormat="1" applyFont="1" applyBorder="1" applyAlignment="1">
      <alignment horizontal="center" vertical="center" wrapText="1"/>
    </xf>
    <xf numFmtId="49" fontId="6" fillId="9" borderId="1" xfId="1" applyNumberFormat="1" applyFont="1" applyFill="1" applyBorder="1" applyAlignment="1">
      <alignment horizontal="center" vertical="center" wrapText="1"/>
    </xf>
    <xf numFmtId="0" fontId="21" fillId="9" borderId="1" xfId="1" applyFont="1" applyFill="1" applyBorder="1" applyAlignment="1">
      <alignment horizontal="right" vertical="center"/>
    </xf>
    <xf numFmtId="0" fontId="16" fillId="9" borderId="1" xfId="2" applyFont="1" applyFill="1" applyBorder="1" applyAlignment="1">
      <alignment horizontal="center" vertical="center"/>
    </xf>
    <xf numFmtId="4" fontId="11" fillId="9" borderId="1" xfId="2" applyNumberFormat="1" applyFont="1" applyFill="1" applyBorder="1" applyAlignment="1">
      <alignment horizontal="right" vertical="center"/>
    </xf>
    <xf numFmtId="4" fontId="23" fillId="9" borderId="1" xfId="2" applyNumberFormat="1" applyFont="1" applyFill="1" applyBorder="1" applyAlignment="1">
      <alignment horizontal="center" vertical="center"/>
    </xf>
    <xf numFmtId="4" fontId="23" fillId="9" borderId="1" xfId="2" applyNumberFormat="1" applyFont="1" applyFill="1" applyBorder="1" applyAlignment="1">
      <alignment horizontal="right" vertical="center"/>
    </xf>
    <xf numFmtId="4" fontId="36" fillId="2" borderId="1" xfId="0" applyNumberFormat="1" applyFont="1" applyFill="1" applyBorder="1" applyAlignment="1">
      <alignment horizontal="right" vertical="center"/>
    </xf>
    <xf numFmtId="49" fontId="6" fillId="11" borderId="1" xfId="1" applyNumberFormat="1" applyFont="1" applyFill="1" applyBorder="1" applyAlignment="1">
      <alignment horizontal="center" vertical="center" wrapText="1"/>
    </xf>
    <xf numFmtId="0" fontId="7" fillId="11" borderId="1" xfId="1" applyFont="1" applyFill="1" applyBorder="1" applyAlignment="1">
      <alignment horizontal="right" vertical="center"/>
    </xf>
    <xf numFmtId="0" fontId="16" fillId="11" borderId="1" xfId="2" applyFont="1" applyFill="1" applyBorder="1" applyAlignment="1">
      <alignment horizontal="center" vertical="center"/>
    </xf>
    <xf numFmtId="4" fontId="6" fillId="11" borderId="1" xfId="2" applyNumberFormat="1" applyFont="1" applyFill="1" applyBorder="1" applyAlignment="1">
      <alignment horizontal="right" vertical="center"/>
    </xf>
    <xf numFmtId="4" fontId="12" fillId="11" borderId="1" xfId="2" applyNumberFormat="1" applyFont="1" applyFill="1" applyBorder="1" applyAlignment="1">
      <alignment horizontal="right" vertical="center"/>
    </xf>
    <xf numFmtId="3" fontId="8" fillId="0" borderId="0" xfId="2" applyNumberFormat="1" applyFont="1" applyAlignment="1">
      <alignment vertical="center"/>
    </xf>
    <xf numFmtId="4" fontId="11" fillId="8" borderId="1" xfId="2" applyNumberFormat="1" applyFont="1" applyFill="1" applyBorder="1" applyAlignment="1">
      <alignment horizontal="right" vertical="center"/>
    </xf>
    <xf numFmtId="0" fontId="7" fillId="9" borderId="1" xfId="1" applyFont="1" applyFill="1" applyBorder="1" applyAlignment="1">
      <alignment horizontal="right" vertical="center"/>
    </xf>
    <xf numFmtId="4" fontId="12" fillId="9" borderId="1" xfId="2" applyNumberFormat="1" applyFont="1" applyFill="1" applyBorder="1" applyAlignment="1">
      <alignment horizontal="right" vertical="center"/>
    </xf>
    <xf numFmtId="49" fontId="6" fillId="10" borderId="7" xfId="1" applyNumberFormat="1" applyFont="1" applyFill="1" applyBorder="1" applyAlignment="1">
      <alignment horizontal="center" vertical="center" wrapText="1"/>
    </xf>
    <xf numFmtId="4" fontId="11" fillId="10" borderId="1" xfId="2" applyNumberFormat="1" applyFont="1" applyFill="1" applyBorder="1" applyAlignment="1">
      <alignment horizontal="right" vertical="center"/>
    </xf>
    <xf numFmtId="4" fontId="23" fillId="10" borderId="1" xfId="2" applyNumberFormat="1" applyFont="1" applyFill="1" applyBorder="1" applyAlignment="1">
      <alignment horizontal="right" vertical="center"/>
    </xf>
    <xf numFmtId="4" fontId="12" fillId="10" borderId="1" xfId="2" applyNumberFormat="1" applyFont="1" applyFill="1" applyBorder="1" applyAlignment="1">
      <alignment horizontal="right" vertical="center"/>
    </xf>
    <xf numFmtId="0" fontId="21" fillId="8" borderId="1" xfId="1" applyFont="1" applyFill="1" applyBorder="1" applyAlignment="1">
      <alignment horizontal="right" vertical="center"/>
    </xf>
    <xf numFmtId="49" fontId="6" fillId="8" borderId="1" xfId="1" applyNumberFormat="1" applyFont="1" applyFill="1" applyBorder="1" applyAlignment="1">
      <alignment horizontal="center" vertical="center" wrapText="1"/>
    </xf>
    <xf numFmtId="0" fontId="16" fillId="8" borderId="1" xfId="2" applyFont="1" applyFill="1" applyBorder="1" applyAlignment="1">
      <alignment horizontal="center" vertical="center"/>
    </xf>
    <xf numFmtId="3" fontId="11" fillId="8" borderId="1" xfId="2" applyNumberFormat="1" applyFont="1" applyFill="1" applyBorder="1" applyAlignment="1">
      <alignment horizontal="right" vertical="center"/>
    </xf>
    <xf numFmtId="4" fontId="23" fillId="8" borderId="1" xfId="2" applyNumberFormat="1" applyFont="1" applyFill="1" applyBorder="1" applyAlignment="1">
      <alignment horizontal="center" vertical="center"/>
    </xf>
    <xf numFmtId="4" fontId="23" fillId="8" borderId="1" xfId="2" applyNumberFormat="1" applyFont="1" applyFill="1" applyBorder="1" applyAlignment="1">
      <alignment horizontal="right" vertical="center"/>
    </xf>
    <xf numFmtId="0" fontId="21" fillId="10" borderId="1" xfId="1" applyFont="1" applyFill="1" applyBorder="1" applyAlignment="1">
      <alignment horizontal="right" vertical="center"/>
    </xf>
    <xf numFmtId="49" fontId="6" fillId="10" borderId="1" xfId="1" applyNumberFormat="1" applyFont="1" applyFill="1" applyBorder="1" applyAlignment="1">
      <alignment horizontal="center" vertical="center" wrapText="1"/>
    </xf>
    <xf numFmtId="0" fontId="16" fillId="10" borderId="1" xfId="2" applyFont="1" applyFill="1" applyBorder="1" applyAlignment="1">
      <alignment horizontal="center" vertical="center"/>
    </xf>
    <xf numFmtId="3" fontId="11" fillId="10" borderId="1" xfId="2" applyNumberFormat="1" applyFont="1" applyFill="1" applyBorder="1" applyAlignment="1">
      <alignment horizontal="right" vertical="center"/>
    </xf>
    <xf numFmtId="4" fontId="23" fillId="10" borderId="1" xfId="2" applyNumberFormat="1" applyFont="1" applyFill="1" applyBorder="1" applyAlignment="1">
      <alignment horizontal="center" vertical="center"/>
    </xf>
    <xf numFmtId="1" fontId="35" fillId="10" borderId="1" xfId="2" applyNumberFormat="1" applyFont="1" applyFill="1" applyBorder="1" applyAlignment="1">
      <alignment horizontal="center" vertical="center"/>
    </xf>
    <xf numFmtId="1" fontId="11" fillId="10" borderId="1" xfId="2" applyNumberFormat="1" applyFont="1" applyFill="1" applyBorder="1" applyAlignment="1">
      <alignment horizontal="right" vertical="center"/>
    </xf>
    <xf numFmtId="3" fontId="11" fillId="9" borderId="1" xfId="2" applyNumberFormat="1" applyFont="1" applyFill="1" applyBorder="1" applyAlignment="1">
      <alignment horizontal="right" vertical="center"/>
    </xf>
    <xf numFmtId="1" fontId="11" fillId="9" borderId="1" xfId="2" applyNumberFormat="1" applyFont="1" applyFill="1" applyBorder="1" applyAlignment="1">
      <alignment horizontal="right" vertical="center"/>
    </xf>
    <xf numFmtId="1" fontId="35" fillId="9" borderId="1" xfId="2" applyNumberFormat="1" applyFont="1" applyFill="1" applyBorder="1" applyAlignment="1">
      <alignment horizontal="center" vertical="center"/>
    </xf>
    <xf numFmtId="0" fontId="3" fillId="0" borderId="0" xfId="0" applyFont="1"/>
    <xf numFmtId="0" fontId="7" fillId="0" borderId="0" xfId="0" applyFont="1" applyAlignment="1">
      <alignment horizontal="right"/>
    </xf>
    <xf numFmtId="0" fontId="36" fillId="0" borderId="0" xfId="0" applyFont="1"/>
    <xf numFmtId="49" fontId="36" fillId="6" borderId="1" xfId="0" applyNumberFormat="1" applyFont="1" applyFill="1" applyBorder="1" applyAlignment="1">
      <alignment horizontal="center" vertical="center" wrapText="1"/>
    </xf>
    <xf numFmtId="49" fontId="3" fillId="0" borderId="0" xfId="0" applyNumberFormat="1" applyFont="1" applyAlignment="1">
      <alignment wrapText="1"/>
    </xf>
    <xf numFmtId="0" fontId="3" fillId="0" borderId="1" xfId="0" applyFont="1" applyBorder="1" applyAlignment="1">
      <alignment horizontal="center" vertical="center"/>
    </xf>
    <xf numFmtId="0" fontId="3" fillId="8"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6" borderId="1" xfId="0" applyFont="1" applyFill="1" applyBorder="1" applyAlignment="1">
      <alignment horizontal="center" vertical="center"/>
    </xf>
    <xf numFmtId="0" fontId="9" fillId="6" borderId="1" xfId="0" applyFont="1" applyFill="1" applyBorder="1" applyAlignment="1">
      <alignment horizontal="right"/>
    </xf>
    <xf numFmtId="4" fontId="3" fillId="0" borderId="0" xfId="0" applyNumberFormat="1" applyFont="1"/>
    <xf numFmtId="0" fontId="3" fillId="0" borderId="0" xfId="0" applyFont="1" applyAlignment="1">
      <alignment horizontal="right"/>
    </xf>
    <xf numFmtId="0" fontId="3" fillId="0" borderId="1" xfId="0" applyFont="1" applyBorder="1" applyAlignment="1">
      <alignment horizontal="right" vertical="center" wrapText="1"/>
    </xf>
    <xf numFmtId="4" fontId="3" fillId="0" borderId="1" xfId="0" applyNumberFormat="1" applyFont="1" applyBorder="1" applyAlignment="1">
      <alignment horizontal="right" vertical="center" wrapText="1"/>
    </xf>
    <xf numFmtId="49" fontId="37" fillId="10" borderId="1" xfId="0" applyNumberFormat="1" applyFont="1" applyFill="1" applyBorder="1" applyAlignment="1">
      <alignment horizontal="center" vertical="center" wrapText="1"/>
    </xf>
    <xf numFmtId="4" fontId="3" fillId="10" borderId="1" xfId="0" applyNumberFormat="1" applyFont="1" applyFill="1" applyBorder="1" applyAlignment="1">
      <alignment horizontal="right" vertical="center" wrapText="1"/>
    </xf>
    <xf numFmtId="0" fontId="3" fillId="10" borderId="1" xfId="0" applyFont="1" applyFill="1" applyBorder="1" applyAlignment="1">
      <alignment horizontal="center" vertical="center" wrapText="1"/>
    </xf>
    <xf numFmtId="4" fontId="40" fillId="10" borderId="1" xfId="0" applyNumberFormat="1" applyFont="1" applyFill="1" applyBorder="1" applyAlignment="1">
      <alignment horizontal="right"/>
    </xf>
    <xf numFmtId="3" fontId="40" fillId="10" borderId="1" xfId="0" applyNumberFormat="1" applyFont="1" applyFill="1" applyBorder="1" applyAlignment="1">
      <alignment horizontal="center"/>
    </xf>
    <xf numFmtId="4" fontId="40" fillId="6" borderId="1" xfId="0" applyNumberFormat="1" applyFont="1" applyFill="1" applyBorder="1" applyAlignment="1">
      <alignment horizontal="right"/>
    </xf>
    <xf numFmtId="3" fontId="40" fillId="6" borderId="1" xfId="0" applyNumberFormat="1" applyFont="1" applyFill="1" applyBorder="1" applyAlignment="1">
      <alignment horizontal="center" vertical="center"/>
    </xf>
    <xf numFmtId="0" fontId="1" fillId="0" borderId="0" xfId="0" applyFont="1"/>
    <xf numFmtId="4" fontId="8" fillId="0" borderId="1" xfId="0" applyNumberFormat="1" applyFont="1" applyBorder="1" applyAlignment="1">
      <alignment vertical="center" wrapText="1"/>
    </xf>
    <xf numFmtId="4" fontId="8" fillId="0" borderId="0" xfId="0" applyNumberFormat="1" applyFont="1"/>
    <xf numFmtId="4" fontId="8" fillId="9" borderId="1" xfId="0" applyNumberFormat="1" applyFont="1" applyFill="1" applyBorder="1" applyAlignment="1">
      <alignment vertical="center" wrapText="1"/>
    </xf>
    <xf numFmtId="0" fontId="18" fillId="0" borderId="0" xfId="2" applyFont="1" applyAlignment="1">
      <alignment horizontal="center" vertical="center"/>
    </xf>
    <xf numFmtId="0" fontId="47" fillId="5" borderId="1" xfId="2" applyFont="1" applyFill="1" applyBorder="1" applyAlignment="1">
      <alignment horizontal="left" vertical="center" wrapText="1"/>
    </xf>
    <xf numFmtId="0" fontId="48" fillId="5" borderId="1" xfId="2" applyFont="1" applyFill="1" applyBorder="1" applyAlignment="1">
      <alignment horizontal="left" vertical="center" wrapText="1"/>
    </xf>
    <xf numFmtId="0" fontId="20" fillId="0" borderId="0" xfId="2" applyFont="1" applyAlignment="1">
      <alignment vertical="center"/>
    </xf>
    <xf numFmtId="0" fontId="47" fillId="0" borderId="1" xfId="2" applyFont="1" applyBorder="1" applyAlignment="1">
      <alignment horizontal="left" vertical="center" wrapText="1"/>
    </xf>
    <xf numFmtId="0" fontId="49" fillId="0" borderId="0" xfId="2" applyFont="1" applyAlignment="1">
      <alignment vertical="center"/>
    </xf>
    <xf numFmtId="3" fontId="18" fillId="0" borderId="0" xfId="2" applyNumberFormat="1" applyFont="1" applyAlignment="1">
      <alignment vertical="center"/>
    </xf>
    <xf numFmtId="0" fontId="8" fillId="0" borderId="1" xfId="1" applyFont="1" applyBorder="1" applyAlignment="1">
      <alignment horizontal="right" vertical="center" wrapText="1"/>
    </xf>
    <xf numFmtId="4" fontId="52" fillId="4" borderId="1" xfId="1" applyNumberFormat="1" applyFont="1" applyFill="1" applyBorder="1" applyAlignment="1">
      <alignment horizontal="center" vertical="center" wrapText="1"/>
    </xf>
    <xf numFmtId="4" fontId="54" fillId="13" borderId="1" xfId="1" applyNumberFormat="1" applyFont="1" applyFill="1" applyBorder="1" applyAlignment="1">
      <alignment horizontal="center" vertical="center" wrapText="1"/>
    </xf>
    <xf numFmtId="0" fontId="50" fillId="5" borderId="1" xfId="1" applyFont="1" applyFill="1" applyBorder="1" applyAlignment="1">
      <alignment horizontal="justify" vertical="center" wrapText="1"/>
    </xf>
    <xf numFmtId="0" fontId="50" fillId="0" borderId="1" xfId="1" applyFont="1" applyBorder="1" applyAlignment="1">
      <alignment horizontal="right" vertical="center" wrapText="1"/>
    </xf>
    <xf numFmtId="0" fontId="55" fillId="12" borderId="1" xfId="1" applyFont="1" applyFill="1" applyBorder="1" applyAlignment="1">
      <alignment horizontal="right" vertical="center" wrapText="1"/>
    </xf>
    <xf numFmtId="0" fontId="56" fillId="0" borderId="1" xfId="1" applyFont="1" applyBorder="1" applyAlignment="1">
      <alignment horizontal="right" vertical="center" wrapText="1"/>
    </xf>
    <xf numFmtId="0" fontId="48" fillId="4" borderId="1" xfId="1" applyFont="1" applyFill="1" applyBorder="1" applyAlignment="1">
      <alignment horizontal="right" vertical="center" wrapText="1"/>
    </xf>
    <xf numFmtId="4" fontId="56" fillId="4" borderId="1" xfId="1" applyNumberFormat="1" applyFont="1" applyFill="1" applyBorder="1" applyAlignment="1">
      <alignment horizontal="right" vertical="center" wrapText="1"/>
    </xf>
    <xf numFmtId="4" fontId="57" fillId="13" borderId="1" xfId="1" applyNumberFormat="1" applyFont="1" applyFill="1" applyBorder="1" applyAlignment="1">
      <alignment horizontal="right" vertical="center" wrapText="1"/>
    </xf>
    <xf numFmtId="49" fontId="8" fillId="5" borderId="1" xfId="1" applyNumberFormat="1" applyFont="1" applyFill="1" applyBorder="1" applyAlignment="1">
      <alignment horizontal="center" wrapText="1"/>
    </xf>
    <xf numFmtId="49" fontId="8" fillId="0" borderId="1" xfId="1" applyNumberFormat="1" applyFont="1" applyBorder="1" applyAlignment="1">
      <alignment horizontal="center" wrapText="1"/>
    </xf>
    <xf numFmtId="49" fontId="51" fillId="12" borderId="1" xfId="1" applyNumberFormat="1" applyFont="1" applyFill="1" applyBorder="1" applyAlignment="1">
      <alignment horizontal="center" wrapText="1"/>
    </xf>
    <xf numFmtId="49" fontId="52" fillId="0" borderId="1" xfId="1" applyNumberFormat="1" applyFont="1" applyBorder="1" applyAlignment="1">
      <alignment horizontal="center" wrapText="1"/>
    </xf>
    <xf numFmtId="49" fontId="48" fillId="4" borderId="1" xfId="1" applyNumberFormat="1" applyFont="1" applyFill="1" applyBorder="1" applyAlignment="1">
      <alignment horizontal="center" wrapText="1"/>
    </xf>
    <xf numFmtId="49" fontId="52" fillId="7" borderId="1" xfId="1" applyNumberFormat="1" applyFont="1" applyFill="1" applyBorder="1" applyAlignment="1">
      <alignment horizontal="center" wrapText="1"/>
    </xf>
    <xf numFmtId="49" fontId="54" fillId="14" borderId="1" xfId="1" applyNumberFormat="1" applyFont="1" applyFill="1" applyBorder="1" applyAlignment="1">
      <alignment horizontal="center" wrapText="1"/>
    </xf>
    <xf numFmtId="0" fontId="8" fillId="5" borderId="1" xfId="2" applyFont="1" applyFill="1" applyBorder="1" applyAlignment="1">
      <alignment horizontal="center" vertical="center"/>
    </xf>
    <xf numFmtId="0" fontId="47" fillId="0" borderId="1" xfId="2" applyFont="1" applyBorder="1" applyAlignment="1">
      <alignment horizontal="center" vertical="center"/>
    </xf>
    <xf numFmtId="0" fontId="47" fillId="4" borderId="1" xfId="2" applyFont="1" applyFill="1" applyBorder="1" applyAlignment="1">
      <alignment horizontal="center" vertical="center"/>
    </xf>
    <xf numFmtId="0" fontId="52" fillId="0" borderId="1" xfId="2" applyFont="1" applyBorder="1" applyAlignment="1">
      <alignment horizontal="center" vertical="center"/>
    </xf>
    <xf numFmtId="0" fontId="52" fillId="4" borderId="1" xfId="2" applyFont="1" applyFill="1" applyBorder="1" applyAlignment="1">
      <alignment horizontal="center" vertical="center"/>
    </xf>
    <xf numFmtId="0" fontId="54" fillId="14" borderId="1" xfId="2" applyFont="1" applyFill="1" applyBorder="1" applyAlignment="1">
      <alignment horizontal="center" vertical="center"/>
    </xf>
    <xf numFmtId="3" fontId="47" fillId="0" borderId="1" xfId="2" applyNumberFormat="1" applyFont="1" applyBorder="1" applyAlignment="1">
      <alignment horizontal="center" vertical="center"/>
    </xf>
    <xf numFmtId="3" fontId="47" fillId="0" borderId="1" xfId="2" applyNumberFormat="1" applyFont="1" applyBorder="1" applyAlignment="1">
      <alignment horizontal="right" vertical="center"/>
    </xf>
    <xf numFmtId="3" fontId="32" fillId="5" borderId="1" xfId="2" applyNumberFormat="1" applyFont="1" applyFill="1" applyBorder="1" applyAlignment="1">
      <alignment horizontal="center" vertical="center"/>
    </xf>
    <xf numFmtId="3" fontId="59" fillId="12" borderId="1" xfId="2" applyNumberFormat="1" applyFont="1" applyFill="1" applyBorder="1" applyAlignment="1">
      <alignment horizontal="center" vertical="center"/>
    </xf>
    <xf numFmtId="3" fontId="52" fillId="0" borderId="1" xfId="2" applyNumberFormat="1" applyFont="1" applyBorder="1" applyAlignment="1">
      <alignment horizontal="center" vertical="center"/>
    </xf>
    <xf numFmtId="3" fontId="52" fillId="0" borderId="1" xfId="2" applyNumberFormat="1" applyFont="1" applyBorder="1" applyAlignment="1">
      <alignment horizontal="right" vertical="center"/>
    </xf>
    <xf numFmtId="3" fontId="59" fillId="4" borderId="1" xfId="2" applyNumberFormat="1" applyFont="1" applyFill="1" applyBorder="1" applyAlignment="1">
      <alignment horizontal="center" vertical="center"/>
    </xf>
    <xf numFmtId="3" fontId="59" fillId="4" borderId="1" xfId="2" applyNumberFormat="1" applyFont="1" applyFill="1" applyBorder="1" applyAlignment="1">
      <alignment horizontal="right" vertical="center"/>
    </xf>
    <xf numFmtId="3" fontId="52" fillId="4" borderId="1" xfId="2" applyNumberFormat="1" applyFont="1" applyFill="1" applyBorder="1" applyAlignment="1">
      <alignment horizontal="right" vertical="center"/>
    </xf>
    <xf numFmtId="3" fontId="54" fillId="13" borderId="1" xfId="2" applyNumberFormat="1" applyFont="1" applyFill="1" applyBorder="1" applyAlignment="1">
      <alignment horizontal="right" vertical="center"/>
    </xf>
    <xf numFmtId="3" fontId="47" fillId="8" borderId="1" xfId="2" applyNumberFormat="1" applyFont="1" applyFill="1" applyBorder="1" applyAlignment="1">
      <alignment horizontal="center" vertical="center"/>
    </xf>
    <xf numFmtId="4" fontId="47" fillId="8" borderId="1" xfId="2" applyNumberFormat="1" applyFont="1" applyFill="1" applyBorder="1" applyAlignment="1">
      <alignment horizontal="right" vertical="center"/>
    </xf>
    <xf numFmtId="3" fontId="48" fillId="0" borderId="1" xfId="2" applyNumberFormat="1" applyFont="1" applyBorder="1" applyAlignment="1">
      <alignment horizontal="center" vertical="center"/>
    </xf>
    <xf numFmtId="3" fontId="60" fillId="5" borderId="1" xfId="2" applyNumberFormat="1" applyFont="1" applyFill="1" applyBorder="1" applyAlignment="1">
      <alignment horizontal="center" vertical="center"/>
    </xf>
    <xf numFmtId="3" fontId="53" fillId="12" borderId="1" xfId="2" applyNumberFormat="1" applyFont="1" applyFill="1" applyBorder="1" applyAlignment="1">
      <alignment horizontal="center" vertical="center"/>
    </xf>
    <xf numFmtId="3" fontId="56" fillId="0" borderId="1" xfId="2" applyNumberFormat="1" applyFont="1" applyBorder="1" applyAlignment="1">
      <alignment horizontal="center" vertical="center"/>
    </xf>
    <xf numFmtId="3" fontId="56" fillId="0" borderId="1" xfId="2" applyNumberFormat="1" applyFont="1" applyBorder="1" applyAlignment="1">
      <alignment horizontal="right" vertical="center"/>
    </xf>
    <xf numFmtId="3" fontId="53" fillId="4" borderId="1" xfId="2" applyNumberFormat="1" applyFont="1" applyFill="1" applyBorder="1" applyAlignment="1">
      <alignment horizontal="center" vertical="center"/>
    </xf>
    <xf numFmtId="3" fontId="53" fillId="4" borderId="1" xfId="2" applyNumberFormat="1" applyFont="1" applyFill="1" applyBorder="1" applyAlignment="1">
      <alignment horizontal="right" vertical="center"/>
    </xf>
    <xf numFmtId="3" fontId="56" fillId="4" borderId="1" xfId="2" applyNumberFormat="1" applyFont="1" applyFill="1" applyBorder="1" applyAlignment="1">
      <alignment horizontal="right" vertical="center"/>
    </xf>
    <xf numFmtId="3" fontId="57" fillId="13" borderId="1" xfId="2" applyNumberFormat="1" applyFont="1" applyFill="1" applyBorder="1" applyAlignment="1">
      <alignment horizontal="right" vertical="center"/>
    </xf>
    <xf numFmtId="0" fontId="51" fillId="0" borderId="1" xfId="2" applyFont="1" applyBorder="1" applyAlignment="1">
      <alignment horizontal="right" vertical="center" wrapText="1"/>
    </xf>
    <xf numFmtId="3" fontId="51" fillId="0" borderId="1" xfId="2" applyNumberFormat="1" applyFont="1" applyBorder="1" applyAlignment="1">
      <alignment horizontal="center" vertical="center"/>
    </xf>
    <xf numFmtId="3" fontId="51" fillId="12" borderId="1" xfId="2" applyNumberFormat="1" applyFont="1" applyFill="1" applyBorder="1" applyAlignment="1">
      <alignment horizontal="center" vertical="center"/>
    </xf>
    <xf numFmtId="3" fontId="54" fillId="0" borderId="1" xfId="2" applyNumberFormat="1" applyFont="1" applyBorder="1" applyAlignment="1">
      <alignment horizontal="center" vertical="center"/>
    </xf>
    <xf numFmtId="3" fontId="54" fillId="0" borderId="1" xfId="2" applyNumberFormat="1" applyFont="1" applyBorder="1" applyAlignment="1">
      <alignment horizontal="right" vertical="center"/>
    </xf>
    <xf numFmtId="3" fontId="51" fillId="8" borderId="1" xfId="2" applyNumberFormat="1" applyFont="1" applyFill="1" applyBorder="1" applyAlignment="1">
      <alignment horizontal="center" vertical="center"/>
    </xf>
    <xf numFmtId="4" fontId="51" fillId="8" borderId="1" xfId="2" applyNumberFormat="1" applyFont="1" applyFill="1" applyBorder="1" applyAlignment="1">
      <alignment horizontal="right" vertical="center"/>
    </xf>
    <xf numFmtId="3" fontId="51" fillId="4" borderId="1" xfId="2" applyNumberFormat="1" applyFont="1" applyFill="1" applyBorder="1" applyAlignment="1">
      <alignment horizontal="center" vertical="center"/>
    </xf>
    <xf numFmtId="3" fontId="51" fillId="4" borderId="1" xfId="2" applyNumberFormat="1" applyFont="1" applyFill="1" applyBorder="1" applyAlignment="1">
      <alignment horizontal="right" vertical="center"/>
    </xf>
    <xf numFmtId="3" fontId="54" fillId="4" borderId="1" xfId="2" applyNumberFormat="1" applyFont="1" applyFill="1" applyBorder="1" applyAlignment="1">
      <alignment horizontal="right" vertical="center"/>
    </xf>
    <xf numFmtId="3" fontId="58" fillId="13" borderId="1" xfId="2" applyNumberFormat="1" applyFont="1" applyFill="1" applyBorder="1" applyAlignment="1">
      <alignment horizontal="right" vertical="center"/>
    </xf>
    <xf numFmtId="0" fontId="20" fillId="0" borderId="1" xfId="2" applyFont="1" applyBorder="1" applyAlignment="1">
      <alignment horizontal="center" vertical="center" wrapText="1"/>
    </xf>
    <xf numFmtId="0" fontId="20" fillId="0" borderId="0" xfId="2" applyFont="1" applyAlignment="1">
      <alignment horizontal="left" vertical="center" wrapText="1"/>
    </xf>
    <xf numFmtId="4" fontId="47" fillId="0" borderId="1" xfId="2" applyNumberFormat="1" applyFont="1" applyBorder="1" applyAlignment="1">
      <alignment horizontal="right" vertical="center"/>
    </xf>
    <xf numFmtId="4" fontId="48" fillId="0" borderId="1" xfId="2" applyNumberFormat="1" applyFont="1" applyBorder="1" applyAlignment="1">
      <alignment horizontal="right" vertical="center"/>
    </xf>
    <xf numFmtId="4" fontId="51" fillId="0" borderId="1" xfId="2" applyNumberFormat="1" applyFont="1" applyBorder="1" applyAlignment="1">
      <alignment horizontal="right" vertical="center"/>
    </xf>
    <xf numFmtId="4" fontId="51" fillId="0" borderId="1" xfId="2" applyNumberFormat="1" applyFont="1" applyBorder="1" applyAlignment="1">
      <alignment horizontal="center" vertical="center"/>
    </xf>
    <xf numFmtId="4" fontId="32" fillId="0" borderId="1" xfId="2" applyNumberFormat="1" applyFont="1" applyBorder="1" applyAlignment="1">
      <alignment horizontal="right" vertical="center"/>
    </xf>
    <xf numFmtId="4" fontId="60" fillId="0" borderId="1" xfId="2" applyNumberFormat="1" applyFont="1" applyBorder="1" applyAlignment="1">
      <alignment horizontal="right" vertical="center"/>
    </xf>
    <xf numFmtId="4" fontId="59" fillId="12" borderId="1" xfId="2" applyNumberFormat="1" applyFont="1" applyFill="1" applyBorder="1" applyAlignment="1">
      <alignment horizontal="right" vertical="center"/>
    </xf>
    <xf numFmtId="4" fontId="53" fillId="12" borderId="1" xfId="2" applyNumberFormat="1" applyFont="1" applyFill="1" applyBorder="1" applyAlignment="1">
      <alignment horizontal="right" vertical="center"/>
    </xf>
    <xf numFmtId="4" fontId="51" fillId="12" borderId="1" xfId="2" applyNumberFormat="1" applyFont="1" applyFill="1" applyBorder="1" applyAlignment="1">
      <alignment horizontal="right" vertical="center"/>
    </xf>
    <xf numFmtId="0" fontId="8" fillId="0" borderId="0" xfId="0" applyFont="1"/>
    <xf numFmtId="0" fontId="61" fillId="0" borderId="0" xfId="0" applyFont="1"/>
    <xf numFmtId="0" fontId="8" fillId="0" borderId="1" xfId="0" applyFont="1" applyBorder="1"/>
    <xf numFmtId="0" fontId="51" fillId="0" borderId="1" xfId="0" applyFont="1" applyBorder="1" applyAlignment="1">
      <alignment horizontal="center" vertical="center" wrapText="1"/>
    </xf>
    <xf numFmtId="49" fontId="8" fillId="0" borderId="1" xfId="0" applyNumberFormat="1" applyFont="1" applyBorder="1" applyAlignment="1">
      <alignment wrapText="1"/>
    </xf>
    <xf numFmtId="0" fontId="7" fillId="0" borderId="0" xfId="0" applyFont="1" applyAlignment="1">
      <alignment horizontal="right" vertical="center"/>
    </xf>
    <xf numFmtId="4" fontId="8" fillId="0" borderId="1" xfId="0" applyNumberFormat="1" applyFont="1" applyBorder="1" applyAlignment="1">
      <alignment horizontal="right" vertical="center"/>
    </xf>
    <xf numFmtId="4" fontId="51" fillId="0" borderId="1" xfId="0" applyNumberFormat="1" applyFont="1" applyBorder="1" applyAlignment="1">
      <alignment horizontal="right" vertical="center"/>
    </xf>
    <xf numFmtId="11" fontId="0" fillId="0" borderId="0" xfId="0" applyNumberFormat="1" applyAlignment="1">
      <alignment vertical="top" wrapText="1"/>
    </xf>
    <xf numFmtId="0" fontId="9" fillId="0" borderId="0" xfId="0" applyFont="1" applyAlignment="1">
      <alignment horizontal="center" wrapText="1"/>
    </xf>
    <xf numFmtId="0" fontId="13" fillId="0" borderId="1" xfId="1" applyFont="1" applyBorder="1" applyAlignment="1">
      <alignment horizontal="center" vertical="center" wrapText="1"/>
    </xf>
    <xf numFmtId="0" fontId="11" fillId="0" borderId="1" xfId="1" applyFont="1" applyBorder="1" applyAlignment="1">
      <alignment horizontal="center" vertical="center" wrapText="1"/>
    </xf>
    <xf numFmtId="49" fontId="7" fillId="0" borderId="2" xfId="0" quotePrefix="1" applyNumberFormat="1" applyFont="1" applyBorder="1" applyAlignment="1">
      <alignment horizontal="left" vertical="top" wrapText="1"/>
    </xf>
    <xf numFmtId="49" fontId="1" fillId="0" borderId="3" xfId="0" applyNumberFormat="1" applyFont="1" applyBorder="1" applyAlignment="1">
      <alignment horizontal="left" vertical="top" wrapText="1"/>
    </xf>
    <xf numFmtId="49" fontId="1" fillId="0" borderId="4" xfId="0" applyNumberFormat="1" applyFont="1" applyBorder="1" applyAlignment="1">
      <alignment horizontal="left" vertical="top" wrapText="1"/>
    </xf>
    <xf numFmtId="0" fontId="50" fillId="0" borderId="0" xfId="2" applyFont="1" applyAlignment="1">
      <alignment horizontal="right" vertical="center" wrapText="1"/>
    </xf>
    <xf numFmtId="0" fontId="51" fillId="0" borderId="5" xfId="1" applyFont="1" applyBorder="1" applyAlignment="1">
      <alignment horizontal="center" vertical="center" wrapText="1"/>
    </xf>
    <xf numFmtId="49" fontId="52" fillId="13" borderId="1" xfId="1" applyNumberFormat="1" applyFont="1" applyFill="1" applyBorder="1" applyAlignment="1">
      <alignment horizontal="center" vertical="center" wrapText="1"/>
    </xf>
    <xf numFmtId="0" fontId="20" fillId="0" borderId="2" xfId="2" applyFont="1" applyBorder="1" applyAlignment="1">
      <alignment horizontal="center" wrapText="1"/>
    </xf>
    <xf numFmtId="0" fontId="20" fillId="0" borderId="3" xfId="2" applyFont="1" applyBorder="1" applyAlignment="1">
      <alignment horizontal="center" wrapText="1"/>
    </xf>
    <xf numFmtId="0" fontId="20" fillId="0" borderId="4" xfId="2" applyFont="1" applyBorder="1" applyAlignment="1">
      <alignment horizontal="center" wrapText="1"/>
    </xf>
    <xf numFmtId="49" fontId="52" fillId="0" borderId="1" xfId="1" applyNumberFormat="1" applyFont="1" applyBorder="1" applyAlignment="1">
      <alignment horizontal="center" vertical="center" wrapText="1"/>
    </xf>
    <xf numFmtId="0" fontId="59" fillId="0" borderId="7" xfId="2" applyFont="1" applyBorder="1" applyAlignment="1">
      <alignment horizontal="center" vertical="center"/>
    </xf>
    <xf numFmtId="0" fontId="59" fillId="0" borderId="8" xfId="2" applyFont="1" applyBorder="1" applyAlignment="1">
      <alignment horizontal="center" vertical="center"/>
    </xf>
    <xf numFmtId="0" fontId="59" fillId="0" borderId="6" xfId="2" applyFont="1" applyBorder="1" applyAlignment="1">
      <alignment horizontal="center" vertical="center"/>
    </xf>
    <xf numFmtId="0" fontId="50" fillId="5" borderId="2" xfId="2" applyFont="1" applyFill="1" applyBorder="1" applyAlignment="1">
      <alignment horizontal="left" vertical="center" wrapText="1"/>
    </xf>
    <xf numFmtId="0" fontId="50" fillId="5" borderId="3" xfId="2" applyFont="1" applyFill="1" applyBorder="1" applyAlignment="1">
      <alignment horizontal="left" vertical="center" wrapText="1"/>
    </xf>
    <xf numFmtId="0" fontId="50" fillId="5" borderId="4" xfId="2" applyFont="1" applyFill="1" applyBorder="1" applyAlignment="1">
      <alignment horizontal="left" vertical="center" wrapText="1"/>
    </xf>
    <xf numFmtId="3" fontId="20" fillId="0" borderId="9" xfId="2" applyNumberFormat="1" applyFont="1" applyBorder="1" applyAlignment="1">
      <alignment horizontal="left" vertical="center"/>
    </xf>
    <xf numFmtId="49" fontId="8" fillId="0" borderId="1" xfId="1" applyNumberFormat="1" applyFont="1" applyBorder="1" applyAlignment="1">
      <alignment horizontal="center" vertical="center" wrapText="1"/>
    </xf>
    <xf numFmtId="49" fontId="51" fillId="12" borderId="1" xfId="1" applyNumberFormat="1" applyFont="1" applyFill="1" applyBorder="1" applyAlignment="1">
      <alignment horizontal="center" vertical="center" wrapText="1"/>
    </xf>
    <xf numFmtId="49" fontId="48" fillId="4" borderId="1" xfId="1" applyNumberFormat="1" applyFont="1" applyFill="1" applyBorder="1" applyAlignment="1">
      <alignment horizontal="center" vertical="center" wrapText="1"/>
    </xf>
    <xf numFmtId="49" fontId="6" fillId="8" borderId="7" xfId="1" applyNumberFormat="1" applyFont="1" applyFill="1" applyBorder="1" applyAlignment="1">
      <alignment horizontal="center" vertical="center" wrapText="1"/>
    </xf>
    <xf numFmtId="49" fontId="6" fillId="8" borderId="6" xfId="1" applyNumberFormat="1" applyFont="1" applyFill="1" applyBorder="1" applyAlignment="1">
      <alignment horizontal="center" vertical="center" wrapText="1"/>
    </xf>
    <xf numFmtId="0" fontId="31" fillId="0" borderId="2" xfId="2" applyFont="1" applyBorder="1" applyAlignment="1">
      <alignment horizontal="left" vertical="top" wrapText="1"/>
    </xf>
    <xf numFmtId="0" fontId="31" fillId="0" borderId="3" xfId="2" applyFont="1" applyBorder="1" applyAlignment="1">
      <alignment horizontal="left" vertical="top" wrapText="1"/>
    </xf>
    <xf numFmtId="0" fontId="31" fillId="0" borderId="4" xfId="2" applyFont="1" applyBorder="1" applyAlignment="1">
      <alignment horizontal="left" vertical="top" wrapText="1"/>
    </xf>
    <xf numFmtId="49" fontId="6" fillId="9" borderId="1" xfId="1" applyNumberFormat="1" applyFont="1" applyFill="1" applyBorder="1" applyAlignment="1">
      <alignment horizontal="center" vertical="center" wrapText="1"/>
    </xf>
    <xf numFmtId="0" fontId="24" fillId="0" borderId="0" xfId="2" applyFont="1" applyAlignment="1">
      <alignment horizontal="right" vertical="center" wrapText="1"/>
    </xf>
    <xf numFmtId="0" fontId="25" fillId="0" borderId="0" xfId="1" applyFont="1" applyAlignment="1">
      <alignment horizontal="left" vertical="center" wrapText="1"/>
    </xf>
    <xf numFmtId="49" fontId="6" fillId="0" borderId="1" xfId="1" applyNumberFormat="1" applyFont="1" applyBorder="1" applyAlignment="1">
      <alignment horizontal="center" vertical="center" wrapText="1"/>
    </xf>
    <xf numFmtId="0" fontId="26" fillId="0" borderId="1" xfId="2" applyFont="1" applyBorder="1" applyAlignment="1">
      <alignment horizontal="center" vertical="center" wrapText="1"/>
    </xf>
    <xf numFmtId="49" fontId="6" fillId="10" borderId="7" xfId="1" applyNumberFormat="1" applyFont="1" applyFill="1" applyBorder="1" applyAlignment="1">
      <alignment horizontal="center" vertical="center" wrapText="1"/>
    </xf>
    <xf numFmtId="49" fontId="6" fillId="10" borderId="6" xfId="1" applyNumberFormat="1" applyFont="1" applyFill="1" applyBorder="1" applyAlignment="1">
      <alignment horizontal="center" vertical="center" wrapText="1"/>
    </xf>
    <xf numFmtId="0" fontId="13" fillId="0" borderId="2" xfId="2" applyFont="1" applyBorder="1" applyAlignment="1">
      <alignment horizontal="center" vertical="top" wrapText="1"/>
    </xf>
    <xf numFmtId="0" fontId="13" fillId="0" borderId="3" xfId="2" applyFont="1" applyBorder="1" applyAlignment="1">
      <alignment horizontal="center" vertical="top" wrapText="1"/>
    </xf>
    <xf numFmtId="0" fontId="13" fillId="0" borderId="4" xfId="2" applyFont="1" applyBorder="1" applyAlignment="1">
      <alignment horizontal="center" vertical="top" wrapText="1"/>
    </xf>
    <xf numFmtId="0" fontId="11" fillId="0" borderId="2" xfId="2" applyFont="1"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49" fontId="6" fillId="10" borderId="1" xfId="1" applyNumberFormat="1" applyFont="1" applyFill="1" applyBorder="1" applyAlignment="1">
      <alignment horizontal="center" vertical="center" wrapText="1"/>
    </xf>
    <xf numFmtId="0" fontId="19" fillId="0" borderId="0" xfId="1" applyFont="1" applyAlignment="1">
      <alignment horizontal="center" vertical="center" wrapText="1"/>
    </xf>
    <xf numFmtId="0" fontId="24" fillId="0" borderId="1" xfId="2" applyFont="1" applyBorder="1" applyAlignment="1">
      <alignment horizontal="center" vertical="center" wrapText="1"/>
    </xf>
    <xf numFmtId="0" fontId="0" fillId="0" borderId="0" xfId="0" applyFont="1"/>
    <xf numFmtId="0" fontId="3" fillId="0" borderId="1" xfId="0" applyFont="1" applyFill="1" applyBorder="1" applyAlignment="1">
      <alignment horizontal="justify" vertical="center" wrapText="1"/>
    </xf>
    <xf numFmtId="4" fontId="3" fillId="0" borderId="1" xfId="0" applyNumberFormat="1" applyFont="1" applyFill="1" applyBorder="1" applyAlignment="1">
      <alignment horizontal="right" vertical="center"/>
    </xf>
    <xf numFmtId="4" fontId="8" fillId="0" borderId="0" xfId="2" applyNumberFormat="1" applyFont="1" applyAlignment="1">
      <alignment vertical="center"/>
    </xf>
    <xf numFmtId="3" fontId="63" fillId="2" borderId="1" xfId="0" applyNumberFormat="1" applyFont="1" applyFill="1" applyBorder="1" applyAlignment="1">
      <alignment horizontal="right" vertical="center"/>
    </xf>
    <xf numFmtId="3" fontId="64" fillId="3" borderId="1" xfId="0" applyNumberFormat="1" applyFont="1" applyFill="1" applyBorder="1" applyAlignment="1">
      <alignment horizontal="right" vertical="center"/>
    </xf>
  </cellXfs>
  <cellStyles count="4">
    <cellStyle name="Excel Built-in Normal" xfId="3" xr:uid="{FAA0C249-3193-4F61-80EF-B1FCACE44036}"/>
    <cellStyle name="Excel Built-in Normal 1" xfId="1" xr:uid="{58CCCFFB-7310-412B-936F-F63289DBD06C}"/>
    <cellStyle name="Excel Built-in Normal 2" xfId="2" xr:uid="{7D1B0ECC-B67F-45B5-A9CC-1B8561BC0FA5}"/>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1F28B-A504-4174-8DD2-DBEAB0D2B7BA}">
  <dimension ref="A1:I21"/>
  <sheetViews>
    <sheetView tabSelected="1" topLeftCell="A5" workbookViewId="0">
      <selection activeCell="F11" sqref="F11"/>
    </sheetView>
  </sheetViews>
  <sheetFormatPr defaultRowHeight="15" x14ac:dyDescent="0.25"/>
  <cols>
    <col min="1" max="1" width="43.85546875" customWidth="1"/>
    <col min="2" max="2" width="24.140625" customWidth="1"/>
    <col min="3" max="4" width="25.28515625" customWidth="1"/>
    <col min="5" max="5" width="31.28515625" customWidth="1"/>
    <col min="6" max="6" width="29.42578125" customWidth="1"/>
    <col min="7" max="7" width="25" customWidth="1"/>
    <col min="8" max="8" width="17.140625" customWidth="1"/>
    <col min="9" max="9" width="10" bestFit="1" customWidth="1"/>
  </cols>
  <sheetData>
    <row r="1" spans="1:9" ht="25.5" x14ac:dyDescent="0.35">
      <c r="A1" s="59" t="s">
        <v>85</v>
      </c>
    </row>
    <row r="3" spans="1:9" ht="204.75" x14ac:dyDescent="0.25">
      <c r="A3" s="49" t="s">
        <v>0</v>
      </c>
      <c r="B3" s="49" t="s">
        <v>86</v>
      </c>
      <c r="C3" s="49" t="s">
        <v>141</v>
      </c>
      <c r="D3" s="50" t="s">
        <v>110</v>
      </c>
      <c r="E3" s="50" t="s">
        <v>89</v>
      </c>
      <c r="F3" s="51" t="s">
        <v>90</v>
      </c>
    </row>
    <row r="4" spans="1:9" ht="66" x14ac:dyDescent="0.25">
      <c r="A4" s="250" t="s">
        <v>140</v>
      </c>
      <c r="B4" s="251">
        <v>10141453</v>
      </c>
      <c r="C4" s="251">
        <f>'2.pielikums_LM_prognoze'!O28</f>
        <v>7897498.1700000009</v>
      </c>
      <c r="D4" s="251">
        <f>'2.pielikums_LM_prognoze'!S28+'2.pielikums_LM_prognoze'!W28+'2.pielikums_LM_prognoze'!Y28+'2.pielikums_LM_prognoze'!AA28+'2.pielikums_LM_prognoze'!AC28+'2.pielikums_LM_prognoze'!AE28</f>
        <v>7638636.8499999996</v>
      </c>
      <c r="E4" s="52">
        <f>B4-C4</f>
        <v>2243954.8299999991</v>
      </c>
      <c r="F4" s="53">
        <f>C4+D4</f>
        <v>15536135.02</v>
      </c>
      <c r="G4" s="54"/>
    </row>
    <row r="5" spans="1:9" ht="34.5" x14ac:dyDescent="0.25">
      <c r="A5" s="250" t="s">
        <v>80</v>
      </c>
      <c r="B5" s="251">
        <v>2536645</v>
      </c>
      <c r="C5" s="251">
        <f>'3.pielikums_IzM_prognoze'!C13</f>
        <v>1129182.7300000002</v>
      </c>
      <c r="D5" s="251">
        <f>'3.pielikums_IzM_prognoze'!Q13+'3.pielikums_IzM_prognoze'!S13+'3.pielikums_IzM_prognoze'!U13+'3.pielikums_IzM_prognoze'!W13+'3.pielikums_IzM_prognoze'!Y13+'3.pielikums_IzM_prognoze'!AA13</f>
        <v>2193176</v>
      </c>
      <c r="E5" s="52">
        <f t="shared" ref="E5:E10" si="0">B5-C5</f>
        <v>1407462.2699999998</v>
      </c>
      <c r="F5" s="53">
        <f t="shared" ref="F5:F9" si="1">C5+D5</f>
        <v>3322358.7300000004</v>
      </c>
      <c r="G5" s="54"/>
    </row>
    <row r="6" spans="1:9" ht="34.5" x14ac:dyDescent="0.25">
      <c r="A6" s="250" t="s">
        <v>81</v>
      </c>
      <c r="B6" s="251">
        <v>240000</v>
      </c>
      <c r="C6" s="251">
        <f>'1.pielikums_EM_prognoze'!C10+'1.pielikums_EM_prognoze'!D10+'1.pielikums_EM_prognoze'!E10+'1.pielikums_EM_prognoze'!F10+'1.pielikums_EM_prognoze'!G10+'1.pielikums_EM_prognoze'!H10</f>
        <v>185190.41999999998</v>
      </c>
      <c r="D6" s="251">
        <f>'1.pielikums_EM_prognoze'!I10+'1.pielikums_EM_prognoze'!J10+'1.pielikums_EM_prognoze'!K10+'1.pielikums_EM_prognoze'!L10+'1.pielikums_EM_prognoze'!M10+'1.pielikums_EM_prognoze'!N10</f>
        <v>175776</v>
      </c>
      <c r="E6" s="52">
        <f t="shared" si="0"/>
        <v>54809.580000000016</v>
      </c>
      <c r="F6" s="53">
        <f t="shared" si="1"/>
        <v>360966.42</v>
      </c>
      <c r="G6" s="54"/>
    </row>
    <row r="7" spans="1:9" ht="34.5" x14ac:dyDescent="0.25">
      <c r="A7" s="250" t="s">
        <v>82</v>
      </c>
      <c r="B7" s="251">
        <v>2375000</v>
      </c>
      <c r="C7" s="251">
        <f>'1.pielikums_EM_prognoze'!C9+'1.pielikums_EM_prognoze'!D9+'1.pielikums_EM_prognoze'!E9+'1.pielikums_EM_prognoze'!F9+'1.pielikums_EM_prognoze'!G9+'1.pielikums_EM_prognoze'!H9</f>
        <v>1735822.9500000002</v>
      </c>
      <c r="D7" s="251">
        <f>'1.pielikums_EM_prognoze'!I9+'1.pielikums_EM_prognoze'!J9+'1.pielikums_EM_prognoze'!K9+'1.pielikums_EM_prognoze'!L9+'1.pielikums_EM_prognoze'!M9+'1.pielikums_EM_prognoze'!N9</f>
        <v>1673761</v>
      </c>
      <c r="E7" s="52">
        <f t="shared" si="0"/>
        <v>639177.04999999981</v>
      </c>
      <c r="F7" s="53">
        <f t="shared" si="1"/>
        <v>3409583.95</v>
      </c>
      <c r="G7" s="54"/>
    </row>
    <row r="8" spans="1:9" ht="81.75" x14ac:dyDescent="0.25">
      <c r="A8" s="250" t="s">
        <v>83</v>
      </c>
      <c r="B8" s="251">
        <v>57828</v>
      </c>
      <c r="C8" s="251">
        <f>'4.pielikums_VARAM_KAC_prognoze'!D17+'4.pielikums_VARAM_KAC_prognoze'!F17+'4.pielikums_VARAM_KAC_prognoze'!H17+'4.pielikums_VARAM_KAC_prognoze'!J17+'4.pielikums_VARAM_KAC_prognoze'!L17+'4.pielikums_VARAM_KAC_prognoze'!N17</f>
        <v>1016</v>
      </c>
      <c r="D8" s="251">
        <f>'4.pielikums_VARAM_KAC_prognoze'!P17+'4.pielikums_VARAM_KAC_prognoze'!R17+'4.pielikums_VARAM_KAC_prognoze'!T17+'4.pielikums_VARAM_KAC_prognoze'!V17+'4.pielikums_VARAM_KAC_prognoze'!X17+'4.pielikums_VARAM_KAC_prognoze'!Z17</f>
        <v>12830</v>
      </c>
      <c r="E8" s="52">
        <f t="shared" si="0"/>
        <v>56812</v>
      </c>
      <c r="F8" s="53">
        <f t="shared" si="1"/>
        <v>13846</v>
      </c>
      <c r="G8" s="54"/>
    </row>
    <row r="9" spans="1:9" ht="81.75" x14ac:dyDescent="0.25">
      <c r="A9" s="250" t="s">
        <v>84</v>
      </c>
      <c r="B9" s="251">
        <v>88000</v>
      </c>
      <c r="C9" s="251">
        <v>0</v>
      </c>
      <c r="D9" s="251">
        <f>'5.pielikums_VARAM_māj_uzlab'!G7</f>
        <v>76034.42</v>
      </c>
      <c r="E9" s="52">
        <f t="shared" si="0"/>
        <v>88000</v>
      </c>
      <c r="F9" s="53">
        <f t="shared" si="1"/>
        <v>76034.42</v>
      </c>
      <c r="G9" s="54"/>
    </row>
    <row r="10" spans="1:9" ht="66" x14ac:dyDescent="0.25">
      <c r="A10" s="250" t="s">
        <v>2</v>
      </c>
      <c r="B10" s="251">
        <v>178149</v>
      </c>
      <c r="C10" s="251">
        <f>'6.pielikums Rīgas centrs UC'!C5+'6.pielikums Rīgas centrs UC'!E5</f>
        <v>65273.89</v>
      </c>
      <c r="D10" s="251">
        <f>'6.pielikums Rīgas centrs UC'!G5+'6.pielikums Rīgas centrs UC'!H5</f>
        <v>77597.03</v>
      </c>
      <c r="E10" s="52">
        <f t="shared" si="0"/>
        <v>112875.11</v>
      </c>
      <c r="F10" s="53">
        <f>C10+D10</f>
        <v>142870.91999999998</v>
      </c>
      <c r="G10" s="54"/>
    </row>
    <row r="11" spans="1:9" ht="32.25" customHeight="1" x14ac:dyDescent="0.25">
      <c r="A11" s="55" t="s">
        <v>1</v>
      </c>
      <c r="B11" s="253">
        <f>SUM(B4:B10)</f>
        <v>15617075</v>
      </c>
      <c r="C11" s="67">
        <f>SUM(C4:C10)</f>
        <v>11013984.16</v>
      </c>
      <c r="D11" s="56">
        <f>SUM(D4:D10)</f>
        <v>11847811.299999999</v>
      </c>
      <c r="E11" s="67">
        <f>SUM(E4:E10)</f>
        <v>4603090.8399999989</v>
      </c>
      <c r="F11" s="253">
        <f>SUM(F4:F10)</f>
        <v>22861795.460000005</v>
      </c>
      <c r="G11" s="54"/>
      <c r="H11" s="54"/>
    </row>
    <row r="12" spans="1:9" ht="132" x14ac:dyDescent="0.25">
      <c r="A12" s="57" t="s">
        <v>88</v>
      </c>
      <c r="B12" s="254">
        <f>D11-E11</f>
        <v>7244720.46</v>
      </c>
      <c r="C12" s="58"/>
      <c r="D12" s="58"/>
      <c r="E12" s="54"/>
      <c r="F12" s="54"/>
      <c r="G12" s="54"/>
      <c r="H12" s="58"/>
      <c r="I12" s="54"/>
    </row>
    <row r="13" spans="1:9" x14ac:dyDescent="0.25">
      <c r="E13" s="54"/>
      <c r="G13" s="54"/>
    </row>
    <row r="14" spans="1:9" ht="17.25" x14ac:dyDescent="0.25">
      <c r="A14" t="s">
        <v>87</v>
      </c>
      <c r="E14" s="54"/>
    </row>
    <row r="16" spans="1:9" ht="17.25" x14ac:dyDescent="0.25">
      <c r="A16" s="249" t="s">
        <v>139</v>
      </c>
    </row>
    <row r="18" spans="1:6" ht="33.75" customHeight="1" x14ac:dyDescent="0.25">
      <c r="A18" s="204"/>
      <c r="B18" s="204"/>
      <c r="C18" s="204"/>
      <c r="D18" s="204"/>
      <c r="E18" s="204"/>
      <c r="F18" s="204"/>
    </row>
    <row r="19" spans="1:6" x14ac:dyDescent="0.25">
      <c r="A19" s="119"/>
    </row>
    <row r="20" spans="1:6" x14ac:dyDescent="0.25">
      <c r="A20" s="119"/>
    </row>
    <row r="21" spans="1:6" x14ac:dyDescent="0.25">
      <c r="A21" s="119"/>
    </row>
  </sheetData>
  <mergeCells count="1">
    <mergeCell ref="A18:F1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85C4E-9080-478B-9C91-446289F3D23E}">
  <dimension ref="A1:P15"/>
  <sheetViews>
    <sheetView workbookViewId="0">
      <selection activeCell="E10" sqref="E10"/>
    </sheetView>
  </sheetViews>
  <sheetFormatPr defaultColWidth="8.7109375" defaultRowHeight="15" x14ac:dyDescent="0.25"/>
  <cols>
    <col min="1" max="1" width="30.28515625" style="3" bestFit="1" customWidth="1"/>
    <col min="2" max="14" width="14.7109375" style="3" customWidth="1"/>
    <col min="15" max="15" width="74.5703125" style="3" customWidth="1"/>
    <col min="16" max="16" width="15" style="3" customWidth="1"/>
    <col min="17" max="17" width="12.28515625" style="3" customWidth="1"/>
    <col min="18" max="16384" width="8.7109375" style="3"/>
  </cols>
  <sheetData>
    <row r="1" spans="1:16" x14ac:dyDescent="0.25">
      <c r="A1" s="1"/>
      <c r="B1" s="1"/>
      <c r="C1" s="1"/>
      <c r="D1" s="1"/>
      <c r="E1" s="1"/>
      <c r="F1" s="1"/>
      <c r="G1" s="1"/>
      <c r="H1" s="1"/>
      <c r="I1" s="1"/>
      <c r="J1" s="1"/>
      <c r="K1" s="1"/>
      <c r="L1" s="1"/>
      <c r="M1" s="1"/>
      <c r="N1" s="1"/>
      <c r="O1" s="2" t="s">
        <v>3</v>
      </c>
    </row>
    <row r="2" spans="1:16" ht="18.75" x14ac:dyDescent="0.3">
      <c r="A2" s="205" t="s">
        <v>4</v>
      </c>
      <c r="B2" s="205"/>
      <c r="C2" s="205"/>
      <c r="D2" s="205"/>
      <c r="E2" s="205"/>
      <c r="F2" s="205"/>
      <c r="G2" s="205"/>
      <c r="H2" s="205"/>
      <c r="I2" s="205"/>
      <c r="J2" s="205"/>
      <c r="K2" s="205"/>
      <c r="L2" s="205"/>
      <c r="M2" s="205"/>
      <c r="N2" s="205"/>
      <c r="O2" s="205"/>
    </row>
    <row r="3" spans="1:16" x14ac:dyDescent="0.25">
      <c r="A3" s="1"/>
      <c r="B3" s="1"/>
      <c r="C3" s="1"/>
      <c r="D3" s="1"/>
      <c r="E3" s="1"/>
      <c r="F3" s="1"/>
      <c r="G3" s="1"/>
      <c r="H3" s="1"/>
      <c r="I3" s="1"/>
      <c r="J3" s="1"/>
      <c r="K3" s="1"/>
      <c r="L3" s="1"/>
      <c r="M3" s="1"/>
      <c r="N3" s="1"/>
      <c r="O3" s="1"/>
    </row>
    <row r="4" spans="1:16" x14ac:dyDescent="0.25">
      <c r="A4" s="4" t="s">
        <v>5</v>
      </c>
      <c r="B4" s="5" t="s">
        <v>92</v>
      </c>
      <c r="C4" s="6" t="s">
        <v>28</v>
      </c>
      <c r="D4" s="6" t="s">
        <v>91</v>
      </c>
      <c r="E4" s="6" t="s">
        <v>91</v>
      </c>
      <c r="F4" s="6" t="s">
        <v>91</v>
      </c>
      <c r="G4" s="6" t="s">
        <v>91</v>
      </c>
      <c r="H4" s="6" t="s">
        <v>91</v>
      </c>
      <c r="I4" s="61" t="s">
        <v>91</v>
      </c>
      <c r="J4" s="68" t="s">
        <v>91</v>
      </c>
      <c r="K4" s="68" t="s">
        <v>91</v>
      </c>
      <c r="L4" s="68" t="s">
        <v>91</v>
      </c>
      <c r="M4" s="68" t="s">
        <v>91</v>
      </c>
      <c r="N4" s="68" t="s">
        <v>91</v>
      </c>
      <c r="O4" s="206" t="s">
        <v>6</v>
      </c>
    </row>
    <row r="5" spans="1:16" ht="51" x14ac:dyDescent="0.25">
      <c r="A5" s="4" t="s">
        <v>7</v>
      </c>
      <c r="B5" s="5" t="s">
        <v>95</v>
      </c>
      <c r="C5" s="6" t="s">
        <v>19</v>
      </c>
      <c r="D5" s="6" t="s">
        <v>8</v>
      </c>
      <c r="E5" s="6" t="s">
        <v>9</v>
      </c>
      <c r="F5" s="6" t="s">
        <v>10</v>
      </c>
      <c r="G5" s="6" t="s">
        <v>11</v>
      </c>
      <c r="H5" s="6" t="s">
        <v>12</v>
      </c>
      <c r="I5" s="61" t="s">
        <v>13</v>
      </c>
      <c r="J5" s="68" t="s">
        <v>14</v>
      </c>
      <c r="K5" s="68" t="s">
        <v>15</v>
      </c>
      <c r="L5" s="68" t="s">
        <v>16</v>
      </c>
      <c r="M5" s="68" t="s">
        <v>17</v>
      </c>
      <c r="N5" s="68" t="s">
        <v>18</v>
      </c>
      <c r="O5" s="207"/>
    </row>
    <row r="6" spans="1:16" x14ac:dyDescent="0.25">
      <c r="A6" s="7"/>
      <c r="B6" s="8" t="s">
        <v>20</v>
      </c>
      <c r="C6" s="9" t="s">
        <v>20</v>
      </c>
      <c r="D6" s="9" t="s">
        <v>20</v>
      </c>
      <c r="E6" s="9" t="s">
        <v>20</v>
      </c>
      <c r="F6" s="9" t="s">
        <v>20</v>
      </c>
      <c r="G6" s="9" t="s">
        <v>20</v>
      </c>
      <c r="H6" s="9" t="s">
        <v>20</v>
      </c>
      <c r="I6" s="75" t="s">
        <v>20</v>
      </c>
      <c r="J6" s="69" t="s">
        <v>20</v>
      </c>
      <c r="K6" s="69" t="s">
        <v>20</v>
      </c>
      <c r="L6" s="69" t="s">
        <v>20</v>
      </c>
      <c r="M6" s="69" t="s">
        <v>20</v>
      </c>
      <c r="N6" s="69" t="s">
        <v>20</v>
      </c>
      <c r="O6" s="207"/>
    </row>
    <row r="7" spans="1:16" ht="63.75" x14ac:dyDescent="0.25">
      <c r="A7" s="10" t="s">
        <v>21</v>
      </c>
      <c r="B7" s="5" t="s">
        <v>111</v>
      </c>
      <c r="C7" s="6" t="s">
        <v>93</v>
      </c>
      <c r="D7" s="6" t="s">
        <v>93</v>
      </c>
      <c r="E7" s="6" t="s">
        <v>93</v>
      </c>
      <c r="F7" s="6" t="s">
        <v>93</v>
      </c>
      <c r="G7" s="6" t="s">
        <v>93</v>
      </c>
      <c r="H7" s="6" t="s">
        <v>93</v>
      </c>
      <c r="I7" s="61" t="s">
        <v>23</v>
      </c>
      <c r="J7" s="68" t="s">
        <v>23</v>
      </c>
      <c r="K7" s="68" t="s">
        <v>23</v>
      </c>
      <c r="L7" s="68" t="s">
        <v>23</v>
      </c>
      <c r="M7" s="68" t="s">
        <v>23</v>
      </c>
      <c r="N7" s="68" t="s">
        <v>23</v>
      </c>
      <c r="O7" s="207"/>
    </row>
    <row r="8" spans="1:16" x14ac:dyDescent="0.25">
      <c r="A8" s="11">
        <v>1</v>
      </c>
      <c r="B8" s="12">
        <v>2</v>
      </c>
      <c r="C8" s="12">
        <v>3</v>
      </c>
      <c r="D8" s="12">
        <v>4</v>
      </c>
      <c r="E8" s="12">
        <v>5</v>
      </c>
      <c r="F8" s="12">
        <v>6</v>
      </c>
      <c r="G8" s="12">
        <v>7</v>
      </c>
      <c r="H8" s="12">
        <v>8</v>
      </c>
      <c r="I8" s="63">
        <v>9</v>
      </c>
      <c r="J8" s="70">
        <v>10</v>
      </c>
      <c r="K8" s="70">
        <v>11</v>
      </c>
      <c r="L8" s="70">
        <v>12</v>
      </c>
      <c r="M8" s="70">
        <v>13</v>
      </c>
      <c r="N8" s="70">
        <v>14</v>
      </c>
      <c r="O8" s="13">
        <v>15</v>
      </c>
    </row>
    <row r="9" spans="1:16" x14ac:dyDescent="0.25">
      <c r="A9" s="14" t="s">
        <v>24</v>
      </c>
      <c r="B9" s="15">
        <f>SUM(C9:N9)</f>
        <v>3409583.95</v>
      </c>
      <c r="C9" s="120">
        <v>320661.24</v>
      </c>
      <c r="D9" s="120">
        <v>298449.19</v>
      </c>
      <c r="E9" s="120">
        <v>253712.37</v>
      </c>
      <c r="F9" s="121">
        <v>284146.61</v>
      </c>
      <c r="G9" s="120">
        <v>281831.15000000002</v>
      </c>
      <c r="H9" s="120">
        <v>297022.39</v>
      </c>
      <c r="I9" s="122">
        <v>248761</v>
      </c>
      <c r="J9" s="71">
        <v>285000</v>
      </c>
      <c r="K9" s="71">
        <v>285000</v>
      </c>
      <c r="L9" s="71">
        <v>285000</v>
      </c>
      <c r="M9" s="71">
        <v>285000</v>
      </c>
      <c r="N9" s="71">
        <v>285000</v>
      </c>
      <c r="O9" s="208" t="s">
        <v>112</v>
      </c>
    </row>
    <row r="10" spans="1:16" ht="30" customHeight="1" x14ac:dyDescent="0.25">
      <c r="A10" s="16" t="s">
        <v>25</v>
      </c>
      <c r="B10" s="15">
        <f>SUM(C10:N10)</f>
        <v>360966.42</v>
      </c>
      <c r="C10" s="120">
        <v>28593.9</v>
      </c>
      <c r="D10" s="120">
        <v>23813.11</v>
      </c>
      <c r="E10" s="120">
        <v>13283.9</v>
      </c>
      <c r="F10" s="120">
        <v>35331.25</v>
      </c>
      <c r="G10" s="120">
        <v>41959.14</v>
      </c>
      <c r="H10" s="120">
        <v>42209.120000000003</v>
      </c>
      <c r="I10" s="122">
        <v>15776</v>
      </c>
      <c r="J10" s="71">
        <v>32000</v>
      </c>
      <c r="K10" s="71">
        <v>32000</v>
      </c>
      <c r="L10" s="71">
        <v>32000</v>
      </c>
      <c r="M10" s="71">
        <v>32000</v>
      </c>
      <c r="N10" s="71">
        <v>32000</v>
      </c>
      <c r="O10" s="209"/>
      <c r="P10" s="17"/>
    </row>
    <row r="11" spans="1:16" ht="30.75" customHeight="1" x14ac:dyDescent="0.25">
      <c r="A11" s="16" t="s">
        <v>26</v>
      </c>
      <c r="B11" s="15">
        <f>SUM(C11:N11)</f>
        <v>3770550.37</v>
      </c>
      <c r="C11" s="15">
        <f>SUM(C9,C10)</f>
        <v>349255.14</v>
      </c>
      <c r="D11" s="15">
        <f>SUM(D9,D10)</f>
        <v>322262.3</v>
      </c>
      <c r="E11" s="15">
        <f t="shared" ref="E11:N11" si="0">SUM(E9,E10)</f>
        <v>266996.27</v>
      </c>
      <c r="F11" s="15">
        <f t="shared" si="0"/>
        <v>319477.86</v>
      </c>
      <c r="G11" s="15">
        <f t="shared" si="0"/>
        <v>323790.29000000004</v>
      </c>
      <c r="H11" s="15">
        <f t="shared" si="0"/>
        <v>339231.51</v>
      </c>
      <c r="I11" s="76">
        <f t="shared" si="0"/>
        <v>264537</v>
      </c>
      <c r="J11" s="72">
        <f t="shared" si="0"/>
        <v>317000</v>
      </c>
      <c r="K11" s="72">
        <f t="shared" si="0"/>
        <v>317000</v>
      </c>
      <c r="L11" s="72">
        <f t="shared" si="0"/>
        <v>317000</v>
      </c>
      <c r="M11" s="72">
        <f t="shared" si="0"/>
        <v>317000</v>
      </c>
      <c r="N11" s="72">
        <f t="shared" si="0"/>
        <v>317000</v>
      </c>
      <c r="O11" s="210"/>
    </row>
    <row r="13" spans="1:16" x14ac:dyDescent="0.25">
      <c r="B13" s="18"/>
      <c r="C13" s="18"/>
      <c r="D13" s="18"/>
      <c r="H13" s="18"/>
      <c r="J13" s="18"/>
    </row>
    <row r="14" spans="1:16" x14ac:dyDescent="0.25">
      <c r="H14" s="18"/>
      <c r="J14" s="18"/>
    </row>
    <row r="15" spans="1:16" x14ac:dyDescent="0.25">
      <c r="J15" s="18"/>
    </row>
  </sheetData>
  <mergeCells count="3">
    <mergeCell ref="A2:O2"/>
    <mergeCell ref="O4:O7"/>
    <mergeCell ref="O9:O11"/>
  </mergeCells>
  <phoneticPr fontId="45"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79185-BD4E-42D9-B769-E55E21525EE7}">
  <dimension ref="A1:AH32"/>
  <sheetViews>
    <sheetView topLeftCell="A8" workbookViewId="0">
      <selection activeCell="S10" sqref="S10"/>
    </sheetView>
  </sheetViews>
  <sheetFormatPr defaultColWidth="9.42578125" defaultRowHeight="15" x14ac:dyDescent="0.25"/>
  <cols>
    <col min="1" max="1" width="68.28515625" style="23" customWidth="1"/>
    <col min="2" max="2" width="8.42578125" style="23" customWidth="1"/>
    <col min="3" max="3" width="13.85546875" style="23" customWidth="1"/>
    <col min="4" max="4" width="8.42578125" style="23" customWidth="1"/>
    <col min="5" max="5" width="13.85546875" style="23" customWidth="1"/>
    <col min="6" max="6" width="8.42578125" style="23" customWidth="1"/>
    <col min="7" max="7" width="13.85546875" style="23" customWidth="1"/>
    <col min="8" max="8" width="8.42578125" style="23" customWidth="1"/>
    <col min="9" max="9" width="13.85546875" style="23" customWidth="1"/>
    <col min="10" max="10" width="8.42578125" style="186" customWidth="1"/>
    <col min="11" max="11" width="13.85546875" style="19" customWidth="1"/>
    <col min="12" max="12" width="8.42578125" style="19" customWidth="1"/>
    <col min="13" max="13" width="13.85546875" style="19" customWidth="1"/>
    <col min="14" max="14" width="8.42578125" style="128" customWidth="1"/>
    <col min="15" max="15" width="13.85546875" style="128" customWidth="1"/>
    <col min="16" max="16" width="8.42578125" style="19" customWidth="1"/>
    <col min="17" max="17" width="13.85546875" style="19" customWidth="1"/>
    <col min="18" max="18" width="8.42578125" style="19" customWidth="1"/>
    <col min="19" max="19" width="13.85546875" style="19" customWidth="1"/>
    <col min="20" max="20" width="8.42578125" style="19" customWidth="1"/>
    <col min="21" max="21" width="13.85546875" style="19" customWidth="1"/>
    <col min="22" max="22" width="8.42578125" style="19" customWidth="1"/>
    <col min="23" max="23" width="13.85546875" style="19" customWidth="1"/>
    <col min="24" max="24" width="8.42578125" style="19" customWidth="1"/>
    <col min="25" max="25" width="13.85546875" style="19" customWidth="1"/>
    <col min="26" max="26" width="8.42578125" style="19" customWidth="1"/>
    <col min="27" max="27" width="13.85546875" style="19" customWidth="1"/>
    <col min="28" max="28" width="8.42578125" style="19" customWidth="1"/>
    <col min="29" max="29" width="13.85546875" style="19" customWidth="1"/>
    <col min="30" max="30" width="8.42578125" style="19" customWidth="1"/>
    <col min="31" max="32" width="13.85546875" style="19" customWidth="1"/>
    <col min="33" max="33" width="16.5703125" style="128" customWidth="1"/>
    <col min="34" max="34" width="29.7109375" style="19" customWidth="1"/>
    <col min="35" max="272" width="9.42578125" style="19"/>
    <col min="273" max="273" width="21.5703125" style="19" customWidth="1"/>
    <col min="274" max="274" width="10.42578125" style="19" customWidth="1"/>
    <col min="275" max="275" width="14.42578125" style="19" customWidth="1"/>
    <col min="276" max="276" width="10.42578125" style="19" customWidth="1"/>
    <col min="277" max="277" width="14.42578125" style="19" customWidth="1"/>
    <col min="278" max="278" width="10.42578125" style="19" customWidth="1"/>
    <col min="279" max="280" width="14.42578125" style="19" customWidth="1"/>
    <col min="281" max="281" width="48.5703125" style="19" customWidth="1"/>
    <col min="282" max="282" width="45.5703125" style="19" customWidth="1"/>
    <col min="283" max="528" width="9.42578125" style="19"/>
    <col min="529" max="529" width="21.5703125" style="19" customWidth="1"/>
    <col min="530" max="530" width="10.42578125" style="19" customWidth="1"/>
    <col min="531" max="531" width="14.42578125" style="19" customWidth="1"/>
    <col min="532" max="532" width="10.42578125" style="19" customWidth="1"/>
    <col min="533" max="533" width="14.42578125" style="19" customWidth="1"/>
    <col min="534" max="534" width="10.42578125" style="19" customWidth="1"/>
    <col min="535" max="536" width="14.42578125" style="19" customWidth="1"/>
    <col min="537" max="537" width="48.5703125" style="19" customWidth="1"/>
    <col min="538" max="538" width="45.5703125" style="19" customWidth="1"/>
    <col min="539" max="784" width="9.42578125" style="19"/>
    <col min="785" max="785" width="21.5703125" style="19" customWidth="1"/>
    <col min="786" max="786" width="10.42578125" style="19" customWidth="1"/>
    <col min="787" max="787" width="14.42578125" style="19" customWidth="1"/>
    <col min="788" max="788" width="10.42578125" style="19" customWidth="1"/>
    <col min="789" max="789" width="14.42578125" style="19" customWidth="1"/>
    <col min="790" max="790" width="10.42578125" style="19" customWidth="1"/>
    <col min="791" max="792" width="14.42578125" style="19" customWidth="1"/>
    <col min="793" max="793" width="48.5703125" style="19" customWidth="1"/>
    <col min="794" max="794" width="45.5703125" style="19" customWidth="1"/>
    <col min="795" max="1040" width="9.42578125" style="19"/>
    <col min="1041" max="1041" width="21.5703125" style="19" customWidth="1"/>
    <col min="1042" max="1042" width="10.42578125" style="19" customWidth="1"/>
    <col min="1043" max="1043" width="14.42578125" style="19" customWidth="1"/>
    <col min="1044" max="1044" width="10.42578125" style="19" customWidth="1"/>
    <col min="1045" max="1045" width="14.42578125" style="19" customWidth="1"/>
    <col min="1046" max="1046" width="10.42578125" style="19" customWidth="1"/>
    <col min="1047" max="1048" width="14.42578125" style="19" customWidth="1"/>
    <col min="1049" max="1049" width="48.5703125" style="19" customWidth="1"/>
    <col min="1050" max="1050" width="45.5703125" style="19" customWidth="1"/>
    <col min="1051" max="1296" width="9.42578125" style="19"/>
    <col min="1297" max="1297" width="21.5703125" style="19" customWidth="1"/>
    <col min="1298" max="1298" width="10.42578125" style="19" customWidth="1"/>
    <col min="1299" max="1299" width="14.42578125" style="19" customWidth="1"/>
    <col min="1300" max="1300" width="10.42578125" style="19" customWidth="1"/>
    <col min="1301" max="1301" width="14.42578125" style="19" customWidth="1"/>
    <col min="1302" max="1302" width="10.42578125" style="19" customWidth="1"/>
    <col min="1303" max="1304" width="14.42578125" style="19" customWidth="1"/>
    <col min="1305" max="1305" width="48.5703125" style="19" customWidth="1"/>
    <col min="1306" max="1306" width="45.5703125" style="19" customWidth="1"/>
    <col min="1307" max="1552" width="9.42578125" style="19"/>
    <col min="1553" max="1553" width="21.5703125" style="19" customWidth="1"/>
    <col min="1554" max="1554" width="10.42578125" style="19" customWidth="1"/>
    <col min="1555" max="1555" width="14.42578125" style="19" customWidth="1"/>
    <col min="1556" max="1556" width="10.42578125" style="19" customWidth="1"/>
    <col min="1557" max="1557" width="14.42578125" style="19" customWidth="1"/>
    <col min="1558" max="1558" width="10.42578125" style="19" customWidth="1"/>
    <col min="1559" max="1560" width="14.42578125" style="19" customWidth="1"/>
    <col min="1561" max="1561" width="48.5703125" style="19" customWidth="1"/>
    <col min="1562" max="1562" width="45.5703125" style="19" customWidth="1"/>
    <col min="1563" max="1808" width="9.42578125" style="19"/>
    <col min="1809" max="1809" width="21.5703125" style="19" customWidth="1"/>
    <col min="1810" max="1810" width="10.42578125" style="19" customWidth="1"/>
    <col min="1811" max="1811" width="14.42578125" style="19" customWidth="1"/>
    <col min="1812" max="1812" width="10.42578125" style="19" customWidth="1"/>
    <col min="1813" max="1813" width="14.42578125" style="19" customWidth="1"/>
    <col min="1814" max="1814" width="10.42578125" style="19" customWidth="1"/>
    <col min="1815" max="1816" width="14.42578125" style="19" customWidth="1"/>
    <col min="1817" max="1817" width="48.5703125" style="19" customWidth="1"/>
    <col min="1818" max="1818" width="45.5703125" style="19" customWidth="1"/>
    <col min="1819" max="2064" width="9.42578125" style="19"/>
    <col min="2065" max="2065" width="21.5703125" style="19" customWidth="1"/>
    <col min="2066" max="2066" width="10.42578125" style="19" customWidth="1"/>
    <col min="2067" max="2067" width="14.42578125" style="19" customWidth="1"/>
    <col min="2068" max="2068" width="10.42578125" style="19" customWidth="1"/>
    <col min="2069" max="2069" width="14.42578125" style="19" customWidth="1"/>
    <col min="2070" max="2070" width="10.42578125" style="19" customWidth="1"/>
    <col min="2071" max="2072" width="14.42578125" style="19" customWidth="1"/>
    <col min="2073" max="2073" width="48.5703125" style="19" customWidth="1"/>
    <col min="2074" max="2074" width="45.5703125" style="19" customWidth="1"/>
    <col min="2075" max="2320" width="9.42578125" style="19"/>
    <col min="2321" max="2321" width="21.5703125" style="19" customWidth="1"/>
    <col min="2322" max="2322" width="10.42578125" style="19" customWidth="1"/>
    <col min="2323" max="2323" width="14.42578125" style="19" customWidth="1"/>
    <col min="2324" max="2324" width="10.42578125" style="19" customWidth="1"/>
    <col min="2325" max="2325" width="14.42578125" style="19" customWidth="1"/>
    <col min="2326" max="2326" width="10.42578125" style="19" customWidth="1"/>
    <col min="2327" max="2328" width="14.42578125" style="19" customWidth="1"/>
    <col min="2329" max="2329" width="48.5703125" style="19" customWidth="1"/>
    <col min="2330" max="2330" width="45.5703125" style="19" customWidth="1"/>
    <col min="2331" max="2576" width="9.42578125" style="19"/>
    <col min="2577" max="2577" width="21.5703125" style="19" customWidth="1"/>
    <col min="2578" max="2578" width="10.42578125" style="19" customWidth="1"/>
    <col min="2579" max="2579" width="14.42578125" style="19" customWidth="1"/>
    <col min="2580" max="2580" width="10.42578125" style="19" customWidth="1"/>
    <col min="2581" max="2581" width="14.42578125" style="19" customWidth="1"/>
    <col min="2582" max="2582" width="10.42578125" style="19" customWidth="1"/>
    <col min="2583" max="2584" width="14.42578125" style="19" customWidth="1"/>
    <col min="2585" max="2585" width="48.5703125" style="19" customWidth="1"/>
    <col min="2586" max="2586" width="45.5703125" style="19" customWidth="1"/>
    <col min="2587" max="2832" width="9.42578125" style="19"/>
    <col min="2833" max="2833" width="21.5703125" style="19" customWidth="1"/>
    <col min="2834" max="2834" width="10.42578125" style="19" customWidth="1"/>
    <col min="2835" max="2835" width="14.42578125" style="19" customWidth="1"/>
    <col min="2836" max="2836" width="10.42578125" style="19" customWidth="1"/>
    <col min="2837" max="2837" width="14.42578125" style="19" customWidth="1"/>
    <col min="2838" max="2838" width="10.42578125" style="19" customWidth="1"/>
    <col min="2839" max="2840" width="14.42578125" style="19" customWidth="1"/>
    <col min="2841" max="2841" width="48.5703125" style="19" customWidth="1"/>
    <col min="2842" max="2842" width="45.5703125" style="19" customWidth="1"/>
    <col min="2843" max="3088" width="9.42578125" style="19"/>
    <col min="3089" max="3089" width="21.5703125" style="19" customWidth="1"/>
    <col min="3090" max="3090" width="10.42578125" style="19" customWidth="1"/>
    <col min="3091" max="3091" width="14.42578125" style="19" customWidth="1"/>
    <col min="3092" max="3092" width="10.42578125" style="19" customWidth="1"/>
    <col min="3093" max="3093" width="14.42578125" style="19" customWidth="1"/>
    <col min="3094" max="3094" width="10.42578125" style="19" customWidth="1"/>
    <col min="3095" max="3096" width="14.42578125" style="19" customWidth="1"/>
    <col min="3097" max="3097" width="48.5703125" style="19" customWidth="1"/>
    <col min="3098" max="3098" width="45.5703125" style="19" customWidth="1"/>
    <col min="3099" max="3344" width="9.42578125" style="19"/>
    <col min="3345" max="3345" width="21.5703125" style="19" customWidth="1"/>
    <col min="3346" max="3346" width="10.42578125" style="19" customWidth="1"/>
    <col min="3347" max="3347" width="14.42578125" style="19" customWidth="1"/>
    <col min="3348" max="3348" width="10.42578125" style="19" customWidth="1"/>
    <col min="3349" max="3349" width="14.42578125" style="19" customWidth="1"/>
    <col min="3350" max="3350" width="10.42578125" style="19" customWidth="1"/>
    <col min="3351" max="3352" width="14.42578125" style="19" customWidth="1"/>
    <col min="3353" max="3353" width="48.5703125" style="19" customWidth="1"/>
    <col min="3354" max="3354" width="45.5703125" style="19" customWidth="1"/>
    <col min="3355" max="3600" width="9.42578125" style="19"/>
    <col min="3601" max="3601" width="21.5703125" style="19" customWidth="1"/>
    <col min="3602" max="3602" width="10.42578125" style="19" customWidth="1"/>
    <col min="3603" max="3603" width="14.42578125" style="19" customWidth="1"/>
    <col min="3604" max="3604" width="10.42578125" style="19" customWidth="1"/>
    <col min="3605" max="3605" width="14.42578125" style="19" customWidth="1"/>
    <col min="3606" max="3606" width="10.42578125" style="19" customWidth="1"/>
    <col min="3607" max="3608" width="14.42578125" style="19" customWidth="1"/>
    <col min="3609" max="3609" width="48.5703125" style="19" customWidth="1"/>
    <col min="3610" max="3610" width="45.5703125" style="19" customWidth="1"/>
    <col min="3611" max="3856" width="9.42578125" style="19"/>
    <col min="3857" max="3857" width="21.5703125" style="19" customWidth="1"/>
    <col min="3858" max="3858" width="10.42578125" style="19" customWidth="1"/>
    <col min="3859" max="3859" width="14.42578125" style="19" customWidth="1"/>
    <col min="3860" max="3860" width="10.42578125" style="19" customWidth="1"/>
    <col min="3861" max="3861" width="14.42578125" style="19" customWidth="1"/>
    <col min="3862" max="3862" width="10.42578125" style="19" customWidth="1"/>
    <col min="3863" max="3864" width="14.42578125" style="19" customWidth="1"/>
    <col min="3865" max="3865" width="48.5703125" style="19" customWidth="1"/>
    <col min="3866" max="3866" width="45.5703125" style="19" customWidth="1"/>
    <col min="3867" max="4112" width="9.42578125" style="19"/>
    <col min="4113" max="4113" width="21.5703125" style="19" customWidth="1"/>
    <col min="4114" max="4114" width="10.42578125" style="19" customWidth="1"/>
    <col min="4115" max="4115" width="14.42578125" style="19" customWidth="1"/>
    <col min="4116" max="4116" width="10.42578125" style="19" customWidth="1"/>
    <col min="4117" max="4117" width="14.42578125" style="19" customWidth="1"/>
    <col min="4118" max="4118" width="10.42578125" style="19" customWidth="1"/>
    <col min="4119" max="4120" width="14.42578125" style="19" customWidth="1"/>
    <col min="4121" max="4121" width="48.5703125" style="19" customWidth="1"/>
    <col min="4122" max="4122" width="45.5703125" style="19" customWidth="1"/>
    <col min="4123" max="4368" width="9.42578125" style="19"/>
    <col min="4369" max="4369" width="21.5703125" style="19" customWidth="1"/>
    <col min="4370" max="4370" width="10.42578125" style="19" customWidth="1"/>
    <col min="4371" max="4371" width="14.42578125" style="19" customWidth="1"/>
    <col min="4372" max="4372" width="10.42578125" style="19" customWidth="1"/>
    <col min="4373" max="4373" width="14.42578125" style="19" customWidth="1"/>
    <col min="4374" max="4374" width="10.42578125" style="19" customWidth="1"/>
    <col min="4375" max="4376" width="14.42578125" style="19" customWidth="1"/>
    <col min="4377" max="4377" width="48.5703125" style="19" customWidth="1"/>
    <col min="4378" max="4378" width="45.5703125" style="19" customWidth="1"/>
    <col min="4379" max="4624" width="9.42578125" style="19"/>
    <col min="4625" max="4625" width="21.5703125" style="19" customWidth="1"/>
    <col min="4626" max="4626" width="10.42578125" style="19" customWidth="1"/>
    <col min="4627" max="4627" width="14.42578125" style="19" customWidth="1"/>
    <col min="4628" max="4628" width="10.42578125" style="19" customWidth="1"/>
    <col min="4629" max="4629" width="14.42578125" style="19" customWidth="1"/>
    <col min="4630" max="4630" width="10.42578125" style="19" customWidth="1"/>
    <col min="4631" max="4632" width="14.42578125" style="19" customWidth="1"/>
    <col min="4633" max="4633" width="48.5703125" style="19" customWidth="1"/>
    <col min="4634" max="4634" width="45.5703125" style="19" customWidth="1"/>
    <col min="4635" max="4880" width="9.42578125" style="19"/>
    <col min="4881" max="4881" width="21.5703125" style="19" customWidth="1"/>
    <col min="4882" max="4882" width="10.42578125" style="19" customWidth="1"/>
    <col min="4883" max="4883" width="14.42578125" style="19" customWidth="1"/>
    <col min="4884" max="4884" width="10.42578125" style="19" customWidth="1"/>
    <col min="4885" max="4885" width="14.42578125" style="19" customWidth="1"/>
    <col min="4886" max="4886" width="10.42578125" style="19" customWidth="1"/>
    <col min="4887" max="4888" width="14.42578125" style="19" customWidth="1"/>
    <col min="4889" max="4889" width="48.5703125" style="19" customWidth="1"/>
    <col min="4890" max="4890" width="45.5703125" style="19" customWidth="1"/>
    <col min="4891" max="5136" width="9.42578125" style="19"/>
    <col min="5137" max="5137" width="21.5703125" style="19" customWidth="1"/>
    <col min="5138" max="5138" width="10.42578125" style="19" customWidth="1"/>
    <col min="5139" max="5139" width="14.42578125" style="19" customWidth="1"/>
    <col min="5140" max="5140" width="10.42578125" style="19" customWidth="1"/>
    <col min="5141" max="5141" width="14.42578125" style="19" customWidth="1"/>
    <col min="5142" max="5142" width="10.42578125" style="19" customWidth="1"/>
    <col min="5143" max="5144" width="14.42578125" style="19" customWidth="1"/>
    <col min="5145" max="5145" width="48.5703125" style="19" customWidth="1"/>
    <col min="5146" max="5146" width="45.5703125" style="19" customWidth="1"/>
    <col min="5147" max="5392" width="9.42578125" style="19"/>
    <col min="5393" max="5393" width="21.5703125" style="19" customWidth="1"/>
    <col min="5394" max="5394" width="10.42578125" style="19" customWidth="1"/>
    <col min="5395" max="5395" width="14.42578125" style="19" customWidth="1"/>
    <col min="5396" max="5396" width="10.42578125" style="19" customWidth="1"/>
    <col min="5397" max="5397" width="14.42578125" style="19" customWidth="1"/>
    <col min="5398" max="5398" width="10.42578125" style="19" customWidth="1"/>
    <col min="5399" max="5400" width="14.42578125" style="19" customWidth="1"/>
    <col min="5401" max="5401" width="48.5703125" style="19" customWidth="1"/>
    <col min="5402" max="5402" width="45.5703125" style="19" customWidth="1"/>
    <col min="5403" max="5648" width="9.42578125" style="19"/>
    <col min="5649" max="5649" width="21.5703125" style="19" customWidth="1"/>
    <col min="5650" max="5650" width="10.42578125" style="19" customWidth="1"/>
    <col min="5651" max="5651" width="14.42578125" style="19" customWidth="1"/>
    <col min="5652" max="5652" width="10.42578125" style="19" customWidth="1"/>
    <col min="5653" max="5653" width="14.42578125" style="19" customWidth="1"/>
    <col min="5654" max="5654" width="10.42578125" style="19" customWidth="1"/>
    <col min="5655" max="5656" width="14.42578125" style="19" customWidth="1"/>
    <col min="5657" max="5657" width="48.5703125" style="19" customWidth="1"/>
    <col min="5658" max="5658" width="45.5703125" style="19" customWidth="1"/>
    <col min="5659" max="5904" width="9.42578125" style="19"/>
    <col min="5905" max="5905" width="21.5703125" style="19" customWidth="1"/>
    <col min="5906" max="5906" width="10.42578125" style="19" customWidth="1"/>
    <col min="5907" max="5907" width="14.42578125" style="19" customWidth="1"/>
    <col min="5908" max="5908" width="10.42578125" style="19" customWidth="1"/>
    <col min="5909" max="5909" width="14.42578125" style="19" customWidth="1"/>
    <col min="5910" max="5910" width="10.42578125" style="19" customWidth="1"/>
    <col min="5911" max="5912" width="14.42578125" style="19" customWidth="1"/>
    <col min="5913" max="5913" width="48.5703125" style="19" customWidth="1"/>
    <col min="5914" max="5914" width="45.5703125" style="19" customWidth="1"/>
    <col min="5915" max="6160" width="9.42578125" style="19"/>
    <col min="6161" max="6161" width="21.5703125" style="19" customWidth="1"/>
    <col min="6162" max="6162" width="10.42578125" style="19" customWidth="1"/>
    <col min="6163" max="6163" width="14.42578125" style="19" customWidth="1"/>
    <col min="6164" max="6164" width="10.42578125" style="19" customWidth="1"/>
    <col min="6165" max="6165" width="14.42578125" style="19" customWidth="1"/>
    <col min="6166" max="6166" width="10.42578125" style="19" customWidth="1"/>
    <col min="6167" max="6168" width="14.42578125" style="19" customWidth="1"/>
    <col min="6169" max="6169" width="48.5703125" style="19" customWidth="1"/>
    <col min="6170" max="6170" width="45.5703125" style="19" customWidth="1"/>
    <col min="6171" max="6416" width="9.42578125" style="19"/>
    <col min="6417" max="6417" width="21.5703125" style="19" customWidth="1"/>
    <col min="6418" max="6418" width="10.42578125" style="19" customWidth="1"/>
    <col min="6419" max="6419" width="14.42578125" style="19" customWidth="1"/>
    <col min="6420" max="6420" width="10.42578125" style="19" customWidth="1"/>
    <col min="6421" max="6421" width="14.42578125" style="19" customWidth="1"/>
    <col min="6422" max="6422" width="10.42578125" style="19" customWidth="1"/>
    <col min="6423" max="6424" width="14.42578125" style="19" customWidth="1"/>
    <col min="6425" max="6425" width="48.5703125" style="19" customWidth="1"/>
    <col min="6426" max="6426" width="45.5703125" style="19" customWidth="1"/>
    <col min="6427" max="6672" width="9.42578125" style="19"/>
    <col min="6673" max="6673" width="21.5703125" style="19" customWidth="1"/>
    <col min="6674" max="6674" width="10.42578125" style="19" customWidth="1"/>
    <col min="6675" max="6675" width="14.42578125" style="19" customWidth="1"/>
    <col min="6676" max="6676" width="10.42578125" style="19" customWidth="1"/>
    <col min="6677" max="6677" width="14.42578125" style="19" customWidth="1"/>
    <col min="6678" max="6678" width="10.42578125" style="19" customWidth="1"/>
    <col min="6679" max="6680" width="14.42578125" style="19" customWidth="1"/>
    <col min="6681" max="6681" width="48.5703125" style="19" customWidth="1"/>
    <col min="6682" max="6682" width="45.5703125" style="19" customWidth="1"/>
    <col min="6683" max="6928" width="9.42578125" style="19"/>
    <col min="6929" max="6929" width="21.5703125" style="19" customWidth="1"/>
    <col min="6930" max="6930" width="10.42578125" style="19" customWidth="1"/>
    <col min="6931" max="6931" width="14.42578125" style="19" customWidth="1"/>
    <col min="6932" max="6932" width="10.42578125" style="19" customWidth="1"/>
    <col min="6933" max="6933" width="14.42578125" style="19" customWidth="1"/>
    <col min="6934" max="6934" width="10.42578125" style="19" customWidth="1"/>
    <col min="6935" max="6936" width="14.42578125" style="19" customWidth="1"/>
    <col min="6937" max="6937" width="48.5703125" style="19" customWidth="1"/>
    <col min="6938" max="6938" width="45.5703125" style="19" customWidth="1"/>
    <col min="6939" max="7184" width="9.42578125" style="19"/>
    <col min="7185" max="7185" width="21.5703125" style="19" customWidth="1"/>
    <col min="7186" max="7186" width="10.42578125" style="19" customWidth="1"/>
    <col min="7187" max="7187" width="14.42578125" style="19" customWidth="1"/>
    <col min="7188" max="7188" width="10.42578125" style="19" customWidth="1"/>
    <col min="7189" max="7189" width="14.42578125" style="19" customWidth="1"/>
    <col min="7190" max="7190" width="10.42578125" style="19" customWidth="1"/>
    <col min="7191" max="7192" width="14.42578125" style="19" customWidth="1"/>
    <col min="7193" max="7193" width="48.5703125" style="19" customWidth="1"/>
    <col min="7194" max="7194" width="45.5703125" style="19" customWidth="1"/>
    <col min="7195" max="7440" width="9.42578125" style="19"/>
    <col min="7441" max="7441" width="21.5703125" style="19" customWidth="1"/>
    <col min="7442" max="7442" width="10.42578125" style="19" customWidth="1"/>
    <col min="7443" max="7443" width="14.42578125" style="19" customWidth="1"/>
    <col min="7444" max="7444" width="10.42578125" style="19" customWidth="1"/>
    <col min="7445" max="7445" width="14.42578125" style="19" customWidth="1"/>
    <col min="7446" max="7446" width="10.42578125" style="19" customWidth="1"/>
    <col min="7447" max="7448" width="14.42578125" style="19" customWidth="1"/>
    <col min="7449" max="7449" width="48.5703125" style="19" customWidth="1"/>
    <col min="7450" max="7450" width="45.5703125" style="19" customWidth="1"/>
    <col min="7451" max="7696" width="9.42578125" style="19"/>
    <col min="7697" max="7697" width="21.5703125" style="19" customWidth="1"/>
    <col min="7698" max="7698" width="10.42578125" style="19" customWidth="1"/>
    <col min="7699" max="7699" width="14.42578125" style="19" customWidth="1"/>
    <col min="7700" max="7700" width="10.42578125" style="19" customWidth="1"/>
    <col min="7701" max="7701" width="14.42578125" style="19" customWidth="1"/>
    <col min="7702" max="7702" width="10.42578125" style="19" customWidth="1"/>
    <col min="7703" max="7704" width="14.42578125" style="19" customWidth="1"/>
    <col min="7705" max="7705" width="48.5703125" style="19" customWidth="1"/>
    <col min="7706" max="7706" width="45.5703125" style="19" customWidth="1"/>
    <col min="7707" max="7952" width="9.42578125" style="19"/>
    <col min="7953" max="7953" width="21.5703125" style="19" customWidth="1"/>
    <col min="7954" max="7954" width="10.42578125" style="19" customWidth="1"/>
    <col min="7955" max="7955" width="14.42578125" style="19" customWidth="1"/>
    <col min="7956" max="7956" width="10.42578125" style="19" customWidth="1"/>
    <col min="7957" max="7957" width="14.42578125" style="19" customWidth="1"/>
    <col min="7958" max="7958" width="10.42578125" style="19" customWidth="1"/>
    <col min="7959" max="7960" width="14.42578125" style="19" customWidth="1"/>
    <col min="7961" max="7961" width="48.5703125" style="19" customWidth="1"/>
    <col min="7962" max="7962" width="45.5703125" style="19" customWidth="1"/>
    <col min="7963" max="8208" width="9.42578125" style="19"/>
    <col min="8209" max="8209" width="21.5703125" style="19" customWidth="1"/>
    <col min="8210" max="8210" width="10.42578125" style="19" customWidth="1"/>
    <col min="8211" max="8211" width="14.42578125" style="19" customWidth="1"/>
    <col min="8212" max="8212" width="10.42578125" style="19" customWidth="1"/>
    <col min="8213" max="8213" width="14.42578125" style="19" customWidth="1"/>
    <col min="8214" max="8214" width="10.42578125" style="19" customWidth="1"/>
    <col min="8215" max="8216" width="14.42578125" style="19" customWidth="1"/>
    <col min="8217" max="8217" width="48.5703125" style="19" customWidth="1"/>
    <col min="8218" max="8218" width="45.5703125" style="19" customWidth="1"/>
    <col min="8219" max="8464" width="9.42578125" style="19"/>
    <col min="8465" max="8465" width="21.5703125" style="19" customWidth="1"/>
    <col min="8466" max="8466" width="10.42578125" style="19" customWidth="1"/>
    <col min="8467" max="8467" width="14.42578125" style="19" customWidth="1"/>
    <col min="8468" max="8468" width="10.42578125" style="19" customWidth="1"/>
    <col min="8469" max="8469" width="14.42578125" style="19" customWidth="1"/>
    <col min="8470" max="8470" width="10.42578125" style="19" customWidth="1"/>
    <col min="8471" max="8472" width="14.42578125" style="19" customWidth="1"/>
    <col min="8473" max="8473" width="48.5703125" style="19" customWidth="1"/>
    <col min="8474" max="8474" width="45.5703125" style="19" customWidth="1"/>
    <col min="8475" max="8720" width="9.42578125" style="19"/>
    <col min="8721" max="8721" width="21.5703125" style="19" customWidth="1"/>
    <col min="8722" max="8722" width="10.42578125" style="19" customWidth="1"/>
    <col min="8723" max="8723" width="14.42578125" style="19" customWidth="1"/>
    <col min="8724" max="8724" width="10.42578125" style="19" customWidth="1"/>
    <col min="8725" max="8725" width="14.42578125" style="19" customWidth="1"/>
    <col min="8726" max="8726" width="10.42578125" style="19" customWidth="1"/>
    <col min="8727" max="8728" width="14.42578125" style="19" customWidth="1"/>
    <col min="8729" max="8729" width="48.5703125" style="19" customWidth="1"/>
    <col min="8730" max="8730" width="45.5703125" style="19" customWidth="1"/>
    <col min="8731" max="8976" width="9.42578125" style="19"/>
    <col min="8977" max="8977" width="21.5703125" style="19" customWidth="1"/>
    <col min="8978" max="8978" width="10.42578125" style="19" customWidth="1"/>
    <col min="8979" max="8979" width="14.42578125" style="19" customWidth="1"/>
    <col min="8980" max="8980" width="10.42578125" style="19" customWidth="1"/>
    <col min="8981" max="8981" width="14.42578125" style="19" customWidth="1"/>
    <col min="8982" max="8982" width="10.42578125" style="19" customWidth="1"/>
    <col min="8983" max="8984" width="14.42578125" style="19" customWidth="1"/>
    <col min="8985" max="8985" width="48.5703125" style="19" customWidth="1"/>
    <col min="8986" max="8986" width="45.5703125" style="19" customWidth="1"/>
    <col min="8987" max="9232" width="9.42578125" style="19"/>
    <col min="9233" max="9233" width="21.5703125" style="19" customWidth="1"/>
    <col min="9234" max="9234" width="10.42578125" style="19" customWidth="1"/>
    <col min="9235" max="9235" width="14.42578125" style="19" customWidth="1"/>
    <col min="9236" max="9236" width="10.42578125" style="19" customWidth="1"/>
    <col min="9237" max="9237" width="14.42578125" style="19" customWidth="1"/>
    <col min="9238" max="9238" width="10.42578125" style="19" customWidth="1"/>
    <col min="9239" max="9240" width="14.42578125" style="19" customWidth="1"/>
    <col min="9241" max="9241" width="48.5703125" style="19" customWidth="1"/>
    <col min="9242" max="9242" width="45.5703125" style="19" customWidth="1"/>
    <col min="9243" max="9488" width="9.42578125" style="19"/>
    <col min="9489" max="9489" width="21.5703125" style="19" customWidth="1"/>
    <col min="9490" max="9490" width="10.42578125" style="19" customWidth="1"/>
    <col min="9491" max="9491" width="14.42578125" style="19" customWidth="1"/>
    <col min="9492" max="9492" width="10.42578125" style="19" customWidth="1"/>
    <col min="9493" max="9493" width="14.42578125" style="19" customWidth="1"/>
    <col min="9494" max="9494" width="10.42578125" style="19" customWidth="1"/>
    <col min="9495" max="9496" width="14.42578125" style="19" customWidth="1"/>
    <col min="9497" max="9497" width="48.5703125" style="19" customWidth="1"/>
    <col min="9498" max="9498" width="45.5703125" style="19" customWidth="1"/>
    <col min="9499" max="9744" width="9.42578125" style="19"/>
    <col min="9745" max="9745" width="21.5703125" style="19" customWidth="1"/>
    <col min="9746" max="9746" width="10.42578125" style="19" customWidth="1"/>
    <col min="9747" max="9747" width="14.42578125" style="19" customWidth="1"/>
    <col min="9748" max="9748" width="10.42578125" style="19" customWidth="1"/>
    <col min="9749" max="9749" width="14.42578125" style="19" customWidth="1"/>
    <col min="9750" max="9750" width="10.42578125" style="19" customWidth="1"/>
    <col min="9751" max="9752" width="14.42578125" style="19" customWidth="1"/>
    <col min="9753" max="9753" width="48.5703125" style="19" customWidth="1"/>
    <col min="9754" max="9754" width="45.5703125" style="19" customWidth="1"/>
    <col min="9755" max="10000" width="9.42578125" style="19"/>
    <col min="10001" max="10001" width="21.5703125" style="19" customWidth="1"/>
    <col min="10002" max="10002" width="10.42578125" style="19" customWidth="1"/>
    <col min="10003" max="10003" width="14.42578125" style="19" customWidth="1"/>
    <col min="10004" max="10004" width="10.42578125" style="19" customWidth="1"/>
    <col min="10005" max="10005" width="14.42578125" style="19" customWidth="1"/>
    <col min="10006" max="10006" width="10.42578125" style="19" customWidth="1"/>
    <col min="10007" max="10008" width="14.42578125" style="19" customWidth="1"/>
    <col min="10009" max="10009" width="48.5703125" style="19" customWidth="1"/>
    <col min="10010" max="10010" width="45.5703125" style="19" customWidth="1"/>
    <col min="10011" max="10256" width="9.42578125" style="19"/>
    <col min="10257" max="10257" width="21.5703125" style="19" customWidth="1"/>
    <col min="10258" max="10258" width="10.42578125" style="19" customWidth="1"/>
    <col min="10259" max="10259" width="14.42578125" style="19" customWidth="1"/>
    <col min="10260" max="10260" width="10.42578125" style="19" customWidth="1"/>
    <col min="10261" max="10261" width="14.42578125" style="19" customWidth="1"/>
    <col min="10262" max="10262" width="10.42578125" style="19" customWidth="1"/>
    <col min="10263" max="10264" width="14.42578125" style="19" customWidth="1"/>
    <col min="10265" max="10265" width="48.5703125" style="19" customWidth="1"/>
    <col min="10266" max="10266" width="45.5703125" style="19" customWidth="1"/>
    <col min="10267" max="10512" width="9.42578125" style="19"/>
    <col min="10513" max="10513" width="21.5703125" style="19" customWidth="1"/>
    <col min="10514" max="10514" width="10.42578125" style="19" customWidth="1"/>
    <col min="10515" max="10515" width="14.42578125" style="19" customWidth="1"/>
    <col min="10516" max="10516" width="10.42578125" style="19" customWidth="1"/>
    <col min="10517" max="10517" width="14.42578125" style="19" customWidth="1"/>
    <col min="10518" max="10518" width="10.42578125" style="19" customWidth="1"/>
    <col min="10519" max="10520" width="14.42578125" style="19" customWidth="1"/>
    <col min="10521" max="10521" width="48.5703125" style="19" customWidth="1"/>
    <col min="10522" max="10522" width="45.5703125" style="19" customWidth="1"/>
    <col min="10523" max="10768" width="9.42578125" style="19"/>
    <col min="10769" max="10769" width="21.5703125" style="19" customWidth="1"/>
    <col min="10770" max="10770" width="10.42578125" style="19" customWidth="1"/>
    <col min="10771" max="10771" width="14.42578125" style="19" customWidth="1"/>
    <col min="10772" max="10772" width="10.42578125" style="19" customWidth="1"/>
    <col min="10773" max="10773" width="14.42578125" style="19" customWidth="1"/>
    <col min="10774" max="10774" width="10.42578125" style="19" customWidth="1"/>
    <col min="10775" max="10776" width="14.42578125" style="19" customWidth="1"/>
    <col min="10777" max="10777" width="48.5703125" style="19" customWidth="1"/>
    <col min="10778" max="10778" width="45.5703125" style="19" customWidth="1"/>
    <col min="10779" max="11024" width="9.42578125" style="19"/>
    <col min="11025" max="11025" width="21.5703125" style="19" customWidth="1"/>
    <col min="11026" max="11026" width="10.42578125" style="19" customWidth="1"/>
    <col min="11027" max="11027" width="14.42578125" style="19" customWidth="1"/>
    <col min="11028" max="11028" width="10.42578125" style="19" customWidth="1"/>
    <col min="11029" max="11029" width="14.42578125" style="19" customWidth="1"/>
    <col min="11030" max="11030" width="10.42578125" style="19" customWidth="1"/>
    <col min="11031" max="11032" width="14.42578125" style="19" customWidth="1"/>
    <col min="11033" max="11033" width="48.5703125" style="19" customWidth="1"/>
    <col min="11034" max="11034" width="45.5703125" style="19" customWidth="1"/>
    <col min="11035" max="11280" width="9.42578125" style="19"/>
    <col min="11281" max="11281" width="21.5703125" style="19" customWidth="1"/>
    <col min="11282" max="11282" width="10.42578125" style="19" customWidth="1"/>
    <col min="11283" max="11283" width="14.42578125" style="19" customWidth="1"/>
    <col min="11284" max="11284" width="10.42578125" style="19" customWidth="1"/>
    <col min="11285" max="11285" width="14.42578125" style="19" customWidth="1"/>
    <col min="11286" max="11286" width="10.42578125" style="19" customWidth="1"/>
    <col min="11287" max="11288" width="14.42578125" style="19" customWidth="1"/>
    <col min="11289" max="11289" width="48.5703125" style="19" customWidth="1"/>
    <col min="11290" max="11290" width="45.5703125" style="19" customWidth="1"/>
    <col min="11291" max="11536" width="9.42578125" style="19"/>
    <col min="11537" max="11537" width="21.5703125" style="19" customWidth="1"/>
    <col min="11538" max="11538" width="10.42578125" style="19" customWidth="1"/>
    <col min="11539" max="11539" width="14.42578125" style="19" customWidth="1"/>
    <col min="11540" max="11540" width="10.42578125" style="19" customWidth="1"/>
    <col min="11541" max="11541" width="14.42578125" style="19" customWidth="1"/>
    <col min="11542" max="11542" width="10.42578125" style="19" customWidth="1"/>
    <col min="11543" max="11544" width="14.42578125" style="19" customWidth="1"/>
    <col min="11545" max="11545" width="48.5703125" style="19" customWidth="1"/>
    <col min="11546" max="11546" width="45.5703125" style="19" customWidth="1"/>
    <col min="11547" max="11792" width="9.42578125" style="19"/>
    <col min="11793" max="11793" width="21.5703125" style="19" customWidth="1"/>
    <col min="11794" max="11794" width="10.42578125" style="19" customWidth="1"/>
    <col min="11795" max="11795" width="14.42578125" style="19" customWidth="1"/>
    <col min="11796" max="11796" width="10.42578125" style="19" customWidth="1"/>
    <col min="11797" max="11797" width="14.42578125" style="19" customWidth="1"/>
    <col min="11798" max="11798" width="10.42578125" style="19" customWidth="1"/>
    <col min="11799" max="11800" width="14.42578125" style="19" customWidth="1"/>
    <col min="11801" max="11801" width="48.5703125" style="19" customWidth="1"/>
    <col min="11802" max="11802" width="45.5703125" style="19" customWidth="1"/>
    <col min="11803" max="12048" width="9.42578125" style="19"/>
    <col min="12049" max="12049" width="21.5703125" style="19" customWidth="1"/>
    <col min="12050" max="12050" width="10.42578125" style="19" customWidth="1"/>
    <col min="12051" max="12051" width="14.42578125" style="19" customWidth="1"/>
    <col min="12052" max="12052" width="10.42578125" style="19" customWidth="1"/>
    <col min="12053" max="12053" width="14.42578125" style="19" customWidth="1"/>
    <col min="12054" max="12054" width="10.42578125" style="19" customWidth="1"/>
    <col min="12055" max="12056" width="14.42578125" style="19" customWidth="1"/>
    <col min="12057" max="12057" width="48.5703125" style="19" customWidth="1"/>
    <col min="12058" max="12058" width="45.5703125" style="19" customWidth="1"/>
    <col min="12059" max="12304" width="9.42578125" style="19"/>
    <col min="12305" max="12305" width="21.5703125" style="19" customWidth="1"/>
    <col min="12306" max="12306" width="10.42578125" style="19" customWidth="1"/>
    <col min="12307" max="12307" width="14.42578125" style="19" customWidth="1"/>
    <col min="12308" max="12308" width="10.42578125" style="19" customWidth="1"/>
    <col min="12309" max="12309" width="14.42578125" style="19" customWidth="1"/>
    <col min="12310" max="12310" width="10.42578125" style="19" customWidth="1"/>
    <col min="12311" max="12312" width="14.42578125" style="19" customWidth="1"/>
    <col min="12313" max="12313" width="48.5703125" style="19" customWidth="1"/>
    <col min="12314" max="12314" width="45.5703125" style="19" customWidth="1"/>
    <col min="12315" max="12560" width="9.42578125" style="19"/>
    <col min="12561" max="12561" width="21.5703125" style="19" customWidth="1"/>
    <col min="12562" max="12562" width="10.42578125" style="19" customWidth="1"/>
    <col min="12563" max="12563" width="14.42578125" style="19" customWidth="1"/>
    <col min="12564" max="12564" width="10.42578125" style="19" customWidth="1"/>
    <col min="12565" max="12565" width="14.42578125" style="19" customWidth="1"/>
    <col min="12566" max="12566" width="10.42578125" style="19" customWidth="1"/>
    <col min="12567" max="12568" width="14.42578125" style="19" customWidth="1"/>
    <col min="12569" max="12569" width="48.5703125" style="19" customWidth="1"/>
    <col min="12570" max="12570" width="45.5703125" style="19" customWidth="1"/>
    <col min="12571" max="12816" width="9.42578125" style="19"/>
    <col min="12817" max="12817" width="21.5703125" style="19" customWidth="1"/>
    <col min="12818" max="12818" width="10.42578125" style="19" customWidth="1"/>
    <col min="12819" max="12819" width="14.42578125" style="19" customWidth="1"/>
    <col min="12820" max="12820" width="10.42578125" style="19" customWidth="1"/>
    <col min="12821" max="12821" width="14.42578125" style="19" customWidth="1"/>
    <col min="12822" max="12822" width="10.42578125" style="19" customWidth="1"/>
    <col min="12823" max="12824" width="14.42578125" style="19" customWidth="1"/>
    <col min="12825" max="12825" width="48.5703125" style="19" customWidth="1"/>
    <col min="12826" max="12826" width="45.5703125" style="19" customWidth="1"/>
    <col min="12827" max="13072" width="9.42578125" style="19"/>
    <col min="13073" max="13073" width="21.5703125" style="19" customWidth="1"/>
    <col min="13074" max="13074" width="10.42578125" style="19" customWidth="1"/>
    <col min="13075" max="13075" width="14.42578125" style="19" customWidth="1"/>
    <col min="13076" max="13076" width="10.42578125" style="19" customWidth="1"/>
    <col min="13077" max="13077" width="14.42578125" style="19" customWidth="1"/>
    <col min="13078" max="13078" width="10.42578125" style="19" customWidth="1"/>
    <col min="13079" max="13080" width="14.42578125" style="19" customWidth="1"/>
    <col min="13081" max="13081" width="48.5703125" style="19" customWidth="1"/>
    <col min="13082" max="13082" width="45.5703125" style="19" customWidth="1"/>
    <col min="13083" max="13328" width="9.42578125" style="19"/>
    <col min="13329" max="13329" width="21.5703125" style="19" customWidth="1"/>
    <col min="13330" max="13330" width="10.42578125" style="19" customWidth="1"/>
    <col min="13331" max="13331" width="14.42578125" style="19" customWidth="1"/>
    <col min="13332" max="13332" width="10.42578125" style="19" customWidth="1"/>
    <col min="13333" max="13333" width="14.42578125" style="19" customWidth="1"/>
    <col min="13334" max="13334" width="10.42578125" style="19" customWidth="1"/>
    <col min="13335" max="13336" width="14.42578125" style="19" customWidth="1"/>
    <col min="13337" max="13337" width="48.5703125" style="19" customWidth="1"/>
    <col min="13338" max="13338" width="45.5703125" style="19" customWidth="1"/>
    <col min="13339" max="13584" width="9.42578125" style="19"/>
    <col min="13585" max="13585" width="21.5703125" style="19" customWidth="1"/>
    <col min="13586" max="13586" width="10.42578125" style="19" customWidth="1"/>
    <col min="13587" max="13587" width="14.42578125" style="19" customWidth="1"/>
    <col min="13588" max="13588" width="10.42578125" style="19" customWidth="1"/>
    <col min="13589" max="13589" width="14.42578125" style="19" customWidth="1"/>
    <col min="13590" max="13590" width="10.42578125" style="19" customWidth="1"/>
    <col min="13591" max="13592" width="14.42578125" style="19" customWidth="1"/>
    <col min="13593" max="13593" width="48.5703125" style="19" customWidth="1"/>
    <col min="13594" max="13594" width="45.5703125" style="19" customWidth="1"/>
    <col min="13595" max="13840" width="9.42578125" style="19"/>
    <col min="13841" max="13841" width="21.5703125" style="19" customWidth="1"/>
    <col min="13842" max="13842" width="10.42578125" style="19" customWidth="1"/>
    <col min="13843" max="13843" width="14.42578125" style="19" customWidth="1"/>
    <col min="13844" max="13844" width="10.42578125" style="19" customWidth="1"/>
    <col min="13845" max="13845" width="14.42578125" style="19" customWidth="1"/>
    <col min="13846" max="13846" width="10.42578125" style="19" customWidth="1"/>
    <col min="13847" max="13848" width="14.42578125" style="19" customWidth="1"/>
    <col min="13849" max="13849" width="48.5703125" style="19" customWidth="1"/>
    <col min="13850" max="13850" width="45.5703125" style="19" customWidth="1"/>
    <col min="13851" max="14096" width="9.42578125" style="19"/>
    <col min="14097" max="14097" width="21.5703125" style="19" customWidth="1"/>
    <col min="14098" max="14098" width="10.42578125" style="19" customWidth="1"/>
    <col min="14099" max="14099" width="14.42578125" style="19" customWidth="1"/>
    <col min="14100" max="14100" width="10.42578125" style="19" customWidth="1"/>
    <col min="14101" max="14101" width="14.42578125" style="19" customWidth="1"/>
    <col min="14102" max="14102" width="10.42578125" style="19" customWidth="1"/>
    <col min="14103" max="14104" width="14.42578125" style="19" customWidth="1"/>
    <col min="14105" max="14105" width="48.5703125" style="19" customWidth="1"/>
    <col min="14106" max="14106" width="45.5703125" style="19" customWidth="1"/>
    <col min="14107" max="14352" width="9.42578125" style="19"/>
    <col min="14353" max="14353" width="21.5703125" style="19" customWidth="1"/>
    <col min="14354" max="14354" width="10.42578125" style="19" customWidth="1"/>
    <col min="14355" max="14355" width="14.42578125" style="19" customWidth="1"/>
    <col min="14356" max="14356" width="10.42578125" style="19" customWidth="1"/>
    <col min="14357" max="14357" width="14.42578125" style="19" customWidth="1"/>
    <col min="14358" max="14358" width="10.42578125" style="19" customWidth="1"/>
    <col min="14359" max="14360" width="14.42578125" style="19" customWidth="1"/>
    <col min="14361" max="14361" width="48.5703125" style="19" customWidth="1"/>
    <col min="14362" max="14362" width="45.5703125" style="19" customWidth="1"/>
    <col min="14363" max="14608" width="9.42578125" style="19"/>
    <col min="14609" max="14609" width="21.5703125" style="19" customWidth="1"/>
    <col min="14610" max="14610" width="10.42578125" style="19" customWidth="1"/>
    <col min="14611" max="14611" width="14.42578125" style="19" customWidth="1"/>
    <col min="14612" max="14612" width="10.42578125" style="19" customWidth="1"/>
    <col min="14613" max="14613" width="14.42578125" style="19" customWidth="1"/>
    <col min="14614" max="14614" width="10.42578125" style="19" customWidth="1"/>
    <col min="14615" max="14616" width="14.42578125" style="19" customWidth="1"/>
    <col min="14617" max="14617" width="48.5703125" style="19" customWidth="1"/>
    <col min="14618" max="14618" width="45.5703125" style="19" customWidth="1"/>
    <col min="14619" max="14864" width="9.42578125" style="19"/>
    <col min="14865" max="14865" width="21.5703125" style="19" customWidth="1"/>
    <col min="14866" max="14866" width="10.42578125" style="19" customWidth="1"/>
    <col min="14867" max="14867" width="14.42578125" style="19" customWidth="1"/>
    <col min="14868" max="14868" width="10.42578125" style="19" customWidth="1"/>
    <col min="14869" max="14869" width="14.42578125" style="19" customWidth="1"/>
    <col min="14870" max="14870" width="10.42578125" style="19" customWidth="1"/>
    <col min="14871" max="14872" width="14.42578125" style="19" customWidth="1"/>
    <col min="14873" max="14873" width="48.5703125" style="19" customWidth="1"/>
    <col min="14874" max="14874" width="45.5703125" style="19" customWidth="1"/>
    <col min="14875" max="15120" width="9.42578125" style="19"/>
    <col min="15121" max="15121" width="21.5703125" style="19" customWidth="1"/>
    <col min="15122" max="15122" width="10.42578125" style="19" customWidth="1"/>
    <col min="15123" max="15123" width="14.42578125" style="19" customWidth="1"/>
    <col min="15124" max="15124" width="10.42578125" style="19" customWidth="1"/>
    <col min="15125" max="15125" width="14.42578125" style="19" customWidth="1"/>
    <col min="15126" max="15126" width="10.42578125" style="19" customWidth="1"/>
    <col min="15127" max="15128" width="14.42578125" style="19" customWidth="1"/>
    <col min="15129" max="15129" width="48.5703125" style="19" customWidth="1"/>
    <col min="15130" max="15130" width="45.5703125" style="19" customWidth="1"/>
    <col min="15131" max="15376" width="9.42578125" style="19"/>
    <col min="15377" max="15377" width="21.5703125" style="19" customWidth="1"/>
    <col min="15378" max="15378" width="10.42578125" style="19" customWidth="1"/>
    <col min="15379" max="15379" width="14.42578125" style="19" customWidth="1"/>
    <col min="15380" max="15380" width="10.42578125" style="19" customWidth="1"/>
    <col min="15381" max="15381" width="14.42578125" style="19" customWidth="1"/>
    <col min="15382" max="15382" width="10.42578125" style="19" customWidth="1"/>
    <col min="15383" max="15384" width="14.42578125" style="19" customWidth="1"/>
    <col min="15385" max="15385" width="48.5703125" style="19" customWidth="1"/>
    <col min="15386" max="15386" width="45.5703125" style="19" customWidth="1"/>
    <col min="15387" max="15632" width="9.42578125" style="19"/>
    <col min="15633" max="15633" width="21.5703125" style="19" customWidth="1"/>
    <col min="15634" max="15634" width="10.42578125" style="19" customWidth="1"/>
    <col min="15635" max="15635" width="14.42578125" style="19" customWidth="1"/>
    <col min="15636" max="15636" width="10.42578125" style="19" customWidth="1"/>
    <col min="15637" max="15637" width="14.42578125" style="19" customWidth="1"/>
    <col min="15638" max="15638" width="10.42578125" style="19" customWidth="1"/>
    <col min="15639" max="15640" width="14.42578125" style="19" customWidth="1"/>
    <col min="15641" max="15641" width="48.5703125" style="19" customWidth="1"/>
    <col min="15642" max="15642" width="45.5703125" style="19" customWidth="1"/>
    <col min="15643" max="15888" width="9.42578125" style="19"/>
    <col min="15889" max="15889" width="21.5703125" style="19" customWidth="1"/>
    <col min="15890" max="15890" width="10.42578125" style="19" customWidth="1"/>
    <col min="15891" max="15891" width="14.42578125" style="19" customWidth="1"/>
    <col min="15892" max="15892" width="10.42578125" style="19" customWidth="1"/>
    <col min="15893" max="15893" width="14.42578125" style="19" customWidth="1"/>
    <col min="15894" max="15894" width="10.42578125" style="19" customWidth="1"/>
    <col min="15895" max="15896" width="14.42578125" style="19" customWidth="1"/>
    <col min="15897" max="15897" width="48.5703125" style="19" customWidth="1"/>
    <col min="15898" max="15898" width="45.5703125" style="19" customWidth="1"/>
    <col min="15899" max="16144" width="9.42578125" style="19"/>
    <col min="16145" max="16145" width="21.5703125" style="19" customWidth="1"/>
    <col min="16146" max="16146" width="10.42578125" style="19" customWidth="1"/>
    <col min="16147" max="16147" width="14.42578125" style="19" customWidth="1"/>
    <col min="16148" max="16148" width="10.42578125" style="19" customWidth="1"/>
    <col min="16149" max="16149" width="14.42578125" style="19" customWidth="1"/>
    <col min="16150" max="16150" width="10.42578125" style="19" customWidth="1"/>
    <col min="16151" max="16152" width="14.42578125" style="19" customWidth="1"/>
    <col min="16153" max="16153" width="48.5703125" style="19" customWidth="1"/>
    <col min="16154" max="16154" width="45.5703125" style="19" customWidth="1"/>
    <col min="16155" max="16384" width="9.42578125" style="19"/>
  </cols>
  <sheetData>
    <row r="1" spans="1:34" x14ac:dyDescent="0.25">
      <c r="A1" s="211" t="s">
        <v>27</v>
      </c>
      <c r="B1" s="211"/>
      <c r="C1" s="211"/>
      <c r="D1" s="211"/>
      <c r="E1" s="211"/>
      <c r="F1" s="211"/>
      <c r="G1" s="211"/>
      <c r="H1" s="211"/>
      <c r="I1" s="211"/>
      <c r="J1" s="211"/>
      <c r="K1" s="211"/>
      <c r="L1" s="211"/>
      <c r="M1" s="211"/>
      <c r="N1" s="211"/>
      <c r="O1" s="211"/>
      <c r="P1" s="211"/>
      <c r="Q1" s="211"/>
      <c r="R1" s="211"/>
      <c r="S1" s="211"/>
      <c r="T1" s="211"/>
      <c r="U1" s="211"/>
      <c r="V1" s="211"/>
      <c r="W1" s="211"/>
      <c r="X1" s="211"/>
      <c r="Y1" s="211"/>
      <c r="Z1" s="211"/>
      <c r="AA1" s="211"/>
      <c r="AB1" s="211"/>
      <c r="AC1" s="211"/>
      <c r="AD1" s="211"/>
      <c r="AE1" s="211"/>
      <c r="AF1" s="211"/>
      <c r="AG1" s="211"/>
      <c r="AH1" s="211"/>
    </row>
    <row r="2" spans="1:34" ht="27" customHeight="1" x14ac:dyDescent="0.25">
      <c r="A2" s="212" t="s">
        <v>117</v>
      </c>
      <c r="B2" s="212"/>
      <c r="C2" s="212"/>
      <c r="D2" s="212"/>
      <c r="E2" s="212"/>
      <c r="F2" s="212"/>
      <c r="G2" s="212"/>
      <c r="H2" s="212"/>
      <c r="I2" s="212"/>
      <c r="J2" s="212"/>
      <c r="K2" s="212"/>
      <c r="L2" s="212"/>
      <c r="M2" s="212"/>
      <c r="N2" s="212"/>
      <c r="O2" s="212"/>
      <c r="P2" s="212"/>
      <c r="Q2" s="212"/>
      <c r="R2" s="212"/>
      <c r="S2" s="212"/>
      <c r="T2" s="212"/>
      <c r="U2" s="212"/>
      <c r="V2" s="212"/>
      <c r="W2" s="212"/>
      <c r="X2" s="212"/>
      <c r="Y2" s="212"/>
      <c r="Z2" s="212"/>
      <c r="AA2" s="212"/>
      <c r="AB2" s="212"/>
      <c r="AC2" s="212"/>
      <c r="AD2" s="212"/>
      <c r="AE2" s="212"/>
      <c r="AF2" s="212"/>
      <c r="AG2" s="212"/>
      <c r="AH2" s="212"/>
    </row>
    <row r="3" spans="1:34" x14ac:dyDescent="0.25">
      <c r="A3" s="130" t="s">
        <v>5</v>
      </c>
      <c r="B3" s="225" t="s">
        <v>28</v>
      </c>
      <c r="C3" s="225"/>
      <c r="D3" s="225" t="s">
        <v>91</v>
      </c>
      <c r="E3" s="225"/>
      <c r="F3" s="225" t="s">
        <v>91</v>
      </c>
      <c r="G3" s="225"/>
      <c r="H3" s="225" t="s">
        <v>91</v>
      </c>
      <c r="I3" s="225"/>
      <c r="J3" s="225" t="s">
        <v>91</v>
      </c>
      <c r="K3" s="225"/>
      <c r="L3" s="225" t="s">
        <v>91</v>
      </c>
      <c r="M3" s="225"/>
      <c r="N3" s="226" t="s">
        <v>92</v>
      </c>
      <c r="O3" s="226"/>
      <c r="P3" s="217" t="s">
        <v>91</v>
      </c>
      <c r="Q3" s="217"/>
      <c r="R3" s="225" t="s">
        <v>91</v>
      </c>
      <c r="S3" s="225"/>
      <c r="T3" s="227" t="s">
        <v>91</v>
      </c>
      <c r="U3" s="227"/>
      <c r="V3" s="217" t="s">
        <v>91</v>
      </c>
      <c r="W3" s="217"/>
      <c r="X3" s="217" t="s">
        <v>91</v>
      </c>
      <c r="Y3" s="217"/>
      <c r="Z3" s="217" t="s">
        <v>91</v>
      </c>
      <c r="AA3" s="217"/>
      <c r="AB3" s="217" t="s">
        <v>91</v>
      </c>
      <c r="AC3" s="217"/>
      <c r="AD3" s="217" t="s">
        <v>91</v>
      </c>
      <c r="AE3" s="217"/>
      <c r="AF3" s="213" t="s">
        <v>92</v>
      </c>
      <c r="AG3" s="213" t="s">
        <v>28</v>
      </c>
      <c r="AH3" s="214" t="s">
        <v>6</v>
      </c>
    </row>
    <row r="4" spans="1:34" ht="62.25" customHeight="1" x14ac:dyDescent="0.25">
      <c r="A4" s="130" t="s">
        <v>7</v>
      </c>
      <c r="B4" s="225" t="s">
        <v>19</v>
      </c>
      <c r="C4" s="225"/>
      <c r="D4" s="225" t="s">
        <v>8</v>
      </c>
      <c r="E4" s="225"/>
      <c r="F4" s="225" t="s">
        <v>9</v>
      </c>
      <c r="G4" s="225"/>
      <c r="H4" s="225" t="s">
        <v>10</v>
      </c>
      <c r="I4" s="225"/>
      <c r="J4" s="225" t="s">
        <v>11</v>
      </c>
      <c r="K4" s="225"/>
      <c r="L4" s="225" t="s">
        <v>12</v>
      </c>
      <c r="M4" s="225"/>
      <c r="N4" s="226" t="s">
        <v>94</v>
      </c>
      <c r="O4" s="226"/>
      <c r="P4" s="217" t="s">
        <v>118</v>
      </c>
      <c r="Q4" s="217"/>
      <c r="R4" s="225" t="s">
        <v>13</v>
      </c>
      <c r="S4" s="225"/>
      <c r="T4" s="227" t="s">
        <v>123</v>
      </c>
      <c r="U4" s="227"/>
      <c r="V4" s="217" t="s">
        <v>14</v>
      </c>
      <c r="W4" s="217"/>
      <c r="X4" s="217" t="s">
        <v>15</v>
      </c>
      <c r="Y4" s="217"/>
      <c r="Z4" s="217" t="s">
        <v>16</v>
      </c>
      <c r="AA4" s="217"/>
      <c r="AB4" s="217" t="s">
        <v>17</v>
      </c>
      <c r="AC4" s="217"/>
      <c r="AD4" s="217" t="s">
        <v>18</v>
      </c>
      <c r="AE4" s="217"/>
      <c r="AF4" s="131" t="s">
        <v>119</v>
      </c>
      <c r="AG4" s="132" t="s">
        <v>120</v>
      </c>
      <c r="AH4" s="215"/>
    </row>
    <row r="5" spans="1:34" s="126" customFormat="1" ht="22.5" customHeight="1" x14ac:dyDescent="0.25">
      <c r="A5" s="133"/>
      <c r="B5" s="134"/>
      <c r="C5" s="134" t="s">
        <v>121</v>
      </c>
      <c r="D5" s="134"/>
      <c r="E5" s="134" t="s">
        <v>121</v>
      </c>
      <c r="F5" s="134"/>
      <c r="G5" s="134" t="s">
        <v>121</v>
      </c>
      <c r="H5" s="134"/>
      <c r="I5" s="134" t="s">
        <v>121</v>
      </c>
      <c r="J5" s="134"/>
      <c r="K5" s="134" t="s">
        <v>121</v>
      </c>
      <c r="L5" s="134"/>
      <c r="M5" s="134" t="s">
        <v>121</v>
      </c>
      <c r="N5" s="135"/>
      <c r="O5" s="135"/>
      <c r="P5" s="136"/>
      <c r="Q5" s="136" t="s">
        <v>121</v>
      </c>
      <c r="R5" s="134"/>
      <c r="S5" s="134" t="s">
        <v>121</v>
      </c>
      <c r="T5" s="137"/>
      <c r="U5" s="137" t="str">
        <f>S5</f>
        <v>(euro, centi)</v>
      </c>
      <c r="V5" s="136"/>
      <c r="W5" s="136" t="s">
        <v>121</v>
      </c>
      <c r="X5" s="136"/>
      <c r="Y5" s="136" t="s">
        <v>121</v>
      </c>
      <c r="Z5" s="136"/>
      <c r="AA5" s="136" t="s">
        <v>121</v>
      </c>
      <c r="AB5" s="136"/>
      <c r="AC5" s="136" t="s">
        <v>121</v>
      </c>
      <c r="AD5" s="136"/>
      <c r="AE5" s="136" t="s">
        <v>121</v>
      </c>
      <c r="AF5" s="138" t="s">
        <v>121</v>
      </c>
      <c r="AG5" s="139" t="s">
        <v>121</v>
      </c>
      <c r="AH5" s="215"/>
    </row>
    <row r="6" spans="1:34" ht="87.75" customHeight="1" x14ac:dyDescent="0.25">
      <c r="A6" s="140" t="s">
        <v>21</v>
      </c>
      <c r="B6" s="141" t="s">
        <v>29</v>
      </c>
      <c r="C6" s="141" t="s">
        <v>22</v>
      </c>
      <c r="D6" s="141" t="s">
        <v>29</v>
      </c>
      <c r="E6" s="141" t="s">
        <v>22</v>
      </c>
      <c r="F6" s="141" t="s">
        <v>29</v>
      </c>
      <c r="G6" s="141" t="s">
        <v>22</v>
      </c>
      <c r="H6" s="141" t="s">
        <v>29</v>
      </c>
      <c r="I6" s="141" t="s">
        <v>22</v>
      </c>
      <c r="J6" s="141" t="s">
        <v>29</v>
      </c>
      <c r="K6" s="141" t="s">
        <v>22</v>
      </c>
      <c r="L6" s="141" t="s">
        <v>29</v>
      </c>
      <c r="M6" s="141" t="s">
        <v>22</v>
      </c>
      <c r="N6" s="142" t="s">
        <v>29</v>
      </c>
      <c r="O6" s="142" t="s">
        <v>22</v>
      </c>
      <c r="P6" s="143" t="s">
        <v>124</v>
      </c>
      <c r="Q6" s="143" t="s">
        <v>125</v>
      </c>
      <c r="R6" s="141" t="s">
        <v>29</v>
      </c>
      <c r="S6" s="141" t="s">
        <v>22</v>
      </c>
      <c r="T6" s="144" t="s">
        <v>29</v>
      </c>
      <c r="U6" s="144" t="s">
        <v>22</v>
      </c>
      <c r="V6" s="143" t="s">
        <v>124</v>
      </c>
      <c r="W6" s="143" t="s">
        <v>125</v>
      </c>
      <c r="X6" s="143" t="s">
        <v>124</v>
      </c>
      <c r="Y6" s="143" t="s">
        <v>125</v>
      </c>
      <c r="Z6" s="143" t="s">
        <v>124</v>
      </c>
      <c r="AA6" s="143" t="s">
        <v>125</v>
      </c>
      <c r="AB6" s="143" t="s">
        <v>124</v>
      </c>
      <c r="AC6" s="143" t="s">
        <v>125</v>
      </c>
      <c r="AD6" s="143" t="s">
        <v>126</v>
      </c>
      <c r="AE6" s="143" t="s">
        <v>125</v>
      </c>
      <c r="AF6" s="145" t="s">
        <v>127</v>
      </c>
      <c r="AG6" s="146" t="s">
        <v>128</v>
      </c>
      <c r="AH6" s="216"/>
    </row>
    <row r="7" spans="1:34" s="123" customFormat="1" x14ac:dyDescent="0.25">
      <c r="A7" s="147">
        <v>1</v>
      </c>
      <c r="B7" s="148">
        <v>2</v>
      </c>
      <c r="C7" s="148">
        <v>3</v>
      </c>
      <c r="D7" s="147">
        <v>4</v>
      </c>
      <c r="E7" s="148">
        <v>5</v>
      </c>
      <c r="F7" s="148">
        <v>6</v>
      </c>
      <c r="G7" s="147">
        <v>7</v>
      </c>
      <c r="H7" s="148">
        <v>8</v>
      </c>
      <c r="I7" s="148">
        <v>9</v>
      </c>
      <c r="J7" s="147">
        <v>10</v>
      </c>
      <c r="K7" s="148">
        <v>11</v>
      </c>
      <c r="L7" s="148">
        <v>12</v>
      </c>
      <c r="M7" s="147">
        <v>13</v>
      </c>
      <c r="N7" s="218" t="s">
        <v>50</v>
      </c>
      <c r="O7" s="219"/>
      <c r="P7" s="219"/>
      <c r="Q7" s="220"/>
      <c r="R7" s="148">
        <v>14</v>
      </c>
      <c r="S7" s="147">
        <v>15</v>
      </c>
      <c r="T7" s="149">
        <v>16</v>
      </c>
      <c r="U7" s="149">
        <v>17</v>
      </c>
      <c r="V7" s="150">
        <v>18</v>
      </c>
      <c r="W7" s="150">
        <v>19</v>
      </c>
      <c r="X7" s="150">
        <v>20</v>
      </c>
      <c r="Y7" s="150">
        <v>21</v>
      </c>
      <c r="Z7" s="150">
        <v>22</v>
      </c>
      <c r="AA7" s="150">
        <v>23</v>
      </c>
      <c r="AB7" s="150">
        <v>24</v>
      </c>
      <c r="AC7" s="150">
        <v>25</v>
      </c>
      <c r="AD7" s="150">
        <v>26</v>
      </c>
      <c r="AE7" s="150">
        <v>27</v>
      </c>
      <c r="AF7" s="151">
        <v>28</v>
      </c>
      <c r="AG7" s="152">
        <v>29</v>
      </c>
      <c r="AH7" s="148">
        <v>30</v>
      </c>
    </row>
    <row r="8" spans="1:34" ht="29.1" customHeight="1" x14ac:dyDescent="0.25">
      <c r="A8" s="124" t="s">
        <v>31</v>
      </c>
      <c r="B8" s="153">
        <v>247</v>
      </c>
      <c r="C8" s="187">
        <v>35856.32</v>
      </c>
      <c r="D8" s="153">
        <v>233</v>
      </c>
      <c r="E8" s="187">
        <v>34415.67</v>
      </c>
      <c r="F8" s="153">
        <v>223</v>
      </c>
      <c r="G8" s="187">
        <v>32403.82</v>
      </c>
      <c r="H8" s="153">
        <v>222</v>
      </c>
      <c r="I8" s="187">
        <v>33761.769999999997</v>
      </c>
      <c r="J8" s="153">
        <v>219</v>
      </c>
      <c r="K8" s="187">
        <v>33654.199999999997</v>
      </c>
      <c r="L8" s="155">
        <v>217</v>
      </c>
      <c r="M8" s="191">
        <v>32304.71</v>
      </c>
      <c r="N8" s="156">
        <f>B8+D8+F8+H8+J8+L8</f>
        <v>1361</v>
      </c>
      <c r="O8" s="193">
        <f>C8+E8+G8+I8+K8+M8</f>
        <v>202396.48999999996</v>
      </c>
      <c r="P8" s="157">
        <v>326</v>
      </c>
      <c r="Q8" s="158">
        <v>45542.2</v>
      </c>
      <c r="R8" s="153">
        <v>216</v>
      </c>
      <c r="S8" s="187">
        <v>31682.26</v>
      </c>
      <c r="T8" s="159">
        <f>N8+R8</f>
        <v>1577</v>
      </c>
      <c r="U8" s="160">
        <f>O8+S8</f>
        <v>234078.74999999997</v>
      </c>
      <c r="V8" s="157">
        <f>T8/7</f>
        <v>225.28571428571428</v>
      </c>
      <c r="W8" s="158">
        <f>U8/7</f>
        <v>33439.821428571428</v>
      </c>
      <c r="X8" s="157">
        <f>V8</f>
        <v>225.28571428571428</v>
      </c>
      <c r="Y8" s="158">
        <f t="shared" ref="Y8:AE23" si="0">W8</f>
        <v>33439.821428571428</v>
      </c>
      <c r="Z8" s="157">
        <f t="shared" si="0"/>
        <v>225.28571428571428</v>
      </c>
      <c r="AA8" s="158">
        <f t="shared" si="0"/>
        <v>33439.821428571428</v>
      </c>
      <c r="AB8" s="157">
        <f t="shared" si="0"/>
        <v>225.28571428571428</v>
      </c>
      <c r="AC8" s="158">
        <f t="shared" si="0"/>
        <v>33439.821428571428</v>
      </c>
      <c r="AD8" s="157">
        <f t="shared" si="0"/>
        <v>225.28571428571428</v>
      </c>
      <c r="AE8" s="158">
        <f t="shared" si="0"/>
        <v>33439.821428571428</v>
      </c>
      <c r="AF8" s="161">
        <f>W8+Y8+AA8+AC8+AE8</f>
        <v>167199.10714285713</v>
      </c>
      <c r="AG8" s="162">
        <f>U8+AF8</f>
        <v>401277.8571428571</v>
      </c>
      <c r="AH8" s="221" t="s">
        <v>116</v>
      </c>
    </row>
    <row r="9" spans="1:34" ht="29.1" customHeight="1" x14ac:dyDescent="0.25">
      <c r="A9" s="124" t="s">
        <v>32</v>
      </c>
      <c r="B9" s="153">
        <v>307</v>
      </c>
      <c r="C9" s="187">
        <v>85869.63</v>
      </c>
      <c r="D9" s="153">
        <v>323</v>
      </c>
      <c r="E9" s="187">
        <v>83621.02</v>
      </c>
      <c r="F9" s="153">
        <v>307</v>
      </c>
      <c r="G9" s="187">
        <v>77891.320000000007</v>
      </c>
      <c r="H9" s="153">
        <v>300</v>
      </c>
      <c r="I9" s="187">
        <v>78309.8</v>
      </c>
      <c r="J9" s="153">
        <v>302</v>
      </c>
      <c r="K9" s="187">
        <v>77888.23</v>
      </c>
      <c r="L9" s="155">
        <v>292</v>
      </c>
      <c r="M9" s="191">
        <v>74523.53</v>
      </c>
      <c r="N9" s="156">
        <f t="shared" ref="N9:O26" si="1">B9+D9+F9+H9+J9+L9</f>
        <v>1831</v>
      </c>
      <c r="O9" s="193">
        <f t="shared" si="1"/>
        <v>478103.53</v>
      </c>
      <c r="P9" s="157">
        <v>455</v>
      </c>
      <c r="Q9" s="158">
        <v>115847.55</v>
      </c>
      <c r="R9" s="153">
        <v>287</v>
      </c>
      <c r="S9" s="187">
        <v>72379.56</v>
      </c>
      <c r="T9" s="159">
        <f t="shared" ref="T9:U27" si="2">N9+R9</f>
        <v>2118</v>
      </c>
      <c r="U9" s="160">
        <f t="shared" si="2"/>
        <v>550483.09000000008</v>
      </c>
      <c r="V9" s="157">
        <f t="shared" ref="V9:W27" si="3">T9/7</f>
        <v>302.57142857142856</v>
      </c>
      <c r="W9" s="158">
        <f t="shared" si="3"/>
        <v>78640.441428571445</v>
      </c>
      <c r="X9" s="157">
        <f t="shared" ref="X9:AC27" si="4">V9</f>
        <v>302.57142857142856</v>
      </c>
      <c r="Y9" s="158">
        <f t="shared" si="0"/>
        <v>78640.441428571445</v>
      </c>
      <c r="Z9" s="157">
        <f t="shared" si="0"/>
        <v>302.57142857142856</v>
      </c>
      <c r="AA9" s="158">
        <f t="shared" si="0"/>
        <v>78640.441428571445</v>
      </c>
      <c r="AB9" s="157">
        <f t="shared" si="0"/>
        <v>302.57142857142856</v>
      </c>
      <c r="AC9" s="158">
        <f t="shared" si="0"/>
        <v>78640.441428571445</v>
      </c>
      <c r="AD9" s="157">
        <f t="shared" si="0"/>
        <v>302.57142857142856</v>
      </c>
      <c r="AE9" s="158">
        <f t="shared" si="0"/>
        <v>78640.441428571445</v>
      </c>
      <c r="AF9" s="161">
        <f t="shared" ref="AF9:AF27" si="5">W9+Y9+AA9+AC9+AE9</f>
        <v>393202.20714285725</v>
      </c>
      <c r="AG9" s="162">
        <f t="shared" ref="AG9:AG27" si="6">U9+AF9</f>
        <v>943685.29714285734</v>
      </c>
      <c r="AH9" s="222"/>
    </row>
    <row r="10" spans="1:34" ht="29.1" customHeight="1" x14ac:dyDescent="0.25">
      <c r="A10" s="124" t="s">
        <v>33</v>
      </c>
      <c r="B10" s="153">
        <v>59</v>
      </c>
      <c r="C10" s="187">
        <v>4642.78</v>
      </c>
      <c r="D10" s="153">
        <v>66</v>
      </c>
      <c r="E10" s="187">
        <v>6625.46</v>
      </c>
      <c r="F10" s="153">
        <v>63</v>
      </c>
      <c r="G10" s="187">
        <v>5808.69</v>
      </c>
      <c r="H10" s="153">
        <v>66</v>
      </c>
      <c r="I10" s="187">
        <v>8000.19</v>
      </c>
      <c r="J10" s="153">
        <v>63</v>
      </c>
      <c r="K10" s="187">
        <v>5411.5</v>
      </c>
      <c r="L10" s="155">
        <v>61</v>
      </c>
      <c r="M10" s="191">
        <v>6248</v>
      </c>
      <c r="N10" s="156">
        <f t="shared" si="1"/>
        <v>378</v>
      </c>
      <c r="O10" s="193">
        <f t="shared" si="1"/>
        <v>36736.619999999995</v>
      </c>
      <c r="P10" s="157">
        <v>102</v>
      </c>
      <c r="Q10" s="158">
        <v>9544.14</v>
      </c>
      <c r="R10" s="153">
        <v>62</v>
      </c>
      <c r="S10" s="187">
        <v>6110.09</v>
      </c>
      <c r="T10" s="159">
        <f t="shared" si="2"/>
        <v>440</v>
      </c>
      <c r="U10" s="160">
        <f t="shared" si="2"/>
        <v>42846.709999999992</v>
      </c>
      <c r="V10" s="157">
        <f t="shared" si="3"/>
        <v>62.857142857142854</v>
      </c>
      <c r="W10" s="158">
        <f t="shared" si="3"/>
        <v>6120.9585714285704</v>
      </c>
      <c r="X10" s="157">
        <f t="shared" si="4"/>
        <v>62.857142857142854</v>
      </c>
      <c r="Y10" s="158">
        <f t="shared" si="0"/>
        <v>6120.9585714285704</v>
      </c>
      <c r="Z10" s="157">
        <f t="shared" si="0"/>
        <v>62.857142857142854</v>
      </c>
      <c r="AA10" s="158">
        <f t="shared" si="0"/>
        <v>6120.9585714285704</v>
      </c>
      <c r="AB10" s="157">
        <f t="shared" si="0"/>
        <v>62.857142857142854</v>
      </c>
      <c r="AC10" s="158">
        <f t="shared" si="0"/>
        <v>6120.9585714285704</v>
      </c>
      <c r="AD10" s="157">
        <f t="shared" si="0"/>
        <v>62.857142857142854</v>
      </c>
      <c r="AE10" s="158">
        <f t="shared" si="0"/>
        <v>6120.9585714285704</v>
      </c>
      <c r="AF10" s="161">
        <f t="shared" si="5"/>
        <v>30604.792857142853</v>
      </c>
      <c r="AG10" s="162">
        <f t="shared" si="6"/>
        <v>73451.502857142841</v>
      </c>
      <c r="AH10" s="222"/>
    </row>
    <row r="11" spans="1:34" ht="29.1" customHeight="1" x14ac:dyDescent="0.25">
      <c r="A11" s="124" t="s">
        <v>34</v>
      </c>
      <c r="B11" s="153">
        <v>3304</v>
      </c>
      <c r="C11" s="187">
        <v>299124.71000000002</v>
      </c>
      <c r="D11" s="153">
        <v>3069</v>
      </c>
      <c r="E11" s="187">
        <v>297618.7</v>
      </c>
      <c r="F11" s="153">
        <v>3068</v>
      </c>
      <c r="G11" s="187">
        <v>295542.73</v>
      </c>
      <c r="H11" s="153">
        <v>2934</v>
      </c>
      <c r="I11" s="187">
        <v>286007.15999999997</v>
      </c>
      <c r="J11" s="153">
        <v>2923</v>
      </c>
      <c r="K11" s="187">
        <v>292258.63</v>
      </c>
      <c r="L11" s="155">
        <v>2752</v>
      </c>
      <c r="M11" s="191">
        <v>273032.44</v>
      </c>
      <c r="N11" s="156">
        <f t="shared" si="1"/>
        <v>18050</v>
      </c>
      <c r="O11" s="193">
        <f t="shared" si="1"/>
        <v>1743584.37</v>
      </c>
      <c r="P11" s="157">
        <v>3761.1000000000004</v>
      </c>
      <c r="Q11" s="158">
        <v>386860.72823999997</v>
      </c>
      <c r="R11" s="153">
        <v>2673</v>
      </c>
      <c r="S11" s="187">
        <v>266285.77</v>
      </c>
      <c r="T11" s="159">
        <f t="shared" si="2"/>
        <v>20723</v>
      </c>
      <c r="U11" s="160">
        <f t="shared" si="2"/>
        <v>2009870.1400000001</v>
      </c>
      <c r="V11" s="157">
        <f t="shared" si="3"/>
        <v>2960.4285714285716</v>
      </c>
      <c r="W11" s="158">
        <f t="shared" si="3"/>
        <v>287124.30571428576</v>
      </c>
      <c r="X11" s="157">
        <f t="shared" si="4"/>
        <v>2960.4285714285716</v>
      </c>
      <c r="Y11" s="158">
        <f t="shared" si="0"/>
        <v>287124.30571428576</v>
      </c>
      <c r="Z11" s="157">
        <f t="shared" si="0"/>
        <v>2960.4285714285716</v>
      </c>
      <c r="AA11" s="158">
        <f t="shared" si="0"/>
        <v>287124.30571428576</v>
      </c>
      <c r="AB11" s="157">
        <f t="shared" si="0"/>
        <v>2960.4285714285716</v>
      </c>
      <c r="AC11" s="158">
        <f t="shared" si="0"/>
        <v>287124.30571428576</v>
      </c>
      <c r="AD11" s="157">
        <f t="shared" si="0"/>
        <v>2960.4285714285716</v>
      </c>
      <c r="AE11" s="158">
        <f t="shared" si="0"/>
        <v>287124.30571428576</v>
      </c>
      <c r="AF11" s="161">
        <f t="shared" si="5"/>
        <v>1435621.5285714287</v>
      </c>
      <c r="AG11" s="162">
        <f t="shared" si="6"/>
        <v>3445491.6685714289</v>
      </c>
      <c r="AH11" s="222"/>
    </row>
    <row r="12" spans="1:34" ht="29.1" customHeight="1" x14ac:dyDescent="0.25">
      <c r="A12" s="124" t="s">
        <v>35</v>
      </c>
      <c r="B12" s="153">
        <v>230</v>
      </c>
      <c r="C12" s="187">
        <v>71322</v>
      </c>
      <c r="D12" s="153">
        <v>275</v>
      </c>
      <c r="E12" s="187">
        <v>89682</v>
      </c>
      <c r="F12" s="153">
        <v>304</v>
      </c>
      <c r="G12" s="187">
        <v>95257</v>
      </c>
      <c r="H12" s="153">
        <v>264</v>
      </c>
      <c r="I12" s="187">
        <v>84546</v>
      </c>
      <c r="J12" s="153">
        <v>300</v>
      </c>
      <c r="K12" s="187">
        <v>96443</v>
      </c>
      <c r="L12" s="155">
        <v>292</v>
      </c>
      <c r="M12" s="191">
        <v>93493</v>
      </c>
      <c r="N12" s="156">
        <f t="shared" si="1"/>
        <v>1665</v>
      </c>
      <c r="O12" s="193">
        <f t="shared" si="1"/>
        <v>530743</v>
      </c>
      <c r="P12" s="157">
        <v>434.70000000000005</v>
      </c>
      <c r="Q12" s="158">
        <v>120070.07909897591</v>
      </c>
      <c r="R12" s="153">
        <v>392</v>
      </c>
      <c r="S12" s="187">
        <v>121786</v>
      </c>
      <c r="T12" s="159">
        <f t="shared" si="2"/>
        <v>2057</v>
      </c>
      <c r="U12" s="160">
        <f t="shared" si="2"/>
        <v>652529</v>
      </c>
      <c r="V12" s="157">
        <f t="shared" si="3"/>
        <v>293.85714285714283</v>
      </c>
      <c r="W12" s="158">
        <f t="shared" si="3"/>
        <v>93218.428571428565</v>
      </c>
      <c r="X12" s="157">
        <f t="shared" si="4"/>
        <v>293.85714285714283</v>
      </c>
      <c r="Y12" s="158">
        <f t="shared" si="0"/>
        <v>93218.428571428565</v>
      </c>
      <c r="Z12" s="157">
        <f t="shared" si="0"/>
        <v>293.85714285714283</v>
      </c>
      <c r="AA12" s="158">
        <f t="shared" si="0"/>
        <v>93218.428571428565</v>
      </c>
      <c r="AB12" s="157">
        <f t="shared" si="0"/>
        <v>293.85714285714283</v>
      </c>
      <c r="AC12" s="158">
        <f t="shared" si="0"/>
        <v>93218.428571428565</v>
      </c>
      <c r="AD12" s="157">
        <f t="shared" si="0"/>
        <v>293.85714285714283</v>
      </c>
      <c r="AE12" s="158">
        <f t="shared" si="0"/>
        <v>93218.428571428565</v>
      </c>
      <c r="AF12" s="161">
        <f t="shared" si="5"/>
        <v>466092.14285714284</v>
      </c>
      <c r="AG12" s="162">
        <f t="shared" si="6"/>
        <v>1118621.1428571427</v>
      </c>
      <c r="AH12" s="222"/>
    </row>
    <row r="13" spans="1:34" ht="29.1" customHeight="1" x14ac:dyDescent="0.25">
      <c r="A13" s="124" t="s">
        <v>36</v>
      </c>
      <c r="B13" s="153">
        <v>1897</v>
      </c>
      <c r="C13" s="187">
        <v>191504.66</v>
      </c>
      <c r="D13" s="153">
        <v>3680</v>
      </c>
      <c r="E13" s="187">
        <v>737564.42</v>
      </c>
      <c r="F13" s="153">
        <v>3223</v>
      </c>
      <c r="G13" s="187">
        <v>518453.71</v>
      </c>
      <c r="H13" s="153">
        <v>3133</v>
      </c>
      <c r="I13" s="187">
        <v>480997.29</v>
      </c>
      <c r="J13" s="153">
        <v>2751</v>
      </c>
      <c r="K13" s="187">
        <v>472693.66</v>
      </c>
      <c r="L13" s="155">
        <v>2787</v>
      </c>
      <c r="M13" s="191">
        <v>384476.84</v>
      </c>
      <c r="N13" s="156">
        <f t="shared" si="1"/>
        <v>17471</v>
      </c>
      <c r="O13" s="193">
        <f t="shared" si="1"/>
        <v>2785690.58</v>
      </c>
      <c r="P13" s="157">
        <v>3285.4500000000003</v>
      </c>
      <c r="Q13" s="158">
        <v>438890.42418119067</v>
      </c>
      <c r="R13" s="153">
        <v>2487</v>
      </c>
      <c r="S13" s="187">
        <v>324834.56</v>
      </c>
      <c r="T13" s="159">
        <f t="shared" si="2"/>
        <v>19958</v>
      </c>
      <c r="U13" s="160">
        <f t="shared" si="2"/>
        <v>3110525.14</v>
      </c>
      <c r="V13" s="157">
        <f t="shared" si="3"/>
        <v>2851.1428571428573</v>
      </c>
      <c r="W13" s="158">
        <f t="shared" si="3"/>
        <v>444360.73428571428</v>
      </c>
      <c r="X13" s="157">
        <f t="shared" si="4"/>
        <v>2851.1428571428573</v>
      </c>
      <c r="Y13" s="158">
        <f t="shared" si="0"/>
        <v>444360.73428571428</v>
      </c>
      <c r="Z13" s="157">
        <f t="shared" si="0"/>
        <v>2851.1428571428573</v>
      </c>
      <c r="AA13" s="158">
        <f t="shared" si="0"/>
        <v>444360.73428571428</v>
      </c>
      <c r="AB13" s="157">
        <f t="shared" si="0"/>
        <v>2851.1428571428573</v>
      </c>
      <c r="AC13" s="158">
        <f t="shared" si="0"/>
        <v>444360.73428571428</v>
      </c>
      <c r="AD13" s="157">
        <f t="shared" si="0"/>
        <v>2851.1428571428573</v>
      </c>
      <c r="AE13" s="158">
        <f t="shared" si="0"/>
        <v>444360.73428571428</v>
      </c>
      <c r="AF13" s="161">
        <f t="shared" si="5"/>
        <v>2221803.6714285715</v>
      </c>
      <c r="AG13" s="162">
        <f t="shared" si="6"/>
        <v>5332328.8114285711</v>
      </c>
      <c r="AH13" s="222"/>
    </row>
    <row r="14" spans="1:34" ht="29.1" customHeight="1" x14ac:dyDescent="0.25">
      <c r="A14" s="124" t="s">
        <v>37</v>
      </c>
      <c r="B14" s="153">
        <v>499</v>
      </c>
      <c r="C14" s="187">
        <v>78327.81</v>
      </c>
      <c r="D14" s="153">
        <v>565</v>
      </c>
      <c r="E14" s="187">
        <v>84945.87</v>
      </c>
      <c r="F14" s="153">
        <v>604</v>
      </c>
      <c r="G14" s="187">
        <v>92412.31</v>
      </c>
      <c r="H14" s="153">
        <v>590</v>
      </c>
      <c r="I14" s="187">
        <v>84963.78</v>
      </c>
      <c r="J14" s="153">
        <v>573</v>
      </c>
      <c r="K14" s="187">
        <v>94109.68</v>
      </c>
      <c r="L14" s="155">
        <v>525</v>
      </c>
      <c r="M14" s="191">
        <v>91374.96</v>
      </c>
      <c r="N14" s="156">
        <f t="shared" si="1"/>
        <v>3356</v>
      </c>
      <c r="O14" s="193">
        <f t="shared" si="1"/>
        <v>526134.41</v>
      </c>
      <c r="P14" s="157">
        <v>529</v>
      </c>
      <c r="Q14" s="158">
        <v>35321.329999999994</v>
      </c>
      <c r="R14" s="153">
        <v>526</v>
      </c>
      <c r="S14" s="187">
        <v>93652.26</v>
      </c>
      <c r="T14" s="159">
        <f t="shared" si="2"/>
        <v>3882</v>
      </c>
      <c r="U14" s="160">
        <f t="shared" si="2"/>
        <v>619786.67000000004</v>
      </c>
      <c r="V14" s="157">
        <f>T14/7</f>
        <v>554.57142857142856</v>
      </c>
      <c r="W14" s="158">
        <f t="shared" si="3"/>
        <v>88540.952857142867</v>
      </c>
      <c r="X14" s="157">
        <f t="shared" si="4"/>
        <v>554.57142857142856</v>
      </c>
      <c r="Y14" s="158">
        <f t="shared" si="0"/>
        <v>88540.952857142867</v>
      </c>
      <c r="Z14" s="157">
        <f t="shared" si="0"/>
        <v>554.57142857142856</v>
      </c>
      <c r="AA14" s="158">
        <f t="shared" si="0"/>
        <v>88540.952857142867</v>
      </c>
      <c r="AB14" s="157">
        <f t="shared" si="0"/>
        <v>554.57142857142856</v>
      </c>
      <c r="AC14" s="158">
        <f t="shared" si="0"/>
        <v>88540.952857142867</v>
      </c>
      <c r="AD14" s="157">
        <f t="shared" si="0"/>
        <v>554.57142857142856</v>
      </c>
      <c r="AE14" s="158">
        <f t="shared" si="0"/>
        <v>88540.952857142867</v>
      </c>
      <c r="AF14" s="161">
        <f t="shared" si="5"/>
        <v>442704.76428571437</v>
      </c>
      <c r="AG14" s="162">
        <f t="shared" si="6"/>
        <v>1062491.4342857143</v>
      </c>
      <c r="AH14" s="222"/>
    </row>
    <row r="15" spans="1:34" ht="29.1" customHeight="1" x14ac:dyDescent="0.25">
      <c r="A15" s="124" t="s">
        <v>98</v>
      </c>
      <c r="B15" s="153"/>
      <c r="C15" s="187"/>
      <c r="D15" s="153">
        <v>17</v>
      </c>
      <c r="E15" s="187">
        <v>5049.37</v>
      </c>
      <c r="F15" s="153">
        <v>23</v>
      </c>
      <c r="G15" s="187">
        <v>10555.79</v>
      </c>
      <c r="H15" s="153">
        <v>30</v>
      </c>
      <c r="I15" s="187">
        <v>11129.65</v>
      </c>
      <c r="J15" s="153">
        <v>33</v>
      </c>
      <c r="K15" s="187">
        <v>9820.43</v>
      </c>
      <c r="L15" s="155">
        <v>30</v>
      </c>
      <c r="M15" s="191">
        <v>10795.1</v>
      </c>
      <c r="N15" s="156">
        <f t="shared" si="1"/>
        <v>133</v>
      </c>
      <c r="O15" s="193">
        <f>C15+E15+G15+I15+K15+M15</f>
        <v>47350.34</v>
      </c>
      <c r="P15" s="157"/>
      <c r="Q15" s="158"/>
      <c r="R15" s="153">
        <v>32</v>
      </c>
      <c r="S15" s="187">
        <v>10609.74</v>
      </c>
      <c r="T15" s="159">
        <f t="shared" si="2"/>
        <v>165</v>
      </c>
      <c r="U15" s="160">
        <f t="shared" si="2"/>
        <v>57960.079999999994</v>
      </c>
      <c r="V15" s="157">
        <f>T15/7</f>
        <v>23.571428571428573</v>
      </c>
      <c r="W15" s="158">
        <f t="shared" si="3"/>
        <v>8280.011428571428</v>
      </c>
      <c r="X15" s="157">
        <f t="shared" si="4"/>
        <v>23.571428571428573</v>
      </c>
      <c r="Y15" s="158">
        <f t="shared" si="0"/>
        <v>8280.011428571428</v>
      </c>
      <c r="Z15" s="157">
        <f t="shared" si="0"/>
        <v>23.571428571428573</v>
      </c>
      <c r="AA15" s="158">
        <f t="shared" si="0"/>
        <v>8280.011428571428</v>
      </c>
      <c r="AB15" s="157">
        <f t="shared" si="0"/>
        <v>23.571428571428573</v>
      </c>
      <c r="AC15" s="158">
        <f t="shared" si="0"/>
        <v>8280.011428571428</v>
      </c>
      <c r="AD15" s="157">
        <f t="shared" si="0"/>
        <v>23.571428571428573</v>
      </c>
      <c r="AE15" s="158">
        <f t="shared" si="0"/>
        <v>8280.011428571428</v>
      </c>
      <c r="AF15" s="161">
        <f t="shared" si="5"/>
        <v>41400.057142857142</v>
      </c>
      <c r="AG15" s="162">
        <f t="shared" si="6"/>
        <v>99360.137142857129</v>
      </c>
      <c r="AH15" s="222"/>
    </row>
    <row r="16" spans="1:34" ht="29.1" customHeight="1" x14ac:dyDescent="0.25">
      <c r="A16" s="124" t="s">
        <v>38</v>
      </c>
      <c r="B16" s="153">
        <v>8</v>
      </c>
      <c r="C16" s="187">
        <v>2325.9699999999998</v>
      </c>
      <c r="D16" s="153"/>
      <c r="E16" s="187"/>
      <c r="F16" s="153">
        <v>1</v>
      </c>
      <c r="G16" s="187">
        <v>325.2</v>
      </c>
      <c r="H16" s="153">
        <v>1</v>
      </c>
      <c r="I16" s="187">
        <v>314.36</v>
      </c>
      <c r="J16" s="153"/>
      <c r="K16" s="187"/>
      <c r="L16" s="155"/>
      <c r="M16" s="191"/>
      <c r="N16" s="156">
        <f t="shared" si="1"/>
        <v>10</v>
      </c>
      <c r="O16" s="193">
        <f t="shared" si="1"/>
        <v>2965.5299999999997</v>
      </c>
      <c r="P16" s="157">
        <v>86</v>
      </c>
      <c r="Q16" s="158">
        <v>5578.8200000000006</v>
      </c>
      <c r="R16" s="153"/>
      <c r="S16" s="187"/>
      <c r="T16" s="159">
        <f t="shared" si="2"/>
        <v>10</v>
      </c>
      <c r="U16" s="160">
        <f t="shared" si="2"/>
        <v>2965.5299999999997</v>
      </c>
      <c r="V16" s="157">
        <f t="shared" si="3"/>
        <v>1.4285714285714286</v>
      </c>
      <c r="W16" s="158">
        <f t="shared" si="3"/>
        <v>423.6471428571428</v>
      </c>
      <c r="X16" s="157">
        <f t="shared" si="4"/>
        <v>1.4285714285714286</v>
      </c>
      <c r="Y16" s="158">
        <f t="shared" si="0"/>
        <v>423.6471428571428</v>
      </c>
      <c r="Z16" s="157">
        <f t="shared" si="0"/>
        <v>1.4285714285714286</v>
      </c>
      <c r="AA16" s="158">
        <f t="shared" si="0"/>
        <v>423.6471428571428</v>
      </c>
      <c r="AB16" s="157">
        <f t="shared" si="0"/>
        <v>1.4285714285714286</v>
      </c>
      <c r="AC16" s="158">
        <f t="shared" si="0"/>
        <v>423.6471428571428</v>
      </c>
      <c r="AD16" s="157">
        <f t="shared" si="0"/>
        <v>1.4285714285714286</v>
      </c>
      <c r="AE16" s="158">
        <f t="shared" si="0"/>
        <v>423.6471428571428</v>
      </c>
      <c r="AF16" s="161">
        <f t="shared" si="5"/>
        <v>2118.235714285714</v>
      </c>
      <c r="AG16" s="162">
        <f t="shared" si="6"/>
        <v>5083.7657142857133</v>
      </c>
      <c r="AH16" s="222"/>
    </row>
    <row r="17" spans="1:34" ht="35.1" customHeight="1" x14ac:dyDescent="0.25">
      <c r="A17" s="124" t="s">
        <v>39</v>
      </c>
      <c r="B17" s="153">
        <v>1</v>
      </c>
      <c r="C17" s="187">
        <v>200</v>
      </c>
      <c r="D17" s="153">
        <v>1</v>
      </c>
      <c r="E17" s="187">
        <v>108</v>
      </c>
      <c r="F17" s="153">
        <v>1</v>
      </c>
      <c r="G17" s="187">
        <v>108</v>
      </c>
      <c r="H17" s="153">
        <v>1</v>
      </c>
      <c r="I17" s="187">
        <v>54</v>
      </c>
      <c r="J17" s="153"/>
      <c r="K17" s="187"/>
      <c r="L17" s="155"/>
      <c r="M17" s="191"/>
      <c r="N17" s="156">
        <f t="shared" si="1"/>
        <v>4</v>
      </c>
      <c r="O17" s="193">
        <f t="shared" si="1"/>
        <v>470</v>
      </c>
      <c r="P17" s="157">
        <v>2</v>
      </c>
      <c r="Q17" s="158">
        <v>150</v>
      </c>
      <c r="R17" s="153"/>
      <c r="S17" s="187"/>
      <c r="T17" s="159">
        <f t="shared" si="2"/>
        <v>4</v>
      </c>
      <c r="U17" s="160">
        <f t="shared" si="2"/>
        <v>470</v>
      </c>
      <c r="V17" s="157">
        <f t="shared" si="3"/>
        <v>0.5714285714285714</v>
      </c>
      <c r="W17" s="158">
        <f t="shared" si="3"/>
        <v>67.142857142857139</v>
      </c>
      <c r="X17" s="157">
        <f t="shared" si="4"/>
        <v>0.5714285714285714</v>
      </c>
      <c r="Y17" s="158">
        <f t="shared" si="0"/>
        <v>67.142857142857139</v>
      </c>
      <c r="Z17" s="157">
        <f t="shared" si="0"/>
        <v>0.5714285714285714</v>
      </c>
      <c r="AA17" s="158">
        <f t="shared" si="0"/>
        <v>67.142857142857139</v>
      </c>
      <c r="AB17" s="157">
        <f t="shared" si="0"/>
        <v>0.5714285714285714</v>
      </c>
      <c r="AC17" s="158">
        <f t="shared" si="0"/>
        <v>67.142857142857139</v>
      </c>
      <c r="AD17" s="157">
        <f t="shared" si="0"/>
        <v>0.5714285714285714</v>
      </c>
      <c r="AE17" s="158">
        <f t="shared" si="0"/>
        <v>67.142857142857139</v>
      </c>
      <c r="AF17" s="161">
        <f t="shared" si="5"/>
        <v>335.71428571428567</v>
      </c>
      <c r="AG17" s="162">
        <f t="shared" si="6"/>
        <v>805.71428571428567</v>
      </c>
      <c r="AH17" s="222"/>
    </row>
    <row r="18" spans="1:34" ht="35.1" customHeight="1" x14ac:dyDescent="0.25">
      <c r="A18" s="124" t="s">
        <v>40</v>
      </c>
      <c r="B18" s="153">
        <v>1</v>
      </c>
      <c r="C18" s="187">
        <v>447.48</v>
      </c>
      <c r="D18" s="153">
        <v>2</v>
      </c>
      <c r="E18" s="187">
        <v>745.8</v>
      </c>
      <c r="F18" s="153">
        <v>2</v>
      </c>
      <c r="G18" s="187">
        <v>894.96</v>
      </c>
      <c r="H18" s="153">
        <v>2</v>
      </c>
      <c r="I18" s="187">
        <v>969.54</v>
      </c>
      <c r="J18" s="153">
        <v>1</v>
      </c>
      <c r="K18" s="187">
        <v>372.9</v>
      </c>
      <c r="L18" s="155">
        <v>3</v>
      </c>
      <c r="M18" s="191">
        <v>1641</v>
      </c>
      <c r="N18" s="156">
        <f>B18+D18+F18+H18+J18+L18</f>
        <v>11</v>
      </c>
      <c r="O18" s="193">
        <f t="shared" si="1"/>
        <v>5071.68</v>
      </c>
      <c r="P18" s="157">
        <v>3</v>
      </c>
      <c r="Q18" s="158">
        <v>967.08</v>
      </c>
      <c r="R18" s="153">
        <v>4</v>
      </c>
      <c r="S18" s="187">
        <v>324</v>
      </c>
      <c r="T18" s="159">
        <f t="shared" si="2"/>
        <v>15</v>
      </c>
      <c r="U18" s="160">
        <f t="shared" si="2"/>
        <v>5395.68</v>
      </c>
      <c r="V18" s="157">
        <f t="shared" si="3"/>
        <v>2.1428571428571428</v>
      </c>
      <c r="W18" s="158">
        <f t="shared" si="3"/>
        <v>770.81142857142856</v>
      </c>
      <c r="X18" s="157">
        <f t="shared" si="4"/>
        <v>2.1428571428571428</v>
      </c>
      <c r="Y18" s="158">
        <f t="shared" si="0"/>
        <v>770.81142857142856</v>
      </c>
      <c r="Z18" s="157">
        <f t="shared" si="0"/>
        <v>2.1428571428571428</v>
      </c>
      <c r="AA18" s="158">
        <f t="shared" si="0"/>
        <v>770.81142857142856</v>
      </c>
      <c r="AB18" s="157">
        <f t="shared" si="0"/>
        <v>2.1428571428571428</v>
      </c>
      <c r="AC18" s="158">
        <f t="shared" si="0"/>
        <v>770.81142857142856</v>
      </c>
      <c r="AD18" s="157">
        <f t="shared" si="0"/>
        <v>2.1428571428571428</v>
      </c>
      <c r="AE18" s="158">
        <f t="shared" si="0"/>
        <v>770.81142857142856</v>
      </c>
      <c r="AF18" s="161">
        <f t="shared" si="5"/>
        <v>3854.0571428571429</v>
      </c>
      <c r="AG18" s="162">
        <f t="shared" si="6"/>
        <v>9249.7371428571423</v>
      </c>
      <c r="AH18" s="222"/>
    </row>
    <row r="19" spans="1:34" ht="35.1" customHeight="1" x14ac:dyDescent="0.25">
      <c r="A19" s="124" t="s">
        <v>41</v>
      </c>
      <c r="B19" s="153"/>
      <c r="C19" s="187"/>
      <c r="D19" s="153">
        <v>1</v>
      </c>
      <c r="E19" s="187">
        <v>1506.37</v>
      </c>
      <c r="F19" s="153">
        <v>1</v>
      </c>
      <c r="G19" s="187">
        <v>1506.37</v>
      </c>
      <c r="H19" s="153">
        <v>1</v>
      </c>
      <c r="I19" s="187">
        <v>1392.13</v>
      </c>
      <c r="J19" s="153">
        <v>1</v>
      </c>
      <c r="K19" s="187">
        <v>-4404.87</v>
      </c>
      <c r="L19" s="155"/>
      <c r="M19" s="191"/>
      <c r="N19" s="156">
        <v>0</v>
      </c>
      <c r="O19" s="193">
        <f t="shared" si="1"/>
        <v>0</v>
      </c>
      <c r="P19" s="157">
        <v>1</v>
      </c>
      <c r="Q19" s="158">
        <v>750.4</v>
      </c>
      <c r="R19" s="163"/>
      <c r="S19" s="164"/>
      <c r="T19" s="159">
        <f>N19+R19</f>
        <v>0</v>
      </c>
      <c r="U19" s="160">
        <f t="shared" si="2"/>
        <v>0</v>
      </c>
      <c r="V19" s="157">
        <f>T19/7</f>
        <v>0</v>
      </c>
      <c r="W19" s="158">
        <f t="shared" si="3"/>
        <v>0</v>
      </c>
      <c r="X19" s="157">
        <f t="shared" si="4"/>
        <v>0</v>
      </c>
      <c r="Y19" s="158">
        <f t="shared" si="0"/>
        <v>0</v>
      </c>
      <c r="Z19" s="157">
        <f t="shared" si="0"/>
        <v>0</v>
      </c>
      <c r="AA19" s="158">
        <f t="shared" si="0"/>
        <v>0</v>
      </c>
      <c r="AB19" s="157">
        <f t="shared" si="0"/>
        <v>0</v>
      </c>
      <c r="AC19" s="158">
        <f t="shared" si="0"/>
        <v>0</v>
      </c>
      <c r="AD19" s="157">
        <f t="shared" si="0"/>
        <v>0</v>
      </c>
      <c r="AE19" s="158">
        <f t="shared" si="0"/>
        <v>0</v>
      </c>
      <c r="AF19" s="161">
        <f t="shared" si="5"/>
        <v>0</v>
      </c>
      <c r="AG19" s="162">
        <f>U19+AF19</f>
        <v>0</v>
      </c>
      <c r="AH19" s="222"/>
    </row>
    <row r="20" spans="1:34" ht="35.1" customHeight="1" x14ac:dyDescent="0.25">
      <c r="A20" s="124" t="s">
        <v>42</v>
      </c>
      <c r="B20" s="153">
        <v>23</v>
      </c>
      <c r="C20" s="187">
        <v>29775.09</v>
      </c>
      <c r="D20" s="153">
        <v>23</v>
      </c>
      <c r="E20" s="187">
        <v>30821.35</v>
      </c>
      <c r="F20" s="153">
        <v>27</v>
      </c>
      <c r="G20" s="187">
        <v>40573.56</v>
      </c>
      <c r="H20" s="153">
        <v>33</v>
      </c>
      <c r="I20" s="187">
        <v>33715.49</v>
      </c>
      <c r="J20" s="153">
        <v>21</v>
      </c>
      <c r="K20" s="187">
        <v>40569.1</v>
      </c>
      <c r="L20" s="155">
        <v>22</v>
      </c>
      <c r="M20" s="191">
        <v>33875.129999999997</v>
      </c>
      <c r="N20" s="156">
        <f t="shared" si="1"/>
        <v>149</v>
      </c>
      <c r="O20" s="193">
        <f t="shared" si="1"/>
        <v>209329.72</v>
      </c>
      <c r="P20" s="157">
        <v>18</v>
      </c>
      <c r="Q20" s="158">
        <v>21823.920000000002</v>
      </c>
      <c r="R20" s="153">
        <v>21</v>
      </c>
      <c r="S20" s="187">
        <v>33583.730000000003</v>
      </c>
      <c r="T20" s="159">
        <f t="shared" si="2"/>
        <v>170</v>
      </c>
      <c r="U20" s="160">
        <f t="shared" si="2"/>
        <v>242913.45</v>
      </c>
      <c r="V20" s="157">
        <f t="shared" si="3"/>
        <v>24.285714285714285</v>
      </c>
      <c r="W20" s="158">
        <f t="shared" si="3"/>
        <v>34701.921428571433</v>
      </c>
      <c r="X20" s="157">
        <f t="shared" si="4"/>
        <v>24.285714285714285</v>
      </c>
      <c r="Y20" s="158">
        <f t="shared" si="0"/>
        <v>34701.921428571433</v>
      </c>
      <c r="Z20" s="157">
        <f t="shared" si="0"/>
        <v>24.285714285714285</v>
      </c>
      <c r="AA20" s="158">
        <f t="shared" si="0"/>
        <v>34701.921428571433</v>
      </c>
      <c r="AB20" s="157">
        <f t="shared" si="0"/>
        <v>24.285714285714285</v>
      </c>
      <c r="AC20" s="158">
        <f t="shared" si="0"/>
        <v>34701.921428571433</v>
      </c>
      <c r="AD20" s="157">
        <f t="shared" si="0"/>
        <v>24.285714285714285</v>
      </c>
      <c r="AE20" s="158">
        <f t="shared" si="0"/>
        <v>34701.921428571433</v>
      </c>
      <c r="AF20" s="161">
        <f>W20+Y20+AA20+AC20+AE20</f>
        <v>173509.60714285716</v>
      </c>
      <c r="AG20" s="162">
        <f t="shared" si="6"/>
        <v>416423.05714285717</v>
      </c>
      <c r="AH20" s="222"/>
    </row>
    <row r="21" spans="1:34" ht="51" customHeight="1" x14ac:dyDescent="0.25">
      <c r="A21" s="124" t="s">
        <v>43</v>
      </c>
      <c r="B21" s="153">
        <f>B22+B23</f>
        <v>64</v>
      </c>
      <c r="C21" s="187">
        <f>C22+C23</f>
        <v>19176.27</v>
      </c>
      <c r="D21" s="154">
        <f t="shared" ref="D21:K21" si="7">D22+D23</f>
        <v>81</v>
      </c>
      <c r="E21" s="187">
        <f t="shared" si="7"/>
        <v>21157.61</v>
      </c>
      <c r="F21" s="154">
        <f t="shared" si="7"/>
        <v>77</v>
      </c>
      <c r="G21" s="187">
        <f t="shared" si="7"/>
        <v>15275.09</v>
      </c>
      <c r="H21" s="154">
        <f t="shared" si="7"/>
        <v>101</v>
      </c>
      <c r="I21" s="187">
        <f t="shared" si="7"/>
        <v>28650.739999999998</v>
      </c>
      <c r="J21" s="154">
        <f t="shared" si="7"/>
        <v>98</v>
      </c>
      <c r="K21" s="187">
        <f t="shared" si="7"/>
        <v>24273.95</v>
      </c>
      <c r="L21" s="153">
        <f>L22+L23</f>
        <v>-53</v>
      </c>
      <c r="M21" s="187">
        <f>M22+M23</f>
        <v>-11331.039999999999</v>
      </c>
      <c r="N21" s="156">
        <f t="shared" si="1"/>
        <v>368</v>
      </c>
      <c r="O21" s="193">
        <f t="shared" si="1"/>
        <v>97202.62</v>
      </c>
      <c r="P21" s="157">
        <v>81</v>
      </c>
      <c r="Q21" s="158">
        <v>23176.49</v>
      </c>
      <c r="R21" s="153">
        <v>43</v>
      </c>
      <c r="S21" s="187">
        <v>11240.25</v>
      </c>
      <c r="T21" s="159">
        <f t="shared" si="2"/>
        <v>411</v>
      </c>
      <c r="U21" s="160">
        <f t="shared" si="2"/>
        <v>108442.87</v>
      </c>
      <c r="V21" s="157">
        <f t="shared" si="3"/>
        <v>58.714285714285715</v>
      </c>
      <c r="W21" s="158">
        <f t="shared" si="3"/>
        <v>15491.838571428571</v>
      </c>
      <c r="X21" s="157">
        <f t="shared" si="4"/>
        <v>58.714285714285715</v>
      </c>
      <c r="Y21" s="158">
        <f t="shared" si="0"/>
        <v>15491.838571428571</v>
      </c>
      <c r="Z21" s="157">
        <f t="shared" si="0"/>
        <v>58.714285714285715</v>
      </c>
      <c r="AA21" s="158">
        <f t="shared" si="0"/>
        <v>15491.838571428571</v>
      </c>
      <c r="AB21" s="157">
        <f t="shared" si="0"/>
        <v>58.714285714285715</v>
      </c>
      <c r="AC21" s="158">
        <f t="shared" si="0"/>
        <v>15491.838571428571</v>
      </c>
      <c r="AD21" s="157">
        <f t="shared" si="0"/>
        <v>58.714285714285715</v>
      </c>
      <c r="AE21" s="158">
        <f t="shared" si="0"/>
        <v>15491.838571428571</v>
      </c>
      <c r="AF21" s="161">
        <f t="shared" si="5"/>
        <v>77459.192857142858</v>
      </c>
      <c r="AG21" s="162">
        <f t="shared" si="6"/>
        <v>185902.06285714285</v>
      </c>
      <c r="AH21" s="222"/>
    </row>
    <row r="22" spans="1:34" s="126" customFormat="1" x14ac:dyDescent="0.25">
      <c r="A22" s="125" t="s">
        <v>44</v>
      </c>
      <c r="B22" s="165">
        <v>64</v>
      </c>
      <c r="C22" s="188">
        <v>19176.27</v>
      </c>
      <c r="D22" s="165">
        <v>77</v>
      </c>
      <c r="E22" s="188">
        <v>19635.080000000002</v>
      </c>
      <c r="F22" s="165">
        <v>77</v>
      </c>
      <c r="G22" s="188">
        <v>15275.09</v>
      </c>
      <c r="H22" s="165">
        <v>97</v>
      </c>
      <c r="I22" s="188">
        <v>26912.21</v>
      </c>
      <c r="J22" s="165">
        <v>94</v>
      </c>
      <c r="K22" s="188">
        <v>22164.080000000002</v>
      </c>
      <c r="L22" s="166">
        <f>66-123</f>
        <v>-57</v>
      </c>
      <c r="M22" s="192">
        <v>-13496.07</v>
      </c>
      <c r="N22" s="167">
        <f t="shared" si="1"/>
        <v>352</v>
      </c>
      <c r="O22" s="194">
        <f t="shared" si="1"/>
        <v>89666.66</v>
      </c>
      <c r="P22" s="168"/>
      <c r="Q22" s="169"/>
      <c r="R22" s="165">
        <v>40</v>
      </c>
      <c r="S22" s="188">
        <v>9033.56</v>
      </c>
      <c r="T22" s="170">
        <f t="shared" si="2"/>
        <v>392</v>
      </c>
      <c r="U22" s="171">
        <f t="shared" si="2"/>
        <v>98700.22</v>
      </c>
      <c r="V22" s="168">
        <f t="shared" si="3"/>
        <v>56</v>
      </c>
      <c r="W22" s="169">
        <f t="shared" si="3"/>
        <v>14100.031428571428</v>
      </c>
      <c r="X22" s="168">
        <f t="shared" si="4"/>
        <v>56</v>
      </c>
      <c r="Y22" s="169">
        <f t="shared" si="0"/>
        <v>14100.031428571428</v>
      </c>
      <c r="Z22" s="168">
        <f t="shared" si="0"/>
        <v>56</v>
      </c>
      <c r="AA22" s="169">
        <f t="shared" si="0"/>
        <v>14100.031428571428</v>
      </c>
      <c r="AB22" s="168">
        <f t="shared" si="0"/>
        <v>56</v>
      </c>
      <c r="AC22" s="169">
        <f t="shared" si="0"/>
        <v>14100.031428571428</v>
      </c>
      <c r="AD22" s="168">
        <f t="shared" si="0"/>
        <v>56</v>
      </c>
      <c r="AE22" s="169">
        <f t="shared" si="0"/>
        <v>14100.031428571428</v>
      </c>
      <c r="AF22" s="172">
        <f t="shared" si="5"/>
        <v>70500.157142857148</v>
      </c>
      <c r="AG22" s="173">
        <f t="shared" si="6"/>
        <v>169200.37714285715</v>
      </c>
      <c r="AH22" s="222"/>
    </row>
    <row r="23" spans="1:34" s="126" customFormat="1" x14ac:dyDescent="0.25">
      <c r="A23" s="125" t="s">
        <v>45</v>
      </c>
      <c r="B23" s="165"/>
      <c r="C23" s="188"/>
      <c r="D23" s="165">
        <v>4</v>
      </c>
      <c r="E23" s="188">
        <v>1522.53</v>
      </c>
      <c r="F23" s="165"/>
      <c r="G23" s="188"/>
      <c r="H23" s="165">
        <v>4</v>
      </c>
      <c r="I23" s="188">
        <v>1738.53</v>
      </c>
      <c r="J23" s="165">
        <v>4</v>
      </c>
      <c r="K23" s="188">
        <v>2109.87</v>
      </c>
      <c r="L23" s="166">
        <v>4</v>
      </c>
      <c r="M23" s="192">
        <v>2165.0300000000002</v>
      </c>
      <c r="N23" s="167">
        <f t="shared" si="1"/>
        <v>16</v>
      </c>
      <c r="O23" s="194">
        <f t="shared" si="1"/>
        <v>7535.9600000000009</v>
      </c>
      <c r="P23" s="168"/>
      <c r="Q23" s="169"/>
      <c r="R23" s="165">
        <v>3</v>
      </c>
      <c r="S23" s="188">
        <v>2206.69</v>
      </c>
      <c r="T23" s="170">
        <f t="shared" si="2"/>
        <v>19</v>
      </c>
      <c r="U23" s="171">
        <f t="shared" si="2"/>
        <v>9742.6500000000015</v>
      </c>
      <c r="V23" s="168">
        <f t="shared" si="3"/>
        <v>2.7142857142857144</v>
      </c>
      <c r="W23" s="169">
        <f t="shared" si="3"/>
        <v>1391.8071428571432</v>
      </c>
      <c r="X23" s="168">
        <f t="shared" si="4"/>
        <v>2.7142857142857144</v>
      </c>
      <c r="Y23" s="169">
        <f t="shared" si="0"/>
        <v>1391.8071428571432</v>
      </c>
      <c r="Z23" s="168">
        <f t="shared" si="0"/>
        <v>2.7142857142857144</v>
      </c>
      <c r="AA23" s="169">
        <f t="shared" si="0"/>
        <v>1391.8071428571432</v>
      </c>
      <c r="AB23" s="168">
        <f t="shared" si="0"/>
        <v>2.7142857142857144</v>
      </c>
      <c r="AC23" s="169">
        <f t="shared" si="0"/>
        <v>1391.8071428571432</v>
      </c>
      <c r="AD23" s="168">
        <f t="shared" si="0"/>
        <v>2.7142857142857144</v>
      </c>
      <c r="AE23" s="169">
        <f t="shared" si="0"/>
        <v>1391.8071428571432</v>
      </c>
      <c r="AF23" s="172">
        <f t="shared" si="5"/>
        <v>6959.0357142857156</v>
      </c>
      <c r="AG23" s="173">
        <f t="shared" si="6"/>
        <v>16701.685714285719</v>
      </c>
      <c r="AH23" s="222"/>
    </row>
    <row r="24" spans="1:34" ht="54" customHeight="1" x14ac:dyDescent="0.25">
      <c r="A24" s="124" t="s">
        <v>46</v>
      </c>
      <c r="B24" s="153">
        <f>B25+B26</f>
        <v>401</v>
      </c>
      <c r="C24" s="187">
        <f t="shared" ref="C24:M24" si="8">C25+C26</f>
        <v>151596.88999999998</v>
      </c>
      <c r="D24" s="153">
        <f t="shared" si="8"/>
        <v>195</v>
      </c>
      <c r="E24" s="187">
        <f t="shared" si="8"/>
        <v>74027.399999999994</v>
      </c>
      <c r="F24" s="153">
        <f t="shared" si="8"/>
        <v>239</v>
      </c>
      <c r="G24" s="187">
        <f t="shared" si="8"/>
        <v>86716.36</v>
      </c>
      <c r="H24" s="153">
        <f t="shared" si="8"/>
        <v>230</v>
      </c>
      <c r="I24" s="187">
        <f t="shared" si="8"/>
        <v>89614.02</v>
      </c>
      <c r="J24" s="153">
        <f t="shared" si="8"/>
        <v>202</v>
      </c>
      <c r="K24" s="187">
        <f t="shared" si="8"/>
        <v>76337.460000000006</v>
      </c>
      <c r="L24" s="153">
        <f>L25+L26</f>
        <v>368</v>
      </c>
      <c r="M24" s="187">
        <f t="shared" si="8"/>
        <v>112221.94</v>
      </c>
      <c r="N24" s="156">
        <f>B24+D24+F24+H24+J24+L24</f>
        <v>1635</v>
      </c>
      <c r="O24" s="193">
        <f t="shared" si="1"/>
        <v>590514.07000000007</v>
      </c>
      <c r="P24" s="157">
        <v>358</v>
      </c>
      <c r="Q24" s="158">
        <v>138727.43</v>
      </c>
      <c r="R24" s="153">
        <v>248</v>
      </c>
      <c r="S24" s="187">
        <v>73999.72</v>
      </c>
      <c r="T24" s="159">
        <f t="shared" si="2"/>
        <v>1883</v>
      </c>
      <c r="U24" s="160">
        <f t="shared" si="2"/>
        <v>664513.79</v>
      </c>
      <c r="V24" s="157">
        <f t="shared" si="3"/>
        <v>269</v>
      </c>
      <c r="W24" s="158">
        <f t="shared" si="3"/>
        <v>94930.541428571436</v>
      </c>
      <c r="X24" s="157">
        <f t="shared" si="4"/>
        <v>269</v>
      </c>
      <c r="Y24" s="158">
        <f t="shared" si="4"/>
        <v>94930.541428571436</v>
      </c>
      <c r="Z24" s="157">
        <f t="shared" si="4"/>
        <v>269</v>
      </c>
      <c r="AA24" s="158">
        <f t="shared" si="4"/>
        <v>94930.541428571436</v>
      </c>
      <c r="AB24" s="157">
        <f t="shared" si="4"/>
        <v>269</v>
      </c>
      <c r="AC24" s="158">
        <f>AA24</f>
        <v>94930.541428571436</v>
      </c>
      <c r="AD24" s="157">
        <f t="shared" ref="AD24:AE27" si="9">AB24</f>
        <v>269</v>
      </c>
      <c r="AE24" s="158">
        <f t="shared" si="9"/>
        <v>94930.541428571436</v>
      </c>
      <c r="AF24" s="161">
        <f t="shared" si="5"/>
        <v>474652.70714285719</v>
      </c>
      <c r="AG24" s="162">
        <f t="shared" si="6"/>
        <v>1139166.4971428572</v>
      </c>
      <c r="AH24" s="222"/>
    </row>
    <row r="25" spans="1:34" s="126" customFormat="1" ht="19.149999999999999" customHeight="1" x14ac:dyDescent="0.25">
      <c r="A25" s="125" t="s">
        <v>47</v>
      </c>
      <c r="B25" s="165">
        <v>397</v>
      </c>
      <c r="C25" s="188">
        <v>149958.78</v>
      </c>
      <c r="D25" s="165">
        <v>195</v>
      </c>
      <c r="E25" s="188">
        <v>74027.399999999994</v>
      </c>
      <c r="F25" s="165">
        <v>235</v>
      </c>
      <c r="G25" s="188">
        <v>84657.279999999999</v>
      </c>
      <c r="H25" s="165">
        <v>230</v>
      </c>
      <c r="I25" s="188">
        <v>89614.02</v>
      </c>
      <c r="J25" s="165">
        <v>202</v>
      </c>
      <c r="K25" s="188">
        <v>76337.460000000006</v>
      </c>
      <c r="L25" s="166">
        <f>245+123</f>
        <v>368</v>
      </c>
      <c r="M25" s="192">
        <v>112221.94</v>
      </c>
      <c r="N25" s="167">
        <f t="shared" si="1"/>
        <v>1627</v>
      </c>
      <c r="O25" s="194">
        <f t="shared" si="1"/>
        <v>586816.88</v>
      </c>
      <c r="P25" s="168"/>
      <c r="Q25" s="169"/>
      <c r="R25" s="165">
        <v>248</v>
      </c>
      <c r="S25" s="188">
        <v>73999.72</v>
      </c>
      <c r="T25" s="170">
        <f t="shared" si="2"/>
        <v>1875</v>
      </c>
      <c r="U25" s="171">
        <f t="shared" si="2"/>
        <v>660816.6</v>
      </c>
      <c r="V25" s="168">
        <f t="shared" si="3"/>
        <v>267.85714285714283</v>
      </c>
      <c r="W25" s="169">
        <f t="shared" si="3"/>
        <v>94402.371428571423</v>
      </c>
      <c r="X25" s="168">
        <f t="shared" si="4"/>
        <v>267.85714285714283</v>
      </c>
      <c r="Y25" s="169">
        <f t="shared" si="4"/>
        <v>94402.371428571423</v>
      </c>
      <c r="Z25" s="168">
        <f t="shared" si="4"/>
        <v>267.85714285714283</v>
      </c>
      <c r="AA25" s="169">
        <f t="shared" si="4"/>
        <v>94402.371428571423</v>
      </c>
      <c r="AB25" s="168">
        <f t="shared" si="4"/>
        <v>267.85714285714283</v>
      </c>
      <c r="AC25" s="169">
        <f t="shared" si="4"/>
        <v>94402.371428571423</v>
      </c>
      <c r="AD25" s="168">
        <f t="shared" si="9"/>
        <v>267.85714285714283</v>
      </c>
      <c r="AE25" s="169">
        <f t="shared" si="9"/>
        <v>94402.371428571423</v>
      </c>
      <c r="AF25" s="172">
        <f t="shared" si="5"/>
        <v>472011.8571428571</v>
      </c>
      <c r="AG25" s="173">
        <f t="shared" si="6"/>
        <v>1132828.4571428571</v>
      </c>
      <c r="AH25" s="222"/>
    </row>
    <row r="26" spans="1:34" s="126" customFormat="1" x14ac:dyDescent="0.25">
      <c r="A26" s="125" t="s">
        <v>45</v>
      </c>
      <c r="B26" s="165">
        <v>4</v>
      </c>
      <c r="C26" s="188">
        <v>1638.11</v>
      </c>
      <c r="D26" s="165"/>
      <c r="E26" s="188"/>
      <c r="F26" s="165">
        <v>4</v>
      </c>
      <c r="G26" s="188">
        <v>2059.08</v>
      </c>
      <c r="H26" s="165"/>
      <c r="I26" s="188"/>
      <c r="J26" s="165"/>
      <c r="K26" s="188"/>
      <c r="L26" s="166"/>
      <c r="M26" s="192"/>
      <c r="N26" s="167">
        <f t="shared" si="1"/>
        <v>8</v>
      </c>
      <c r="O26" s="194">
        <f t="shared" si="1"/>
        <v>3697.1899999999996</v>
      </c>
      <c r="P26" s="168"/>
      <c r="Q26" s="169"/>
      <c r="R26" s="165"/>
      <c r="S26" s="188"/>
      <c r="T26" s="170">
        <f t="shared" si="2"/>
        <v>8</v>
      </c>
      <c r="U26" s="171">
        <f t="shared" si="2"/>
        <v>3697.1899999999996</v>
      </c>
      <c r="V26" s="168">
        <f t="shared" si="3"/>
        <v>1.1428571428571428</v>
      </c>
      <c r="W26" s="169">
        <f t="shared" si="3"/>
        <v>528.16999999999996</v>
      </c>
      <c r="X26" s="168">
        <f t="shared" si="4"/>
        <v>1.1428571428571428</v>
      </c>
      <c r="Y26" s="169">
        <f t="shared" si="4"/>
        <v>528.16999999999996</v>
      </c>
      <c r="Z26" s="168">
        <f t="shared" si="4"/>
        <v>1.1428571428571428</v>
      </c>
      <c r="AA26" s="169">
        <f t="shared" si="4"/>
        <v>528.16999999999996</v>
      </c>
      <c r="AB26" s="168">
        <f t="shared" si="4"/>
        <v>1.1428571428571428</v>
      </c>
      <c r="AC26" s="169">
        <f t="shared" si="4"/>
        <v>528.16999999999996</v>
      </c>
      <c r="AD26" s="168">
        <f t="shared" si="9"/>
        <v>1.1428571428571428</v>
      </c>
      <c r="AE26" s="169">
        <f t="shared" si="9"/>
        <v>528.16999999999996</v>
      </c>
      <c r="AF26" s="172">
        <f t="shared" si="5"/>
        <v>2640.85</v>
      </c>
      <c r="AG26" s="173">
        <f t="shared" si="6"/>
        <v>6338.0399999999991</v>
      </c>
      <c r="AH26" s="222"/>
    </row>
    <row r="27" spans="1:34" ht="38.1" customHeight="1" x14ac:dyDescent="0.25">
      <c r="A27" s="127" t="s">
        <v>48</v>
      </c>
      <c r="B27" s="153">
        <v>1182</v>
      </c>
      <c r="C27" s="187">
        <v>107856.84999999999</v>
      </c>
      <c r="D27" s="153">
        <v>1063</v>
      </c>
      <c r="E27" s="187">
        <v>98249.600000000006</v>
      </c>
      <c r="F27" s="153">
        <v>1006</v>
      </c>
      <c r="G27" s="187">
        <v>108653.54999999999</v>
      </c>
      <c r="H27" s="153">
        <v>986</v>
      </c>
      <c r="I27" s="187">
        <v>108741.15</v>
      </c>
      <c r="J27" s="153">
        <v>849</v>
      </c>
      <c r="K27" s="187">
        <v>92911.14</v>
      </c>
      <c r="L27" s="153">
        <v>1147</v>
      </c>
      <c r="M27" s="187">
        <v>124792.92000000001</v>
      </c>
      <c r="N27" s="156">
        <v>5868</v>
      </c>
      <c r="O27" s="193">
        <v>641205.21000000031</v>
      </c>
      <c r="P27" s="157">
        <v>1546</v>
      </c>
      <c r="Q27" s="158">
        <v>141020.17868531254</v>
      </c>
      <c r="R27" s="153">
        <v>976</v>
      </c>
      <c r="S27" s="187">
        <v>118758.91</v>
      </c>
      <c r="T27" s="159">
        <f t="shared" si="2"/>
        <v>6844</v>
      </c>
      <c r="U27" s="160">
        <f t="shared" si="2"/>
        <v>759964.12000000034</v>
      </c>
      <c r="V27" s="157">
        <f t="shared" si="3"/>
        <v>977.71428571428567</v>
      </c>
      <c r="W27" s="158">
        <f t="shared" si="3"/>
        <v>108566.3028571429</v>
      </c>
      <c r="X27" s="157">
        <f t="shared" si="4"/>
        <v>977.71428571428567</v>
      </c>
      <c r="Y27" s="158">
        <f t="shared" si="4"/>
        <v>108566.3028571429</v>
      </c>
      <c r="Z27" s="157">
        <f t="shared" si="4"/>
        <v>977.71428571428567</v>
      </c>
      <c r="AA27" s="158">
        <f t="shared" si="4"/>
        <v>108566.3028571429</v>
      </c>
      <c r="AB27" s="157">
        <f t="shared" si="4"/>
        <v>977.71428571428567</v>
      </c>
      <c r="AC27" s="158">
        <f t="shared" si="4"/>
        <v>108566.3028571429</v>
      </c>
      <c r="AD27" s="157">
        <f t="shared" si="9"/>
        <v>977.71428571428567</v>
      </c>
      <c r="AE27" s="158">
        <f t="shared" si="9"/>
        <v>108566.3028571429</v>
      </c>
      <c r="AF27" s="161">
        <f t="shared" si="5"/>
        <v>542831.51428571448</v>
      </c>
      <c r="AG27" s="162">
        <f t="shared" si="6"/>
        <v>1302795.6342857149</v>
      </c>
      <c r="AH27" s="223"/>
    </row>
    <row r="28" spans="1:34" ht="27.95" customHeight="1" x14ac:dyDescent="0.25">
      <c r="A28" s="174" t="s">
        <v>1</v>
      </c>
      <c r="B28" s="175" t="s">
        <v>50</v>
      </c>
      <c r="C28" s="189">
        <f>C27+C24+C21+C20+C19+C18+C17+C16+C14+C13+C12+C11+C10+C9+C8</f>
        <v>1078026.46</v>
      </c>
      <c r="D28" s="175" t="s">
        <v>50</v>
      </c>
      <c r="E28" s="189">
        <f>E27+E24+E21+E20+E19+E18+E17+E16+E14+E15+E13+E12+E11+E10+E9+E8</f>
        <v>1566138.64</v>
      </c>
      <c r="F28" s="175" t="s">
        <v>50</v>
      </c>
      <c r="G28" s="190">
        <f t="shared" ref="G28:K28" si="10">G27+G24+G21+G20+G19+G18+G17+G16+G15+G14+G13+G12+G11+G10+G9+G8</f>
        <v>1382378.46</v>
      </c>
      <c r="H28" s="175" t="s">
        <v>50</v>
      </c>
      <c r="I28" s="189">
        <f t="shared" si="10"/>
        <v>1331167.0699999998</v>
      </c>
      <c r="J28" s="175" t="s">
        <v>50</v>
      </c>
      <c r="K28" s="189">
        <f t="shared" si="10"/>
        <v>1312339.01</v>
      </c>
      <c r="L28" s="175" t="s">
        <v>50</v>
      </c>
      <c r="M28" s="189">
        <f>M27+M24+M21+M20+M19+M18+M17+M16+M15+M14+M13+M12+M11+M10+M9+M8</f>
        <v>1227448.53</v>
      </c>
      <c r="N28" s="176" t="s">
        <v>50</v>
      </c>
      <c r="O28" s="195">
        <f t="shared" ref="O28:Q28" si="11">O27+O24+O21+O20+O19+O18+O17+O16+O15+O14+O13+O12+O11+O10+O9+O8</f>
        <v>7897498.1700000009</v>
      </c>
      <c r="P28" s="177" t="s">
        <v>50</v>
      </c>
      <c r="Q28" s="178">
        <f t="shared" si="11"/>
        <v>1484270.7702054789</v>
      </c>
      <c r="R28" s="179" t="s">
        <v>50</v>
      </c>
      <c r="S28" s="180">
        <f>S27+S24+S21+S20+S19+S18+S17+S16+S15+S14+S13+S12+S11+S10+S9+S8</f>
        <v>1165246.8500000001</v>
      </c>
      <c r="T28" s="181" t="s">
        <v>50</v>
      </c>
      <c r="U28" s="182">
        <f>ROUND(U27+U24+U21+U20+U19+U18+U17+U16+U15+U14+U13+U12+U11+U10+U9+U8,0)</f>
        <v>9062745</v>
      </c>
      <c r="V28" s="177" t="s">
        <v>50</v>
      </c>
      <c r="W28" s="178">
        <f>ROUND(W27+W24+W21+W20+W19+W18+W17+W16+W14+W13+W12+W11+W10+W9+W8+W15,0)</f>
        <v>1294678</v>
      </c>
      <c r="X28" s="177" t="s">
        <v>50</v>
      </c>
      <c r="Y28" s="178">
        <f>ROUND(Y27+Y24+Y21+Y20+Y19+Y18+Y17+Y16+Y14+Y13+Y12+Y11+Y10+Y9+Y8+Y15,0)</f>
        <v>1294678</v>
      </c>
      <c r="Z28" s="177" t="s">
        <v>50</v>
      </c>
      <c r="AA28" s="178">
        <f>ROUND(AA27+AA24+AA21+AA20+AA19+AA18+AA17+AA16+AA14+AA13+AA12+AA11+AA10+AA9+AA8+AA15,0)</f>
        <v>1294678</v>
      </c>
      <c r="AB28" s="177" t="s">
        <v>50</v>
      </c>
      <c r="AC28" s="178">
        <f>ROUND(AC27+AC24+AC21+AC20+AC19+AC18+AC17+AC16+AC14+AC13+AC12+AC11+AC10+AC9+AC8+AC15,0)</f>
        <v>1294678</v>
      </c>
      <c r="AD28" s="177" t="s">
        <v>50</v>
      </c>
      <c r="AE28" s="178">
        <f>ROUND(AE27+AE24+AE21+AE20+AE19+AE18+AE17+AE16+AE14+AE13+AE12+AE11+AE10+AE9+AE8+AE15,0)</f>
        <v>1294678</v>
      </c>
      <c r="AF28" s="183">
        <f>W28+Y28+AA28+AC28+AE28</f>
        <v>6473390</v>
      </c>
      <c r="AG28" s="184">
        <f>U28+W28+Y28+AA28+AC28+AE28</f>
        <v>15536135</v>
      </c>
      <c r="AH28" s="185" t="s">
        <v>50</v>
      </c>
    </row>
    <row r="29" spans="1:34" x14ac:dyDescent="0.25">
      <c r="A29" s="224" t="s">
        <v>122</v>
      </c>
      <c r="B29" s="224"/>
      <c r="C29" s="224"/>
      <c r="D29" s="224"/>
      <c r="E29" s="224"/>
      <c r="F29" s="224"/>
      <c r="G29" s="224"/>
      <c r="H29" s="224"/>
      <c r="I29" s="224"/>
      <c r="J29" s="224"/>
      <c r="K29" s="224"/>
      <c r="L29" s="224"/>
      <c r="M29" s="224"/>
      <c r="N29" s="224"/>
      <c r="O29" s="224"/>
      <c r="P29" s="224"/>
      <c r="Q29" s="224"/>
      <c r="R29" s="224"/>
      <c r="S29" s="224"/>
      <c r="T29" s="224"/>
      <c r="U29" s="224"/>
      <c r="V29" s="224"/>
      <c r="W29" s="224"/>
      <c r="X29" s="224"/>
      <c r="Y29" s="224"/>
      <c r="Z29" s="224"/>
      <c r="AA29" s="224"/>
      <c r="AB29" s="224"/>
      <c r="AC29" s="224"/>
      <c r="AD29" s="224"/>
      <c r="AE29" s="224"/>
      <c r="AF29" s="224"/>
      <c r="AG29" s="224"/>
      <c r="AH29" s="224"/>
    </row>
    <row r="31" spans="1:34" x14ac:dyDescent="0.25">
      <c r="I31" s="73"/>
      <c r="U31" s="129"/>
    </row>
    <row r="32" spans="1:34" x14ac:dyDescent="0.25">
      <c r="C32" s="252">
        <f>C28+E28+G28+I28+K28+M28</f>
        <v>7897498.169999999</v>
      </c>
    </row>
  </sheetData>
  <mergeCells count="37">
    <mergeCell ref="R3:S3"/>
    <mergeCell ref="T3:U3"/>
    <mergeCell ref="V3:W3"/>
    <mergeCell ref="X3:Y3"/>
    <mergeCell ref="Z3:AA3"/>
    <mergeCell ref="N7:Q7"/>
    <mergeCell ref="AH8:AH27"/>
    <mergeCell ref="A29:AH29"/>
    <mergeCell ref="AD3:AE3"/>
    <mergeCell ref="B3:C3"/>
    <mergeCell ref="B4:C4"/>
    <mergeCell ref="AB3:AC3"/>
    <mergeCell ref="Z4:AA4"/>
    <mergeCell ref="D4:E4"/>
    <mergeCell ref="F4:G4"/>
    <mergeCell ref="H4:I4"/>
    <mergeCell ref="J4:K4"/>
    <mergeCell ref="L4:M4"/>
    <mergeCell ref="N4:O4"/>
    <mergeCell ref="P4:Q4"/>
    <mergeCell ref="R4:S4"/>
    <mergeCell ref="A1:AH1"/>
    <mergeCell ref="A2:AH2"/>
    <mergeCell ref="AF3:AG3"/>
    <mergeCell ref="AH3:AH6"/>
    <mergeCell ref="AD4:AE4"/>
    <mergeCell ref="T4:U4"/>
    <mergeCell ref="V4:W4"/>
    <mergeCell ref="X4:Y4"/>
    <mergeCell ref="AB4:AC4"/>
    <mergeCell ref="D3:E3"/>
    <mergeCell ref="F3:G3"/>
    <mergeCell ref="H3:I3"/>
    <mergeCell ref="J3:K3"/>
    <mergeCell ref="L3:M3"/>
    <mergeCell ref="N3:O3"/>
    <mergeCell ref="P3:Q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FBD15-7E89-4E80-8E5C-0A0F0A82F446}">
  <dimension ref="A1:AB20"/>
  <sheetViews>
    <sheetView workbookViewId="0">
      <selection activeCell="C16" sqref="C16"/>
    </sheetView>
  </sheetViews>
  <sheetFormatPr defaultColWidth="9.42578125" defaultRowHeight="15" x14ac:dyDescent="0.25"/>
  <cols>
    <col min="1" max="1" width="32.85546875" style="36" customWidth="1"/>
    <col min="2" max="27" width="16.7109375" style="38" customWidth="1"/>
    <col min="28" max="28" width="51.28515625" style="40" customWidth="1"/>
    <col min="29" max="29" width="6.140625" style="24" customWidth="1"/>
    <col min="30" max="270" width="9.42578125" style="24"/>
    <col min="271" max="271" width="32.85546875" style="24" customWidth="1"/>
    <col min="272" max="283" width="16.7109375" style="24" customWidth="1"/>
    <col min="284" max="284" width="48.5703125" style="24" customWidth="1"/>
    <col min="285" max="285" width="6.140625" style="24" customWidth="1"/>
    <col min="286" max="526" width="9.42578125" style="24"/>
    <col min="527" max="527" width="32.85546875" style="24" customWidth="1"/>
    <col min="528" max="539" width="16.7109375" style="24" customWidth="1"/>
    <col min="540" max="540" width="48.5703125" style="24" customWidth="1"/>
    <col min="541" max="541" width="6.140625" style="24" customWidth="1"/>
    <col min="542" max="782" width="9.42578125" style="24"/>
    <col min="783" max="783" width="32.85546875" style="24" customWidth="1"/>
    <col min="784" max="795" width="16.7109375" style="24" customWidth="1"/>
    <col min="796" max="796" width="48.5703125" style="24" customWidth="1"/>
    <col min="797" max="797" width="6.140625" style="24" customWidth="1"/>
    <col min="798" max="1038" width="9.42578125" style="24"/>
    <col min="1039" max="1039" width="32.85546875" style="24" customWidth="1"/>
    <col min="1040" max="1051" width="16.7109375" style="24" customWidth="1"/>
    <col min="1052" max="1052" width="48.5703125" style="24" customWidth="1"/>
    <col min="1053" max="1053" width="6.140625" style="24" customWidth="1"/>
    <col min="1054" max="1294" width="9.42578125" style="24"/>
    <col min="1295" max="1295" width="32.85546875" style="24" customWidth="1"/>
    <col min="1296" max="1307" width="16.7109375" style="24" customWidth="1"/>
    <col min="1308" max="1308" width="48.5703125" style="24" customWidth="1"/>
    <col min="1309" max="1309" width="6.140625" style="24" customWidth="1"/>
    <col min="1310" max="1550" width="9.42578125" style="24"/>
    <col min="1551" max="1551" width="32.85546875" style="24" customWidth="1"/>
    <col min="1552" max="1563" width="16.7109375" style="24" customWidth="1"/>
    <col min="1564" max="1564" width="48.5703125" style="24" customWidth="1"/>
    <col min="1565" max="1565" width="6.140625" style="24" customWidth="1"/>
    <col min="1566" max="1806" width="9.42578125" style="24"/>
    <col min="1807" max="1807" width="32.85546875" style="24" customWidth="1"/>
    <col min="1808" max="1819" width="16.7109375" style="24" customWidth="1"/>
    <col min="1820" max="1820" width="48.5703125" style="24" customWidth="1"/>
    <col min="1821" max="1821" width="6.140625" style="24" customWidth="1"/>
    <col min="1822" max="2062" width="9.42578125" style="24"/>
    <col min="2063" max="2063" width="32.85546875" style="24" customWidth="1"/>
    <col min="2064" max="2075" width="16.7109375" style="24" customWidth="1"/>
    <col min="2076" max="2076" width="48.5703125" style="24" customWidth="1"/>
    <col min="2077" max="2077" width="6.140625" style="24" customWidth="1"/>
    <col min="2078" max="2318" width="9.42578125" style="24"/>
    <col min="2319" max="2319" width="32.85546875" style="24" customWidth="1"/>
    <col min="2320" max="2331" width="16.7109375" style="24" customWidth="1"/>
    <col min="2332" max="2332" width="48.5703125" style="24" customWidth="1"/>
    <col min="2333" max="2333" width="6.140625" style="24" customWidth="1"/>
    <col min="2334" max="2574" width="9.42578125" style="24"/>
    <col min="2575" max="2575" width="32.85546875" style="24" customWidth="1"/>
    <col min="2576" max="2587" width="16.7109375" style="24" customWidth="1"/>
    <col min="2588" max="2588" width="48.5703125" style="24" customWidth="1"/>
    <col min="2589" max="2589" width="6.140625" style="24" customWidth="1"/>
    <col min="2590" max="2830" width="9.42578125" style="24"/>
    <col min="2831" max="2831" width="32.85546875" style="24" customWidth="1"/>
    <col min="2832" max="2843" width="16.7109375" style="24" customWidth="1"/>
    <col min="2844" max="2844" width="48.5703125" style="24" customWidth="1"/>
    <col min="2845" max="2845" width="6.140625" style="24" customWidth="1"/>
    <col min="2846" max="3086" width="9.42578125" style="24"/>
    <col min="3087" max="3087" width="32.85546875" style="24" customWidth="1"/>
    <col min="3088" max="3099" width="16.7109375" style="24" customWidth="1"/>
    <col min="3100" max="3100" width="48.5703125" style="24" customWidth="1"/>
    <col min="3101" max="3101" width="6.140625" style="24" customWidth="1"/>
    <col min="3102" max="3342" width="9.42578125" style="24"/>
    <col min="3343" max="3343" width="32.85546875" style="24" customWidth="1"/>
    <col min="3344" max="3355" width="16.7109375" style="24" customWidth="1"/>
    <col min="3356" max="3356" width="48.5703125" style="24" customWidth="1"/>
    <col min="3357" max="3357" width="6.140625" style="24" customWidth="1"/>
    <col min="3358" max="3598" width="9.42578125" style="24"/>
    <col min="3599" max="3599" width="32.85546875" style="24" customWidth="1"/>
    <col min="3600" max="3611" width="16.7109375" style="24" customWidth="1"/>
    <col min="3612" max="3612" width="48.5703125" style="24" customWidth="1"/>
    <col min="3613" max="3613" width="6.140625" style="24" customWidth="1"/>
    <col min="3614" max="3854" width="9.42578125" style="24"/>
    <col min="3855" max="3855" width="32.85546875" style="24" customWidth="1"/>
    <col min="3856" max="3867" width="16.7109375" style="24" customWidth="1"/>
    <col min="3868" max="3868" width="48.5703125" style="24" customWidth="1"/>
    <col min="3869" max="3869" width="6.140625" style="24" customWidth="1"/>
    <col min="3870" max="4110" width="9.42578125" style="24"/>
    <col min="4111" max="4111" width="32.85546875" style="24" customWidth="1"/>
    <col min="4112" max="4123" width="16.7109375" style="24" customWidth="1"/>
    <col min="4124" max="4124" width="48.5703125" style="24" customWidth="1"/>
    <col min="4125" max="4125" width="6.140625" style="24" customWidth="1"/>
    <col min="4126" max="4366" width="9.42578125" style="24"/>
    <col min="4367" max="4367" width="32.85546875" style="24" customWidth="1"/>
    <col min="4368" max="4379" width="16.7109375" style="24" customWidth="1"/>
    <col min="4380" max="4380" width="48.5703125" style="24" customWidth="1"/>
    <col min="4381" max="4381" width="6.140625" style="24" customWidth="1"/>
    <col min="4382" max="4622" width="9.42578125" style="24"/>
    <col min="4623" max="4623" width="32.85546875" style="24" customWidth="1"/>
    <col min="4624" max="4635" width="16.7109375" style="24" customWidth="1"/>
    <col min="4636" max="4636" width="48.5703125" style="24" customWidth="1"/>
    <col min="4637" max="4637" width="6.140625" style="24" customWidth="1"/>
    <col min="4638" max="4878" width="9.42578125" style="24"/>
    <col min="4879" max="4879" width="32.85546875" style="24" customWidth="1"/>
    <col min="4880" max="4891" width="16.7109375" style="24" customWidth="1"/>
    <col min="4892" max="4892" width="48.5703125" style="24" customWidth="1"/>
    <col min="4893" max="4893" width="6.140625" style="24" customWidth="1"/>
    <col min="4894" max="5134" width="9.42578125" style="24"/>
    <col min="5135" max="5135" width="32.85546875" style="24" customWidth="1"/>
    <col min="5136" max="5147" width="16.7109375" style="24" customWidth="1"/>
    <col min="5148" max="5148" width="48.5703125" style="24" customWidth="1"/>
    <col min="5149" max="5149" width="6.140625" style="24" customWidth="1"/>
    <col min="5150" max="5390" width="9.42578125" style="24"/>
    <col min="5391" max="5391" width="32.85546875" style="24" customWidth="1"/>
    <col min="5392" max="5403" width="16.7109375" style="24" customWidth="1"/>
    <col min="5404" max="5404" width="48.5703125" style="24" customWidth="1"/>
    <col min="5405" max="5405" width="6.140625" style="24" customWidth="1"/>
    <col min="5406" max="5646" width="9.42578125" style="24"/>
    <col min="5647" max="5647" width="32.85546875" style="24" customWidth="1"/>
    <col min="5648" max="5659" width="16.7109375" style="24" customWidth="1"/>
    <col min="5660" max="5660" width="48.5703125" style="24" customWidth="1"/>
    <col min="5661" max="5661" width="6.140625" style="24" customWidth="1"/>
    <col min="5662" max="5902" width="9.42578125" style="24"/>
    <col min="5903" max="5903" width="32.85546875" style="24" customWidth="1"/>
    <col min="5904" max="5915" width="16.7109375" style="24" customWidth="1"/>
    <col min="5916" max="5916" width="48.5703125" style="24" customWidth="1"/>
    <col min="5917" max="5917" width="6.140625" style="24" customWidth="1"/>
    <col min="5918" max="6158" width="9.42578125" style="24"/>
    <col min="6159" max="6159" width="32.85546875" style="24" customWidth="1"/>
    <col min="6160" max="6171" width="16.7109375" style="24" customWidth="1"/>
    <col min="6172" max="6172" width="48.5703125" style="24" customWidth="1"/>
    <col min="6173" max="6173" width="6.140625" style="24" customWidth="1"/>
    <col min="6174" max="6414" width="9.42578125" style="24"/>
    <col min="6415" max="6415" width="32.85546875" style="24" customWidth="1"/>
    <col min="6416" max="6427" width="16.7109375" style="24" customWidth="1"/>
    <col min="6428" max="6428" width="48.5703125" style="24" customWidth="1"/>
    <col min="6429" max="6429" width="6.140625" style="24" customWidth="1"/>
    <col min="6430" max="6670" width="9.42578125" style="24"/>
    <col min="6671" max="6671" width="32.85546875" style="24" customWidth="1"/>
    <col min="6672" max="6683" width="16.7109375" style="24" customWidth="1"/>
    <col min="6684" max="6684" width="48.5703125" style="24" customWidth="1"/>
    <col min="6685" max="6685" width="6.140625" style="24" customWidth="1"/>
    <col min="6686" max="6926" width="9.42578125" style="24"/>
    <col min="6927" max="6927" width="32.85546875" style="24" customWidth="1"/>
    <col min="6928" max="6939" width="16.7109375" style="24" customWidth="1"/>
    <col min="6940" max="6940" width="48.5703125" style="24" customWidth="1"/>
    <col min="6941" max="6941" width="6.140625" style="24" customWidth="1"/>
    <col min="6942" max="7182" width="9.42578125" style="24"/>
    <col min="7183" max="7183" width="32.85546875" style="24" customWidth="1"/>
    <col min="7184" max="7195" width="16.7109375" style="24" customWidth="1"/>
    <col min="7196" max="7196" width="48.5703125" style="24" customWidth="1"/>
    <col min="7197" max="7197" width="6.140625" style="24" customWidth="1"/>
    <col min="7198" max="7438" width="9.42578125" style="24"/>
    <col min="7439" max="7439" width="32.85546875" style="24" customWidth="1"/>
    <col min="7440" max="7451" width="16.7109375" style="24" customWidth="1"/>
    <col min="7452" max="7452" width="48.5703125" style="24" customWidth="1"/>
    <col min="7453" max="7453" width="6.140625" style="24" customWidth="1"/>
    <col min="7454" max="7694" width="9.42578125" style="24"/>
    <col min="7695" max="7695" width="32.85546875" style="24" customWidth="1"/>
    <col min="7696" max="7707" width="16.7109375" style="24" customWidth="1"/>
    <col min="7708" max="7708" width="48.5703125" style="24" customWidth="1"/>
    <col min="7709" max="7709" width="6.140625" style="24" customWidth="1"/>
    <col min="7710" max="7950" width="9.42578125" style="24"/>
    <col min="7951" max="7951" width="32.85546875" style="24" customWidth="1"/>
    <col min="7952" max="7963" width="16.7109375" style="24" customWidth="1"/>
    <col min="7964" max="7964" width="48.5703125" style="24" customWidth="1"/>
    <col min="7965" max="7965" width="6.140625" style="24" customWidth="1"/>
    <col min="7966" max="8206" width="9.42578125" style="24"/>
    <col min="8207" max="8207" width="32.85546875" style="24" customWidth="1"/>
    <col min="8208" max="8219" width="16.7109375" style="24" customWidth="1"/>
    <col min="8220" max="8220" width="48.5703125" style="24" customWidth="1"/>
    <col min="8221" max="8221" width="6.140625" style="24" customWidth="1"/>
    <col min="8222" max="8462" width="9.42578125" style="24"/>
    <col min="8463" max="8463" width="32.85546875" style="24" customWidth="1"/>
    <col min="8464" max="8475" width="16.7109375" style="24" customWidth="1"/>
    <col min="8476" max="8476" width="48.5703125" style="24" customWidth="1"/>
    <col min="8477" max="8477" width="6.140625" style="24" customWidth="1"/>
    <col min="8478" max="8718" width="9.42578125" style="24"/>
    <col min="8719" max="8719" width="32.85546875" style="24" customWidth="1"/>
    <col min="8720" max="8731" width="16.7109375" style="24" customWidth="1"/>
    <col min="8732" max="8732" width="48.5703125" style="24" customWidth="1"/>
    <col min="8733" max="8733" width="6.140625" style="24" customWidth="1"/>
    <col min="8734" max="8974" width="9.42578125" style="24"/>
    <col min="8975" max="8975" width="32.85546875" style="24" customWidth="1"/>
    <col min="8976" max="8987" width="16.7109375" style="24" customWidth="1"/>
    <col min="8988" max="8988" width="48.5703125" style="24" customWidth="1"/>
    <col min="8989" max="8989" width="6.140625" style="24" customWidth="1"/>
    <col min="8990" max="9230" width="9.42578125" style="24"/>
    <col min="9231" max="9231" width="32.85546875" style="24" customWidth="1"/>
    <col min="9232" max="9243" width="16.7109375" style="24" customWidth="1"/>
    <col min="9244" max="9244" width="48.5703125" style="24" customWidth="1"/>
    <col min="9245" max="9245" width="6.140625" style="24" customWidth="1"/>
    <col min="9246" max="9486" width="9.42578125" style="24"/>
    <col min="9487" max="9487" width="32.85546875" style="24" customWidth="1"/>
    <col min="9488" max="9499" width="16.7109375" style="24" customWidth="1"/>
    <col min="9500" max="9500" width="48.5703125" style="24" customWidth="1"/>
    <col min="9501" max="9501" width="6.140625" style="24" customWidth="1"/>
    <col min="9502" max="9742" width="9.42578125" style="24"/>
    <col min="9743" max="9743" width="32.85546875" style="24" customWidth="1"/>
    <col min="9744" max="9755" width="16.7109375" style="24" customWidth="1"/>
    <col min="9756" max="9756" width="48.5703125" style="24" customWidth="1"/>
    <col min="9757" max="9757" width="6.140625" style="24" customWidth="1"/>
    <col min="9758" max="9998" width="9.42578125" style="24"/>
    <col min="9999" max="9999" width="32.85546875" style="24" customWidth="1"/>
    <col min="10000" max="10011" width="16.7109375" style="24" customWidth="1"/>
    <col min="10012" max="10012" width="48.5703125" style="24" customWidth="1"/>
    <col min="10013" max="10013" width="6.140625" style="24" customWidth="1"/>
    <col min="10014" max="10254" width="9.42578125" style="24"/>
    <col min="10255" max="10255" width="32.85546875" style="24" customWidth="1"/>
    <col min="10256" max="10267" width="16.7109375" style="24" customWidth="1"/>
    <col min="10268" max="10268" width="48.5703125" style="24" customWidth="1"/>
    <col min="10269" max="10269" width="6.140625" style="24" customWidth="1"/>
    <col min="10270" max="10510" width="9.42578125" style="24"/>
    <col min="10511" max="10511" width="32.85546875" style="24" customWidth="1"/>
    <col min="10512" max="10523" width="16.7109375" style="24" customWidth="1"/>
    <col min="10524" max="10524" width="48.5703125" style="24" customWidth="1"/>
    <col min="10525" max="10525" width="6.140625" style="24" customWidth="1"/>
    <col min="10526" max="10766" width="9.42578125" style="24"/>
    <col min="10767" max="10767" width="32.85546875" style="24" customWidth="1"/>
    <col min="10768" max="10779" width="16.7109375" style="24" customWidth="1"/>
    <col min="10780" max="10780" width="48.5703125" style="24" customWidth="1"/>
    <col min="10781" max="10781" width="6.140625" style="24" customWidth="1"/>
    <col min="10782" max="11022" width="9.42578125" style="24"/>
    <col min="11023" max="11023" width="32.85546875" style="24" customWidth="1"/>
    <col min="11024" max="11035" width="16.7109375" style="24" customWidth="1"/>
    <col min="11036" max="11036" width="48.5703125" style="24" customWidth="1"/>
    <col min="11037" max="11037" width="6.140625" style="24" customWidth="1"/>
    <col min="11038" max="11278" width="9.42578125" style="24"/>
    <col min="11279" max="11279" width="32.85546875" style="24" customWidth="1"/>
    <col min="11280" max="11291" width="16.7109375" style="24" customWidth="1"/>
    <col min="11292" max="11292" width="48.5703125" style="24" customWidth="1"/>
    <col min="11293" max="11293" width="6.140625" style="24" customWidth="1"/>
    <col min="11294" max="11534" width="9.42578125" style="24"/>
    <col min="11535" max="11535" width="32.85546875" style="24" customWidth="1"/>
    <col min="11536" max="11547" width="16.7109375" style="24" customWidth="1"/>
    <col min="11548" max="11548" width="48.5703125" style="24" customWidth="1"/>
    <col min="11549" max="11549" width="6.140625" style="24" customWidth="1"/>
    <col min="11550" max="11790" width="9.42578125" style="24"/>
    <col min="11791" max="11791" width="32.85546875" style="24" customWidth="1"/>
    <col min="11792" max="11803" width="16.7109375" style="24" customWidth="1"/>
    <col min="11804" max="11804" width="48.5703125" style="24" customWidth="1"/>
    <col min="11805" max="11805" width="6.140625" style="24" customWidth="1"/>
    <col min="11806" max="12046" width="9.42578125" style="24"/>
    <col min="12047" max="12047" width="32.85546875" style="24" customWidth="1"/>
    <col min="12048" max="12059" width="16.7109375" style="24" customWidth="1"/>
    <col min="12060" max="12060" width="48.5703125" style="24" customWidth="1"/>
    <col min="12061" max="12061" width="6.140625" style="24" customWidth="1"/>
    <col min="12062" max="12302" width="9.42578125" style="24"/>
    <col min="12303" max="12303" width="32.85546875" style="24" customWidth="1"/>
    <col min="12304" max="12315" width="16.7109375" style="24" customWidth="1"/>
    <col min="12316" max="12316" width="48.5703125" style="24" customWidth="1"/>
    <col min="12317" max="12317" width="6.140625" style="24" customWidth="1"/>
    <col min="12318" max="12558" width="9.42578125" style="24"/>
    <col min="12559" max="12559" width="32.85546875" style="24" customWidth="1"/>
    <col min="12560" max="12571" width="16.7109375" style="24" customWidth="1"/>
    <col min="12572" max="12572" width="48.5703125" style="24" customWidth="1"/>
    <col min="12573" max="12573" width="6.140625" style="24" customWidth="1"/>
    <col min="12574" max="12814" width="9.42578125" style="24"/>
    <col min="12815" max="12815" width="32.85546875" style="24" customWidth="1"/>
    <col min="12816" max="12827" width="16.7109375" style="24" customWidth="1"/>
    <col min="12828" max="12828" width="48.5703125" style="24" customWidth="1"/>
    <col min="12829" max="12829" width="6.140625" style="24" customWidth="1"/>
    <col min="12830" max="13070" width="9.42578125" style="24"/>
    <col min="13071" max="13071" width="32.85546875" style="24" customWidth="1"/>
    <col min="13072" max="13083" width="16.7109375" style="24" customWidth="1"/>
    <col min="13084" max="13084" width="48.5703125" style="24" customWidth="1"/>
    <col min="13085" max="13085" width="6.140625" style="24" customWidth="1"/>
    <col min="13086" max="13326" width="9.42578125" style="24"/>
    <col min="13327" max="13327" width="32.85546875" style="24" customWidth="1"/>
    <col min="13328" max="13339" width="16.7109375" style="24" customWidth="1"/>
    <col min="13340" max="13340" width="48.5703125" style="24" customWidth="1"/>
    <col min="13341" max="13341" width="6.140625" style="24" customWidth="1"/>
    <col min="13342" max="13582" width="9.42578125" style="24"/>
    <col min="13583" max="13583" width="32.85546875" style="24" customWidth="1"/>
    <col min="13584" max="13595" width="16.7109375" style="24" customWidth="1"/>
    <col min="13596" max="13596" width="48.5703125" style="24" customWidth="1"/>
    <col min="13597" max="13597" width="6.140625" style="24" customWidth="1"/>
    <col min="13598" max="13838" width="9.42578125" style="24"/>
    <col min="13839" max="13839" width="32.85546875" style="24" customWidth="1"/>
    <col min="13840" max="13851" width="16.7109375" style="24" customWidth="1"/>
    <col min="13852" max="13852" width="48.5703125" style="24" customWidth="1"/>
    <col min="13853" max="13853" width="6.140625" style="24" customWidth="1"/>
    <col min="13854" max="14094" width="9.42578125" style="24"/>
    <col min="14095" max="14095" width="32.85546875" style="24" customWidth="1"/>
    <col min="14096" max="14107" width="16.7109375" style="24" customWidth="1"/>
    <col min="14108" max="14108" width="48.5703125" style="24" customWidth="1"/>
    <col min="14109" max="14109" width="6.140625" style="24" customWidth="1"/>
    <col min="14110" max="14350" width="9.42578125" style="24"/>
    <col min="14351" max="14351" width="32.85546875" style="24" customWidth="1"/>
    <col min="14352" max="14363" width="16.7109375" style="24" customWidth="1"/>
    <col min="14364" max="14364" width="48.5703125" style="24" customWidth="1"/>
    <col min="14365" max="14365" width="6.140625" style="24" customWidth="1"/>
    <col min="14366" max="14606" width="9.42578125" style="24"/>
    <col min="14607" max="14607" width="32.85546875" style="24" customWidth="1"/>
    <col min="14608" max="14619" width="16.7109375" style="24" customWidth="1"/>
    <col min="14620" max="14620" width="48.5703125" style="24" customWidth="1"/>
    <col min="14621" max="14621" width="6.140625" style="24" customWidth="1"/>
    <col min="14622" max="14862" width="9.42578125" style="24"/>
    <col min="14863" max="14863" width="32.85546875" style="24" customWidth="1"/>
    <col min="14864" max="14875" width="16.7109375" style="24" customWidth="1"/>
    <col min="14876" max="14876" width="48.5703125" style="24" customWidth="1"/>
    <col min="14877" max="14877" width="6.140625" style="24" customWidth="1"/>
    <col min="14878" max="15118" width="9.42578125" style="24"/>
    <col min="15119" max="15119" width="32.85546875" style="24" customWidth="1"/>
    <col min="15120" max="15131" width="16.7109375" style="24" customWidth="1"/>
    <col min="15132" max="15132" width="48.5703125" style="24" customWidth="1"/>
    <col min="15133" max="15133" width="6.140625" style="24" customWidth="1"/>
    <col min="15134" max="15374" width="9.42578125" style="24"/>
    <col min="15375" max="15375" width="32.85546875" style="24" customWidth="1"/>
    <col min="15376" max="15387" width="16.7109375" style="24" customWidth="1"/>
    <col min="15388" max="15388" width="48.5703125" style="24" customWidth="1"/>
    <col min="15389" max="15389" width="6.140625" style="24" customWidth="1"/>
    <col min="15390" max="15630" width="9.42578125" style="24"/>
    <col min="15631" max="15631" width="32.85546875" style="24" customWidth="1"/>
    <col min="15632" max="15643" width="16.7109375" style="24" customWidth="1"/>
    <col min="15644" max="15644" width="48.5703125" style="24" customWidth="1"/>
    <col min="15645" max="15645" width="6.140625" style="24" customWidth="1"/>
    <col min="15646" max="15886" width="9.42578125" style="24"/>
    <col min="15887" max="15887" width="32.85546875" style="24" customWidth="1"/>
    <col min="15888" max="15899" width="16.7109375" style="24" customWidth="1"/>
    <col min="15900" max="15900" width="48.5703125" style="24" customWidth="1"/>
    <col min="15901" max="15901" width="6.140625" style="24" customWidth="1"/>
    <col min="15902" max="16142" width="9.42578125" style="24"/>
    <col min="16143" max="16143" width="32.85546875" style="24" customWidth="1"/>
    <col min="16144" max="16155" width="16.7109375" style="24" customWidth="1"/>
    <col min="16156" max="16156" width="48.5703125" style="24" customWidth="1"/>
    <col min="16157" max="16157" width="6.140625" style="24" customWidth="1"/>
    <col min="16158" max="16384" width="9.42578125" style="24"/>
  </cols>
  <sheetData>
    <row r="1" spans="1:28" x14ac:dyDescent="0.25">
      <c r="A1" s="234" t="s">
        <v>51</v>
      </c>
      <c r="B1" s="234"/>
      <c r="C1" s="234"/>
      <c r="D1" s="234"/>
      <c r="E1" s="234"/>
      <c r="F1" s="234"/>
      <c r="G1" s="234"/>
      <c r="H1" s="234"/>
      <c r="I1" s="234"/>
      <c r="J1" s="234"/>
      <c r="K1" s="234"/>
      <c r="L1" s="234"/>
      <c r="M1" s="234"/>
      <c r="N1" s="234"/>
      <c r="O1" s="234"/>
      <c r="P1" s="234"/>
      <c r="Q1" s="234"/>
      <c r="R1" s="234"/>
      <c r="S1" s="234"/>
      <c r="T1" s="234"/>
      <c r="U1" s="234"/>
      <c r="V1" s="234"/>
      <c r="W1" s="234"/>
      <c r="X1" s="234"/>
      <c r="Y1" s="234"/>
      <c r="Z1" s="234"/>
      <c r="AA1" s="234"/>
      <c r="AB1" s="234"/>
    </row>
    <row r="2" spans="1:28" ht="16.5" x14ac:dyDescent="0.25">
      <c r="A2" s="235" t="s">
        <v>52</v>
      </c>
      <c r="B2" s="235"/>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row>
    <row r="3" spans="1:28" ht="16.5" x14ac:dyDescent="0.25">
      <c r="A3" s="25"/>
      <c r="B3" s="25"/>
      <c r="C3" s="25"/>
      <c r="D3" s="25"/>
      <c r="E3" s="25"/>
      <c r="F3" s="25"/>
      <c r="G3" s="25"/>
      <c r="H3" s="25"/>
      <c r="I3" s="25"/>
      <c r="J3" s="25"/>
      <c r="K3" s="25"/>
      <c r="L3" s="25"/>
      <c r="M3" s="25"/>
      <c r="N3" s="25"/>
      <c r="O3" s="25"/>
      <c r="P3" s="25"/>
      <c r="Q3" s="25"/>
      <c r="R3" s="25"/>
      <c r="S3" s="25"/>
      <c r="T3" s="25"/>
      <c r="U3" s="25"/>
      <c r="V3" s="25"/>
      <c r="W3" s="25"/>
      <c r="X3" s="25"/>
      <c r="Y3" s="25"/>
      <c r="Z3" s="25"/>
      <c r="AA3" s="25"/>
      <c r="AB3" s="25"/>
    </row>
    <row r="4" spans="1:28" x14ac:dyDescent="0.25">
      <c r="A4" s="4" t="s">
        <v>5</v>
      </c>
      <c r="B4" s="77" t="s">
        <v>92</v>
      </c>
      <c r="C4" s="60" t="s">
        <v>92</v>
      </c>
      <c r="D4" s="236" t="s">
        <v>28</v>
      </c>
      <c r="E4" s="236"/>
      <c r="F4" s="228" t="s">
        <v>91</v>
      </c>
      <c r="G4" s="229"/>
      <c r="H4" s="228" t="s">
        <v>91</v>
      </c>
      <c r="I4" s="229"/>
      <c r="J4" s="228" t="s">
        <v>91</v>
      </c>
      <c r="K4" s="229"/>
      <c r="L4" s="228" t="s">
        <v>91</v>
      </c>
      <c r="M4" s="229"/>
      <c r="N4" s="228" t="s">
        <v>91</v>
      </c>
      <c r="O4" s="229"/>
      <c r="P4" s="233" t="s">
        <v>91</v>
      </c>
      <c r="Q4" s="233"/>
      <c r="R4" s="238" t="s">
        <v>91</v>
      </c>
      <c r="S4" s="239"/>
      <c r="T4" s="238" t="s">
        <v>91</v>
      </c>
      <c r="U4" s="239"/>
      <c r="V4" s="238" t="s">
        <v>91</v>
      </c>
      <c r="W4" s="239"/>
      <c r="X4" s="238" t="s">
        <v>91</v>
      </c>
      <c r="Y4" s="239"/>
      <c r="Z4" s="238" t="s">
        <v>91</v>
      </c>
      <c r="AA4" s="239"/>
      <c r="AB4" s="237" t="s">
        <v>6</v>
      </c>
    </row>
    <row r="5" spans="1:28" ht="25.5" x14ac:dyDescent="0.25">
      <c r="A5" s="4" t="s">
        <v>7</v>
      </c>
      <c r="B5" s="77" t="s">
        <v>99</v>
      </c>
      <c r="C5" s="60" t="s">
        <v>102</v>
      </c>
      <c r="D5" s="236" t="s">
        <v>19</v>
      </c>
      <c r="E5" s="236"/>
      <c r="F5" s="228" t="s">
        <v>8</v>
      </c>
      <c r="G5" s="229"/>
      <c r="H5" s="228" t="s">
        <v>9</v>
      </c>
      <c r="I5" s="229"/>
      <c r="J5" s="228" t="s">
        <v>10</v>
      </c>
      <c r="K5" s="229"/>
      <c r="L5" s="228" t="s">
        <v>11</v>
      </c>
      <c r="M5" s="229"/>
      <c r="N5" s="228" t="s">
        <v>12</v>
      </c>
      <c r="O5" s="229"/>
      <c r="P5" s="233" t="s">
        <v>13</v>
      </c>
      <c r="Q5" s="233"/>
      <c r="R5" s="238" t="s">
        <v>14</v>
      </c>
      <c r="S5" s="239"/>
      <c r="T5" s="238" t="s">
        <v>15</v>
      </c>
      <c r="U5" s="239"/>
      <c r="V5" s="238" t="s">
        <v>113</v>
      </c>
      <c r="W5" s="239"/>
      <c r="X5" s="238" t="s">
        <v>17</v>
      </c>
      <c r="Y5" s="239"/>
      <c r="Z5" s="238" t="s">
        <v>18</v>
      </c>
      <c r="AA5" s="239"/>
      <c r="AB5" s="237"/>
    </row>
    <row r="6" spans="1:28" s="27" customFormat="1" ht="11.25" x14ac:dyDescent="0.25">
      <c r="A6" s="26"/>
      <c r="B6" s="87" t="s">
        <v>20</v>
      </c>
      <c r="C6" s="20" t="s">
        <v>20</v>
      </c>
      <c r="D6" s="20"/>
      <c r="E6" s="20" t="s">
        <v>20</v>
      </c>
      <c r="F6" s="81"/>
      <c r="G6" s="81" t="s">
        <v>20</v>
      </c>
      <c r="H6" s="81"/>
      <c r="I6" s="81" t="s">
        <v>20</v>
      </c>
      <c r="J6" s="81"/>
      <c r="K6" s="81" t="s">
        <v>20</v>
      </c>
      <c r="L6" s="81"/>
      <c r="M6" s="81" t="s">
        <v>20</v>
      </c>
      <c r="N6" s="81"/>
      <c r="O6" s="81" t="s">
        <v>20</v>
      </c>
      <c r="P6" s="62"/>
      <c r="Q6" s="62" t="s">
        <v>20</v>
      </c>
      <c r="R6" s="87"/>
      <c r="S6" s="87" t="s">
        <v>20</v>
      </c>
      <c r="T6" s="87"/>
      <c r="U6" s="87" t="s">
        <v>20</v>
      </c>
      <c r="V6" s="87"/>
      <c r="W6" s="87" t="s">
        <v>20</v>
      </c>
      <c r="X6" s="87"/>
      <c r="Y6" s="87" t="s">
        <v>20</v>
      </c>
      <c r="Z6" s="87"/>
      <c r="AA6" s="87" t="s">
        <v>20</v>
      </c>
      <c r="AB6" s="237"/>
    </row>
    <row r="7" spans="1:28" ht="25.5" x14ac:dyDescent="0.25">
      <c r="A7" s="28" t="s">
        <v>21</v>
      </c>
      <c r="B7" s="88" t="s">
        <v>23</v>
      </c>
      <c r="C7" s="6" t="s">
        <v>93</v>
      </c>
      <c r="D7" s="6" t="s">
        <v>101</v>
      </c>
      <c r="E7" s="6" t="s">
        <v>93</v>
      </c>
      <c r="F7" s="82" t="s">
        <v>100</v>
      </c>
      <c r="G7" s="82" t="s">
        <v>93</v>
      </c>
      <c r="H7" s="82" t="s">
        <v>100</v>
      </c>
      <c r="I7" s="82" t="s">
        <v>93</v>
      </c>
      <c r="J7" s="82" t="s">
        <v>100</v>
      </c>
      <c r="K7" s="82" t="s">
        <v>93</v>
      </c>
      <c r="L7" s="82" t="s">
        <v>100</v>
      </c>
      <c r="M7" s="82" t="s">
        <v>93</v>
      </c>
      <c r="N7" s="82" t="s">
        <v>100</v>
      </c>
      <c r="O7" s="82" t="s">
        <v>93</v>
      </c>
      <c r="P7" s="61" t="s">
        <v>97</v>
      </c>
      <c r="Q7" s="61" t="s">
        <v>23</v>
      </c>
      <c r="R7" s="88" t="s">
        <v>97</v>
      </c>
      <c r="S7" s="88" t="s">
        <v>23</v>
      </c>
      <c r="T7" s="88" t="s">
        <v>97</v>
      </c>
      <c r="U7" s="88" t="s">
        <v>23</v>
      </c>
      <c r="V7" s="88" t="s">
        <v>97</v>
      </c>
      <c r="W7" s="88" t="s">
        <v>23</v>
      </c>
      <c r="X7" s="88" t="s">
        <v>97</v>
      </c>
      <c r="Y7" s="88" t="s">
        <v>23</v>
      </c>
      <c r="Z7" s="88" t="s">
        <v>97</v>
      </c>
      <c r="AA7" s="88" t="s">
        <v>23</v>
      </c>
      <c r="AB7" s="237"/>
    </row>
    <row r="8" spans="1:28" s="30" customFormat="1" x14ac:dyDescent="0.25">
      <c r="A8" s="29">
        <v>1</v>
      </c>
      <c r="B8" s="89">
        <v>2</v>
      </c>
      <c r="C8" s="12">
        <v>3</v>
      </c>
      <c r="D8" s="12">
        <v>5</v>
      </c>
      <c r="E8" s="12">
        <v>6</v>
      </c>
      <c r="F8" s="83">
        <v>7</v>
      </c>
      <c r="G8" s="83">
        <v>8</v>
      </c>
      <c r="H8" s="83">
        <v>9</v>
      </c>
      <c r="I8" s="83">
        <v>10</v>
      </c>
      <c r="J8" s="83">
        <v>11</v>
      </c>
      <c r="K8" s="83">
        <v>12</v>
      </c>
      <c r="L8" s="83">
        <v>13</v>
      </c>
      <c r="M8" s="83">
        <v>14</v>
      </c>
      <c r="N8" s="83">
        <v>15</v>
      </c>
      <c r="O8" s="83">
        <v>16</v>
      </c>
      <c r="P8" s="63">
        <v>17</v>
      </c>
      <c r="Q8" s="63">
        <v>18</v>
      </c>
      <c r="R8" s="89">
        <v>7</v>
      </c>
      <c r="S8" s="89">
        <v>8</v>
      </c>
      <c r="T8" s="89">
        <v>9</v>
      </c>
      <c r="U8" s="89">
        <v>10</v>
      </c>
      <c r="V8" s="89">
        <v>11</v>
      </c>
      <c r="W8" s="89">
        <v>12</v>
      </c>
      <c r="X8" s="89">
        <v>13</v>
      </c>
      <c r="Y8" s="89">
        <v>14</v>
      </c>
      <c r="Z8" s="89">
        <v>15</v>
      </c>
      <c r="AA8" s="89">
        <v>16</v>
      </c>
      <c r="AB8" s="21">
        <v>20</v>
      </c>
    </row>
    <row r="9" spans="1:28" s="30" customFormat="1" ht="41.25" x14ac:dyDescent="0.25">
      <c r="A9" s="31" t="s">
        <v>53</v>
      </c>
      <c r="B9" s="78">
        <f>C9+Q9+S9+U9+W9+Y9+AA9</f>
        <v>3203338.91</v>
      </c>
      <c r="C9" s="22">
        <f>SUM(E9+G9+I9+K9+M9+O9)</f>
        <v>1117526.9100000001</v>
      </c>
      <c r="D9" s="41">
        <f>669+299+105+43+4+1</f>
        <v>1121</v>
      </c>
      <c r="E9" s="22">
        <f>89922.71+69439.5+12756.3+9901.25+369.53+257</f>
        <v>182646.29</v>
      </c>
      <c r="F9" s="84">
        <f>274+264+125+46+2+1</f>
        <v>712</v>
      </c>
      <c r="G9" s="74">
        <f>67699.06+62731.3+14021.96+9894.49+221.95+257</f>
        <v>154825.76</v>
      </c>
      <c r="H9" s="84">
        <f>636+292+149+52+7+2</f>
        <v>1138</v>
      </c>
      <c r="I9" s="74">
        <f>95471.59+71069.75+17197.32+12329.76+575.19+514</f>
        <v>197157.61000000002</v>
      </c>
      <c r="J9" s="84">
        <f>624+287+163+58+7+2</f>
        <v>1141</v>
      </c>
      <c r="K9" s="74">
        <f>86265.19+64423.54+21955.26+13556.75+651.47+514</f>
        <v>187366.21000000002</v>
      </c>
      <c r="L9" s="84">
        <f>611+283+176+72+7+2</f>
        <v>1151</v>
      </c>
      <c r="M9" s="74">
        <f>87115.53+66250.98+25872.43+16371.54+1151.08+514</f>
        <v>197275.56</v>
      </c>
      <c r="N9" s="84">
        <f>597+286+173+78+7+2</f>
        <v>1143</v>
      </c>
      <c r="O9" s="74">
        <f>84183.8+64898.61+29476+18662.94+520.13+514</f>
        <v>198255.48</v>
      </c>
      <c r="P9" s="94">
        <v>1143</v>
      </c>
      <c r="Q9" s="64">
        <v>249547</v>
      </c>
      <c r="R9" s="90">
        <v>830</v>
      </c>
      <c r="S9" s="78">
        <f>690*257+140*257*0.5</f>
        <v>195320</v>
      </c>
      <c r="T9" s="90">
        <v>845</v>
      </c>
      <c r="U9" s="78">
        <f>705*257+140*257*0.5</f>
        <v>199175</v>
      </c>
      <c r="V9" s="90">
        <f>1200+1842</f>
        <v>3042</v>
      </c>
      <c r="W9" s="78">
        <f>532*257*0.5+668*257+1842*257*0.5</f>
        <v>476735</v>
      </c>
      <c r="X9" s="90">
        <f>1215+1842</f>
        <v>3057</v>
      </c>
      <c r="Y9" s="78">
        <f>532*257*0.5+683*257+1842*257*0.5</f>
        <v>480590</v>
      </c>
      <c r="Z9" s="90">
        <f>1230+1842</f>
        <v>3072</v>
      </c>
      <c r="AA9" s="78">
        <f>532*257*0.5+698*257+1842*257*0.5</f>
        <v>484445</v>
      </c>
      <c r="AB9" s="230" t="s">
        <v>114</v>
      </c>
    </row>
    <row r="10" spans="1:28" s="30" customFormat="1" ht="28.5" x14ac:dyDescent="0.25">
      <c r="A10" s="31" t="s">
        <v>54</v>
      </c>
      <c r="B10" s="78">
        <f t="shared" ref="B10:B12" si="0">C10+Q10+S10+U10+W10+Y10+AA10</f>
        <v>99628.49</v>
      </c>
      <c r="C10" s="22">
        <f t="shared" ref="C10:C12" si="1">SUM(E10+G10+I10+K10+M10+O10)</f>
        <v>3028.49</v>
      </c>
      <c r="D10" s="41">
        <f>22</f>
        <v>22</v>
      </c>
      <c r="E10" s="22">
        <f>648.88</f>
        <v>648.88</v>
      </c>
      <c r="F10" s="84">
        <f>22</f>
        <v>22</v>
      </c>
      <c r="G10" s="74">
        <f>349.62</f>
        <v>349.62</v>
      </c>
      <c r="H10" s="84">
        <f>28</f>
        <v>28</v>
      </c>
      <c r="I10" s="74">
        <f>399.99</f>
        <v>399.99</v>
      </c>
      <c r="J10" s="84">
        <f>21</f>
        <v>21</v>
      </c>
      <c r="K10" s="74">
        <f>550</f>
        <v>550</v>
      </c>
      <c r="L10" s="84">
        <f>25</f>
        <v>25</v>
      </c>
      <c r="M10" s="74">
        <f>680</f>
        <v>680</v>
      </c>
      <c r="N10" s="84">
        <f>15</f>
        <v>15</v>
      </c>
      <c r="O10" s="74">
        <f>400</f>
        <v>400</v>
      </c>
      <c r="P10" s="94">
        <v>15</v>
      </c>
      <c r="Q10" s="64">
        <v>750</v>
      </c>
      <c r="R10" s="90">
        <v>15</v>
      </c>
      <c r="S10" s="78">
        <f>R10*50</f>
        <v>750</v>
      </c>
      <c r="T10" s="90">
        <v>15</v>
      </c>
      <c r="U10" s="78">
        <f>T10*50</f>
        <v>750</v>
      </c>
      <c r="V10" s="90">
        <f>1842+15</f>
        <v>1857</v>
      </c>
      <c r="W10" s="78">
        <f>V10*50</f>
        <v>92850</v>
      </c>
      <c r="X10" s="90">
        <v>15</v>
      </c>
      <c r="Y10" s="78">
        <f>X10*50</f>
        <v>750</v>
      </c>
      <c r="Z10" s="90">
        <v>15</v>
      </c>
      <c r="AA10" s="78">
        <f>Z10*50</f>
        <v>750</v>
      </c>
      <c r="AB10" s="231"/>
    </row>
    <row r="11" spans="1:28" s="30" customFormat="1" ht="66.75" x14ac:dyDescent="0.25">
      <c r="A11" s="31" t="s">
        <v>55</v>
      </c>
      <c r="B11" s="78">
        <f t="shared" si="0"/>
        <v>1164</v>
      </c>
      <c r="C11" s="22">
        <f t="shared" si="1"/>
        <v>0</v>
      </c>
      <c r="D11" s="41"/>
      <c r="E11" s="22"/>
      <c r="F11" s="84"/>
      <c r="G11" s="74"/>
      <c r="H11" s="84"/>
      <c r="I11" s="74"/>
      <c r="J11" s="84"/>
      <c r="K11" s="74"/>
      <c r="L11" s="84"/>
      <c r="M11" s="74"/>
      <c r="N11" s="84"/>
      <c r="O11" s="74"/>
      <c r="P11" s="94">
        <v>2</v>
      </c>
      <c r="Q11" s="64">
        <f>(82+15)*P11</f>
        <v>194</v>
      </c>
      <c r="R11" s="90">
        <v>2</v>
      </c>
      <c r="S11" s="78">
        <f>(82+15)*R11</f>
        <v>194</v>
      </c>
      <c r="T11" s="90">
        <v>2</v>
      </c>
      <c r="U11" s="78">
        <f>(82+15)*T11</f>
        <v>194</v>
      </c>
      <c r="V11" s="90">
        <v>2</v>
      </c>
      <c r="W11" s="78">
        <f>(82+15)*V11</f>
        <v>194</v>
      </c>
      <c r="X11" s="90">
        <v>2</v>
      </c>
      <c r="Y11" s="78">
        <f>(82+15)*X11</f>
        <v>194</v>
      </c>
      <c r="Z11" s="90">
        <v>2</v>
      </c>
      <c r="AA11" s="78">
        <f>(82+15)*Z11</f>
        <v>194</v>
      </c>
      <c r="AB11" s="231"/>
    </row>
    <row r="12" spans="1:28" s="30" customFormat="1" ht="54" x14ac:dyDescent="0.25">
      <c r="A12" s="31" t="s">
        <v>56</v>
      </c>
      <c r="B12" s="78">
        <f t="shared" si="0"/>
        <v>18227.330000000002</v>
      </c>
      <c r="C12" s="22">
        <f t="shared" si="1"/>
        <v>8627.33</v>
      </c>
      <c r="D12" s="41">
        <v>27</v>
      </c>
      <c r="E12" s="22">
        <f>973.39</f>
        <v>973.39</v>
      </c>
      <c r="F12" s="84">
        <v>28</v>
      </c>
      <c r="G12" s="74">
        <f>1192.69</f>
        <v>1192.69</v>
      </c>
      <c r="H12" s="84">
        <f>28</f>
        <v>28</v>
      </c>
      <c r="I12" s="74">
        <f>1465.64</f>
        <v>1465.64</v>
      </c>
      <c r="J12" s="84">
        <f>34</f>
        <v>34</v>
      </c>
      <c r="K12" s="74">
        <f>1378.25</f>
        <v>1378.25</v>
      </c>
      <c r="L12" s="84">
        <f>27+7</f>
        <v>34</v>
      </c>
      <c r="M12" s="74">
        <f>1484.72+363.59</f>
        <v>1848.31</v>
      </c>
      <c r="N12" s="84">
        <f>33</f>
        <v>33</v>
      </c>
      <c r="O12" s="74">
        <f>1769.05</f>
        <v>1769.05</v>
      </c>
      <c r="P12" s="94">
        <v>0</v>
      </c>
      <c r="Q12" s="64">
        <f>ROUNDUP(64*P12,0)</f>
        <v>0</v>
      </c>
      <c r="R12" s="90">
        <v>0</v>
      </c>
      <c r="S12" s="78">
        <f>ROUNDUP(64*R12,0)</f>
        <v>0</v>
      </c>
      <c r="T12" s="90">
        <v>0</v>
      </c>
      <c r="U12" s="78">
        <f>ROUNDUP(64*T12,0)</f>
        <v>0</v>
      </c>
      <c r="V12" s="90">
        <v>50</v>
      </c>
      <c r="W12" s="78">
        <f>ROUNDUP(64*V12,0)</f>
        <v>3200</v>
      </c>
      <c r="X12" s="90">
        <v>50</v>
      </c>
      <c r="Y12" s="78">
        <f>ROUNDUP(64*X12,0)</f>
        <v>3200</v>
      </c>
      <c r="Z12" s="90">
        <v>50</v>
      </c>
      <c r="AA12" s="78">
        <f>ROUNDUP(64*Z12,0)</f>
        <v>3200</v>
      </c>
      <c r="AB12" s="232"/>
    </row>
    <row r="13" spans="1:28" s="30" customFormat="1" x14ac:dyDescent="0.25">
      <c r="A13" s="32" t="s">
        <v>1</v>
      </c>
      <c r="B13" s="79">
        <f>SUM(B9:B12)</f>
        <v>3322358.7300000004</v>
      </c>
      <c r="C13" s="34">
        <f>SUM(C9:C12)</f>
        <v>1129182.7300000002</v>
      </c>
      <c r="D13" s="33" t="s">
        <v>50</v>
      </c>
      <c r="E13" s="34">
        <f t="shared" ref="E13" si="2">SUM(E9:E12)</f>
        <v>184268.56000000003</v>
      </c>
      <c r="F13" s="85" t="s">
        <v>50</v>
      </c>
      <c r="G13" s="86">
        <f>SUM(G9:G12)</f>
        <v>156368.07</v>
      </c>
      <c r="H13" s="85" t="s">
        <v>50</v>
      </c>
      <c r="I13" s="86">
        <f>SUM(I9:I12)</f>
        <v>199023.24000000002</v>
      </c>
      <c r="J13" s="85" t="s">
        <v>50</v>
      </c>
      <c r="K13" s="86">
        <f>SUM(K9:K12)</f>
        <v>189294.46000000002</v>
      </c>
      <c r="L13" s="85" t="s">
        <v>50</v>
      </c>
      <c r="M13" s="86">
        <f>SUM(M9:M12)</f>
        <v>199803.87</v>
      </c>
      <c r="N13" s="85" t="s">
        <v>50</v>
      </c>
      <c r="O13" s="86">
        <f>SUM(O9:O12)</f>
        <v>200424.53</v>
      </c>
      <c r="P13" s="65" t="s">
        <v>50</v>
      </c>
      <c r="Q13" s="66">
        <f>SUM(Q9:Q12)</f>
        <v>250491</v>
      </c>
      <c r="R13" s="91" t="s">
        <v>50</v>
      </c>
      <c r="S13" s="79">
        <f>SUM(S9:S12)</f>
        <v>196264</v>
      </c>
      <c r="T13" s="91" t="s">
        <v>50</v>
      </c>
      <c r="U13" s="79">
        <f>SUM(U9:U12)</f>
        <v>200119</v>
      </c>
      <c r="V13" s="91" t="s">
        <v>50</v>
      </c>
      <c r="W13" s="79">
        <f>SUM(W9:W12)</f>
        <v>572979</v>
      </c>
      <c r="X13" s="91" t="s">
        <v>50</v>
      </c>
      <c r="Y13" s="79">
        <f>SUM(Y9:Y12)</f>
        <v>484734</v>
      </c>
      <c r="Z13" s="91" t="s">
        <v>50</v>
      </c>
      <c r="AA13" s="79">
        <f>SUM(AA9:AA12)</f>
        <v>488589</v>
      </c>
      <c r="AB13" s="35"/>
    </row>
    <row r="15" spans="1:28" x14ac:dyDescent="0.25">
      <c r="B15" s="39"/>
      <c r="C15" s="39"/>
      <c r="D15" s="39"/>
      <c r="E15" s="39"/>
      <c r="Q15" s="39"/>
    </row>
    <row r="16" spans="1:28" x14ac:dyDescent="0.25">
      <c r="B16" s="39"/>
      <c r="C16" s="39"/>
      <c r="D16" s="39"/>
      <c r="E16" s="39"/>
      <c r="F16" s="37"/>
      <c r="H16" s="37"/>
      <c r="J16" s="37"/>
      <c r="L16" s="37"/>
      <c r="N16" s="37"/>
      <c r="P16" s="37"/>
      <c r="R16" s="37"/>
      <c r="T16" s="37"/>
      <c r="V16" s="37"/>
      <c r="X16" s="37"/>
      <c r="Z16" s="37"/>
    </row>
    <row r="17" spans="6:26" x14ac:dyDescent="0.25">
      <c r="F17" s="37"/>
      <c r="H17" s="37"/>
      <c r="J17" s="37"/>
      <c r="L17" s="37"/>
      <c r="N17" s="37"/>
      <c r="P17" s="37"/>
      <c r="R17" s="37"/>
      <c r="T17" s="37"/>
      <c r="V17" s="37"/>
      <c r="X17" s="37"/>
      <c r="Z17" s="37"/>
    </row>
    <row r="18" spans="6:26" x14ac:dyDescent="0.25">
      <c r="F18" s="37"/>
      <c r="H18" s="37"/>
      <c r="J18" s="37"/>
      <c r="L18" s="37"/>
      <c r="N18" s="37"/>
      <c r="P18" s="37"/>
      <c r="R18" s="37"/>
      <c r="T18" s="37"/>
      <c r="V18" s="37"/>
      <c r="X18" s="37"/>
      <c r="Z18" s="37"/>
    </row>
    <row r="19" spans="6:26" x14ac:dyDescent="0.25">
      <c r="F19" s="37"/>
      <c r="H19" s="37"/>
      <c r="J19" s="37"/>
      <c r="L19" s="37"/>
      <c r="N19" s="37"/>
      <c r="P19" s="37"/>
      <c r="R19" s="37"/>
      <c r="T19" s="37"/>
      <c r="V19" s="37"/>
      <c r="X19" s="37"/>
      <c r="Z19" s="37"/>
    </row>
    <row r="20" spans="6:26" x14ac:dyDescent="0.25">
      <c r="F20" s="37"/>
      <c r="H20" s="37"/>
      <c r="J20" s="37"/>
      <c r="L20" s="37"/>
      <c r="N20" s="37"/>
      <c r="P20" s="37"/>
      <c r="R20" s="37"/>
      <c r="T20" s="37"/>
      <c r="V20" s="37"/>
      <c r="X20" s="37"/>
      <c r="Z20" s="37"/>
    </row>
  </sheetData>
  <mergeCells count="28">
    <mergeCell ref="Z4:AA4"/>
    <mergeCell ref="R5:S5"/>
    <mergeCell ref="T5:U5"/>
    <mergeCell ref="V5:W5"/>
    <mergeCell ref="X5:Y5"/>
    <mergeCell ref="Z5:AA5"/>
    <mergeCell ref="A1:AB1"/>
    <mergeCell ref="A2:AB2"/>
    <mergeCell ref="D4:E4"/>
    <mergeCell ref="F4:G4"/>
    <mergeCell ref="H4:I4"/>
    <mergeCell ref="J4:K4"/>
    <mergeCell ref="L4:M4"/>
    <mergeCell ref="N4:O4"/>
    <mergeCell ref="P4:Q4"/>
    <mergeCell ref="AB4:AB7"/>
    <mergeCell ref="D5:E5"/>
    <mergeCell ref="F5:G5"/>
    <mergeCell ref="R4:S4"/>
    <mergeCell ref="T4:U4"/>
    <mergeCell ref="V4:W4"/>
    <mergeCell ref="X4:Y4"/>
    <mergeCell ref="H5:I5"/>
    <mergeCell ref="J5:K5"/>
    <mergeCell ref="AB9:AB12"/>
    <mergeCell ref="N5:O5"/>
    <mergeCell ref="P5:Q5"/>
    <mergeCell ref="L5:M5"/>
  </mergeCells>
  <phoneticPr fontId="45"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DD297-4BFF-4E18-A980-462F59A1B0EF}">
  <dimension ref="A1:AL31"/>
  <sheetViews>
    <sheetView topLeftCell="B1" workbookViewId="0">
      <selection activeCell="E21" sqref="E21"/>
    </sheetView>
  </sheetViews>
  <sheetFormatPr defaultColWidth="9.42578125" defaultRowHeight="15" x14ac:dyDescent="0.25"/>
  <cols>
    <col min="1" max="1" width="28" style="36" hidden="1" customWidth="1"/>
    <col min="2" max="2" width="28" style="36" customWidth="1"/>
    <col min="3" max="27" width="15.140625" style="38" customWidth="1"/>
    <col min="28" max="28" width="53.140625" style="40" customWidth="1"/>
    <col min="29" max="29" width="45.7109375" style="24" customWidth="1"/>
    <col min="30" max="275" width="9.42578125" style="24"/>
    <col min="276" max="276" width="21.7109375" style="24" customWidth="1"/>
    <col min="277" max="277" width="10.28515625" style="24" customWidth="1"/>
    <col min="278" max="278" width="14.140625" style="24" customWidth="1"/>
    <col min="279" max="279" width="10.28515625" style="24" customWidth="1"/>
    <col min="280" max="280" width="14.140625" style="24" customWidth="1"/>
    <col min="281" max="281" width="10.28515625" style="24" customWidth="1"/>
    <col min="282" max="283" width="14.140625" style="24" customWidth="1"/>
    <col min="284" max="284" width="46.28515625" style="24" customWidth="1"/>
    <col min="285" max="285" width="45.7109375" style="24" customWidth="1"/>
    <col min="286" max="531" width="9.42578125" style="24"/>
    <col min="532" max="532" width="21.7109375" style="24" customWidth="1"/>
    <col min="533" max="533" width="10.28515625" style="24" customWidth="1"/>
    <col min="534" max="534" width="14.140625" style="24" customWidth="1"/>
    <col min="535" max="535" width="10.28515625" style="24" customWidth="1"/>
    <col min="536" max="536" width="14.140625" style="24" customWidth="1"/>
    <col min="537" max="537" width="10.28515625" style="24" customWidth="1"/>
    <col min="538" max="539" width="14.140625" style="24" customWidth="1"/>
    <col min="540" max="540" width="46.28515625" style="24" customWidth="1"/>
    <col min="541" max="541" width="45.7109375" style="24" customWidth="1"/>
    <col min="542" max="787" width="9.42578125" style="24"/>
    <col min="788" max="788" width="21.7109375" style="24" customWidth="1"/>
    <col min="789" max="789" width="10.28515625" style="24" customWidth="1"/>
    <col min="790" max="790" width="14.140625" style="24" customWidth="1"/>
    <col min="791" max="791" width="10.28515625" style="24" customWidth="1"/>
    <col min="792" max="792" width="14.140625" style="24" customWidth="1"/>
    <col min="793" max="793" width="10.28515625" style="24" customWidth="1"/>
    <col min="794" max="795" width="14.140625" style="24" customWidth="1"/>
    <col min="796" max="796" width="46.28515625" style="24" customWidth="1"/>
    <col min="797" max="797" width="45.7109375" style="24" customWidth="1"/>
    <col min="798" max="1043" width="9.42578125" style="24"/>
    <col min="1044" max="1044" width="21.7109375" style="24" customWidth="1"/>
    <col min="1045" max="1045" width="10.28515625" style="24" customWidth="1"/>
    <col min="1046" max="1046" width="14.140625" style="24" customWidth="1"/>
    <col min="1047" max="1047" width="10.28515625" style="24" customWidth="1"/>
    <col min="1048" max="1048" width="14.140625" style="24" customWidth="1"/>
    <col min="1049" max="1049" width="10.28515625" style="24" customWidth="1"/>
    <col min="1050" max="1051" width="14.140625" style="24" customWidth="1"/>
    <col min="1052" max="1052" width="46.28515625" style="24" customWidth="1"/>
    <col min="1053" max="1053" width="45.7109375" style="24" customWidth="1"/>
    <col min="1054" max="1299" width="9.42578125" style="24"/>
    <col min="1300" max="1300" width="21.7109375" style="24" customWidth="1"/>
    <col min="1301" max="1301" width="10.28515625" style="24" customWidth="1"/>
    <col min="1302" max="1302" width="14.140625" style="24" customWidth="1"/>
    <col min="1303" max="1303" width="10.28515625" style="24" customWidth="1"/>
    <col min="1304" max="1304" width="14.140625" style="24" customWidth="1"/>
    <col min="1305" max="1305" width="10.28515625" style="24" customWidth="1"/>
    <col min="1306" max="1307" width="14.140625" style="24" customWidth="1"/>
    <col min="1308" max="1308" width="46.28515625" style="24" customWidth="1"/>
    <col min="1309" max="1309" width="45.7109375" style="24" customWidth="1"/>
    <col min="1310" max="1555" width="9.42578125" style="24"/>
    <col min="1556" max="1556" width="21.7109375" style="24" customWidth="1"/>
    <col min="1557" max="1557" width="10.28515625" style="24" customWidth="1"/>
    <col min="1558" max="1558" width="14.140625" style="24" customWidth="1"/>
    <col min="1559" max="1559" width="10.28515625" style="24" customWidth="1"/>
    <col min="1560" max="1560" width="14.140625" style="24" customWidth="1"/>
    <col min="1561" max="1561" width="10.28515625" style="24" customWidth="1"/>
    <col min="1562" max="1563" width="14.140625" style="24" customWidth="1"/>
    <col min="1564" max="1564" width="46.28515625" style="24" customWidth="1"/>
    <col min="1565" max="1565" width="45.7109375" style="24" customWidth="1"/>
    <col min="1566" max="1811" width="9.42578125" style="24"/>
    <col min="1812" max="1812" width="21.7109375" style="24" customWidth="1"/>
    <col min="1813" max="1813" width="10.28515625" style="24" customWidth="1"/>
    <col min="1814" max="1814" width="14.140625" style="24" customWidth="1"/>
    <col min="1815" max="1815" width="10.28515625" style="24" customWidth="1"/>
    <col min="1816" max="1816" width="14.140625" style="24" customWidth="1"/>
    <col min="1817" max="1817" width="10.28515625" style="24" customWidth="1"/>
    <col min="1818" max="1819" width="14.140625" style="24" customWidth="1"/>
    <col min="1820" max="1820" width="46.28515625" style="24" customWidth="1"/>
    <col min="1821" max="1821" width="45.7109375" style="24" customWidth="1"/>
    <col min="1822" max="2067" width="9.42578125" style="24"/>
    <col min="2068" max="2068" width="21.7109375" style="24" customWidth="1"/>
    <col min="2069" max="2069" width="10.28515625" style="24" customWidth="1"/>
    <col min="2070" max="2070" width="14.140625" style="24" customWidth="1"/>
    <col min="2071" max="2071" width="10.28515625" style="24" customWidth="1"/>
    <col min="2072" max="2072" width="14.140625" style="24" customWidth="1"/>
    <col min="2073" max="2073" width="10.28515625" style="24" customWidth="1"/>
    <col min="2074" max="2075" width="14.140625" style="24" customWidth="1"/>
    <col min="2076" max="2076" width="46.28515625" style="24" customWidth="1"/>
    <col min="2077" max="2077" width="45.7109375" style="24" customWidth="1"/>
    <col min="2078" max="2323" width="9.42578125" style="24"/>
    <col min="2324" max="2324" width="21.7109375" style="24" customWidth="1"/>
    <col min="2325" max="2325" width="10.28515625" style="24" customWidth="1"/>
    <col min="2326" max="2326" width="14.140625" style="24" customWidth="1"/>
    <col min="2327" max="2327" width="10.28515625" style="24" customWidth="1"/>
    <col min="2328" max="2328" width="14.140625" style="24" customWidth="1"/>
    <col min="2329" max="2329" width="10.28515625" style="24" customWidth="1"/>
    <col min="2330" max="2331" width="14.140625" style="24" customWidth="1"/>
    <col min="2332" max="2332" width="46.28515625" style="24" customWidth="1"/>
    <col min="2333" max="2333" width="45.7109375" style="24" customWidth="1"/>
    <col min="2334" max="2579" width="9.42578125" style="24"/>
    <col min="2580" max="2580" width="21.7109375" style="24" customWidth="1"/>
    <col min="2581" max="2581" width="10.28515625" style="24" customWidth="1"/>
    <col min="2582" max="2582" width="14.140625" style="24" customWidth="1"/>
    <col min="2583" max="2583" width="10.28515625" style="24" customWidth="1"/>
    <col min="2584" max="2584" width="14.140625" style="24" customWidth="1"/>
    <col min="2585" max="2585" width="10.28515625" style="24" customWidth="1"/>
    <col min="2586" max="2587" width="14.140625" style="24" customWidth="1"/>
    <col min="2588" max="2588" width="46.28515625" style="24" customWidth="1"/>
    <col min="2589" max="2589" width="45.7109375" style="24" customWidth="1"/>
    <col min="2590" max="2835" width="9.42578125" style="24"/>
    <col min="2836" max="2836" width="21.7109375" style="24" customWidth="1"/>
    <col min="2837" max="2837" width="10.28515625" style="24" customWidth="1"/>
    <col min="2838" max="2838" width="14.140625" style="24" customWidth="1"/>
    <col min="2839" max="2839" width="10.28515625" style="24" customWidth="1"/>
    <col min="2840" max="2840" width="14.140625" style="24" customWidth="1"/>
    <col min="2841" max="2841" width="10.28515625" style="24" customWidth="1"/>
    <col min="2842" max="2843" width="14.140625" style="24" customWidth="1"/>
    <col min="2844" max="2844" width="46.28515625" style="24" customWidth="1"/>
    <col min="2845" max="2845" width="45.7109375" style="24" customWidth="1"/>
    <col min="2846" max="3091" width="9.42578125" style="24"/>
    <col min="3092" max="3092" width="21.7109375" style="24" customWidth="1"/>
    <col min="3093" max="3093" width="10.28515625" style="24" customWidth="1"/>
    <col min="3094" max="3094" width="14.140625" style="24" customWidth="1"/>
    <col min="3095" max="3095" width="10.28515625" style="24" customWidth="1"/>
    <col min="3096" max="3096" width="14.140625" style="24" customWidth="1"/>
    <col min="3097" max="3097" width="10.28515625" style="24" customWidth="1"/>
    <col min="3098" max="3099" width="14.140625" style="24" customWidth="1"/>
    <col min="3100" max="3100" width="46.28515625" style="24" customWidth="1"/>
    <col min="3101" max="3101" width="45.7109375" style="24" customWidth="1"/>
    <col min="3102" max="3347" width="9.42578125" style="24"/>
    <col min="3348" max="3348" width="21.7109375" style="24" customWidth="1"/>
    <col min="3349" max="3349" width="10.28515625" style="24" customWidth="1"/>
    <col min="3350" max="3350" width="14.140625" style="24" customWidth="1"/>
    <col min="3351" max="3351" width="10.28515625" style="24" customWidth="1"/>
    <col min="3352" max="3352" width="14.140625" style="24" customWidth="1"/>
    <col min="3353" max="3353" width="10.28515625" style="24" customWidth="1"/>
    <col min="3354" max="3355" width="14.140625" style="24" customWidth="1"/>
    <col min="3356" max="3356" width="46.28515625" style="24" customWidth="1"/>
    <col min="3357" max="3357" width="45.7109375" style="24" customWidth="1"/>
    <col min="3358" max="3603" width="9.42578125" style="24"/>
    <col min="3604" max="3604" width="21.7109375" style="24" customWidth="1"/>
    <col min="3605" max="3605" width="10.28515625" style="24" customWidth="1"/>
    <col min="3606" max="3606" width="14.140625" style="24" customWidth="1"/>
    <col min="3607" max="3607" width="10.28515625" style="24" customWidth="1"/>
    <col min="3608" max="3608" width="14.140625" style="24" customWidth="1"/>
    <col min="3609" max="3609" width="10.28515625" style="24" customWidth="1"/>
    <col min="3610" max="3611" width="14.140625" style="24" customWidth="1"/>
    <col min="3612" max="3612" width="46.28515625" style="24" customWidth="1"/>
    <col min="3613" max="3613" width="45.7109375" style="24" customWidth="1"/>
    <col min="3614" max="3859" width="9.42578125" style="24"/>
    <col min="3860" max="3860" width="21.7109375" style="24" customWidth="1"/>
    <col min="3861" max="3861" width="10.28515625" style="24" customWidth="1"/>
    <col min="3862" max="3862" width="14.140625" style="24" customWidth="1"/>
    <col min="3863" max="3863" width="10.28515625" style="24" customWidth="1"/>
    <col min="3864" max="3864" width="14.140625" style="24" customWidth="1"/>
    <col min="3865" max="3865" width="10.28515625" style="24" customWidth="1"/>
    <col min="3866" max="3867" width="14.140625" style="24" customWidth="1"/>
    <col min="3868" max="3868" width="46.28515625" style="24" customWidth="1"/>
    <col min="3869" max="3869" width="45.7109375" style="24" customWidth="1"/>
    <col min="3870" max="4115" width="9.42578125" style="24"/>
    <col min="4116" max="4116" width="21.7109375" style="24" customWidth="1"/>
    <col min="4117" max="4117" width="10.28515625" style="24" customWidth="1"/>
    <col min="4118" max="4118" width="14.140625" style="24" customWidth="1"/>
    <col min="4119" max="4119" width="10.28515625" style="24" customWidth="1"/>
    <col min="4120" max="4120" width="14.140625" style="24" customWidth="1"/>
    <col min="4121" max="4121" width="10.28515625" style="24" customWidth="1"/>
    <col min="4122" max="4123" width="14.140625" style="24" customWidth="1"/>
    <col min="4124" max="4124" width="46.28515625" style="24" customWidth="1"/>
    <col min="4125" max="4125" width="45.7109375" style="24" customWidth="1"/>
    <col min="4126" max="4371" width="9.42578125" style="24"/>
    <col min="4372" max="4372" width="21.7109375" style="24" customWidth="1"/>
    <col min="4373" max="4373" width="10.28515625" style="24" customWidth="1"/>
    <col min="4374" max="4374" width="14.140625" style="24" customWidth="1"/>
    <col min="4375" max="4375" width="10.28515625" style="24" customWidth="1"/>
    <col min="4376" max="4376" width="14.140625" style="24" customWidth="1"/>
    <col min="4377" max="4377" width="10.28515625" style="24" customWidth="1"/>
    <col min="4378" max="4379" width="14.140625" style="24" customWidth="1"/>
    <col min="4380" max="4380" width="46.28515625" style="24" customWidth="1"/>
    <col min="4381" max="4381" width="45.7109375" style="24" customWidth="1"/>
    <col min="4382" max="4627" width="9.42578125" style="24"/>
    <col min="4628" max="4628" width="21.7109375" style="24" customWidth="1"/>
    <col min="4629" max="4629" width="10.28515625" style="24" customWidth="1"/>
    <col min="4630" max="4630" width="14.140625" style="24" customWidth="1"/>
    <col min="4631" max="4631" width="10.28515625" style="24" customWidth="1"/>
    <col min="4632" max="4632" width="14.140625" style="24" customWidth="1"/>
    <col min="4633" max="4633" width="10.28515625" style="24" customWidth="1"/>
    <col min="4634" max="4635" width="14.140625" style="24" customWidth="1"/>
    <col min="4636" max="4636" width="46.28515625" style="24" customWidth="1"/>
    <col min="4637" max="4637" width="45.7109375" style="24" customWidth="1"/>
    <col min="4638" max="4883" width="9.42578125" style="24"/>
    <col min="4884" max="4884" width="21.7109375" style="24" customWidth="1"/>
    <col min="4885" max="4885" width="10.28515625" style="24" customWidth="1"/>
    <col min="4886" max="4886" width="14.140625" style="24" customWidth="1"/>
    <col min="4887" max="4887" width="10.28515625" style="24" customWidth="1"/>
    <col min="4888" max="4888" width="14.140625" style="24" customWidth="1"/>
    <col min="4889" max="4889" width="10.28515625" style="24" customWidth="1"/>
    <col min="4890" max="4891" width="14.140625" style="24" customWidth="1"/>
    <col min="4892" max="4892" width="46.28515625" style="24" customWidth="1"/>
    <col min="4893" max="4893" width="45.7109375" style="24" customWidth="1"/>
    <col min="4894" max="5139" width="9.42578125" style="24"/>
    <col min="5140" max="5140" width="21.7109375" style="24" customWidth="1"/>
    <col min="5141" max="5141" width="10.28515625" style="24" customWidth="1"/>
    <col min="5142" max="5142" width="14.140625" style="24" customWidth="1"/>
    <col min="5143" max="5143" width="10.28515625" style="24" customWidth="1"/>
    <col min="5144" max="5144" width="14.140625" style="24" customWidth="1"/>
    <col min="5145" max="5145" width="10.28515625" style="24" customWidth="1"/>
    <col min="5146" max="5147" width="14.140625" style="24" customWidth="1"/>
    <col min="5148" max="5148" width="46.28515625" style="24" customWidth="1"/>
    <col min="5149" max="5149" width="45.7109375" style="24" customWidth="1"/>
    <col min="5150" max="5395" width="9.42578125" style="24"/>
    <col min="5396" max="5396" width="21.7109375" style="24" customWidth="1"/>
    <col min="5397" max="5397" width="10.28515625" style="24" customWidth="1"/>
    <col min="5398" max="5398" width="14.140625" style="24" customWidth="1"/>
    <col min="5399" max="5399" width="10.28515625" style="24" customWidth="1"/>
    <col min="5400" max="5400" width="14.140625" style="24" customWidth="1"/>
    <col min="5401" max="5401" width="10.28515625" style="24" customWidth="1"/>
    <col min="5402" max="5403" width="14.140625" style="24" customWidth="1"/>
    <col min="5404" max="5404" width="46.28515625" style="24" customWidth="1"/>
    <col min="5405" max="5405" width="45.7109375" style="24" customWidth="1"/>
    <col min="5406" max="5651" width="9.42578125" style="24"/>
    <col min="5652" max="5652" width="21.7109375" style="24" customWidth="1"/>
    <col min="5653" max="5653" width="10.28515625" style="24" customWidth="1"/>
    <col min="5654" max="5654" width="14.140625" style="24" customWidth="1"/>
    <col min="5655" max="5655" width="10.28515625" style="24" customWidth="1"/>
    <col min="5656" max="5656" width="14.140625" style="24" customWidth="1"/>
    <col min="5657" max="5657" width="10.28515625" style="24" customWidth="1"/>
    <col min="5658" max="5659" width="14.140625" style="24" customWidth="1"/>
    <col min="5660" max="5660" width="46.28515625" style="24" customWidth="1"/>
    <col min="5661" max="5661" width="45.7109375" style="24" customWidth="1"/>
    <col min="5662" max="5907" width="9.42578125" style="24"/>
    <col min="5908" max="5908" width="21.7109375" style="24" customWidth="1"/>
    <col min="5909" max="5909" width="10.28515625" style="24" customWidth="1"/>
    <col min="5910" max="5910" width="14.140625" style="24" customWidth="1"/>
    <col min="5911" max="5911" width="10.28515625" style="24" customWidth="1"/>
    <col min="5912" max="5912" width="14.140625" style="24" customWidth="1"/>
    <col min="5913" max="5913" width="10.28515625" style="24" customWidth="1"/>
    <col min="5914" max="5915" width="14.140625" style="24" customWidth="1"/>
    <col min="5916" max="5916" width="46.28515625" style="24" customWidth="1"/>
    <col min="5917" max="5917" width="45.7109375" style="24" customWidth="1"/>
    <col min="5918" max="6163" width="9.42578125" style="24"/>
    <col min="6164" max="6164" width="21.7109375" style="24" customWidth="1"/>
    <col min="6165" max="6165" width="10.28515625" style="24" customWidth="1"/>
    <col min="6166" max="6166" width="14.140625" style="24" customWidth="1"/>
    <col min="6167" max="6167" width="10.28515625" style="24" customWidth="1"/>
    <col min="6168" max="6168" width="14.140625" style="24" customWidth="1"/>
    <col min="6169" max="6169" width="10.28515625" style="24" customWidth="1"/>
    <col min="6170" max="6171" width="14.140625" style="24" customWidth="1"/>
    <col min="6172" max="6172" width="46.28515625" style="24" customWidth="1"/>
    <col min="6173" max="6173" width="45.7109375" style="24" customWidth="1"/>
    <col min="6174" max="6419" width="9.42578125" style="24"/>
    <col min="6420" max="6420" width="21.7109375" style="24" customWidth="1"/>
    <col min="6421" max="6421" width="10.28515625" style="24" customWidth="1"/>
    <col min="6422" max="6422" width="14.140625" style="24" customWidth="1"/>
    <col min="6423" max="6423" width="10.28515625" style="24" customWidth="1"/>
    <col min="6424" max="6424" width="14.140625" style="24" customWidth="1"/>
    <col min="6425" max="6425" width="10.28515625" style="24" customWidth="1"/>
    <col min="6426" max="6427" width="14.140625" style="24" customWidth="1"/>
    <col min="6428" max="6428" width="46.28515625" style="24" customWidth="1"/>
    <col min="6429" max="6429" width="45.7109375" style="24" customWidth="1"/>
    <col min="6430" max="6675" width="9.42578125" style="24"/>
    <col min="6676" max="6676" width="21.7109375" style="24" customWidth="1"/>
    <col min="6677" max="6677" width="10.28515625" style="24" customWidth="1"/>
    <col min="6678" max="6678" width="14.140625" style="24" customWidth="1"/>
    <col min="6679" max="6679" width="10.28515625" style="24" customWidth="1"/>
    <col min="6680" max="6680" width="14.140625" style="24" customWidth="1"/>
    <col min="6681" max="6681" width="10.28515625" style="24" customWidth="1"/>
    <col min="6682" max="6683" width="14.140625" style="24" customWidth="1"/>
    <col min="6684" max="6684" width="46.28515625" style="24" customWidth="1"/>
    <col min="6685" max="6685" width="45.7109375" style="24" customWidth="1"/>
    <col min="6686" max="6931" width="9.42578125" style="24"/>
    <col min="6932" max="6932" width="21.7109375" style="24" customWidth="1"/>
    <col min="6933" max="6933" width="10.28515625" style="24" customWidth="1"/>
    <col min="6934" max="6934" width="14.140625" style="24" customWidth="1"/>
    <col min="6935" max="6935" width="10.28515625" style="24" customWidth="1"/>
    <col min="6936" max="6936" width="14.140625" style="24" customWidth="1"/>
    <col min="6937" max="6937" width="10.28515625" style="24" customWidth="1"/>
    <col min="6938" max="6939" width="14.140625" style="24" customWidth="1"/>
    <col min="6940" max="6940" width="46.28515625" style="24" customWidth="1"/>
    <col min="6941" max="6941" width="45.7109375" style="24" customWidth="1"/>
    <col min="6942" max="7187" width="9.42578125" style="24"/>
    <col min="7188" max="7188" width="21.7109375" style="24" customWidth="1"/>
    <col min="7189" max="7189" width="10.28515625" style="24" customWidth="1"/>
    <col min="7190" max="7190" width="14.140625" style="24" customWidth="1"/>
    <col min="7191" max="7191" width="10.28515625" style="24" customWidth="1"/>
    <col min="7192" max="7192" width="14.140625" style="24" customWidth="1"/>
    <col min="7193" max="7193" width="10.28515625" style="24" customWidth="1"/>
    <col min="7194" max="7195" width="14.140625" style="24" customWidth="1"/>
    <col min="7196" max="7196" width="46.28515625" style="24" customWidth="1"/>
    <col min="7197" max="7197" width="45.7109375" style="24" customWidth="1"/>
    <col min="7198" max="7443" width="9.42578125" style="24"/>
    <col min="7444" max="7444" width="21.7109375" style="24" customWidth="1"/>
    <col min="7445" max="7445" width="10.28515625" style="24" customWidth="1"/>
    <col min="7446" max="7446" width="14.140625" style="24" customWidth="1"/>
    <col min="7447" max="7447" width="10.28515625" style="24" customWidth="1"/>
    <col min="7448" max="7448" width="14.140625" style="24" customWidth="1"/>
    <col min="7449" max="7449" width="10.28515625" style="24" customWidth="1"/>
    <col min="7450" max="7451" width="14.140625" style="24" customWidth="1"/>
    <col min="7452" max="7452" width="46.28515625" style="24" customWidth="1"/>
    <col min="7453" max="7453" width="45.7109375" style="24" customWidth="1"/>
    <col min="7454" max="7699" width="9.42578125" style="24"/>
    <col min="7700" max="7700" width="21.7109375" style="24" customWidth="1"/>
    <col min="7701" max="7701" width="10.28515625" style="24" customWidth="1"/>
    <col min="7702" max="7702" width="14.140625" style="24" customWidth="1"/>
    <col min="7703" max="7703" width="10.28515625" style="24" customWidth="1"/>
    <col min="7704" max="7704" width="14.140625" style="24" customWidth="1"/>
    <col min="7705" max="7705" width="10.28515625" style="24" customWidth="1"/>
    <col min="7706" max="7707" width="14.140625" style="24" customWidth="1"/>
    <col min="7708" max="7708" width="46.28515625" style="24" customWidth="1"/>
    <col min="7709" max="7709" width="45.7109375" style="24" customWidth="1"/>
    <col min="7710" max="7955" width="9.42578125" style="24"/>
    <col min="7956" max="7956" width="21.7109375" style="24" customWidth="1"/>
    <col min="7957" max="7957" width="10.28515625" style="24" customWidth="1"/>
    <col min="7958" max="7958" width="14.140625" style="24" customWidth="1"/>
    <col min="7959" max="7959" width="10.28515625" style="24" customWidth="1"/>
    <col min="7960" max="7960" width="14.140625" style="24" customWidth="1"/>
    <col min="7961" max="7961" width="10.28515625" style="24" customWidth="1"/>
    <col min="7962" max="7963" width="14.140625" style="24" customWidth="1"/>
    <col min="7964" max="7964" width="46.28515625" style="24" customWidth="1"/>
    <col min="7965" max="7965" width="45.7109375" style="24" customWidth="1"/>
    <col min="7966" max="8211" width="9.42578125" style="24"/>
    <col min="8212" max="8212" width="21.7109375" style="24" customWidth="1"/>
    <col min="8213" max="8213" width="10.28515625" style="24" customWidth="1"/>
    <col min="8214" max="8214" width="14.140625" style="24" customWidth="1"/>
    <col min="8215" max="8215" width="10.28515625" style="24" customWidth="1"/>
    <col min="8216" max="8216" width="14.140625" style="24" customWidth="1"/>
    <col min="8217" max="8217" width="10.28515625" style="24" customWidth="1"/>
    <col min="8218" max="8219" width="14.140625" style="24" customWidth="1"/>
    <col min="8220" max="8220" width="46.28515625" style="24" customWidth="1"/>
    <col min="8221" max="8221" width="45.7109375" style="24" customWidth="1"/>
    <col min="8222" max="8467" width="9.42578125" style="24"/>
    <col min="8468" max="8468" width="21.7109375" style="24" customWidth="1"/>
    <col min="8469" max="8469" width="10.28515625" style="24" customWidth="1"/>
    <col min="8470" max="8470" width="14.140625" style="24" customWidth="1"/>
    <col min="8471" max="8471" width="10.28515625" style="24" customWidth="1"/>
    <col min="8472" max="8472" width="14.140625" style="24" customWidth="1"/>
    <col min="8473" max="8473" width="10.28515625" style="24" customWidth="1"/>
    <col min="8474" max="8475" width="14.140625" style="24" customWidth="1"/>
    <col min="8476" max="8476" width="46.28515625" style="24" customWidth="1"/>
    <col min="8477" max="8477" width="45.7109375" style="24" customWidth="1"/>
    <col min="8478" max="8723" width="9.42578125" style="24"/>
    <col min="8724" max="8724" width="21.7109375" style="24" customWidth="1"/>
    <col min="8725" max="8725" width="10.28515625" style="24" customWidth="1"/>
    <col min="8726" max="8726" width="14.140625" style="24" customWidth="1"/>
    <col min="8727" max="8727" width="10.28515625" style="24" customWidth="1"/>
    <col min="8728" max="8728" width="14.140625" style="24" customWidth="1"/>
    <col min="8729" max="8729" width="10.28515625" style="24" customWidth="1"/>
    <col min="8730" max="8731" width="14.140625" style="24" customWidth="1"/>
    <col min="8732" max="8732" width="46.28515625" style="24" customWidth="1"/>
    <col min="8733" max="8733" width="45.7109375" style="24" customWidth="1"/>
    <col min="8734" max="8979" width="9.42578125" style="24"/>
    <col min="8980" max="8980" width="21.7109375" style="24" customWidth="1"/>
    <col min="8981" max="8981" width="10.28515625" style="24" customWidth="1"/>
    <col min="8982" max="8982" width="14.140625" style="24" customWidth="1"/>
    <col min="8983" max="8983" width="10.28515625" style="24" customWidth="1"/>
    <col min="8984" max="8984" width="14.140625" style="24" customWidth="1"/>
    <col min="8985" max="8985" width="10.28515625" style="24" customWidth="1"/>
    <col min="8986" max="8987" width="14.140625" style="24" customWidth="1"/>
    <col min="8988" max="8988" width="46.28515625" style="24" customWidth="1"/>
    <col min="8989" max="8989" width="45.7109375" style="24" customWidth="1"/>
    <col min="8990" max="9235" width="9.42578125" style="24"/>
    <col min="9236" max="9236" width="21.7109375" style="24" customWidth="1"/>
    <col min="9237" max="9237" width="10.28515625" style="24" customWidth="1"/>
    <col min="9238" max="9238" width="14.140625" style="24" customWidth="1"/>
    <col min="9239" max="9239" width="10.28515625" style="24" customWidth="1"/>
    <col min="9240" max="9240" width="14.140625" style="24" customWidth="1"/>
    <col min="9241" max="9241" width="10.28515625" style="24" customWidth="1"/>
    <col min="9242" max="9243" width="14.140625" style="24" customWidth="1"/>
    <col min="9244" max="9244" width="46.28515625" style="24" customWidth="1"/>
    <col min="9245" max="9245" width="45.7109375" style="24" customWidth="1"/>
    <col min="9246" max="9491" width="9.42578125" style="24"/>
    <col min="9492" max="9492" width="21.7109375" style="24" customWidth="1"/>
    <col min="9493" max="9493" width="10.28515625" style="24" customWidth="1"/>
    <col min="9494" max="9494" width="14.140625" style="24" customWidth="1"/>
    <col min="9495" max="9495" width="10.28515625" style="24" customWidth="1"/>
    <col min="9496" max="9496" width="14.140625" style="24" customWidth="1"/>
    <col min="9497" max="9497" width="10.28515625" style="24" customWidth="1"/>
    <col min="9498" max="9499" width="14.140625" style="24" customWidth="1"/>
    <col min="9500" max="9500" width="46.28515625" style="24" customWidth="1"/>
    <col min="9501" max="9501" width="45.7109375" style="24" customWidth="1"/>
    <col min="9502" max="9747" width="9.42578125" style="24"/>
    <col min="9748" max="9748" width="21.7109375" style="24" customWidth="1"/>
    <col min="9749" max="9749" width="10.28515625" style="24" customWidth="1"/>
    <col min="9750" max="9750" width="14.140625" style="24" customWidth="1"/>
    <col min="9751" max="9751" width="10.28515625" style="24" customWidth="1"/>
    <col min="9752" max="9752" width="14.140625" style="24" customWidth="1"/>
    <col min="9753" max="9753" width="10.28515625" style="24" customWidth="1"/>
    <col min="9754" max="9755" width="14.140625" style="24" customWidth="1"/>
    <col min="9756" max="9756" width="46.28515625" style="24" customWidth="1"/>
    <col min="9757" max="9757" width="45.7109375" style="24" customWidth="1"/>
    <col min="9758" max="10003" width="9.42578125" style="24"/>
    <col min="10004" max="10004" width="21.7109375" style="24" customWidth="1"/>
    <col min="10005" max="10005" width="10.28515625" style="24" customWidth="1"/>
    <col min="10006" max="10006" width="14.140625" style="24" customWidth="1"/>
    <col min="10007" max="10007" width="10.28515625" style="24" customWidth="1"/>
    <col min="10008" max="10008" width="14.140625" style="24" customWidth="1"/>
    <col min="10009" max="10009" width="10.28515625" style="24" customWidth="1"/>
    <col min="10010" max="10011" width="14.140625" style="24" customWidth="1"/>
    <col min="10012" max="10012" width="46.28515625" style="24" customWidth="1"/>
    <col min="10013" max="10013" width="45.7109375" style="24" customWidth="1"/>
    <col min="10014" max="10259" width="9.42578125" style="24"/>
    <col min="10260" max="10260" width="21.7109375" style="24" customWidth="1"/>
    <col min="10261" max="10261" width="10.28515625" style="24" customWidth="1"/>
    <col min="10262" max="10262" width="14.140625" style="24" customWidth="1"/>
    <col min="10263" max="10263" width="10.28515625" style="24" customWidth="1"/>
    <col min="10264" max="10264" width="14.140625" style="24" customWidth="1"/>
    <col min="10265" max="10265" width="10.28515625" style="24" customWidth="1"/>
    <col min="10266" max="10267" width="14.140625" style="24" customWidth="1"/>
    <col min="10268" max="10268" width="46.28515625" style="24" customWidth="1"/>
    <col min="10269" max="10269" width="45.7109375" style="24" customWidth="1"/>
    <col min="10270" max="10515" width="9.42578125" style="24"/>
    <col min="10516" max="10516" width="21.7109375" style="24" customWidth="1"/>
    <col min="10517" max="10517" width="10.28515625" style="24" customWidth="1"/>
    <col min="10518" max="10518" width="14.140625" style="24" customWidth="1"/>
    <col min="10519" max="10519" width="10.28515625" style="24" customWidth="1"/>
    <col min="10520" max="10520" width="14.140625" style="24" customWidth="1"/>
    <col min="10521" max="10521" width="10.28515625" style="24" customWidth="1"/>
    <col min="10522" max="10523" width="14.140625" style="24" customWidth="1"/>
    <col min="10524" max="10524" width="46.28515625" style="24" customWidth="1"/>
    <col min="10525" max="10525" width="45.7109375" style="24" customWidth="1"/>
    <col min="10526" max="10771" width="9.42578125" style="24"/>
    <col min="10772" max="10772" width="21.7109375" style="24" customWidth="1"/>
    <col min="10773" max="10773" width="10.28515625" style="24" customWidth="1"/>
    <col min="10774" max="10774" width="14.140625" style="24" customWidth="1"/>
    <col min="10775" max="10775" width="10.28515625" style="24" customWidth="1"/>
    <col min="10776" max="10776" width="14.140625" style="24" customWidth="1"/>
    <col min="10777" max="10777" width="10.28515625" style="24" customWidth="1"/>
    <col min="10778" max="10779" width="14.140625" style="24" customWidth="1"/>
    <col min="10780" max="10780" width="46.28515625" style="24" customWidth="1"/>
    <col min="10781" max="10781" width="45.7109375" style="24" customWidth="1"/>
    <col min="10782" max="11027" width="9.42578125" style="24"/>
    <col min="11028" max="11028" width="21.7109375" style="24" customWidth="1"/>
    <col min="11029" max="11029" width="10.28515625" style="24" customWidth="1"/>
    <col min="11030" max="11030" width="14.140625" style="24" customWidth="1"/>
    <col min="11031" max="11031" width="10.28515625" style="24" customWidth="1"/>
    <col min="11032" max="11032" width="14.140625" style="24" customWidth="1"/>
    <col min="11033" max="11033" width="10.28515625" style="24" customWidth="1"/>
    <col min="11034" max="11035" width="14.140625" style="24" customWidth="1"/>
    <col min="11036" max="11036" width="46.28515625" style="24" customWidth="1"/>
    <col min="11037" max="11037" width="45.7109375" style="24" customWidth="1"/>
    <col min="11038" max="11283" width="9.42578125" style="24"/>
    <col min="11284" max="11284" width="21.7109375" style="24" customWidth="1"/>
    <col min="11285" max="11285" width="10.28515625" style="24" customWidth="1"/>
    <col min="11286" max="11286" width="14.140625" style="24" customWidth="1"/>
    <col min="11287" max="11287" width="10.28515625" style="24" customWidth="1"/>
    <col min="11288" max="11288" width="14.140625" style="24" customWidth="1"/>
    <col min="11289" max="11289" width="10.28515625" style="24" customWidth="1"/>
    <col min="11290" max="11291" width="14.140625" style="24" customWidth="1"/>
    <col min="11292" max="11292" width="46.28515625" style="24" customWidth="1"/>
    <col min="11293" max="11293" width="45.7109375" style="24" customWidth="1"/>
    <col min="11294" max="11539" width="9.42578125" style="24"/>
    <col min="11540" max="11540" width="21.7109375" style="24" customWidth="1"/>
    <col min="11541" max="11541" width="10.28515625" style="24" customWidth="1"/>
    <col min="11542" max="11542" width="14.140625" style="24" customWidth="1"/>
    <col min="11543" max="11543" width="10.28515625" style="24" customWidth="1"/>
    <col min="11544" max="11544" width="14.140625" style="24" customWidth="1"/>
    <col min="11545" max="11545" width="10.28515625" style="24" customWidth="1"/>
    <col min="11546" max="11547" width="14.140625" style="24" customWidth="1"/>
    <col min="11548" max="11548" width="46.28515625" style="24" customWidth="1"/>
    <col min="11549" max="11549" width="45.7109375" style="24" customWidth="1"/>
    <col min="11550" max="11795" width="9.42578125" style="24"/>
    <col min="11796" max="11796" width="21.7109375" style="24" customWidth="1"/>
    <col min="11797" max="11797" width="10.28515625" style="24" customWidth="1"/>
    <col min="11798" max="11798" width="14.140625" style="24" customWidth="1"/>
    <col min="11799" max="11799" width="10.28515625" style="24" customWidth="1"/>
    <col min="11800" max="11800" width="14.140625" style="24" customWidth="1"/>
    <col min="11801" max="11801" width="10.28515625" style="24" customWidth="1"/>
    <col min="11802" max="11803" width="14.140625" style="24" customWidth="1"/>
    <col min="11804" max="11804" width="46.28515625" style="24" customWidth="1"/>
    <col min="11805" max="11805" width="45.7109375" style="24" customWidth="1"/>
    <col min="11806" max="12051" width="9.42578125" style="24"/>
    <col min="12052" max="12052" width="21.7109375" style="24" customWidth="1"/>
    <col min="12053" max="12053" width="10.28515625" style="24" customWidth="1"/>
    <col min="12054" max="12054" width="14.140625" style="24" customWidth="1"/>
    <col min="12055" max="12055" width="10.28515625" style="24" customWidth="1"/>
    <col min="12056" max="12056" width="14.140625" style="24" customWidth="1"/>
    <col min="12057" max="12057" width="10.28515625" style="24" customWidth="1"/>
    <col min="12058" max="12059" width="14.140625" style="24" customWidth="1"/>
    <col min="12060" max="12060" width="46.28515625" style="24" customWidth="1"/>
    <col min="12061" max="12061" width="45.7109375" style="24" customWidth="1"/>
    <col min="12062" max="12307" width="9.42578125" style="24"/>
    <col min="12308" max="12308" width="21.7109375" style="24" customWidth="1"/>
    <col min="12309" max="12309" width="10.28515625" style="24" customWidth="1"/>
    <col min="12310" max="12310" width="14.140625" style="24" customWidth="1"/>
    <col min="12311" max="12311" width="10.28515625" style="24" customWidth="1"/>
    <col min="12312" max="12312" width="14.140625" style="24" customWidth="1"/>
    <col min="12313" max="12313" width="10.28515625" style="24" customWidth="1"/>
    <col min="12314" max="12315" width="14.140625" style="24" customWidth="1"/>
    <col min="12316" max="12316" width="46.28515625" style="24" customWidth="1"/>
    <col min="12317" max="12317" width="45.7109375" style="24" customWidth="1"/>
    <col min="12318" max="12563" width="9.42578125" style="24"/>
    <col min="12564" max="12564" width="21.7109375" style="24" customWidth="1"/>
    <col min="12565" max="12565" width="10.28515625" style="24" customWidth="1"/>
    <col min="12566" max="12566" width="14.140625" style="24" customWidth="1"/>
    <col min="12567" max="12567" width="10.28515625" style="24" customWidth="1"/>
    <col min="12568" max="12568" width="14.140625" style="24" customWidth="1"/>
    <col min="12569" max="12569" width="10.28515625" style="24" customWidth="1"/>
    <col min="12570" max="12571" width="14.140625" style="24" customWidth="1"/>
    <col min="12572" max="12572" width="46.28515625" style="24" customWidth="1"/>
    <col min="12573" max="12573" width="45.7109375" style="24" customWidth="1"/>
    <col min="12574" max="12819" width="9.42578125" style="24"/>
    <col min="12820" max="12820" width="21.7109375" style="24" customWidth="1"/>
    <col min="12821" max="12821" width="10.28515625" style="24" customWidth="1"/>
    <col min="12822" max="12822" width="14.140625" style="24" customWidth="1"/>
    <col min="12823" max="12823" width="10.28515625" style="24" customWidth="1"/>
    <col min="12824" max="12824" width="14.140625" style="24" customWidth="1"/>
    <col min="12825" max="12825" width="10.28515625" style="24" customWidth="1"/>
    <col min="12826" max="12827" width="14.140625" style="24" customWidth="1"/>
    <col min="12828" max="12828" width="46.28515625" style="24" customWidth="1"/>
    <col min="12829" max="12829" width="45.7109375" style="24" customWidth="1"/>
    <col min="12830" max="13075" width="9.42578125" style="24"/>
    <col min="13076" max="13076" width="21.7109375" style="24" customWidth="1"/>
    <col min="13077" max="13077" width="10.28515625" style="24" customWidth="1"/>
    <col min="13078" max="13078" width="14.140625" style="24" customWidth="1"/>
    <col min="13079" max="13079" width="10.28515625" style="24" customWidth="1"/>
    <col min="13080" max="13080" width="14.140625" style="24" customWidth="1"/>
    <col min="13081" max="13081" width="10.28515625" style="24" customWidth="1"/>
    <col min="13082" max="13083" width="14.140625" style="24" customWidth="1"/>
    <col min="13084" max="13084" width="46.28515625" style="24" customWidth="1"/>
    <col min="13085" max="13085" width="45.7109375" style="24" customWidth="1"/>
    <col min="13086" max="13331" width="9.42578125" style="24"/>
    <col min="13332" max="13332" width="21.7109375" style="24" customWidth="1"/>
    <col min="13333" max="13333" width="10.28515625" style="24" customWidth="1"/>
    <col min="13334" max="13334" width="14.140625" style="24" customWidth="1"/>
    <col min="13335" max="13335" width="10.28515625" style="24" customWidth="1"/>
    <col min="13336" max="13336" width="14.140625" style="24" customWidth="1"/>
    <col min="13337" max="13337" width="10.28515625" style="24" customWidth="1"/>
    <col min="13338" max="13339" width="14.140625" style="24" customWidth="1"/>
    <col min="13340" max="13340" width="46.28515625" style="24" customWidth="1"/>
    <col min="13341" max="13341" width="45.7109375" style="24" customWidth="1"/>
    <col min="13342" max="13587" width="9.42578125" style="24"/>
    <col min="13588" max="13588" width="21.7109375" style="24" customWidth="1"/>
    <col min="13589" max="13589" width="10.28515625" style="24" customWidth="1"/>
    <col min="13590" max="13590" width="14.140625" style="24" customWidth="1"/>
    <col min="13591" max="13591" width="10.28515625" style="24" customWidth="1"/>
    <col min="13592" max="13592" width="14.140625" style="24" customWidth="1"/>
    <col min="13593" max="13593" width="10.28515625" style="24" customWidth="1"/>
    <col min="13594" max="13595" width="14.140625" style="24" customWidth="1"/>
    <col min="13596" max="13596" width="46.28515625" style="24" customWidth="1"/>
    <col min="13597" max="13597" width="45.7109375" style="24" customWidth="1"/>
    <col min="13598" max="13843" width="9.42578125" style="24"/>
    <col min="13844" max="13844" width="21.7109375" style="24" customWidth="1"/>
    <col min="13845" max="13845" width="10.28515625" style="24" customWidth="1"/>
    <col min="13846" max="13846" width="14.140625" style="24" customWidth="1"/>
    <col min="13847" max="13847" width="10.28515625" style="24" customWidth="1"/>
    <col min="13848" max="13848" width="14.140625" style="24" customWidth="1"/>
    <col min="13849" max="13849" width="10.28515625" style="24" customWidth="1"/>
    <col min="13850" max="13851" width="14.140625" style="24" customWidth="1"/>
    <col min="13852" max="13852" width="46.28515625" style="24" customWidth="1"/>
    <col min="13853" max="13853" width="45.7109375" style="24" customWidth="1"/>
    <col min="13854" max="14099" width="9.42578125" style="24"/>
    <col min="14100" max="14100" width="21.7109375" style="24" customWidth="1"/>
    <col min="14101" max="14101" width="10.28515625" style="24" customWidth="1"/>
    <col min="14102" max="14102" width="14.140625" style="24" customWidth="1"/>
    <col min="14103" max="14103" width="10.28515625" style="24" customWidth="1"/>
    <col min="14104" max="14104" width="14.140625" style="24" customWidth="1"/>
    <col min="14105" max="14105" width="10.28515625" style="24" customWidth="1"/>
    <col min="14106" max="14107" width="14.140625" style="24" customWidth="1"/>
    <col min="14108" max="14108" width="46.28515625" style="24" customWidth="1"/>
    <col min="14109" max="14109" width="45.7109375" style="24" customWidth="1"/>
    <col min="14110" max="14355" width="9.42578125" style="24"/>
    <col min="14356" max="14356" width="21.7109375" style="24" customWidth="1"/>
    <col min="14357" max="14357" width="10.28515625" style="24" customWidth="1"/>
    <col min="14358" max="14358" width="14.140625" style="24" customWidth="1"/>
    <col min="14359" max="14359" width="10.28515625" style="24" customWidth="1"/>
    <col min="14360" max="14360" width="14.140625" style="24" customWidth="1"/>
    <col min="14361" max="14361" width="10.28515625" style="24" customWidth="1"/>
    <col min="14362" max="14363" width="14.140625" style="24" customWidth="1"/>
    <col min="14364" max="14364" width="46.28515625" style="24" customWidth="1"/>
    <col min="14365" max="14365" width="45.7109375" style="24" customWidth="1"/>
    <col min="14366" max="14611" width="9.42578125" style="24"/>
    <col min="14612" max="14612" width="21.7109375" style="24" customWidth="1"/>
    <col min="14613" max="14613" width="10.28515625" style="24" customWidth="1"/>
    <col min="14614" max="14614" width="14.140625" style="24" customWidth="1"/>
    <col min="14615" max="14615" width="10.28515625" style="24" customWidth="1"/>
    <col min="14616" max="14616" width="14.140625" style="24" customWidth="1"/>
    <col min="14617" max="14617" width="10.28515625" style="24" customWidth="1"/>
    <col min="14618" max="14619" width="14.140625" style="24" customWidth="1"/>
    <col min="14620" max="14620" width="46.28515625" style="24" customWidth="1"/>
    <col min="14621" max="14621" width="45.7109375" style="24" customWidth="1"/>
    <col min="14622" max="14867" width="9.42578125" style="24"/>
    <col min="14868" max="14868" width="21.7109375" style="24" customWidth="1"/>
    <col min="14869" max="14869" width="10.28515625" style="24" customWidth="1"/>
    <col min="14870" max="14870" width="14.140625" style="24" customWidth="1"/>
    <col min="14871" max="14871" width="10.28515625" style="24" customWidth="1"/>
    <col min="14872" max="14872" width="14.140625" style="24" customWidth="1"/>
    <col min="14873" max="14873" width="10.28515625" style="24" customWidth="1"/>
    <col min="14874" max="14875" width="14.140625" style="24" customWidth="1"/>
    <col min="14876" max="14876" width="46.28515625" style="24" customWidth="1"/>
    <col min="14877" max="14877" width="45.7109375" style="24" customWidth="1"/>
    <col min="14878" max="15123" width="9.42578125" style="24"/>
    <col min="15124" max="15124" width="21.7109375" style="24" customWidth="1"/>
    <col min="15125" max="15125" width="10.28515625" style="24" customWidth="1"/>
    <col min="15126" max="15126" width="14.140625" style="24" customWidth="1"/>
    <col min="15127" max="15127" width="10.28515625" style="24" customWidth="1"/>
    <col min="15128" max="15128" width="14.140625" style="24" customWidth="1"/>
    <col min="15129" max="15129" width="10.28515625" style="24" customWidth="1"/>
    <col min="15130" max="15131" width="14.140625" style="24" customWidth="1"/>
    <col min="15132" max="15132" width="46.28515625" style="24" customWidth="1"/>
    <col min="15133" max="15133" width="45.7109375" style="24" customWidth="1"/>
    <col min="15134" max="15379" width="9.42578125" style="24"/>
    <col min="15380" max="15380" width="21.7109375" style="24" customWidth="1"/>
    <col min="15381" max="15381" width="10.28515625" style="24" customWidth="1"/>
    <col min="15382" max="15382" width="14.140625" style="24" customWidth="1"/>
    <col min="15383" max="15383" width="10.28515625" style="24" customWidth="1"/>
    <col min="15384" max="15384" width="14.140625" style="24" customWidth="1"/>
    <col min="15385" max="15385" width="10.28515625" style="24" customWidth="1"/>
    <col min="15386" max="15387" width="14.140625" style="24" customWidth="1"/>
    <col min="15388" max="15388" width="46.28515625" style="24" customWidth="1"/>
    <col min="15389" max="15389" width="45.7109375" style="24" customWidth="1"/>
    <col min="15390" max="15635" width="9.42578125" style="24"/>
    <col min="15636" max="15636" width="21.7109375" style="24" customWidth="1"/>
    <col min="15637" max="15637" width="10.28515625" style="24" customWidth="1"/>
    <col min="15638" max="15638" width="14.140625" style="24" customWidth="1"/>
    <col min="15639" max="15639" width="10.28515625" style="24" customWidth="1"/>
    <col min="15640" max="15640" width="14.140625" style="24" customWidth="1"/>
    <col min="15641" max="15641" width="10.28515625" style="24" customWidth="1"/>
    <col min="15642" max="15643" width="14.140625" style="24" customWidth="1"/>
    <col min="15644" max="15644" width="46.28515625" style="24" customWidth="1"/>
    <col min="15645" max="15645" width="45.7109375" style="24" customWidth="1"/>
    <col min="15646" max="15891" width="9.42578125" style="24"/>
    <col min="15892" max="15892" width="21.7109375" style="24" customWidth="1"/>
    <col min="15893" max="15893" width="10.28515625" style="24" customWidth="1"/>
    <col min="15894" max="15894" width="14.140625" style="24" customWidth="1"/>
    <col min="15895" max="15895" width="10.28515625" style="24" customWidth="1"/>
    <col min="15896" max="15896" width="14.140625" style="24" customWidth="1"/>
    <col min="15897" max="15897" width="10.28515625" style="24" customWidth="1"/>
    <col min="15898" max="15899" width="14.140625" style="24" customWidth="1"/>
    <col min="15900" max="15900" width="46.28515625" style="24" customWidth="1"/>
    <col min="15901" max="15901" width="45.7109375" style="24" customWidth="1"/>
    <col min="15902" max="16147" width="9.42578125" style="24"/>
    <col min="16148" max="16148" width="21.7109375" style="24" customWidth="1"/>
    <col min="16149" max="16149" width="10.28515625" style="24" customWidth="1"/>
    <col min="16150" max="16150" width="14.140625" style="24" customWidth="1"/>
    <col min="16151" max="16151" width="10.28515625" style="24" customWidth="1"/>
    <col min="16152" max="16152" width="14.140625" style="24" customWidth="1"/>
    <col min="16153" max="16153" width="10.28515625" style="24" customWidth="1"/>
    <col min="16154" max="16155" width="14.140625" style="24" customWidth="1"/>
    <col min="16156" max="16156" width="46.28515625" style="24" customWidth="1"/>
    <col min="16157" max="16157" width="45.7109375" style="24" customWidth="1"/>
    <col min="16158" max="16384" width="9.42578125" style="24"/>
  </cols>
  <sheetData>
    <row r="1" spans="1:29" x14ac:dyDescent="0.25">
      <c r="A1" s="234" t="s">
        <v>57</v>
      </c>
      <c r="B1" s="234"/>
      <c r="C1" s="234"/>
      <c r="D1" s="234"/>
      <c r="E1" s="234"/>
      <c r="F1" s="234"/>
      <c r="G1" s="234"/>
      <c r="H1" s="234"/>
      <c r="I1" s="234"/>
      <c r="J1" s="234"/>
      <c r="K1" s="234"/>
      <c r="L1" s="234"/>
      <c r="M1" s="234"/>
      <c r="N1" s="234"/>
      <c r="O1" s="234"/>
      <c r="P1" s="234"/>
      <c r="Q1" s="234"/>
      <c r="R1" s="234"/>
      <c r="S1" s="234"/>
      <c r="T1" s="234"/>
      <c r="U1" s="234"/>
      <c r="V1" s="234"/>
      <c r="W1" s="234"/>
      <c r="X1" s="234"/>
      <c r="Y1" s="234"/>
      <c r="Z1" s="234"/>
      <c r="AA1" s="234"/>
      <c r="AB1" s="234"/>
    </row>
    <row r="2" spans="1:29" ht="16.5" x14ac:dyDescent="0.25">
      <c r="A2" s="247" t="s">
        <v>58</v>
      </c>
      <c r="B2" s="247"/>
      <c r="C2" s="247"/>
      <c r="D2" s="247"/>
      <c r="E2" s="247"/>
      <c r="F2" s="247"/>
      <c r="G2" s="247"/>
      <c r="H2" s="247"/>
      <c r="I2" s="247"/>
      <c r="J2" s="247"/>
      <c r="K2" s="247"/>
      <c r="L2" s="247"/>
      <c r="M2" s="247"/>
      <c r="N2" s="247"/>
      <c r="O2" s="247"/>
      <c r="P2" s="247"/>
      <c r="Q2" s="247"/>
      <c r="R2" s="247"/>
      <c r="S2" s="247"/>
      <c r="T2" s="247"/>
      <c r="U2" s="247"/>
      <c r="V2" s="247"/>
      <c r="W2" s="247"/>
      <c r="X2" s="247"/>
      <c r="Y2" s="247"/>
      <c r="Z2" s="247"/>
      <c r="AA2" s="247"/>
      <c r="AB2" s="247"/>
    </row>
    <row r="3" spans="1:29" x14ac:dyDescent="0.25">
      <c r="A3" s="4" t="s">
        <v>5</v>
      </c>
      <c r="B3" s="4" t="s">
        <v>5</v>
      </c>
      <c r="C3" s="236" t="s">
        <v>28</v>
      </c>
      <c r="D3" s="236"/>
      <c r="E3" s="236" t="s">
        <v>91</v>
      </c>
      <c r="F3" s="236"/>
      <c r="G3" s="236" t="s">
        <v>91</v>
      </c>
      <c r="H3" s="236"/>
      <c r="I3" s="236" t="s">
        <v>91</v>
      </c>
      <c r="J3" s="236"/>
      <c r="K3" s="236" t="s">
        <v>91</v>
      </c>
      <c r="L3" s="236"/>
      <c r="M3" s="236" t="s">
        <v>91</v>
      </c>
      <c r="N3" s="236"/>
      <c r="O3" s="233" t="s">
        <v>91</v>
      </c>
      <c r="P3" s="233"/>
      <c r="Q3" s="246" t="s">
        <v>91</v>
      </c>
      <c r="R3" s="246"/>
      <c r="S3" s="246" t="s">
        <v>91</v>
      </c>
      <c r="T3" s="246"/>
      <c r="U3" s="246" t="s">
        <v>91</v>
      </c>
      <c r="V3" s="246"/>
      <c r="W3" s="246" t="s">
        <v>91</v>
      </c>
      <c r="X3" s="246"/>
      <c r="Y3" s="246" t="s">
        <v>91</v>
      </c>
      <c r="Z3" s="246"/>
      <c r="AA3" s="6" t="s">
        <v>92</v>
      </c>
      <c r="AB3" s="248" t="s">
        <v>6</v>
      </c>
    </row>
    <row r="4" spans="1:29" ht="38.25" x14ac:dyDescent="0.25">
      <c r="A4" s="4" t="s">
        <v>7</v>
      </c>
      <c r="B4" s="4" t="s">
        <v>7</v>
      </c>
      <c r="C4" s="236" t="s">
        <v>19</v>
      </c>
      <c r="D4" s="236"/>
      <c r="E4" s="236" t="s">
        <v>8</v>
      </c>
      <c r="F4" s="236"/>
      <c r="G4" s="236" t="s">
        <v>9</v>
      </c>
      <c r="H4" s="236"/>
      <c r="I4" s="236" t="s">
        <v>10</v>
      </c>
      <c r="J4" s="236"/>
      <c r="K4" s="236" t="s">
        <v>11</v>
      </c>
      <c r="L4" s="236"/>
      <c r="M4" s="236" t="s">
        <v>12</v>
      </c>
      <c r="N4" s="236"/>
      <c r="O4" s="233" t="s">
        <v>13</v>
      </c>
      <c r="P4" s="233"/>
      <c r="Q4" s="246" t="s">
        <v>14</v>
      </c>
      <c r="R4" s="246"/>
      <c r="S4" s="246" t="s">
        <v>15</v>
      </c>
      <c r="T4" s="246"/>
      <c r="U4" s="246" t="s">
        <v>16</v>
      </c>
      <c r="V4" s="246"/>
      <c r="W4" s="246" t="s">
        <v>17</v>
      </c>
      <c r="X4" s="246"/>
      <c r="Y4" s="246" t="s">
        <v>18</v>
      </c>
      <c r="Z4" s="246"/>
      <c r="AA4" s="6" t="s">
        <v>96</v>
      </c>
      <c r="AB4" s="248"/>
    </row>
    <row r="5" spans="1:29" s="27" customFormat="1" ht="11.25" x14ac:dyDescent="0.25">
      <c r="A5" s="26"/>
      <c r="B5" s="26"/>
      <c r="C5" s="20"/>
      <c r="D5" s="20" t="s">
        <v>20</v>
      </c>
      <c r="E5" s="20"/>
      <c r="F5" s="20" t="s">
        <v>20</v>
      </c>
      <c r="G5" s="20"/>
      <c r="H5" s="20" t="s">
        <v>20</v>
      </c>
      <c r="I5" s="20"/>
      <c r="J5" s="20" t="s">
        <v>20</v>
      </c>
      <c r="K5" s="20"/>
      <c r="L5" s="20" t="s">
        <v>20</v>
      </c>
      <c r="M5" s="20"/>
      <c r="N5" s="20" t="s">
        <v>20</v>
      </c>
      <c r="O5" s="62"/>
      <c r="P5" s="62" t="s">
        <v>20</v>
      </c>
      <c r="Q5" s="87"/>
      <c r="R5" s="87" t="s">
        <v>20</v>
      </c>
      <c r="S5" s="87"/>
      <c r="T5" s="87" t="s">
        <v>20</v>
      </c>
      <c r="U5" s="87"/>
      <c r="V5" s="87" t="s">
        <v>20</v>
      </c>
      <c r="W5" s="87"/>
      <c r="X5" s="87" t="s">
        <v>20</v>
      </c>
      <c r="Y5" s="87"/>
      <c r="Z5" s="87" t="s">
        <v>20</v>
      </c>
      <c r="AA5" s="20" t="s">
        <v>20</v>
      </c>
      <c r="AB5" s="248"/>
    </row>
    <row r="6" spans="1:29" ht="38.25" x14ac:dyDescent="0.25">
      <c r="A6" s="28" t="s">
        <v>21</v>
      </c>
      <c r="B6" s="28" t="s">
        <v>59</v>
      </c>
      <c r="C6" s="6" t="s">
        <v>103</v>
      </c>
      <c r="D6" s="6" t="s">
        <v>93</v>
      </c>
      <c r="E6" s="6" t="s">
        <v>103</v>
      </c>
      <c r="F6" s="6" t="s">
        <v>93</v>
      </c>
      <c r="G6" s="6" t="s">
        <v>103</v>
      </c>
      <c r="H6" s="6" t="s">
        <v>93</v>
      </c>
      <c r="I6" s="6" t="s">
        <v>103</v>
      </c>
      <c r="J6" s="6" t="s">
        <v>93</v>
      </c>
      <c r="K6" s="6" t="s">
        <v>103</v>
      </c>
      <c r="L6" s="6" t="s">
        <v>93</v>
      </c>
      <c r="M6" s="6" t="s">
        <v>103</v>
      </c>
      <c r="N6" s="6" t="s">
        <v>93</v>
      </c>
      <c r="O6" s="61" t="s">
        <v>103</v>
      </c>
      <c r="P6" s="61" t="s">
        <v>93</v>
      </c>
      <c r="Q6" s="88" t="s">
        <v>30</v>
      </c>
      <c r="R6" s="88" t="s">
        <v>23</v>
      </c>
      <c r="S6" s="88" t="s">
        <v>30</v>
      </c>
      <c r="T6" s="88" t="s">
        <v>23</v>
      </c>
      <c r="U6" s="88" t="s">
        <v>30</v>
      </c>
      <c r="V6" s="88" t="s">
        <v>23</v>
      </c>
      <c r="W6" s="88" t="s">
        <v>30</v>
      </c>
      <c r="X6" s="88" t="s">
        <v>23</v>
      </c>
      <c r="Y6" s="88" t="s">
        <v>30</v>
      </c>
      <c r="Z6" s="88" t="s">
        <v>23</v>
      </c>
      <c r="AA6" s="6" t="s">
        <v>23</v>
      </c>
      <c r="AB6" s="248"/>
    </row>
    <row r="7" spans="1:29" s="30" customFormat="1" x14ac:dyDescent="0.25">
      <c r="A7" s="29">
        <v>1</v>
      </c>
      <c r="B7" s="29">
        <v>1</v>
      </c>
      <c r="C7" s="12">
        <v>2</v>
      </c>
      <c r="D7" s="12">
        <v>3</v>
      </c>
      <c r="E7" s="12">
        <v>4</v>
      </c>
      <c r="F7" s="12">
        <v>5</v>
      </c>
      <c r="G7" s="12">
        <v>6</v>
      </c>
      <c r="H7" s="12">
        <v>7</v>
      </c>
      <c r="I7" s="12">
        <v>8</v>
      </c>
      <c r="J7" s="12">
        <v>9</v>
      </c>
      <c r="K7" s="12">
        <v>10</v>
      </c>
      <c r="L7" s="12">
        <v>11</v>
      </c>
      <c r="M7" s="12">
        <v>12</v>
      </c>
      <c r="N7" s="12">
        <v>13</v>
      </c>
      <c r="O7" s="63">
        <v>14</v>
      </c>
      <c r="P7" s="63">
        <v>15</v>
      </c>
      <c r="Q7" s="89">
        <v>16</v>
      </c>
      <c r="R7" s="89">
        <v>17</v>
      </c>
      <c r="S7" s="89">
        <v>18</v>
      </c>
      <c r="T7" s="89">
        <v>19</v>
      </c>
      <c r="U7" s="89">
        <v>20</v>
      </c>
      <c r="V7" s="89">
        <v>21</v>
      </c>
      <c r="W7" s="89">
        <v>22</v>
      </c>
      <c r="X7" s="89">
        <v>23</v>
      </c>
      <c r="Y7" s="89">
        <v>24</v>
      </c>
      <c r="Z7" s="89">
        <v>25</v>
      </c>
      <c r="AA7" s="12">
        <v>26</v>
      </c>
      <c r="AB7" s="29">
        <v>27</v>
      </c>
    </row>
    <row r="8" spans="1:29" s="30" customFormat="1" ht="25.5" x14ac:dyDescent="0.25">
      <c r="A8" s="31" t="s">
        <v>60</v>
      </c>
      <c r="B8" s="31" t="s">
        <v>60</v>
      </c>
      <c r="C8" s="42"/>
      <c r="D8" s="22"/>
      <c r="E8" s="42"/>
      <c r="F8" s="22"/>
      <c r="G8" s="42"/>
      <c r="H8" s="22"/>
      <c r="I8" s="42"/>
      <c r="J8" s="22"/>
      <c r="K8" s="42"/>
      <c r="L8" s="22"/>
      <c r="M8" s="42"/>
      <c r="N8" s="22"/>
      <c r="O8" s="95"/>
      <c r="P8" s="64"/>
      <c r="Q8" s="93"/>
      <c r="R8" s="78"/>
      <c r="S8" s="93"/>
      <c r="T8" s="78"/>
      <c r="U8" s="93"/>
      <c r="V8" s="78"/>
      <c r="W8" s="93"/>
      <c r="X8" s="78"/>
      <c r="Y8" s="93"/>
      <c r="Z8" s="78"/>
      <c r="AA8" s="22">
        <f>D8+Z8+X8+V8+T8+R8+P8+N8+L8+J8+H8+F8</f>
        <v>0</v>
      </c>
      <c r="AB8" s="240" t="s">
        <v>115</v>
      </c>
      <c r="AC8" s="43"/>
    </row>
    <row r="9" spans="1:29" s="30" customFormat="1" ht="63.75" x14ac:dyDescent="0.25">
      <c r="A9" s="31" t="s">
        <v>61</v>
      </c>
      <c r="B9" s="31" t="s">
        <v>62</v>
      </c>
      <c r="C9" s="42">
        <v>36</v>
      </c>
      <c r="D9" s="22">
        <v>72</v>
      </c>
      <c r="E9" s="42">
        <v>35</v>
      </c>
      <c r="F9" s="22">
        <v>70</v>
      </c>
      <c r="G9" s="42">
        <v>40</v>
      </c>
      <c r="H9" s="22">
        <v>80</v>
      </c>
      <c r="I9" s="42">
        <v>21</v>
      </c>
      <c r="J9" s="22">
        <v>42</v>
      </c>
      <c r="K9" s="42">
        <v>22</v>
      </c>
      <c r="L9" s="22">
        <v>44</v>
      </c>
      <c r="M9" s="42">
        <v>71</v>
      </c>
      <c r="N9" s="22">
        <v>142</v>
      </c>
      <c r="O9" s="95">
        <v>1000</v>
      </c>
      <c r="P9" s="95">
        <f t="shared" ref="P9:P16" si="0">O9*2</f>
        <v>2000</v>
      </c>
      <c r="Q9" s="93">
        <v>100</v>
      </c>
      <c r="R9" s="93">
        <f>Q9*2</f>
        <v>200</v>
      </c>
      <c r="S9" s="93">
        <v>100</v>
      </c>
      <c r="T9" s="93">
        <f>S9*2</f>
        <v>200</v>
      </c>
      <c r="U9" s="93">
        <v>100</v>
      </c>
      <c r="V9" s="93">
        <f>U9*2</f>
        <v>200</v>
      </c>
      <c r="W9" s="93">
        <v>100</v>
      </c>
      <c r="X9" s="93">
        <f>W9*2</f>
        <v>200</v>
      </c>
      <c r="Y9" s="93">
        <v>100</v>
      </c>
      <c r="Z9" s="93">
        <f>Y9*2</f>
        <v>200</v>
      </c>
      <c r="AA9" s="22">
        <f>D9+Z9+X9+V9+T9+R9+P9+N9+L9+J9+H9+F9</f>
        <v>3450</v>
      </c>
      <c r="AB9" s="241"/>
    </row>
    <row r="10" spans="1:29" s="30" customFormat="1" ht="25.5" x14ac:dyDescent="0.25">
      <c r="A10" s="31" t="s">
        <v>63</v>
      </c>
      <c r="B10" s="31" t="s">
        <v>64</v>
      </c>
      <c r="C10" s="42">
        <v>9</v>
      </c>
      <c r="D10" s="22">
        <v>18</v>
      </c>
      <c r="E10" s="42">
        <v>18</v>
      </c>
      <c r="F10" s="22">
        <v>36</v>
      </c>
      <c r="G10" s="42">
        <v>22</v>
      </c>
      <c r="H10" s="22">
        <v>44</v>
      </c>
      <c r="I10" s="42">
        <v>20</v>
      </c>
      <c r="J10" s="22">
        <v>40</v>
      </c>
      <c r="K10" s="42">
        <v>19</v>
      </c>
      <c r="L10" s="22">
        <v>38</v>
      </c>
      <c r="M10" s="42">
        <v>63</v>
      </c>
      <c r="N10" s="22">
        <v>126</v>
      </c>
      <c r="O10" s="95">
        <v>1000</v>
      </c>
      <c r="P10" s="95">
        <f t="shared" si="0"/>
        <v>2000</v>
      </c>
      <c r="Q10" s="93">
        <v>100</v>
      </c>
      <c r="R10" s="93">
        <f t="shared" ref="R10:R16" si="1">Q10*2</f>
        <v>200</v>
      </c>
      <c r="S10" s="93">
        <v>100</v>
      </c>
      <c r="T10" s="93">
        <f t="shared" ref="T10:T16" si="2">S10*2</f>
        <v>200</v>
      </c>
      <c r="U10" s="93">
        <v>100</v>
      </c>
      <c r="V10" s="93">
        <f t="shared" ref="V10:V16" si="3">U10*2</f>
        <v>200</v>
      </c>
      <c r="W10" s="93">
        <v>100</v>
      </c>
      <c r="X10" s="93">
        <f t="shared" ref="X10:X16" si="4">W10*2</f>
        <v>200</v>
      </c>
      <c r="Y10" s="93">
        <v>100</v>
      </c>
      <c r="Z10" s="93">
        <f t="shared" ref="Z10:Z16" si="5">Y10*2</f>
        <v>200</v>
      </c>
      <c r="AA10" s="22">
        <f>D10+Z10+X10+V10+T10+R10+P10+N10+L10+J10+H10+F10</f>
        <v>3302</v>
      </c>
      <c r="AB10" s="241"/>
    </row>
    <row r="11" spans="1:29" s="30" customFormat="1" ht="51" x14ac:dyDescent="0.25">
      <c r="A11" s="31" t="s">
        <v>65</v>
      </c>
      <c r="B11" s="31" t="s">
        <v>66</v>
      </c>
      <c r="C11" s="42">
        <v>4</v>
      </c>
      <c r="D11" s="22">
        <v>8</v>
      </c>
      <c r="E11" s="42">
        <v>17</v>
      </c>
      <c r="F11" s="22">
        <v>34</v>
      </c>
      <c r="G11" s="42">
        <v>5</v>
      </c>
      <c r="H11" s="22">
        <v>10</v>
      </c>
      <c r="I11" s="42">
        <v>15</v>
      </c>
      <c r="J11" s="22">
        <v>30</v>
      </c>
      <c r="K11" s="42">
        <v>24</v>
      </c>
      <c r="L11" s="22">
        <v>48</v>
      </c>
      <c r="M11" s="42">
        <v>20</v>
      </c>
      <c r="N11" s="22">
        <v>40</v>
      </c>
      <c r="O11" s="95">
        <v>1000</v>
      </c>
      <c r="P11" s="95">
        <f t="shared" si="0"/>
        <v>2000</v>
      </c>
      <c r="Q11" s="93">
        <v>100</v>
      </c>
      <c r="R11" s="93">
        <f t="shared" si="1"/>
        <v>200</v>
      </c>
      <c r="S11" s="93">
        <v>100</v>
      </c>
      <c r="T11" s="93">
        <f t="shared" si="2"/>
        <v>200</v>
      </c>
      <c r="U11" s="93">
        <v>100</v>
      </c>
      <c r="V11" s="93">
        <f t="shared" si="3"/>
        <v>200</v>
      </c>
      <c r="W11" s="93">
        <v>100</v>
      </c>
      <c r="X11" s="93">
        <f t="shared" si="4"/>
        <v>200</v>
      </c>
      <c r="Y11" s="93">
        <v>100</v>
      </c>
      <c r="Z11" s="93">
        <f t="shared" si="5"/>
        <v>200</v>
      </c>
      <c r="AA11" s="22">
        <f>Z11+X11+V11+T11+R11+P11+N11+L11+J11+H11+F11</f>
        <v>3162</v>
      </c>
      <c r="AB11" s="241"/>
    </row>
    <row r="12" spans="1:29" s="30" customFormat="1" ht="25.5" x14ac:dyDescent="0.25">
      <c r="A12" s="31" t="s">
        <v>67</v>
      </c>
      <c r="B12" s="31" t="s">
        <v>68</v>
      </c>
      <c r="C12" s="42"/>
      <c r="D12" s="22"/>
      <c r="E12" s="42"/>
      <c r="F12" s="22"/>
      <c r="G12" s="42"/>
      <c r="H12" s="22"/>
      <c r="I12" s="42">
        <v>2</v>
      </c>
      <c r="J12" s="22">
        <v>4</v>
      </c>
      <c r="K12" s="42">
        <v>1</v>
      </c>
      <c r="L12" s="22">
        <v>2</v>
      </c>
      <c r="M12" s="42">
        <v>4</v>
      </c>
      <c r="N12" s="22">
        <v>8</v>
      </c>
      <c r="O12" s="95">
        <v>333</v>
      </c>
      <c r="P12" s="95">
        <f t="shared" si="0"/>
        <v>666</v>
      </c>
      <c r="Q12" s="93">
        <v>10</v>
      </c>
      <c r="R12" s="93">
        <f t="shared" si="1"/>
        <v>20</v>
      </c>
      <c r="S12" s="93">
        <v>10</v>
      </c>
      <c r="T12" s="93">
        <f t="shared" si="2"/>
        <v>20</v>
      </c>
      <c r="U12" s="93">
        <v>10</v>
      </c>
      <c r="V12" s="93">
        <f t="shared" si="3"/>
        <v>20</v>
      </c>
      <c r="W12" s="93">
        <v>10</v>
      </c>
      <c r="X12" s="93">
        <f t="shared" si="4"/>
        <v>20</v>
      </c>
      <c r="Y12" s="93">
        <v>10</v>
      </c>
      <c r="Z12" s="93">
        <f t="shared" si="5"/>
        <v>20</v>
      </c>
      <c r="AA12" s="22">
        <f>D12+Z12+X12+V12+T12+R12+P12+N12+L12+J12+H12+F12</f>
        <v>780</v>
      </c>
      <c r="AB12" s="241"/>
    </row>
    <row r="13" spans="1:29" s="30" customFormat="1" x14ac:dyDescent="0.25">
      <c r="A13" s="243" t="s">
        <v>69</v>
      </c>
      <c r="B13" s="31" t="s">
        <v>49</v>
      </c>
      <c r="C13" s="42"/>
      <c r="D13" s="22"/>
      <c r="E13" s="42">
        <v>2</v>
      </c>
      <c r="F13" s="22">
        <v>4</v>
      </c>
      <c r="G13" s="42"/>
      <c r="H13" s="22"/>
      <c r="I13" s="42">
        <v>1</v>
      </c>
      <c r="J13" s="22">
        <v>2</v>
      </c>
      <c r="K13" s="42">
        <v>1</v>
      </c>
      <c r="L13" s="22">
        <v>2</v>
      </c>
      <c r="M13" s="42"/>
      <c r="N13" s="22"/>
      <c r="O13" s="95">
        <v>333</v>
      </c>
      <c r="P13" s="95">
        <f t="shared" si="0"/>
        <v>666</v>
      </c>
      <c r="Q13" s="93">
        <v>10</v>
      </c>
      <c r="R13" s="93">
        <f t="shared" si="1"/>
        <v>20</v>
      </c>
      <c r="S13" s="93">
        <v>10</v>
      </c>
      <c r="T13" s="93">
        <f t="shared" si="2"/>
        <v>20</v>
      </c>
      <c r="U13" s="93">
        <v>10</v>
      </c>
      <c r="V13" s="93">
        <f t="shared" si="3"/>
        <v>20</v>
      </c>
      <c r="W13" s="93">
        <v>10</v>
      </c>
      <c r="X13" s="93">
        <f t="shared" si="4"/>
        <v>20</v>
      </c>
      <c r="Y13" s="93">
        <v>10</v>
      </c>
      <c r="Z13" s="93">
        <f t="shared" si="5"/>
        <v>20</v>
      </c>
      <c r="AA13" s="42">
        <f>D13+F13+H13+J13+L13+N13+P13+R13+T13+V13+X13+Z13</f>
        <v>774</v>
      </c>
      <c r="AB13" s="241"/>
    </row>
    <row r="14" spans="1:29" s="30" customFormat="1" x14ac:dyDescent="0.25">
      <c r="A14" s="244"/>
      <c r="B14" s="31" t="s">
        <v>70</v>
      </c>
      <c r="C14" s="42"/>
      <c r="D14" s="22"/>
      <c r="E14" s="42"/>
      <c r="F14" s="22"/>
      <c r="G14" s="42"/>
      <c r="H14" s="22"/>
      <c r="I14" s="42"/>
      <c r="J14" s="22"/>
      <c r="K14" s="42"/>
      <c r="L14" s="22"/>
      <c r="M14" s="42">
        <v>1</v>
      </c>
      <c r="N14" s="22">
        <v>2</v>
      </c>
      <c r="O14" s="95">
        <v>333</v>
      </c>
      <c r="P14" s="95">
        <f t="shared" si="0"/>
        <v>666</v>
      </c>
      <c r="Q14" s="93">
        <v>10</v>
      </c>
      <c r="R14" s="93">
        <f t="shared" si="1"/>
        <v>20</v>
      </c>
      <c r="S14" s="93">
        <v>10</v>
      </c>
      <c r="T14" s="93">
        <f t="shared" si="2"/>
        <v>20</v>
      </c>
      <c r="U14" s="93">
        <v>10</v>
      </c>
      <c r="V14" s="93">
        <f t="shared" si="3"/>
        <v>20</v>
      </c>
      <c r="W14" s="93">
        <v>10</v>
      </c>
      <c r="X14" s="93">
        <f t="shared" si="4"/>
        <v>20</v>
      </c>
      <c r="Y14" s="93">
        <v>10</v>
      </c>
      <c r="Z14" s="93">
        <f t="shared" si="5"/>
        <v>20</v>
      </c>
      <c r="AA14" s="42">
        <f t="shared" ref="AA14:AA15" si="6">D14+F14+H14+J14+L14+N14+P14+R14+T14+V14+X14+Z14</f>
        <v>768</v>
      </c>
      <c r="AB14" s="241"/>
    </row>
    <row r="15" spans="1:29" s="30" customFormat="1" x14ac:dyDescent="0.25">
      <c r="A15" s="245"/>
      <c r="B15" s="31" t="s">
        <v>71</v>
      </c>
      <c r="C15" s="42">
        <v>1</v>
      </c>
      <c r="D15" s="22">
        <v>2</v>
      </c>
      <c r="E15" s="42">
        <v>1</v>
      </c>
      <c r="F15" s="22">
        <v>2</v>
      </c>
      <c r="G15" s="42"/>
      <c r="H15" s="22"/>
      <c r="I15" s="42">
        <v>3</v>
      </c>
      <c r="J15" s="22">
        <v>6</v>
      </c>
      <c r="K15" s="42">
        <v>2</v>
      </c>
      <c r="L15" s="22">
        <v>4</v>
      </c>
      <c r="M15" s="42">
        <v>2</v>
      </c>
      <c r="N15" s="22">
        <v>4</v>
      </c>
      <c r="O15" s="95">
        <v>333</v>
      </c>
      <c r="P15" s="95">
        <f t="shared" si="0"/>
        <v>666</v>
      </c>
      <c r="Q15" s="93">
        <v>10</v>
      </c>
      <c r="R15" s="93">
        <f t="shared" si="1"/>
        <v>20</v>
      </c>
      <c r="S15" s="93">
        <v>10</v>
      </c>
      <c r="T15" s="93">
        <f t="shared" si="2"/>
        <v>20</v>
      </c>
      <c r="U15" s="93">
        <v>10</v>
      </c>
      <c r="V15" s="93">
        <f t="shared" si="3"/>
        <v>20</v>
      </c>
      <c r="W15" s="93">
        <v>10</v>
      </c>
      <c r="X15" s="93">
        <f t="shared" si="4"/>
        <v>20</v>
      </c>
      <c r="Y15" s="93">
        <v>10</v>
      </c>
      <c r="Z15" s="93">
        <f t="shared" si="5"/>
        <v>20</v>
      </c>
      <c r="AA15" s="42">
        <f t="shared" si="6"/>
        <v>784</v>
      </c>
      <c r="AB15" s="241"/>
    </row>
    <row r="16" spans="1:29" s="30" customFormat="1" ht="25.5" x14ac:dyDescent="0.25">
      <c r="A16" s="31" t="s">
        <v>72</v>
      </c>
      <c r="B16" s="31" t="s">
        <v>73</v>
      </c>
      <c r="C16" s="42">
        <v>4</v>
      </c>
      <c r="D16" s="22">
        <v>8</v>
      </c>
      <c r="E16" s="42">
        <v>5</v>
      </c>
      <c r="F16" s="22">
        <v>10</v>
      </c>
      <c r="G16" s="42">
        <v>2</v>
      </c>
      <c r="H16" s="22">
        <v>4</v>
      </c>
      <c r="I16" s="42">
        <v>4</v>
      </c>
      <c r="J16" s="22">
        <v>8</v>
      </c>
      <c r="K16" s="42">
        <v>7</v>
      </c>
      <c r="L16" s="22">
        <v>14</v>
      </c>
      <c r="M16" s="42">
        <v>4</v>
      </c>
      <c r="N16" s="22">
        <v>8</v>
      </c>
      <c r="O16" s="95">
        <v>333</v>
      </c>
      <c r="P16" s="95">
        <f t="shared" si="0"/>
        <v>666</v>
      </c>
      <c r="Q16" s="93">
        <v>10</v>
      </c>
      <c r="R16" s="93">
        <f t="shared" si="1"/>
        <v>20</v>
      </c>
      <c r="S16" s="93">
        <v>10</v>
      </c>
      <c r="T16" s="93">
        <f t="shared" si="2"/>
        <v>20</v>
      </c>
      <c r="U16" s="93">
        <v>10</v>
      </c>
      <c r="V16" s="93">
        <f t="shared" si="3"/>
        <v>20</v>
      </c>
      <c r="W16" s="93">
        <v>10</v>
      </c>
      <c r="X16" s="93">
        <f t="shared" si="4"/>
        <v>20</v>
      </c>
      <c r="Y16" s="93">
        <v>10</v>
      </c>
      <c r="Z16" s="93">
        <f t="shared" si="5"/>
        <v>20</v>
      </c>
      <c r="AA16" s="42">
        <f>D16+Z16+X16+V16+T16+R16+P16+N16+L16+J16+H16+F16</f>
        <v>818</v>
      </c>
      <c r="AB16" s="242"/>
    </row>
    <row r="17" spans="1:38" s="30" customFormat="1" x14ac:dyDescent="0.25">
      <c r="A17" s="32" t="s">
        <v>1</v>
      </c>
      <c r="B17" s="32"/>
      <c r="C17" s="44">
        <f t="shared" ref="C17:D17" si="7">SUM(C8:C16)</f>
        <v>54</v>
      </c>
      <c r="D17" s="15">
        <f t="shared" si="7"/>
        <v>108</v>
      </c>
      <c r="E17" s="44">
        <f t="shared" ref="E17:Z17" si="8">SUM(E8:E16)</f>
        <v>78</v>
      </c>
      <c r="F17" s="15">
        <f t="shared" si="8"/>
        <v>156</v>
      </c>
      <c r="G17" s="45">
        <f t="shared" si="8"/>
        <v>69</v>
      </c>
      <c r="H17" s="34">
        <f t="shared" si="8"/>
        <v>138</v>
      </c>
      <c r="I17" s="45">
        <f t="shared" si="8"/>
        <v>66</v>
      </c>
      <c r="J17" s="15">
        <f t="shared" si="8"/>
        <v>132</v>
      </c>
      <c r="K17" s="45">
        <f t="shared" si="8"/>
        <v>76</v>
      </c>
      <c r="L17" s="15">
        <f t="shared" si="8"/>
        <v>152</v>
      </c>
      <c r="M17" s="45">
        <f t="shared" si="8"/>
        <v>165</v>
      </c>
      <c r="N17" s="15">
        <f t="shared" si="8"/>
        <v>330</v>
      </c>
      <c r="O17" s="96">
        <f t="shared" si="8"/>
        <v>4665</v>
      </c>
      <c r="P17" s="76">
        <f t="shared" si="8"/>
        <v>9330</v>
      </c>
      <c r="Q17" s="92">
        <f t="shared" si="8"/>
        <v>350</v>
      </c>
      <c r="R17" s="80">
        <f t="shared" si="8"/>
        <v>700</v>
      </c>
      <c r="S17" s="92">
        <f t="shared" si="8"/>
        <v>350</v>
      </c>
      <c r="T17" s="80">
        <f t="shared" si="8"/>
        <v>700</v>
      </c>
      <c r="U17" s="92">
        <f t="shared" si="8"/>
        <v>350</v>
      </c>
      <c r="V17" s="80">
        <f t="shared" si="8"/>
        <v>700</v>
      </c>
      <c r="W17" s="92">
        <f t="shared" si="8"/>
        <v>350</v>
      </c>
      <c r="X17" s="80">
        <f t="shared" si="8"/>
        <v>700</v>
      </c>
      <c r="Y17" s="92">
        <f t="shared" si="8"/>
        <v>350</v>
      </c>
      <c r="Z17" s="80">
        <f t="shared" si="8"/>
        <v>700</v>
      </c>
      <c r="AA17" s="15">
        <f>SUM(AA8:AA16)</f>
        <v>13838</v>
      </c>
      <c r="AB17" s="35"/>
    </row>
    <row r="19" spans="1:38" x14ac:dyDescent="0.25">
      <c r="A19" s="46"/>
      <c r="B19" s="46"/>
      <c r="C19" s="47"/>
      <c r="D19" s="47"/>
      <c r="E19" s="47"/>
      <c r="F19" s="47"/>
      <c r="G19" s="47"/>
      <c r="H19" s="47"/>
      <c r="I19" s="47"/>
      <c r="J19" s="47"/>
      <c r="K19" s="47"/>
      <c r="L19" s="47"/>
      <c r="M19" s="47"/>
      <c r="N19" s="47"/>
      <c r="O19" s="47"/>
      <c r="P19" s="48"/>
      <c r="Q19" s="48"/>
      <c r="R19" s="47"/>
      <c r="S19" s="47"/>
      <c r="T19" s="47"/>
      <c r="U19" s="47"/>
      <c r="V19" s="47"/>
      <c r="W19" s="47"/>
      <c r="X19" s="47"/>
      <c r="Y19" s="47"/>
      <c r="Z19" s="47"/>
      <c r="AA19" s="48"/>
      <c r="AB19" s="47"/>
    </row>
    <row r="20" spans="1:38" ht="30" x14ac:dyDescent="0.25">
      <c r="A20" s="47"/>
      <c r="B20" s="47"/>
      <c r="C20" s="47"/>
      <c r="D20" s="47"/>
      <c r="E20" s="48">
        <f>D17+F17+H17+J17+L17+N17</f>
        <v>1016</v>
      </c>
      <c r="F20" s="47"/>
      <c r="G20" s="47"/>
      <c r="H20" s="48"/>
      <c r="I20" s="48"/>
      <c r="J20" s="47"/>
      <c r="K20" s="47"/>
      <c r="L20" s="47"/>
      <c r="M20" s="47"/>
      <c r="N20" s="47"/>
      <c r="O20" s="47"/>
      <c r="P20" s="47"/>
      <c r="Q20" s="47"/>
      <c r="R20" s="47"/>
      <c r="S20" s="48"/>
      <c r="T20" s="47"/>
      <c r="U20" s="47"/>
      <c r="V20" s="47"/>
      <c r="W20" s="47"/>
      <c r="X20" s="47"/>
      <c r="Y20" s="47"/>
      <c r="Z20" s="47"/>
      <c r="AA20" s="47"/>
      <c r="AB20" s="47"/>
    </row>
    <row r="21" spans="1:38" s="40" customFormat="1" x14ac:dyDescent="0.25">
      <c r="A21" s="47"/>
      <c r="B21" s="47"/>
      <c r="C21" s="47"/>
      <c r="D21" s="47"/>
      <c r="E21" s="47"/>
      <c r="F21" s="47"/>
      <c r="G21" s="47"/>
      <c r="H21" s="47"/>
      <c r="I21" s="47"/>
      <c r="J21" s="47"/>
      <c r="K21" s="47"/>
      <c r="L21" s="47"/>
      <c r="M21" s="47"/>
      <c r="N21" s="47"/>
      <c r="O21" s="47"/>
      <c r="P21" s="47"/>
      <c r="Q21" s="47"/>
      <c r="R21" s="47"/>
      <c r="S21" s="47"/>
      <c r="T21" s="47"/>
      <c r="U21" s="47"/>
      <c r="V21" s="47"/>
      <c r="W21" s="47"/>
      <c r="X21" s="47"/>
      <c r="Y21" s="47"/>
      <c r="Z21" s="47"/>
      <c r="AA21" s="47"/>
      <c r="AB21" s="47"/>
      <c r="AC21" s="24"/>
      <c r="AD21" s="24"/>
      <c r="AE21" s="24"/>
      <c r="AF21" s="24"/>
      <c r="AG21" s="24"/>
      <c r="AH21" s="24"/>
      <c r="AI21" s="24"/>
      <c r="AJ21" s="24"/>
      <c r="AK21" s="24"/>
      <c r="AL21" s="24"/>
    </row>
    <row r="22" spans="1:38" x14ac:dyDescent="0.25">
      <c r="A22" s="47"/>
      <c r="B22" s="47"/>
      <c r="C22" s="47"/>
      <c r="D22" s="47"/>
      <c r="E22" s="47"/>
      <c r="F22" s="47"/>
      <c r="G22" s="47"/>
      <c r="H22" s="47"/>
      <c r="I22" s="47"/>
      <c r="J22" s="47"/>
      <c r="K22" s="47"/>
      <c r="L22" s="47"/>
      <c r="M22" s="47"/>
      <c r="N22" s="47"/>
      <c r="O22" s="47"/>
      <c r="P22" s="47"/>
      <c r="Q22" s="47"/>
      <c r="R22" s="47"/>
      <c r="S22" s="47"/>
      <c r="T22" s="47"/>
      <c r="U22" s="47"/>
      <c r="V22" s="47"/>
      <c r="W22" s="47"/>
      <c r="X22" s="47"/>
      <c r="Y22" s="47"/>
      <c r="Z22" s="47"/>
      <c r="AA22" s="47"/>
      <c r="AB22" s="47"/>
    </row>
    <row r="23" spans="1:38" x14ac:dyDescent="0.25">
      <c r="A23" s="47"/>
      <c r="B23" s="47"/>
      <c r="C23" s="47"/>
      <c r="D23" s="47"/>
      <c r="E23" s="47"/>
      <c r="F23" s="47"/>
      <c r="G23" s="47"/>
      <c r="H23" s="47"/>
      <c r="I23" s="47"/>
      <c r="J23" s="47"/>
      <c r="K23" s="47"/>
      <c r="L23" s="47"/>
      <c r="M23" s="47"/>
      <c r="N23" s="47"/>
      <c r="O23" s="47"/>
      <c r="P23" s="47"/>
      <c r="Q23" s="47"/>
      <c r="R23" s="47"/>
      <c r="S23" s="47"/>
      <c r="T23" s="47"/>
      <c r="U23" s="47"/>
      <c r="V23" s="47"/>
      <c r="W23" s="47"/>
      <c r="X23" s="47"/>
      <c r="Y23" s="47"/>
      <c r="Z23" s="47"/>
      <c r="AA23" s="47"/>
      <c r="AB23" s="47"/>
    </row>
    <row r="24" spans="1:38" x14ac:dyDescent="0.25">
      <c r="A24" s="47"/>
      <c r="B24" s="47"/>
      <c r="C24" s="47"/>
      <c r="D24" s="47"/>
      <c r="E24" s="47"/>
      <c r="F24" s="47"/>
      <c r="G24" s="47"/>
      <c r="H24" s="47"/>
      <c r="I24" s="47"/>
      <c r="J24" s="47"/>
      <c r="K24" s="47"/>
      <c r="L24" s="47"/>
      <c r="M24" s="47"/>
      <c r="N24" s="47"/>
      <c r="O24" s="47"/>
      <c r="P24" s="47"/>
      <c r="Q24" s="47"/>
      <c r="R24" s="47"/>
      <c r="S24" s="47"/>
      <c r="T24" s="47"/>
      <c r="U24" s="47"/>
      <c r="V24" s="47"/>
      <c r="W24" s="47"/>
      <c r="X24" s="47"/>
      <c r="Y24" s="47"/>
      <c r="Z24" s="47"/>
      <c r="AA24" s="47"/>
      <c r="AB24" s="47"/>
    </row>
    <row r="25" spans="1:38" x14ac:dyDescent="0.25">
      <c r="A25" s="47"/>
      <c r="B25" s="47"/>
      <c r="C25" s="47"/>
      <c r="D25" s="47"/>
      <c r="E25" s="47"/>
      <c r="F25" s="47"/>
      <c r="G25" s="47"/>
      <c r="H25" s="47"/>
      <c r="I25" s="47"/>
      <c r="J25" s="47"/>
      <c r="K25" s="47"/>
      <c r="L25" s="47"/>
      <c r="M25" s="47"/>
      <c r="N25" s="47"/>
      <c r="O25" s="47"/>
      <c r="P25" s="47"/>
      <c r="Q25" s="47"/>
      <c r="R25" s="47"/>
      <c r="S25" s="47"/>
      <c r="T25" s="47"/>
      <c r="U25" s="47"/>
      <c r="V25" s="47"/>
      <c r="W25" s="47"/>
      <c r="X25" s="47"/>
      <c r="Y25" s="47"/>
      <c r="Z25" s="47"/>
      <c r="AA25" s="47"/>
      <c r="AB25" s="47"/>
    </row>
    <row r="26" spans="1:38" x14ac:dyDescent="0.25">
      <c r="A26" s="47"/>
      <c r="B26" s="47"/>
      <c r="C26" s="47"/>
      <c r="D26" s="47"/>
      <c r="E26" s="47"/>
      <c r="F26" s="47"/>
      <c r="G26" s="47"/>
      <c r="H26" s="47"/>
      <c r="I26" s="47"/>
      <c r="J26" s="47"/>
      <c r="K26" s="47"/>
      <c r="L26" s="47"/>
      <c r="M26" s="47"/>
      <c r="N26" s="47"/>
      <c r="O26" s="47"/>
      <c r="P26" s="47"/>
      <c r="Q26" s="47"/>
      <c r="R26" s="47"/>
      <c r="S26" s="47"/>
      <c r="T26" s="47"/>
      <c r="U26" s="47"/>
      <c r="V26" s="47"/>
      <c r="W26" s="47"/>
      <c r="X26" s="47"/>
      <c r="Y26" s="47"/>
      <c r="Z26" s="47"/>
      <c r="AA26" s="47"/>
      <c r="AB26" s="47"/>
    </row>
    <row r="27" spans="1:38" x14ac:dyDescent="0.25">
      <c r="A27" s="47"/>
      <c r="B27" s="47"/>
      <c r="C27" s="47"/>
      <c r="D27" s="47"/>
      <c r="E27" s="47"/>
      <c r="F27" s="47"/>
      <c r="G27" s="47"/>
      <c r="H27" s="47"/>
      <c r="I27" s="47"/>
      <c r="J27" s="47"/>
      <c r="K27" s="47"/>
      <c r="L27" s="47"/>
      <c r="M27" s="47"/>
      <c r="N27" s="47"/>
      <c r="O27" s="47"/>
      <c r="P27" s="47"/>
      <c r="Q27" s="47"/>
      <c r="R27" s="47"/>
      <c r="S27" s="47"/>
      <c r="T27" s="47"/>
      <c r="U27" s="47"/>
      <c r="V27" s="47"/>
      <c r="W27" s="47"/>
      <c r="X27" s="47"/>
      <c r="Y27" s="47"/>
      <c r="Z27" s="47"/>
      <c r="AA27" s="47"/>
      <c r="AB27" s="47"/>
    </row>
    <row r="28" spans="1:38" x14ac:dyDescent="0.25">
      <c r="A28" s="47"/>
      <c r="B28" s="47"/>
      <c r="C28" s="47"/>
      <c r="D28" s="47"/>
      <c r="E28" s="47"/>
      <c r="F28" s="47"/>
      <c r="G28" s="47"/>
      <c r="H28" s="47"/>
      <c r="I28" s="47"/>
      <c r="J28" s="47"/>
      <c r="K28" s="47"/>
      <c r="L28" s="47"/>
      <c r="M28" s="47"/>
      <c r="N28" s="47"/>
      <c r="O28" s="47"/>
      <c r="P28" s="47"/>
      <c r="Q28" s="47"/>
      <c r="R28" s="47"/>
      <c r="S28" s="47"/>
      <c r="T28" s="47"/>
      <c r="U28" s="47"/>
      <c r="V28" s="47"/>
      <c r="W28" s="47"/>
      <c r="X28" s="47"/>
      <c r="Y28" s="47"/>
      <c r="Z28" s="47"/>
      <c r="AA28" s="47"/>
      <c r="AB28" s="47"/>
    </row>
    <row r="29" spans="1:38" x14ac:dyDescent="0.25">
      <c r="A29" s="47"/>
      <c r="B29" s="47"/>
      <c r="C29" s="47"/>
      <c r="D29" s="47"/>
      <c r="E29" s="47"/>
      <c r="F29" s="47"/>
      <c r="G29" s="47"/>
      <c r="H29" s="47"/>
      <c r="I29" s="47"/>
      <c r="J29" s="47"/>
      <c r="K29" s="47"/>
      <c r="L29" s="47"/>
      <c r="M29" s="47"/>
      <c r="N29" s="47"/>
      <c r="O29" s="47"/>
      <c r="P29" s="47"/>
      <c r="Q29" s="47"/>
      <c r="R29" s="47"/>
      <c r="S29" s="47"/>
      <c r="T29" s="47"/>
      <c r="U29" s="47"/>
      <c r="V29" s="47"/>
      <c r="W29" s="47"/>
      <c r="X29" s="47"/>
      <c r="Y29" s="47"/>
      <c r="Z29" s="47"/>
      <c r="AA29" s="47"/>
      <c r="AB29" s="47"/>
    </row>
    <row r="30" spans="1:38" x14ac:dyDescent="0.25">
      <c r="A30" s="47"/>
      <c r="B30" s="47"/>
      <c r="C30" s="47"/>
      <c r="D30" s="47"/>
      <c r="E30" s="47"/>
      <c r="F30" s="47"/>
      <c r="G30" s="47"/>
      <c r="H30" s="47"/>
      <c r="I30" s="47"/>
      <c r="J30" s="47"/>
      <c r="K30" s="47"/>
      <c r="L30" s="47"/>
      <c r="M30" s="47"/>
      <c r="N30" s="47"/>
      <c r="O30" s="47"/>
      <c r="P30" s="47"/>
      <c r="Q30" s="47"/>
      <c r="R30" s="47"/>
      <c r="S30" s="47"/>
      <c r="T30" s="47"/>
      <c r="U30" s="47"/>
      <c r="V30" s="47"/>
      <c r="W30" s="47"/>
      <c r="X30" s="47"/>
      <c r="Y30" s="47"/>
      <c r="Z30" s="47"/>
      <c r="AA30" s="47"/>
      <c r="AB30" s="47"/>
    </row>
    <row r="31" spans="1:38" x14ac:dyDescent="0.25">
      <c r="A31" s="47"/>
      <c r="B31" s="47"/>
      <c r="C31" s="47"/>
      <c r="D31" s="47"/>
      <c r="E31" s="47"/>
      <c r="F31" s="47"/>
      <c r="G31" s="47"/>
      <c r="H31" s="47"/>
      <c r="I31" s="47"/>
      <c r="J31" s="47"/>
      <c r="K31" s="47"/>
      <c r="L31" s="47"/>
      <c r="M31" s="47"/>
      <c r="N31" s="47"/>
      <c r="O31" s="47"/>
      <c r="P31" s="47"/>
      <c r="Q31" s="47"/>
      <c r="R31" s="47"/>
      <c r="S31" s="47"/>
      <c r="T31" s="47"/>
      <c r="U31" s="47"/>
      <c r="V31" s="47"/>
      <c r="W31" s="47"/>
      <c r="X31" s="47"/>
      <c r="Y31" s="47"/>
      <c r="Z31" s="47"/>
      <c r="AA31" s="47"/>
      <c r="AB31" s="47"/>
    </row>
  </sheetData>
  <mergeCells count="29">
    <mergeCell ref="A1:AB1"/>
    <mergeCell ref="A2:AB2"/>
    <mergeCell ref="E3:F3"/>
    <mergeCell ref="G3:H3"/>
    <mergeCell ref="I3:J3"/>
    <mergeCell ref="K3:L3"/>
    <mergeCell ref="M3:N3"/>
    <mergeCell ref="O3:P3"/>
    <mergeCell ref="Q3:R3"/>
    <mergeCell ref="S3:T3"/>
    <mergeCell ref="C3:D3"/>
    <mergeCell ref="U3:V3"/>
    <mergeCell ref="W3:X3"/>
    <mergeCell ref="Y3:Z3"/>
    <mergeCell ref="AB3:AB6"/>
    <mergeCell ref="E4:F4"/>
    <mergeCell ref="AB8:AB16"/>
    <mergeCell ref="A13:A15"/>
    <mergeCell ref="O4:P4"/>
    <mergeCell ref="Q4:R4"/>
    <mergeCell ref="S4:T4"/>
    <mergeCell ref="U4:V4"/>
    <mergeCell ref="W4:X4"/>
    <mergeCell ref="Y4:Z4"/>
    <mergeCell ref="G4:H4"/>
    <mergeCell ref="I4:J4"/>
    <mergeCell ref="K4:L4"/>
    <mergeCell ref="M4:N4"/>
    <mergeCell ref="C4:D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F36D6-803E-4522-9E42-9EC1D41355AA}">
  <dimension ref="A1:I10"/>
  <sheetViews>
    <sheetView workbookViewId="0">
      <selection activeCell="D10" sqref="D10"/>
    </sheetView>
  </sheetViews>
  <sheetFormatPr defaultColWidth="9.140625" defaultRowHeight="15.75" x14ac:dyDescent="0.25"/>
  <cols>
    <col min="1" max="1" width="5.7109375" style="97" customWidth="1"/>
    <col min="2" max="2" width="42" style="97" customWidth="1"/>
    <col min="3" max="5" width="21.42578125" style="97" customWidth="1"/>
    <col min="6" max="6" width="15" style="97" customWidth="1"/>
    <col min="7" max="7" width="18.42578125" style="97" customWidth="1"/>
    <col min="8" max="8" width="22.5703125" style="97" customWidth="1"/>
    <col min="9" max="16384" width="9.140625" style="97"/>
  </cols>
  <sheetData>
    <row r="1" spans="1:9" x14ac:dyDescent="0.25">
      <c r="E1" s="98"/>
      <c r="H1" s="98" t="s">
        <v>74</v>
      </c>
    </row>
    <row r="2" spans="1:9" x14ac:dyDescent="0.25">
      <c r="A2" s="99" t="s">
        <v>104</v>
      </c>
    </row>
    <row r="4" spans="1:9" ht="78.75" x14ac:dyDescent="0.25">
      <c r="A4" s="100" t="s">
        <v>75</v>
      </c>
      <c r="B4" s="100" t="s">
        <v>76</v>
      </c>
      <c r="C4" s="100" t="s">
        <v>106</v>
      </c>
      <c r="D4" s="100" t="s">
        <v>105</v>
      </c>
      <c r="E4" s="112" t="s">
        <v>107</v>
      </c>
      <c r="F4" s="112" t="s">
        <v>77</v>
      </c>
      <c r="G4" s="112" t="s">
        <v>109</v>
      </c>
      <c r="H4" s="112" t="s">
        <v>108</v>
      </c>
      <c r="I4" s="101"/>
    </row>
    <row r="5" spans="1:9" x14ac:dyDescent="0.25">
      <c r="A5" s="102">
        <v>1</v>
      </c>
      <c r="B5" s="105" t="s">
        <v>78</v>
      </c>
      <c r="C5" s="110"/>
      <c r="D5" s="104"/>
      <c r="E5" s="113">
        <v>67000</v>
      </c>
      <c r="F5" s="114">
        <v>120</v>
      </c>
      <c r="G5" s="113">
        <f>C5+E5</f>
        <v>67000</v>
      </c>
      <c r="H5" s="114">
        <f>D5+F5</f>
        <v>120</v>
      </c>
    </row>
    <row r="6" spans="1:9" x14ac:dyDescent="0.25">
      <c r="A6" s="102">
        <v>2</v>
      </c>
      <c r="B6" s="103" t="s">
        <v>79</v>
      </c>
      <c r="C6" s="111">
        <v>9034.42</v>
      </c>
      <c r="D6" s="104">
        <v>12</v>
      </c>
      <c r="E6" s="113"/>
      <c r="F6" s="114"/>
      <c r="G6" s="113">
        <f>C6+E6</f>
        <v>9034.42</v>
      </c>
      <c r="H6" s="114">
        <f>D6+F6</f>
        <v>12</v>
      </c>
    </row>
    <row r="7" spans="1:9" ht="18.75" x14ac:dyDescent="0.3">
      <c r="A7" s="106"/>
      <c r="B7" s="107" t="s">
        <v>1</v>
      </c>
      <c r="C7" s="117">
        <f t="shared" ref="C7:D7" si="0">SUM(C5:C6)</f>
        <v>9034.42</v>
      </c>
      <c r="D7" s="118">
        <f t="shared" si="0"/>
        <v>12</v>
      </c>
      <c r="E7" s="115">
        <f>SUM(E5:E6)</f>
        <v>67000</v>
      </c>
      <c r="F7" s="116">
        <f>SUM(F5:F6)</f>
        <v>120</v>
      </c>
      <c r="G7" s="115">
        <f>SUM(G5:G6)</f>
        <v>76034.42</v>
      </c>
      <c r="H7" s="116">
        <f>SUM(H5:H6)</f>
        <v>132</v>
      </c>
    </row>
    <row r="8" spans="1:9" x14ac:dyDescent="0.25">
      <c r="E8" s="109"/>
    </row>
    <row r="10" spans="1:9" x14ac:dyDescent="0.25">
      <c r="C10" s="108"/>
      <c r="D10" s="108"/>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38551-A346-4F41-8D3E-9E178F9DDCF3}">
  <dimension ref="A1:O10"/>
  <sheetViews>
    <sheetView workbookViewId="0">
      <selection activeCell="H6" sqref="H6:H10"/>
    </sheetView>
  </sheetViews>
  <sheetFormatPr defaultRowHeight="15" x14ac:dyDescent="0.25"/>
  <cols>
    <col min="1" max="1" width="36.28515625" style="196" customWidth="1"/>
    <col min="2" max="12" width="16.7109375" style="196" customWidth="1"/>
    <col min="13" max="16384" width="9.140625" style="196"/>
  </cols>
  <sheetData>
    <row r="1" spans="1:15" x14ac:dyDescent="0.25">
      <c r="H1" s="201" t="s">
        <v>131</v>
      </c>
    </row>
    <row r="2" spans="1:15" x14ac:dyDescent="0.25">
      <c r="A2" s="197" t="s">
        <v>129</v>
      </c>
    </row>
    <row r="4" spans="1:15" ht="114.75" x14ac:dyDescent="0.25">
      <c r="A4" s="198"/>
      <c r="B4" s="199" t="s">
        <v>132</v>
      </c>
      <c r="C4" s="199" t="s">
        <v>133</v>
      </c>
      <c r="D4" s="199" t="s">
        <v>134</v>
      </c>
      <c r="E4" s="199" t="s">
        <v>135</v>
      </c>
      <c r="F4" s="199" t="s">
        <v>136</v>
      </c>
      <c r="G4" s="199" t="s">
        <v>137</v>
      </c>
      <c r="H4" s="199" t="s">
        <v>138</v>
      </c>
      <c r="I4" s="3"/>
      <c r="J4" s="3"/>
      <c r="K4" s="3"/>
      <c r="L4" s="3"/>
      <c r="M4" s="3"/>
      <c r="N4" s="3"/>
      <c r="O4" s="3"/>
    </row>
    <row r="5" spans="1:15" ht="60" x14ac:dyDescent="0.25">
      <c r="A5" s="200" t="s">
        <v>130</v>
      </c>
      <c r="B5" s="202">
        <v>60363.85</v>
      </c>
      <c r="C5" s="202">
        <v>22876.32</v>
      </c>
      <c r="D5" s="202">
        <f>31954.26+24450.63+21875.04</f>
        <v>78279.929999999993</v>
      </c>
      <c r="E5" s="202">
        <f>17262.4+13499.82+11635.35</f>
        <v>42397.57</v>
      </c>
      <c r="F5" s="202">
        <f>17481.59+12991.01+12490.18</f>
        <v>42962.78</v>
      </c>
      <c r="G5" s="202">
        <f>9560.53+6867.07+6626.43</f>
        <v>23054.03</v>
      </c>
      <c r="H5" s="203">
        <f>(E5+G5)/6*5</f>
        <v>54543</v>
      </c>
    </row>
    <row r="6" spans="1:15" x14ac:dyDescent="0.25">
      <c r="H6" s="121"/>
    </row>
    <row r="7" spans="1:15" x14ac:dyDescent="0.25">
      <c r="H7" s="121"/>
    </row>
    <row r="8" spans="1:15" x14ac:dyDescent="0.25">
      <c r="H8" s="121"/>
    </row>
    <row r="9" spans="1:15" x14ac:dyDescent="0.25">
      <c r="H9" s="121"/>
    </row>
    <row r="10" spans="1:15" x14ac:dyDescent="0.25">
      <c r="H10" s="12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APKOPOJUMS</vt:lpstr>
      <vt:lpstr>1.pielikums_EM_prognoze</vt:lpstr>
      <vt:lpstr>2.pielikums_LM_prognoze</vt:lpstr>
      <vt:lpstr>3.pielikums_IzM_prognoze</vt:lpstr>
      <vt:lpstr>4.pielikums_VARAM_KAC_prognoze</vt:lpstr>
      <vt:lpstr>5.pielikums_VARAM_māj_uzlab</vt:lpstr>
      <vt:lpstr>6.pielikums Rīgas centrs UC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Vaivode</dc:creator>
  <cp:lastModifiedBy>Solvita Vaivode</cp:lastModifiedBy>
  <dcterms:created xsi:type="dcterms:W3CDTF">2023-08-03T06:38:07Z</dcterms:created>
  <dcterms:modified xsi:type="dcterms:W3CDTF">2024-07-18T13:05:07Z</dcterms:modified>
</cp:coreProperties>
</file>