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_CENRADIS\"/>
    </mc:Choice>
  </mc:AlternateContent>
  <xr:revisionPtr revIDLastSave="0" documentId="13_ncr:1_{19CC6402-EBB8-46FC-858E-EE2051A1F0AC}" xr6:coauthVersionLast="47" xr6:coauthVersionMax="47" xr10:uidLastSave="{00000000-0000-0000-0000-000000000000}"/>
  <bookViews>
    <workbookView xWindow="-96" yWindow="-96" windowWidth="23232" windowHeight="12552" tabRatio="997" xr2:uid="{00000000-000D-0000-FFFF-FFFF00000000}"/>
  </bookViews>
  <sheets>
    <sheet name="pielikums" sheetId="2" r:id="rId1"/>
  </sheets>
  <definedNames>
    <definedName name="_xlnm.Print_Area" localSheetId="0">pielikums!$A$1:$C$1540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30" i="2" l="1"/>
  <c r="C1531" i="2" s="1"/>
  <c r="C1535" i="2" s="1"/>
  <c r="C1539" i="2" s="1"/>
  <c r="C1512" i="2"/>
  <c r="C1511" i="2"/>
  <c r="C1510" i="2"/>
  <c r="C1506" i="2"/>
  <c r="C1488" i="2"/>
  <c r="C1487" i="2"/>
  <c r="C1486" i="2"/>
  <c r="C1482" i="2"/>
  <c r="C1464" i="2"/>
  <c r="C1463" i="2"/>
  <c r="C1462" i="2"/>
  <c r="C1461" i="2"/>
  <c r="C1460" i="2"/>
  <c r="C1459" i="2"/>
  <c r="C1455" i="2"/>
  <c r="C1454" i="2"/>
  <c r="C1436" i="2"/>
  <c r="C1435" i="2"/>
  <c r="C1431" i="2"/>
  <c r="C1413" i="2"/>
  <c r="C1412" i="2"/>
  <c r="C1408" i="2"/>
  <c r="C1409" i="2" s="1"/>
  <c r="C1410" i="2" s="1"/>
  <c r="C1390" i="2"/>
  <c r="C1389" i="2"/>
  <c r="C1388" i="2"/>
  <c r="C1387" i="2"/>
  <c r="C1386" i="2"/>
  <c r="C1385" i="2"/>
  <c r="C1381" i="2"/>
  <c r="C1380" i="2"/>
  <c r="C1379" i="2"/>
  <c r="C1361" i="2"/>
  <c r="C1360" i="2"/>
  <c r="C1356" i="2"/>
  <c r="C1355" i="2"/>
  <c r="C1354" i="2"/>
  <c r="C1336" i="2"/>
  <c r="C1335" i="2"/>
  <c r="C1334" i="2"/>
  <c r="C1333" i="2"/>
  <c r="C1332" i="2"/>
  <c r="C1331" i="2"/>
  <c r="C1327" i="2"/>
  <c r="C1326" i="2"/>
  <c r="C1325" i="2"/>
  <c r="C1307" i="2"/>
  <c r="C1306" i="2"/>
  <c r="C1302" i="2"/>
  <c r="C1301" i="2"/>
  <c r="C1300" i="2"/>
  <c r="C1282" i="2"/>
  <c r="C1281" i="2"/>
  <c r="C1280" i="2"/>
  <c r="C1279" i="2"/>
  <c r="C1278" i="2"/>
  <c r="C1277" i="2"/>
  <c r="C1273" i="2"/>
  <c r="C1272" i="2"/>
  <c r="C1271" i="2"/>
  <c r="C1253" i="2"/>
  <c r="C1252" i="2"/>
  <c r="C1251" i="2"/>
  <c r="C1250" i="2"/>
  <c r="C1249" i="2"/>
  <c r="C1248" i="2"/>
  <c r="C1244" i="2"/>
  <c r="C1243" i="2"/>
  <c r="C1242" i="2"/>
  <c r="C1222" i="2"/>
  <c r="C1220" i="2"/>
  <c r="C1221" i="2" s="1"/>
  <c r="C1202" i="2"/>
  <c r="C1203" i="2" s="1"/>
  <c r="C1198" i="2"/>
  <c r="C1180" i="2"/>
  <c r="C1181" i="2" s="1"/>
  <c r="C1176" i="2"/>
  <c r="C1177" i="2" s="1"/>
  <c r="C1178" i="2" s="1"/>
  <c r="C1158" i="2"/>
  <c r="C1159" i="2" s="1"/>
  <c r="C1154" i="2"/>
  <c r="C1134" i="2"/>
  <c r="C1132" i="2"/>
  <c r="C1114" i="2"/>
  <c r="C1113" i="2"/>
  <c r="C1112" i="2"/>
  <c r="C1111" i="2"/>
  <c r="C1110" i="2"/>
  <c r="C1109" i="2"/>
  <c r="C1108" i="2"/>
  <c r="C1107" i="2"/>
  <c r="C1106" i="2"/>
  <c r="C1105" i="2"/>
  <c r="C1100" i="2"/>
  <c r="C1099" i="2"/>
  <c r="C1098" i="2"/>
  <c r="C1097" i="2"/>
  <c r="C1096" i="2"/>
  <c r="C1095" i="2"/>
  <c r="C1093" i="2"/>
  <c r="C1092" i="2"/>
  <c r="C1091" i="2"/>
  <c r="C1073" i="2"/>
  <c r="C1072" i="2"/>
  <c r="C1071" i="2"/>
  <c r="C1070" i="2"/>
  <c r="C1069" i="2"/>
  <c r="C1068" i="2"/>
  <c r="C1067" i="2"/>
  <c r="C1066" i="2"/>
  <c r="C1065" i="2"/>
  <c r="C1064" i="2"/>
  <c r="C1059" i="2"/>
  <c r="C1058" i="2"/>
  <c r="C1057" i="2"/>
  <c r="C1055" i="2"/>
  <c r="C1056" i="2" s="1"/>
  <c r="C1037" i="2"/>
  <c r="C1036" i="2"/>
  <c r="C1035" i="2"/>
  <c r="C1034" i="2"/>
  <c r="C1033" i="2"/>
  <c r="C1032" i="2"/>
  <c r="C1031" i="2"/>
  <c r="C1030" i="2"/>
  <c r="C1029" i="2"/>
  <c r="C1028" i="2"/>
  <c r="C1023" i="2"/>
  <c r="C1022" i="2"/>
  <c r="C1021" i="2"/>
  <c r="C1020" i="2"/>
  <c r="C1019" i="2"/>
  <c r="C1018" i="2"/>
  <c r="C1016" i="2"/>
  <c r="C1015" i="2"/>
  <c r="C997" i="2"/>
  <c r="C996" i="2"/>
  <c r="C995" i="2"/>
  <c r="C994" i="2"/>
  <c r="C993" i="2"/>
  <c r="C992" i="2"/>
  <c r="C991" i="2"/>
  <c r="C990" i="2"/>
  <c r="C989" i="2"/>
  <c r="C988" i="2"/>
  <c r="C983" i="2"/>
  <c r="C982" i="2"/>
  <c r="C981" i="2"/>
  <c r="C980" i="2"/>
  <c r="C979" i="2"/>
  <c r="C978" i="2"/>
  <c r="C976" i="2"/>
  <c r="C975" i="2"/>
  <c r="C974" i="2"/>
  <c r="C954" i="2"/>
  <c r="C953" i="2"/>
  <c r="C935" i="2"/>
  <c r="C934" i="2"/>
  <c r="C933" i="2"/>
  <c r="C932" i="2"/>
  <c r="C931" i="2"/>
  <c r="C930" i="2"/>
  <c r="C929" i="2"/>
  <c r="C928" i="2"/>
  <c r="C927" i="2"/>
  <c r="C926" i="2"/>
  <c r="C921" i="2"/>
  <c r="C920" i="2"/>
  <c r="C919" i="2"/>
  <c r="C918" i="2"/>
  <c r="C917" i="2"/>
  <c r="C916" i="2"/>
  <c r="C914" i="2"/>
  <c r="C913" i="2"/>
  <c r="C912" i="2"/>
  <c r="C911" i="2"/>
  <c r="C893" i="2"/>
  <c r="C892" i="2"/>
  <c r="C891" i="2"/>
  <c r="C890" i="2"/>
  <c r="C886" i="2"/>
  <c r="C868" i="2"/>
  <c r="C867" i="2"/>
  <c r="C866" i="2"/>
  <c r="C865" i="2"/>
  <c r="C864" i="2"/>
  <c r="C860" i="2"/>
  <c r="C842" i="2"/>
  <c r="C841" i="2"/>
  <c r="C840" i="2"/>
  <c r="C839" i="2"/>
  <c r="C838" i="2"/>
  <c r="C834" i="2"/>
  <c r="C835" i="2" s="1"/>
  <c r="C836" i="2" s="1"/>
  <c r="C816" i="2"/>
  <c r="C815" i="2"/>
  <c r="C814" i="2"/>
  <c r="C813" i="2"/>
  <c r="C812" i="2"/>
  <c r="C808" i="2"/>
  <c r="C809" i="2" s="1"/>
  <c r="C810" i="2" s="1"/>
  <c r="C790" i="2"/>
  <c r="C789" i="2"/>
  <c r="C788" i="2"/>
  <c r="C787" i="2"/>
  <c r="C786" i="2"/>
  <c r="C785" i="2"/>
  <c r="C784" i="2"/>
  <c r="C783" i="2"/>
  <c r="C782" i="2"/>
  <c r="C781" i="2"/>
  <c r="C776" i="2"/>
  <c r="C775" i="2"/>
  <c r="C774" i="2"/>
  <c r="C773" i="2"/>
  <c r="C771" i="2"/>
  <c r="C779" i="2" s="1"/>
  <c r="C753" i="2"/>
  <c r="C752" i="2"/>
  <c r="C751" i="2"/>
  <c r="C750" i="2"/>
  <c r="C749" i="2"/>
  <c r="C748" i="2"/>
  <c r="C747" i="2"/>
  <c r="C746" i="2"/>
  <c r="C745" i="2"/>
  <c r="C744" i="2"/>
  <c r="C739" i="2"/>
  <c r="C738" i="2"/>
  <c r="C737" i="2"/>
  <c r="C735" i="2"/>
  <c r="C736" i="2" s="1"/>
  <c r="C717" i="2"/>
  <c r="C716" i="2"/>
  <c r="C715" i="2"/>
  <c r="C714" i="2"/>
  <c r="C713" i="2"/>
  <c r="C712" i="2"/>
  <c r="C711" i="2"/>
  <c r="C710" i="2"/>
  <c r="C709" i="2"/>
  <c r="C708" i="2"/>
  <c r="C703" i="2"/>
  <c r="C702" i="2"/>
  <c r="C701" i="2"/>
  <c r="C699" i="2"/>
  <c r="C700" i="2" s="1"/>
  <c r="C681" i="2"/>
  <c r="C680" i="2"/>
  <c r="C679" i="2"/>
  <c r="C678" i="2"/>
  <c r="C677" i="2"/>
  <c r="C676" i="2"/>
  <c r="C675" i="2"/>
  <c r="C674" i="2"/>
  <c r="C673" i="2"/>
  <c r="C672" i="2"/>
  <c r="C667" i="2"/>
  <c r="C666" i="2"/>
  <c r="C665" i="2"/>
  <c r="C663" i="2"/>
  <c r="C664" i="2" s="1"/>
  <c r="C645" i="2"/>
  <c r="C644" i="2"/>
  <c r="C643" i="2"/>
  <c r="C642" i="2"/>
  <c r="C641" i="2"/>
  <c r="C640" i="2"/>
  <c r="C639" i="2"/>
  <c r="C638" i="2"/>
  <c r="C637" i="2"/>
  <c r="C636" i="2"/>
  <c r="C631" i="2"/>
  <c r="C630" i="2"/>
  <c r="C629" i="2"/>
  <c r="C627" i="2"/>
  <c r="C628" i="2" s="1"/>
  <c r="C609" i="2"/>
  <c r="C608" i="2"/>
  <c r="C607" i="2"/>
  <c r="C606" i="2"/>
  <c r="C605" i="2"/>
  <c r="C604" i="2"/>
  <c r="C603" i="2"/>
  <c r="C602" i="2"/>
  <c r="C601" i="2"/>
  <c r="C600" i="2"/>
  <c r="C595" i="2"/>
  <c r="C594" i="2"/>
  <c r="C593" i="2"/>
  <c r="C592" i="2"/>
  <c r="C591" i="2"/>
  <c r="C590" i="2"/>
  <c r="C588" i="2"/>
  <c r="C586" i="2"/>
  <c r="C585" i="2"/>
  <c r="C567" i="2"/>
  <c r="C566" i="2"/>
  <c r="C565" i="2"/>
  <c r="C564" i="2"/>
  <c r="C563" i="2"/>
  <c r="C562" i="2"/>
  <c r="C561" i="2"/>
  <c r="C560" i="2"/>
  <c r="C559" i="2"/>
  <c r="C558" i="2"/>
  <c r="C553" i="2"/>
  <c r="C552" i="2"/>
  <c r="C551" i="2"/>
  <c r="C550" i="2"/>
  <c r="C549" i="2"/>
  <c r="C548" i="2"/>
  <c r="C546" i="2"/>
  <c r="C545" i="2"/>
  <c r="C544" i="2"/>
  <c r="C526" i="2"/>
  <c r="C525" i="2"/>
  <c r="C524" i="2"/>
  <c r="C523" i="2"/>
  <c r="C522" i="2"/>
  <c r="C521" i="2"/>
  <c r="C520" i="2"/>
  <c r="C519" i="2"/>
  <c r="C518" i="2"/>
  <c r="C517" i="2"/>
  <c r="C512" i="2"/>
  <c r="C511" i="2"/>
  <c r="C510" i="2"/>
  <c r="C509" i="2"/>
  <c r="C508" i="2"/>
  <c r="C507" i="2"/>
  <c r="C505" i="2"/>
  <c r="C504" i="2"/>
  <c r="C503" i="2"/>
  <c r="C485" i="2"/>
  <c r="C484" i="2"/>
  <c r="C483" i="2"/>
  <c r="C482" i="2"/>
  <c r="C481" i="2"/>
  <c r="C480" i="2"/>
  <c r="C479" i="2"/>
  <c r="C478" i="2"/>
  <c r="C477" i="2"/>
  <c r="C476" i="2"/>
  <c r="C471" i="2"/>
  <c r="C470" i="2"/>
  <c r="C469" i="2"/>
  <c r="C468" i="2"/>
  <c r="C467" i="2"/>
  <c r="C466" i="2"/>
  <c r="C464" i="2"/>
  <c r="C463" i="2"/>
  <c r="C462" i="2"/>
  <c r="C444" i="2"/>
  <c r="C443" i="2"/>
  <c r="C442" i="2"/>
  <c r="C441" i="2"/>
  <c r="C440" i="2"/>
  <c r="C439" i="2"/>
  <c r="C438" i="2"/>
  <c r="C437" i="2"/>
  <c r="C436" i="2"/>
  <c r="C435" i="2"/>
  <c r="C430" i="2"/>
  <c r="C429" i="2"/>
  <c r="C428" i="2"/>
  <c r="C427" i="2"/>
  <c r="C426" i="2"/>
  <c r="C425" i="2"/>
  <c r="C423" i="2"/>
  <c r="C422" i="2"/>
  <c r="C421" i="2"/>
  <c r="C403" i="2"/>
  <c r="C402" i="2"/>
  <c r="C401" i="2"/>
  <c r="C400" i="2"/>
  <c r="C399" i="2"/>
  <c r="C398" i="2"/>
  <c r="C397" i="2"/>
  <c r="C396" i="2"/>
  <c r="C395" i="2"/>
  <c r="C394" i="2"/>
  <c r="C389" i="2"/>
  <c r="C388" i="2"/>
  <c r="C387" i="2"/>
  <c r="C386" i="2"/>
  <c r="C385" i="2"/>
  <c r="C384" i="2"/>
  <c r="C382" i="2"/>
  <c r="C381" i="2"/>
  <c r="C380" i="2"/>
  <c r="C362" i="2"/>
  <c r="C361" i="2"/>
  <c r="C360" i="2"/>
  <c r="C359" i="2"/>
  <c r="C358" i="2"/>
  <c r="C357" i="2"/>
  <c r="C356" i="2"/>
  <c r="C355" i="2"/>
  <c r="C354" i="2"/>
  <c r="C353" i="2"/>
  <c r="C348" i="2"/>
  <c r="C347" i="2"/>
  <c r="C346" i="2"/>
  <c r="C345" i="2"/>
  <c r="C344" i="2"/>
  <c r="C343" i="2"/>
  <c r="C341" i="2"/>
  <c r="C340" i="2"/>
  <c r="C339" i="2"/>
  <c r="C321" i="2"/>
  <c r="C320" i="2"/>
  <c r="C319" i="2"/>
  <c r="C318" i="2"/>
  <c r="C317" i="2"/>
  <c r="C316" i="2"/>
  <c r="C315" i="2"/>
  <c r="C314" i="2"/>
  <c r="C313" i="2"/>
  <c r="C312" i="2"/>
  <c r="C307" i="2"/>
  <c r="C306" i="2"/>
  <c r="C305" i="2"/>
  <c r="C304" i="2"/>
  <c r="C303" i="2"/>
  <c r="C302" i="2"/>
  <c r="C300" i="2"/>
  <c r="C299" i="2"/>
  <c r="C298" i="2"/>
  <c r="C280" i="2"/>
  <c r="C279" i="2"/>
  <c r="C278" i="2"/>
  <c r="C277" i="2"/>
  <c r="C276" i="2"/>
  <c r="C275" i="2"/>
  <c r="C274" i="2"/>
  <c r="C273" i="2"/>
  <c r="C272" i="2"/>
  <c r="C271" i="2"/>
  <c r="C266" i="2"/>
  <c r="C265" i="2"/>
  <c r="C264" i="2"/>
  <c r="C263" i="2"/>
  <c r="C262" i="2"/>
  <c r="C261" i="2"/>
  <c r="C259" i="2"/>
  <c r="C258" i="2"/>
  <c r="C257" i="2"/>
  <c r="C239" i="2"/>
  <c r="C238" i="2"/>
  <c r="C237" i="2"/>
  <c r="C236" i="2"/>
  <c r="C235" i="2"/>
  <c r="C234" i="2"/>
  <c r="C233" i="2"/>
  <c r="C232" i="2"/>
  <c r="C231" i="2"/>
  <c r="C230" i="2"/>
  <c r="C225" i="2"/>
  <c r="C224" i="2"/>
  <c r="C223" i="2"/>
  <c r="C222" i="2"/>
  <c r="C221" i="2"/>
  <c r="C220" i="2"/>
  <c r="C218" i="2"/>
  <c r="C217" i="2"/>
  <c r="C216" i="2"/>
  <c r="C198" i="2"/>
  <c r="C197" i="2"/>
  <c r="C196" i="2"/>
  <c r="C195" i="2"/>
  <c r="C194" i="2"/>
  <c r="C193" i="2"/>
  <c r="C192" i="2"/>
  <c r="C191" i="2"/>
  <c r="C190" i="2"/>
  <c r="C189" i="2"/>
  <c r="C184" i="2"/>
  <c r="C183" i="2"/>
  <c r="C182" i="2"/>
  <c r="C181" i="2"/>
  <c r="C180" i="2"/>
  <c r="C179" i="2"/>
  <c r="C177" i="2"/>
  <c r="C176" i="2"/>
  <c r="C175" i="2"/>
  <c r="C157" i="2"/>
  <c r="C156" i="2"/>
  <c r="C155" i="2"/>
  <c r="C154" i="2"/>
  <c r="C153" i="2"/>
  <c r="C152" i="2"/>
  <c r="C151" i="2"/>
  <c r="C150" i="2"/>
  <c r="C149" i="2"/>
  <c r="C148" i="2"/>
  <c r="C143" i="2"/>
  <c r="C142" i="2"/>
  <c r="C141" i="2"/>
  <c r="C140" i="2"/>
  <c r="C139" i="2"/>
  <c r="C138" i="2"/>
  <c r="C136" i="2"/>
  <c r="C135" i="2"/>
  <c r="C134" i="2"/>
  <c r="C116" i="2"/>
  <c r="C115" i="2"/>
  <c r="C114" i="2"/>
  <c r="C113" i="2"/>
  <c r="C112" i="2"/>
  <c r="C111" i="2"/>
  <c r="C110" i="2"/>
  <c r="C109" i="2"/>
  <c r="C108" i="2"/>
  <c r="C107" i="2"/>
  <c r="C102" i="2"/>
  <c r="C101" i="2"/>
  <c r="C100" i="2"/>
  <c r="C99" i="2"/>
  <c r="C98" i="2"/>
  <c r="C96" i="2"/>
  <c r="C95" i="2"/>
  <c r="C94" i="2"/>
  <c r="C76" i="2"/>
  <c r="C75" i="2"/>
  <c r="C74" i="2"/>
  <c r="C73" i="2"/>
  <c r="C72" i="2"/>
  <c r="C71" i="2"/>
  <c r="C70" i="2"/>
  <c r="C69" i="2"/>
  <c r="C68" i="2"/>
  <c r="C67" i="2"/>
  <c r="C66" i="2"/>
  <c r="C61" i="2"/>
  <c r="C60" i="2"/>
  <c r="C59" i="2"/>
  <c r="C58" i="2"/>
  <c r="C57" i="2"/>
  <c r="C56" i="2"/>
  <c r="C54" i="2"/>
  <c r="C53" i="2"/>
  <c r="C52" i="2"/>
  <c r="C742" i="2" l="1"/>
  <c r="C743" i="2" s="1"/>
  <c r="C1062" i="2"/>
  <c r="C1063" i="2" s="1"/>
  <c r="C1074" i="2" s="1"/>
  <c r="C301" i="2"/>
  <c r="C308" i="2" s="1"/>
  <c r="C632" i="2"/>
  <c r="C1414" i="2"/>
  <c r="C1415" i="2" s="1"/>
  <c r="C1419" i="2" s="1"/>
  <c r="C556" i="2"/>
  <c r="C557" i="2" s="1"/>
  <c r="C568" i="2" s="1"/>
  <c r="C1274" i="2"/>
  <c r="C1275" i="2" s="1"/>
  <c r="C1513" i="2"/>
  <c r="C228" i="2"/>
  <c r="C229" i="2" s="1"/>
  <c r="C240" i="2" s="1"/>
  <c r="C97" i="2"/>
  <c r="C103" i="2" s="1"/>
  <c r="C1283" i="2"/>
  <c r="C105" i="2"/>
  <c r="C106" i="2" s="1"/>
  <c r="C178" i="2"/>
  <c r="C185" i="2" s="1"/>
  <c r="C310" i="2"/>
  <c r="C311" i="2" s="1"/>
  <c r="C322" i="2" s="1"/>
  <c r="C433" i="2"/>
  <c r="C434" i="2" s="1"/>
  <c r="C445" i="2" s="1"/>
  <c r="C894" i="2"/>
  <c r="C986" i="2"/>
  <c r="C987" i="2" s="1"/>
  <c r="C998" i="2" s="1"/>
  <c r="C1223" i="2"/>
  <c r="C1226" i="2" s="1"/>
  <c r="C1230" i="2" s="1"/>
  <c r="C1308" i="2"/>
  <c r="C1382" i="2"/>
  <c r="C1383" i="2" s="1"/>
  <c r="C1489" i="2"/>
  <c r="C1465" i="2"/>
  <c r="C351" i="2"/>
  <c r="C352" i="2" s="1"/>
  <c r="C363" i="2" s="1"/>
  <c r="C772" i="2"/>
  <c r="C777" i="2" s="1"/>
  <c r="C843" i="2"/>
  <c r="C844" i="2" s="1"/>
  <c r="C848" i="2" s="1"/>
  <c r="C869" i="2"/>
  <c r="C924" i="2"/>
  <c r="C925" i="2" s="1"/>
  <c r="C936" i="2" s="1"/>
  <c r="C1328" i="2"/>
  <c r="C1329" i="2" s="1"/>
  <c r="C146" i="2"/>
  <c r="C147" i="2" s="1"/>
  <c r="C474" i="2"/>
  <c r="C475" i="2" s="1"/>
  <c r="C634" i="2"/>
  <c r="C635" i="2" s="1"/>
  <c r="C817" i="2"/>
  <c r="C818" i="2" s="1"/>
  <c r="C822" i="2" s="1"/>
  <c r="C1017" i="2"/>
  <c r="C1024" i="2" s="1"/>
  <c r="C1391" i="2"/>
  <c r="C64" i="2"/>
  <c r="C65" i="2" s="1"/>
  <c r="C77" i="2" s="1"/>
  <c r="C269" i="2"/>
  <c r="C270" i="2" s="1"/>
  <c r="C281" i="2" s="1"/>
  <c r="C392" i="2"/>
  <c r="C393" i="2" s="1"/>
  <c r="C404" i="2" s="1"/>
  <c r="C598" i="2"/>
  <c r="C599" i="2" s="1"/>
  <c r="C610" i="2" s="1"/>
  <c r="C1182" i="2"/>
  <c r="C1186" i="2" s="1"/>
  <c r="C1337" i="2"/>
  <c r="C1437" i="2"/>
  <c r="C515" i="2"/>
  <c r="C516" i="2" s="1"/>
  <c r="C527" i="2" s="1"/>
  <c r="C955" i="2"/>
  <c r="C958" i="2" s="1"/>
  <c r="C962" i="2" s="1"/>
  <c r="C1094" i="2"/>
  <c r="C1101" i="2" s="1"/>
  <c r="C1254" i="2"/>
  <c r="C1362" i="2"/>
  <c r="C1507" i="2"/>
  <c r="C1508" i="2" s="1"/>
  <c r="C1483" i="2"/>
  <c r="C1484" i="2" s="1"/>
  <c r="C1456" i="2"/>
  <c r="C1457" i="2" s="1"/>
  <c r="C1432" i="2"/>
  <c r="C1433" i="2" s="1"/>
  <c r="C1357" i="2"/>
  <c r="C1358" i="2" s="1"/>
  <c r="C1303" i="2"/>
  <c r="C1304" i="2" s="1"/>
  <c r="C1245" i="2"/>
  <c r="C1246" i="2" s="1"/>
  <c r="C1255" i="2" s="1"/>
  <c r="C1259" i="2" s="1"/>
  <c r="C1199" i="2"/>
  <c r="C1200" i="2" s="1"/>
  <c r="C1204" i="2" s="1"/>
  <c r="C1208" i="2" s="1"/>
  <c r="C1155" i="2"/>
  <c r="C1156" i="2" s="1"/>
  <c r="C1160" i="2" s="1"/>
  <c r="C1164" i="2" s="1"/>
  <c r="C1133" i="2"/>
  <c r="C1135" i="2" s="1"/>
  <c r="C1138" i="2" s="1"/>
  <c r="C1142" i="2" s="1"/>
  <c r="C1103" i="2"/>
  <c r="C1060" i="2"/>
  <c r="C1026" i="2"/>
  <c r="C977" i="2"/>
  <c r="C984" i="2" s="1"/>
  <c r="C915" i="2"/>
  <c r="C922" i="2" s="1"/>
  <c r="C887" i="2"/>
  <c r="C888" i="2" s="1"/>
  <c r="C861" i="2"/>
  <c r="C862" i="2" s="1"/>
  <c r="C780" i="2"/>
  <c r="C791" i="2" s="1"/>
  <c r="C740" i="2"/>
  <c r="C704" i="2"/>
  <c r="C706" i="2"/>
  <c r="C668" i="2"/>
  <c r="C670" i="2"/>
  <c r="C589" i="2"/>
  <c r="C596" i="2" s="1"/>
  <c r="C547" i="2"/>
  <c r="C554" i="2" s="1"/>
  <c r="C506" i="2"/>
  <c r="C513" i="2" s="1"/>
  <c r="C465" i="2"/>
  <c r="C472" i="2" s="1"/>
  <c r="C424" i="2"/>
  <c r="C431" i="2" s="1"/>
  <c r="C383" i="2"/>
  <c r="C390" i="2" s="1"/>
  <c r="C342" i="2"/>
  <c r="C349" i="2" s="1"/>
  <c r="C260" i="2"/>
  <c r="C267" i="2" s="1"/>
  <c r="C219" i="2"/>
  <c r="C226" i="2" s="1"/>
  <c r="C187" i="2"/>
  <c r="C137" i="2"/>
  <c r="C144" i="2" s="1"/>
  <c r="C55" i="2"/>
  <c r="C62" i="2" s="1"/>
  <c r="C1466" i="2" l="1"/>
  <c r="C1470" i="2" s="1"/>
  <c r="C646" i="2"/>
  <c r="C647" i="2" s="1"/>
  <c r="C651" i="2" s="1"/>
  <c r="C1490" i="2"/>
  <c r="C1494" i="2" s="1"/>
  <c r="C1438" i="2"/>
  <c r="C1442" i="2" s="1"/>
  <c r="C1309" i="2"/>
  <c r="C1313" i="2" s="1"/>
  <c r="C1392" i="2"/>
  <c r="C1396" i="2" s="1"/>
  <c r="C1284" i="2"/>
  <c r="C1288" i="2" s="1"/>
  <c r="C754" i="2"/>
  <c r="C755" i="2" s="1"/>
  <c r="C759" i="2" s="1"/>
  <c r="C364" i="2"/>
  <c r="C368" i="2" s="1"/>
  <c r="C870" i="2"/>
  <c r="C874" i="2" s="1"/>
  <c r="C792" i="2"/>
  <c r="C796" i="2" s="1"/>
  <c r="C1338" i="2"/>
  <c r="C1342" i="2" s="1"/>
  <c r="C1514" i="2"/>
  <c r="C1518" i="2" s="1"/>
  <c r="C117" i="2"/>
  <c r="C118" i="2" s="1"/>
  <c r="C122" i="2" s="1"/>
  <c r="C486" i="2"/>
  <c r="C487" i="2" s="1"/>
  <c r="C491" i="2" s="1"/>
  <c r="C895" i="2"/>
  <c r="C899" i="2" s="1"/>
  <c r="C158" i="2"/>
  <c r="C159" i="2" s="1"/>
  <c r="C163" i="2" s="1"/>
  <c r="C1363" i="2"/>
  <c r="C1367" i="2" s="1"/>
  <c r="C569" i="2"/>
  <c r="C573" i="2" s="1"/>
  <c r="C1104" i="2"/>
  <c r="C1115" i="2" s="1"/>
  <c r="C1116" i="2" s="1"/>
  <c r="C1120" i="2" s="1"/>
  <c r="C1075" i="2"/>
  <c r="C1079" i="2" s="1"/>
  <c r="C1027" i="2"/>
  <c r="C1038" i="2" s="1"/>
  <c r="C1039" i="2" s="1"/>
  <c r="C1043" i="2" s="1"/>
  <c r="C999" i="2"/>
  <c r="C1003" i="2" s="1"/>
  <c r="C937" i="2"/>
  <c r="C941" i="2" s="1"/>
  <c r="C707" i="2"/>
  <c r="C718" i="2" s="1"/>
  <c r="C719" i="2" s="1"/>
  <c r="C723" i="2" s="1"/>
  <c r="C671" i="2"/>
  <c r="C682" i="2" s="1"/>
  <c r="C683" i="2" s="1"/>
  <c r="C687" i="2" s="1"/>
  <c r="C611" i="2"/>
  <c r="C615" i="2" s="1"/>
  <c r="C528" i="2"/>
  <c r="C532" i="2" s="1"/>
  <c r="C446" i="2"/>
  <c r="C450" i="2" s="1"/>
  <c r="C405" i="2"/>
  <c r="C409" i="2" s="1"/>
  <c r="C323" i="2"/>
  <c r="C327" i="2" s="1"/>
  <c r="C282" i="2"/>
  <c r="C286" i="2" s="1"/>
  <c r="C241" i="2"/>
  <c r="C245" i="2" s="1"/>
  <c r="C188" i="2"/>
  <c r="C199" i="2" s="1"/>
  <c r="C200" i="2" s="1"/>
  <c r="C204" i="2" s="1"/>
  <c r="C78" i="2"/>
  <c r="C82" i="2" s="1"/>
  <c r="C21" i="2" l="1"/>
  <c r="C35" i="2" l="1"/>
  <c r="C34" i="2"/>
  <c r="C33" i="2"/>
  <c r="C32" i="2"/>
  <c r="C31" i="2"/>
  <c r="C30" i="2"/>
  <c r="C29" i="2"/>
  <c r="C28" i="2"/>
  <c r="C27" i="2"/>
  <c r="C26" i="2"/>
  <c r="C20" i="2"/>
  <c r="C19" i="2"/>
  <c r="C18" i="2"/>
  <c r="C17" i="2"/>
  <c r="C16" i="2"/>
  <c r="C14" i="2"/>
  <c r="C13" i="2"/>
  <c r="C12" i="2"/>
  <c r="C24" i="2" l="1"/>
  <c r="C15" i="2"/>
  <c r="C25" i="2" l="1"/>
  <c r="C36" i="2" l="1"/>
  <c r="C22" i="2"/>
  <c r="C37" i="2" l="1"/>
  <c r="C40" i="2" l="1"/>
</calcChain>
</file>

<file path=xl/sharedStrings.xml><?xml version="1.0" encoding="utf-8"?>
<sst xmlns="http://schemas.openxmlformats.org/spreadsheetml/2006/main" count="1354" uniqueCount="273">
  <si>
    <t>Maksas pakalpojuma izcenojuma aprēķins</t>
  </si>
  <si>
    <r>
      <rPr>
        <b/>
        <sz val="12"/>
        <color theme="1"/>
        <rFont val="Times New Roman"/>
        <family val="1"/>
        <charset val="186"/>
      </rPr>
      <t>Laikposms:</t>
    </r>
    <r>
      <rPr>
        <sz val="12"/>
        <color theme="1"/>
        <rFont val="Times New Roman"/>
        <family val="1"/>
        <charset val="186"/>
      </rPr>
      <t xml:space="preserve"> 1 gads </t>
    </r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</si>
  <si>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</si>
  <si>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</si>
  <si>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</si>
  <si>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Tiešās izmaksas</t>
  </si>
  <si>
    <t>Tiešās izmaksas kopā:</t>
  </si>
  <si>
    <t>Netiešās izmaksas</t>
  </si>
  <si>
    <t>Netiešās izmaksas kopā:</t>
  </si>
  <si>
    <t>Pakalpojuma izmaksas kopā:</t>
  </si>
  <si>
    <t>Maksas pakalpojuma vienību skaits noteiktā laikposmā (gab.)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</si>
  <si>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laikposmā)</t>
    </r>
  </si>
  <si>
    <r>
      <rPr>
        <b/>
        <sz val="12"/>
        <color theme="1"/>
        <rFont val="Times New Roman"/>
        <family val="1"/>
        <charset val="186"/>
      </rPr>
      <t>Iestāde:</t>
    </r>
    <r>
      <rPr>
        <sz val="12"/>
        <color theme="1"/>
        <rFont val="Times New Roman"/>
        <family val="1"/>
        <charset val="186"/>
      </rPr>
      <t xml:space="preserve"> Neatliekamās medicīniskās palīdzības dienests</t>
    </r>
  </si>
  <si>
    <t xml:space="preserve">Administratīvie izdevumi </t>
  </si>
  <si>
    <t>Biroja preces</t>
  </si>
  <si>
    <t>Plānotais pakalpojuma sniegšanas vienību skaits: 4</t>
  </si>
  <si>
    <t>Plānotais pakalpojuma sniegšanas vienību skaits: 5</t>
  </si>
  <si>
    <t>Plānotais pakalpojuma sniegšanas vienību skaits: 80</t>
  </si>
  <si>
    <t>Plānotais pakalpojuma sniegšanas vienību skaits: 8</t>
  </si>
  <si>
    <t>Plānotais pakalpojuma sniegšanas vienību skaits: 12</t>
  </si>
  <si>
    <t>Plānotais pakalpojuma sniegšanas vienību skaits: 64</t>
  </si>
  <si>
    <t>Plānotais pakalpojuma sniegšanas vienību skaits: 10</t>
  </si>
  <si>
    <t>Biroja preces un inventārs</t>
  </si>
  <si>
    <t>Plānotais pakalpojuma sniegšanas vienību skaits: 1</t>
  </si>
  <si>
    <t>Plānotais pakalpojuma sniegšanas vienību skaits: 11</t>
  </si>
  <si>
    <t>Aprīkojuma amortizācija (defibrilatora amortizācija 0,5 eur/h, 0,5 x plānotais pakalpojumu skaits)</t>
  </si>
  <si>
    <t>Atalgojums citi darbinieki (atbalsta personāla atalgojums 0,15% no brigāžu personāla. 0,15 x pakalpojumu skaits gadā)</t>
  </si>
  <si>
    <t>Atalgojums citi darbinieki (atbalsta personāla atalgojums 0,25% no brigāžu personāla. 0,25 x pakalpojumu skaits gadā)</t>
  </si>
  <si>
    <t>Atalgojums citi darbinieki (atbalsta personāla atalgojums 0,1% no brigāžu personāla. 0,1 x pakalpojumu skaits gadā)</t>
  </si>
  <si>
    <t>Atalgojums darbiniekam (stundas likme 1,35 eur)</t>
  </si>
  <si>
    <t>Sakaru pakalpojumi (sakaru un telekomunikāciju izdevumi vienam pakalpojumam 4,32 eur x pakalpojuma skaits gadā)</t>
  </si>
  <si>
    <t>Aprīkojuma amortizācija (aprīkojuma amortizājija 1,8 eur/h x plānotais pakalpojumu skaits)</t>
  </si>
  <si>
    <t>Biroja preces (kancelejas preces 11 dalībniekiem. 30/11 = 2,73 eur x pakalpojumu skaits gadā)</t>
  </si>
  <si>
    <t>Biroja preces (kancelejas preces 25 dalībniekiem. 30/25 = 1,20 eur x pakalpojumu skaits gadā)</t>
  </si>
  <si>
    <t>Tehnoloģiskās iekārtas (amortizācija - manekens ar datorpieslēgumu 1 gab. 50 eur, aizrīšanās treniņu manekens 10 eur, bērna manekens 10 eur, zīdaiņa manekens 2 gab., 20 eur. 50+10+10+20 = 90/25 = 3,6 eur x pakalpojumu skaits gadā)</t>
  </si>
  <si>
    <t>Biroja preces (kancelejas preces 12 dalībniekiem. 30/12 = 2,50 eur x pakalpojumu skaits gadā)</t>
  </si>
  <si>
    <t>Plānotais pakalpojuma sniegšanas vienību skaits: 97</t>
  </si>
  <si>
    <t>Plānotais pakalpojuma sniegšanas vienību skaits: 7</t>
  </si>
  <si>
    <t>Plānotais pakalpojuma sniegšanas vienību skaits: 40</t>
  </si>
  <si>
    <t>Telpu izmantošana (telpu uzturēšanas izmaksas 10 eur/h., 2 st., 10 x 2 = 20,00 eur)</t>
  </si>
  <si>
    <t>Telpu izmantošana (telpu uzturēšanas izmaksas 10 eur/h. 10 x 16 st. = 160/12 = 13,33 eur x pakalpojumu skaits gadā</t>
  </si>
  <si>
    <t>Telpu izmantošana (telpu uzturēšanas izmaksas 10 eur/h. 10 x 10 st. = 80/25 = 3,2 eur x pakalpojumu skaits gadā</t>
  </si>
  <si>
    <t>Telpu izmantošana (telpu uzturēšanas izmaksas 10 eur/h. 10 x 68 st. = 680/11 = 61,82 eur x pakalpojumu skaits gadā</t>
  </si>
  <si>
    <t>Atalgojums pasniedzējam (20 eur/st., ilgums 8 st., 25 dalībnieki. 20 x 8/25 = 6,40 eur x pakalpojumu skaits gadā)</t>
  </si>
  <si>
    <t>Atalgojums kursa vadītājam (20 eur/st., ilgums 8 st., 25 dalībnieki. 20 x 8/25 = 6,40 eur x pakalpojumu skaits gadā)</t>
  </si>
  <si>
    <t>Atalgojums pasniedzējam par mācību materiālu sagatavošanu  (20 eur/st., ilgums 8 st., 25 dalībnieki. 20 x 8/25 = 6,40 x pakalpojumu skaits gadā)</t>
  </si>
  <si>
    <t>Administratīvie izdevumi  (kafijas pauze 25 dalībniekiem, 3 pasniedzējiem, 2 reizes. 2,5 eur x 28 x 2 = 140/25 = 5,60 eur x pakalpojumu skaits gadā)</t>
  </si>
  <si>
    <t>Atalgojums pasniedzējam (20 eur/st., ilgums 16 st., 12 dalībnieki. 20 x 16/12 = 26,67 x pakalpojumu skaits gadā)</t>
  </si>
  <si>
    <t>Atalgojums pasniedzējam par mācību materiālu sagatavošanu  (20 eur/st., ilgums 10 st., 12 dalībnieki. 20 x 10/12 =16,67 x pakalpojumu skaits gadā)</t>
  </si>
  <si>
    <t>Administratīvie izdevumi  (kafijas pauze 12 dalībniekiem, 3 pasniedzējiem, 4 reizes. 2,5 eur x 15 x 4 = 150/12 = 12,50 eur x pakalpojumu skaits gadā</t>
  </si>
  <si>
    <t>Tehnoloģiskās iekārtas (amortizācija - manekens ar datorpieslēgumu 1 gab. 50 eur, bērna manekens 10 eur, zīdaiņa manekens 2 gab., 20 eur. 50+10+20 = 80/12 = 6,67 eur x pakalpojumu skaits gadā)</t>
  </si>
  <si>
    <r>
      <t>Atalgojums komisijas locekļiem (20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10 komisijas locekļi, ilgums 2 st.  20 x 10 x 2 = 400,00)</t>
    </r>
  </si>
  <si>
    <r>
      <t>Atalgojums pasniedzējam (20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ilgums 68 st., 11 dalībnieki. 20 x 68/11 = 123,64 x pakalpojumu skaits gadā)</t>
    </r>
  </si>
  <si>
    <r>
      <t>Atalgojums pasniedzēja asistentam (14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eur/st., ilgums 68 st., 11 dalībnieki. 14 x 68/11 = 86,55 x pakalpojumu skaits gadā)</t>
    </r>
  </si>
  <si>
    <t>Atalgojums pasniedzējam par mācību materiālu sagatavošanu  (20 eur/st., ilgums 10 st, 11 dalībnieki. 20 x 10/11 = 18,18 x pakalpojumu skaits gadā)</t>
  </si>
  <si>
    <t>Atalgojums pasniedzēja asistentam (14 eur/st., ilgums 16 st., 12 dalībnieki. 14 x 16/12 = 18,67 x pakalpojumu skaits gadā)</t>
  </si>
  <si>
    <t>Inventārs (paklāji treniņiem 6.gab 12 eur, pārsienamais materiāls 30 eur, motociklista ķivere 1 gab. 25 eur, elpināšanas masku komplekts 5 eur, aptieciņas 2 gab. 30 eur, dezinfekcijas līdzekļi 20 eur. 12+30+25+5+30+20 = 122/12 = 10,17 eur x pakalpojumu skaits gadā)</t>
  </si>
  <si>
    <t>Inventārs (paklāji treniņiem 6.gab 12 eur, pārsienamais materiāls 30 eur, motociklista ķivere 2 gab. 50eur, elpināšanas masku komplekts 5 eur, aptieciņas 2 gab. 30 eur, dezinfekcijas līdzekļi 10 eur. 12+30+10+5+30+10 = 97/25 = 3,88 eur x pakalpojumu skaits gadā)</t>
  </si>
  <si>
    <t>Iestādes administratīvie izdevumi un ar iestādes darbības nodrošināšanu saistītie izdevumi (tipogrāfijas pakalpojumi 1,15 eur/gab. x pakalpojumu skaits gadā)</t>
  </si>
  <si>
    <t>Atalgojums NMP ārstam (stundas likme 2,08 euro)</t>
  </si>
  <si>
    <t>Plānotais pakalpojuma sniegšanas vienību skaits: 6300</t>
  </si>
  <si>
    <t>Plānotais pakalpojuma sniegšanas vienību skaits: 700</t>
  </si>
  <si>
    <t>Darba devēja valsts sociālās apdrošināšanas obligātā iemaksas, sociāla rakstura pabalsti un kompensācijas (23,59%)</t>
  </si>
  <si>
    <t>Ārsta palīga/ārsta reanimatologa atalgojums (vidējā ārsta palīga un ārsta reanimatologa likme, (16,68 euro + 10,28 euro)/2 = 13,48 euro</t>
  </si>
  <si>
    <t>Brigādes otrās ārstniecības personas atalgojums</t>
  </si>
  <si>
    <t>OMT vadītāja atalgojums</t>
  </si>
  <si>
    <t>Atalgojums citiem darbiniekiem (atbalsta personāla atalgojums 0,15% no brigāžu personāla. 0,15 x pakalpojumu skaits gadā)</t>
  </si>
  <si>
    <t>Ārsta reanimataloga atalgojums</t>
  </si>
  <si>
    <t>Atalgojums citiem darbiniekiem (atbalsta personāla atalgojums 0,25% no brigāžu personāla. 0,25 x pakalpojumu skaits gadā)</t>
  </si>
  <si>
    <t>NMP ārsta atalgojums</t>
  </si>
  <si>
    <t>Ārsta speciālista atalgojums</t>
  </si>
  <si>
    <t>Medicīnas asistenta atalgojums</t>
  </si>
  <si>
    <t>Atalgojums citiem  darbiniekiem (atbalsta personāla atalgojums 0,15% no brigāžu personāla. 0,15 x pakalpojumu skaits gadā)</t>
  </si>
  <si>
    <t>Atalgojums citiem darbiniekiem (atbalsta personāla atalgojums 0,1% no brigāžu personāla. 0,1 x pakalpojumu skaits gadā)</t>
  </si>
  <si>
    <t>NMP ārsta palīga atalgojums</t>
  </si>
  <si>
    <t>Ārsta specialista atalgojums</t>
  </si>
  <si>
    <t xml:space="preserve"> OMTvadītāja atalgojums</t>
  </si>
  <si>
    <t>Ārsta/specialista atalgojums</t>
  </si>
  <si>
    <t>Atalgojums ārsta palīgam (stundas likme 1,52 euro)</t>
  </si>
  <si>
    <t>Atalgojums citiem darbiniekiem (atbalsta personāla atalgojums 0,10% no brigāžu personāla.  0,10 x pakalpojumu skaits gadā)</t>
  </si>
  <si>
    <r>
      <rPr>
        <b/>
        <sz val="12"/>
        <color theme="1"/>
        <rFont val="Times New Roman"/>
        <family val="1"/>
        <charset val="186"/>
      </rPr>
      <t>Laikaposms:</t>
    </r>
    <r>
      <rPr>
        <sz val="12"/>
        <color theme="1"/>
        <rFont val="Times New Roman"/>
        <family val="1"/>
        <charset val="186"/>
      </rPr>
      <t xml:space="preserve"> 1 gads </t>
    </r>
  </si>
  <si>
    <t>Administratīvie izdevumi  (kafijas pauze 11 dalībniekiem, 2 pasniedzējiem, 16 reizes. 2,50 eur x 13 x 16 = 520/13 = 40 eur x pakalpojumu skaits gadā</t>
  </si>
  <si>
    <t>Inventārs (paklāji treniņiem 4 gab, 8 eur, elpināšanas masku komplekts 15 eur, aptieciņas 12 gab. 180 eur, motocikla ķivere 1 gab. 25 eur, dezinfekcijas līdzekļi 70 eur. Respiratori 32 gab.x 5 eur = 160 eur, sejas maskas 10 gab.x 0,20 eur = 2 eur; 8+15+180+25+70+160+2 = 460/11 = 41,82 eur x pakalpojumu skaits gadā)</t>
  </si>
  <si>
    <t>Tehnoloģiskās iekārtas (amortizācija: manekens ar datorpieslēgumu 2 gab. 165,17 euro, manekena plauša 8eur x13=104 eur, manekena seja 1,5 eur x 13 = 19,5 eur,  aizrīšanās treniņu manekens 16,27 eur, bērna manekens 32,80 eur + manekena plauša 8 eurx13=104 eur + manekena seja 1.50 eur x 13 gab=19,50 eur, zīdaiņa manekens 2 gab. 45,93 eur, manekena plauša 8 eur + manekena seja 1,50eur x 13 gab=19,50 eur.  165,17+104+19,5+16,27+32,80+104+19,50+45,93 104+19,5= 631,1/11 = 57,37 euro x pakalpojumu skaits gadā)</t>
  </si>
  <si>
    <t>Pārējie pamatlīdzekļi (amortizācija - dators, portatīvais dators, projektors, TV un DVD, 0,20 eur/st. x pakalpojumu skaits gadā)</t>
  </si>
  <si>
    <r>
      <t xml:space="preserve">Maksas pakalpojuma izcenojums (euro) </t>
    </r>
    <r>
      <rPr>
        <i/>
        <sz val="12"/>
        <color rgb="FF000000"/>
        <rFont val="Times New Roman"/>
        <family val="1"/>
        <charset val="186"/>
      </rPr>
      <t>(pakalpojuma izmaksas kopā, dalītas ar maksas pakalpojuma vienību skaitu noteiktā laikaposmā)</t>
    </r>
  </si>
  <si>
    <t>Plānotais pakalpojuma sniegšanas vienību skaits: 100</t>
  </si>
  <si>
    <t>Atalgojums pasniedzējam (20 eur/st., ilgums 4 st., 25 dalībnieki. 20 x 4/25 = 3,20 eur x pakalpojumu skaits gadā)</t>
  </si>
  <si>
    <t>Atalgojums kursa vadītājam (20 eur/st., ilgums 4 st., 25 dalībnieki. 20 x 4/25 = 3,20 eur x pakalpojumu skaits gadā)</t>
  </si>
  <si>
    <t>Atalgojums pasniedzējam par mācību materiālu sagatavošanu  (20 eur/st., ilgums 4 st., 25 dalībnieki. 20 x 4/25 = 3,20 x pakalpojumu skaits gadā)</t>
  </si>
  <si>
    <r>
      <t>Telpu izmantošana (telpu uzturēšanas izmaksas 10 eur/h. 10 x 4 st. = 40/25 = 1,6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 x pakalpojumu skaits gadā</t>
    </r>
  </si>
  <si>
    <t>Inventārs (paklāji treniņiem 6.gab 12 eur, pārsienamais materiāls 30 eur, motociklista ķivere 2 gab. 50 eur, elpināšanas masku komplekts 5 eur, aptieciņas 2 gab. 30 eur, dezinfekcijas līdzekļi 10 eur. 12+30+50+5+30+10 = 137/25 = 5,48 eur x pakalpojumu skaits gadā)</t>
  </si>
  <si>
    <r>
      <t>Telpu izmantošana (telpu uzturēšanas izmaksas 10 eur/h. 10 x 4 st. = 40/25 =1,6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eur x pakalpojumu skaits gadā</t>
    </r>
  </si>
  <si>
    <t>Telpu izmantošana (telpu uzturēšanas izmaksas 10 eur/h. 10 x 8 st. = 80/25 = 3,2 eur x pakalpojumu skaits gadā</t>
  </si>
  <si>
    <t>Atalgojums komisijas locekļiem (20 eur/st., 10 komisijas locekļi, ilgums 3 st., 20 x 10 x 3 = 600,00 eur)</t>
  </si>
  <si>
    <t>Telpu izmantošana (telpu uzturēšanas izmaksas 10 eur/h., 3 st., 10 x 3 = 30,00 eur)</t>
  </si>
  <si>
    <t>Pārējie pamatlīdzekļi (amortizācija: dators, portatīvais dators, projektors, TV un DVD, 0,20 eur/st.)</t>
  </si>
  <si>
    <t>Pārējie pamatlīdzekļi (amortizācija - dators, portatīvais dators, projektors, TV un DVD, 0,20 eur/st.)</t>
  </si>
  <si>
    <t>Atalgojums komisijas locekļiem (20 eur/st., 10 komisijas locekļi, ilgums 10 st., 10 dalībnieki, 20 x 10 x 10 = 2000,00/10 = 200  x pakalpojumu skaits gadā)</t>
  </si>
  <si>
    <t>Atalgojums pasniedzējam par eksāmena materiālu sagatavošanu   (20 eur/st., ilgums 4 st. 20 x 4 = 80,00/10 = 8  x pakalpojumu skaits gadā)</t>
  </si>
  <si>
    <t>Administratīvie izdevumi  (kafijas pauze 10 dalībniekiem, 10 komisijas locekļi,  2 reizes. 2,5 eur x 20 x 2 = 100/10 = 10 eur x pakalpojumu skaits gadā</t>
  </si>
  <si>
    <t>Telpu izmantošana (telpu uzturēšanas izmaksas 10 eur/h. 10 x 8 st. = 80/10 = 8 eur x pakalpojumu skaits gadā</t>
  </si>
  <si>
    <t>Biroja preces (kancelejas preces 10 dalībniekiem. 30/10 = 3 eur x pakalpojumu skaits gadā)</t>
  </si>
  <si>
    <t>Inventārs (paklāji treniņiem 6 gab 12 eur, respirātori, vienreiz lietojamie cimdi 100 eur, motociklista ķivere 1 gab. 25 eur, elpināšanas masku komplekts 5 eur, aptieciņas 10 gab. 150 eur, dezinfekcijas līdzekļi 20 eur. 12+30+25+5+30+10 = 112/10 = 11,2 eur x pakalpojumu skaits gadā)</t>
  </si>
  <si>
    <t xml:space="preserve">Tehnoloģiskās iekārtas (amortizācija - manekens ar datorpieslēgumu 1 gab. 50 eur, manekena plauša 20 gab 160 eur, aizrīšanās treniņu manekens 10 eur, pusaudža manekens  un plauša 18 eur, zīdaiņa manekens 2 gab un manekena plauša 2 gab., 20 eur. 50+16+10+10+20 = 106/10 =10,6 eur x pakalpojumu skaits gadā) </t>
  </si>
  <si>
    <t>Pārējie pamatlīdzekļi (amortizācija - dators, portatīvais dators, projektors, TV un DVD, video kamera filmēšanai  0,30 eur/st. x pakalpojumu skaits gadā)</t>
  </si>
  <si>
    <t>Atalgojums komisijas locekļiem (20 eur/st., 10 komisijas locekļi, ilgums 6 st., 13 dalībnieki. 20 x 10 x 6 = 1200/13 = 92,31 eur x pakalpojumu skaits gadā)</t>
  </si>
  <si>
    <t>Administratīvie izdevumi  (kafijas pauze 10 komisijas locekļi, 1 reize. 2,50 eur x 10 x 1 = 25/13 = 1,92 eur x pakalpojumu skaits gadā</t>
  </si>
  <si>
    <t>Telpu izmantošana (telpu uzturēšanas izmaksas 10 eur/h. 10 x 6 st. = 60/13 =4,62 eur x pakalpojumu skaits gadā</t>
  </si>
  <si>
    <t>Plānotais pakalpojuma sniegšanas vienību skaits: 2</t>
  </si>
  <si>
    <r>
      <t>Atalgojums komisijas locekļiem (20 eur/st., 10 komisijas locekļi, ilgums 4 st., 5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dalībnieki. 20 x 10 x 4 = 800/5 = 160 eur x pakalpojumu skaits gadā)</t>
    </r>
  </si>
  <si>
    <r>
      <t>Darba devēja valsts sociālās apdrošināšanas obligātā iemaksas, sociāla rakstura pabalsti un kompensācijas (</t>
    </r>
    <r>
      <rPr>
        <sz val="12"/>
        <rFont val="Times New Roman"/>
        <family val="1"/>
        <charset val="186"/>
      </rPr>
      <t xml:space="preserve">23,59 </t>
    </r>
    <r>
      <rPr>
        <sz val="12"/>
        <color theme="1"/>
        <rFont val="Times New Roman"/>
        <family val="1"/>
        <charset val="186"/>
      </rPr>
      <t>%)</t>
    </r>
  </si>
  <si>
    <t>Administratīvie izdevumi  (kafijas pauze 5 dalībniekiem, 10 komisijas locekļi, 1 reize. 2,50 eur x 15 x 1 = 37,5/5 = 7,5 eur x pakalpojumu skaits gadā</t>
  </si>
  <si>
    <t>Telpu izmantošana (telpu uzturēšanas izmaksas 10 eur/h. 10 x 4 st. = 40/5 = 8 eur x pakalpojumu skaits gadā</t>
  </si>
  <si>
    <t>Plānotais pakalpojuma sniegšanas vienību skaits: 40 000</t>
  </si>
  <si>
    <t>Degviela  (vidējais nobraukums vienā izsaukumā 72 km, degvielas patēriņš 15 L/100 km, cena 1,07 euro/L. 15/100 x 72 x 1,07 = 11,56 x plānotais pakalpojumu skaits)</t>
  </si>
  <si>
    <t>Biroja preces (kancelejas preces 25 dalībniekiem. 34/25 = 1,36 eur x pakalpojumu skaits gadā)</t>
  </si>
  <si>
    <t>Atalgojums citiem darbiniekiem (atbalsta personāla atalgojums 0,10% no brigāžu personāla. 0,10 x pakalpojumu skaits gadā)</t>
  </si>
  <si>
    <t>Plānotais pakalpojuma sniegšanas vienību skaits: 890</t>
  </si>
  <si>
    <t>Plānotais pakalpojuma sniegšanas vienību skaits: 800</t>
  </si>
  <si>
    <t>Plānotais pakalpojuma sniegšanas vienību skaits: 220</t>
  </si>
  <si>
    <t>Plānotais pakalpojuma sniegšanas vienību skaits: 1500</t>
  </si>
  <si>
    <t>Plānotais pakalpojuma sniegšanas vienību skaits: 30</t>
  </si>
  <si>
    <t>Plānotais pakalpojuma sniegšanas vienību skaits: 500</t>
  </si>
  <si>
    <t>Plānotais pakalpojuma sniegšanas vienību skaits: 70</t>
  </si>
  <si>
    <t>Plānotais pakalpojuma sniegšanas vienību skaits: 790</t>
  </si>
  <si>
    <t>Plānotais pakalpojuma sniegšanas vienību skaits: 840</t>
  </si>
  <si>
    <t>Citas netiešās izmaksas ( tiešās izmaksas *0,05%=48,28 euro x pakalpojumu skaits)</t>
  </si>
  <si>
    <t>Plānotais pakalpojuma sniegšanas vienību skaits: 1050</t>
  </si>
  <si>
    <t>Sakaru pakalpojumi (sakaru un telekomunikāciju izdevumi gadā / kopējie izsaukumi gadā. 365814/364914 = 1,00 euro x pakalpojuma skaits gadā)</t>
  </si>
  <si>
    <t>Zāles, medicīniskie materiāli (medikamentu izdevumi gadā / kopējie izsaukumi gadā. 647813/364914 = 1,78+6,91 euro x pakalpojuma skaits gadā)</t>
  </si>
  <si>
    <t>Formas tērpi, speciālais apģērbs (izdevumi apģērbam gadā / kopējie izsaukumi gadā. 397717/364914 = 1,09 euro x pakalpojuma skaits gadā)</t>
  </si>
  <si>
    <t>OMT uzturēšana/remonts (OMT remonta, uzturēšanas izdevumi gadā / kopējie izsaukumi gadā. 605722/364914 = 1,65 euro x pakalpojuma skaits gadā)</t>
  </si>
  <si>
    <t>OMT rezerves daļas, iekārtu rezerves daļas (OMT rezerves daļu, iekārtu rezerves daļu izdevumi gadā / kopējie izsaukumi gadā  544867/364914 = 1,49 euro x pakalpojuma skaits gadā)</t>
  </si>
  <si>
    <t>Degviela  (vidējais nobraukums vienā izsaukumā 34 km, degvielas patēriņš 15 L/100 km, cena 1,07 euro/L. 15/100 x 34 x 1,07 = 5,46x plānotais pakalpojumu skaits)</t>
  </si>
  <si>
    <t>Komandējumi, mācību braucieni (komandējumu izdevumi gadā / kopējie izsaukumi gadā. 31310/364914 = 0,09 euro x pakalpojuma skaits gadā)</t>
  </si>
  <si>
    <t>Komunālie pakalpojumi (komunālo pakalpojumu izdevumi gadā / kopējie izsaukumi gadā. 840318/364914 = 2,30 euro x pakalpojuma skaits gadā)</t>
  </si>
  <si>
    <t>Administratīvie izdevumi (administratīvie izdevumi gadā / kopējie izsaukumi gadā. 319988/364914 = 0,88 euro x pakalpojuma skaits gadā)</t>
  </si>
  <si>
    <t>Iestāžu uzturēšana/telpu kārtējais remonts (iestāžu uzturēšanas izdevumi gadā / kopējie izsaukumi gadā. 714967/364914 = 1,96 eur x pakalpojuma skaits gadā)</t>
  </si>
  <si>
    <t>IT pakalpojumi (IT sistēmu uzturēšanas izdevumi gadā / kopējie izsaukumi gadā. 604971/364914 = 1,66 euro x pakalpojuma skaits gadā)</t>
  </si>
  <si>
    <t>Telpu uzturēšanas izmaksas (telpu uzturēšana gadā / kopējie izsaukumi gadā. 300406/364914 = 0,82 euro x pakalpojuma skaits gadā)</t>
  </si>
  <si>
    <t>Izdevumi par precēm iestādes darbības nodrošināšanai, inventārs, biroja preces (inventāra, biroja preču izdevumi gadā / kopējie izsaukumi gadā.178311/364914 = 0,49 euro x pakalpojuma skaits gadā)</t>
  </si>
  <si>
    <t>Nodokļu maksājumi (budžeta iestāžu nodokļu, nodevu un naudas sodu maksājumi gadā / kopējie izsaukumi gadā. 46183/364914 = 0,13 euro x pakalpojuma skaits gadā)</t>
  </si>
  <si>
    <t>Nemateriālie ieguldījumi (izmaksas par licencēm un programmām gadā / kopējie izsaukumi gadā. 18000/364914 = 0,05 euro x pakalpojuma skaits gadā)</t>
  </si>
  <si>
    <t>OMT amortizācija (OMT amortizācija 1,12 euro/h x plānotais pakalpojumu skaits), medicīniskā aprīkojuma un informācijas tehnoloģiju izmaksas gadā / kopējie izsaukumi gadā. 332513/364914 = 0,91 euro x pakalpojumu skaits gadā</t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</si>
  <si>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</si>
  <si>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t>Zāles/medicīniskie materiāli (medikamentu izdevumi gadā / kopējie izsaukumi gadā. 647813/364914 = 1,78 + 11,52 euro x pakalpojuma skaits gadā)</t>
  </si>
  <si>
    <t>OMT uzturēšana/remonts (OMT uzturēšanas izdevumi gadā / kopējie izsaukumi gadā. 605722/364914 = 1,65 euro x pakalpojuma skaits gadā)</t>
  </si>
  <si>
    <t>OMT rezerves daļas, iekārtu rezerves daļas (OMT rezerves daļu, iekārtu rezerves daļu izdevumi gadā / kopējie izsaukumi gadā. 544867/364914 = 1,49 euro x pakalpojuma skaits gadā)</t>
  </si>
  <si>
    <t>Administratīvie izdevumi (administratīvie izdevumi gadā / kopējie izsaukumi gadā. 319988/364914= 0,88 euro x pakalpojuma skaits gadā)</t>
  </si>
  <si>
    <t>Iestāžu uzturēšana/telpu kārtējais remonts (iestāžu uzturēšanas izdevumi gadā / kopējie izsaukumi gadā. 714967/364914 = 1,96 euro x pakalpojuma skaits gadā)</t>
  </si>
  <si>
    <r>
      <rPr>
        <b/>
        <sz val="12"/>
        <rFont val="Times New Roman"/>
        <family val="1"/>
        <charset val="186"/>
      </rPr>
      <t>Laikposms:</t>
    </r>
    <r>
      <rPr>
        <sz val="12"/>
        <rFont val="Times New Roman"/>
        <family val="1"/>
        <charset val="186"/>
      </rPr>
      <t xml:space="preserve"> 1 gads </t>
    </r>
  </si>
  <si>
    <t>OMT uzturēšana/remonts/apdrošināšana (OMT remonta, apdrošināšanas izdevumi gadā / kopējie izsaukumi gadā. 605722/364914 = 1,65 euro x pakalpojuma skaits gadā)</t>
  </si>
  <si>
    <t>Telpu uzturēšanas izmaksas (telpu uzturēšanas izmaksas gadā / kopējie izsaukumi gadā. 300406/364914 = 0,82 euro x pakalpojuma skaits gadā)</t>
  </si>
  <si>
    <t>Izdevumi par precēm iestādes darbības nodrošināšanai, inventārs, biroja preces (inventāra, biroja preču izdevumi gadā / kopējie izsaukumi gadā. 178311/364914 = 0,49 euro x pakalpojuma skaits gadā)</t>
  </si>
  <si>
    <t>Zāles,medicīniskie materiāli (medikamentu izdevumi gadā / kopējie izsaukumi gadā. 647813/364914= 1,78 euro x pakalpojuma skaits gadā)</t>
  </si>
  <si>
    <t>Komunālie pakalpojumi (komunālo pakalpojumu izdevumi gadā / kopējie izsaukumi gadā. 840318/438912 = 2,30 eur x pakalpojuma skaits gadā)</t>
  </si>
  <si>
    <t>Nemateriālie ieguldījumi (izmaksas par licencēm un programmām gadā / kopējie izsaukumi gadā. 18000/364914 =0,05 euro x pakalpojuma skaits gadā)</t>
  </si>
  <si>
    <t>Zāles, medicīniskie materiāli (medikamentu izdevumi gadā / kopējie izsaukumi gadā. 647813/364914 = 1,78 euro x pakalpojuma skaits gadā)</t>
  </si>
  <si>
    <t>OMT uzturēšana,remonts,apdrošināšana (OMT remonta, uzturēšanas izdevumi gadā / kopējie izsaukumi gadā. 605722/364914 = 1,65 euro x pakalpojuma skaits gadā)</t>
  </si>
  <si>
    <t>Komandējumi, mācību braucieni (komandējumu izdevumi gadā / kopējie izsaukumi gadā. 31310/364914= 0,09 euro x pakalpojuma skaits gadā)</t>
  </si>
  <si>
    <t>Telpu uzturēšanas izmaksas (telpu uzturēšana  gadā / kopējie izsaukumi gadā. 300406/364914 = 0,82 euro x pakalpojuma skaits gadā)</t>
  </si>
  <si>
    <t>Nodokļu maksājumi (budžeta iestāžu nodokļu, nodevu un naudas sodu maksājumi gadā / kopējie izsaukumi gadā. 46183/364914= 0,13 euro x pakalpojuma skaits gadā)</t>
  </si>
  <si>
    <t>Zāles/medicīniskie materiāli (medikamentu izdevumi gadā / kopējie izsaukumi gadā. 647813/364914 = 1,78 + 6,91 euro x pakalpojuma skaits gadā)</t>
  </si>
  <si>
    <t>Administratīvie izdevumi (administratīvie izdevumi gadā / kopējie izsaukumi gadā. 319988/364914 =0,88 euro x pakalpojuma skaits gadā)</t>
  </si>
  <si>
    <t>Iestāžu uzturēšana/telpu kārtējais remonts (iestāžu uzturēšanas izdevumi gadā / kopējie izsaukumi gadā. 714967/364914= 1,96 euro x pakalpojuma skaits gadā)</t>
  </si>
  <si>
    <t>IT pakalpojumi (IT sistēmu uzturēšanas izdevumi gadā / kopējie izsaukumi gadā. 604971/364914 =1,66 euro x pakalpojuma skaits gadā)</t>
  </si>
  <si>
    <t>Telpu uzturēšanas izmaksas (telpu uzturēšanas izmaksas gadā / kopējie izsaukumi gadā. 300406/364914 =0,82 euro x pakalpojuma skaits gadā)</t>
  </si>
  <si>
    <t>Izdevumi par precēm iestādes darbības nodrošināšanai, inventārs, biroja preces (inventāra, biroja preču izdevumi gadā / kopējie izsaukumi gadā. 178311/364914= 0,49 euro x pakalpojuma skaits gadā)</t>
  </si>
  <si>
    <t>Zāles,medicīniskie materiāli (medikamentu izdevumi gadā / kopējie izsaukumi gadā. 647813/364914 = 1,78 + 6,91 eur x pakalpojuma skaits gadā)</t>
  </si>
  <si>
    <t>OMT uzturēšana/remonts (OMT remonta, uzturēšanas izdevumi gadā / kopējie izsaukumi gadā. 605722/364914 =1,65 euro x pakalpojuma skaits gadā)</t>
  </si>
  <si>
    <t>Iestāžu uzturēšana/telpu kārtējais remonts (iestāžu uzturēšanas izdevumi gadā / kopējie izsaukumi gadā.714967/364914 = 1,96 euro x pakalpojuma skaits gadā)</t>
  </si>
  <si>
    <t>IT pakalpojumi (IT sistēmu uzturēšanas izdevumi gadā / kopējie izsaukumi gadā. 604971/364914= 1,66 euro x pakalpojuma skaits gadā)</t>
  </si>
  <si>
    <t>Telpu uzturēšanas izmaksas  (telpu uzturēšanas izmaksas gadā / kopējie izsaukumi gadā. 300406/364914 = 0,82 euro x pakalpojuma skaits gadā)</t>
  </si>
  <si>
    <t>OMT amortizācija (OMT amortizācija 1,12 euro/h x plānotais pakalpojumu skaits), medicīniskā aprīkojuma un informācijas tehnoloģiju izmaksas gadā / kopējie izsaukumi gadā. 332513/364914 =0,91 euro x pakalpojumu skaits gadā</t>
  </si>
  <si>
    <t>Zāles/medicīniskie materiāli (medikamentu izdevumi gadā / kopējie izsaukumi gadā. 647813/364914= 1,78 + 9,22 eur x pakalpojuma skaits gadā)</t>
  </si>
  <si>
    <t>OMT uzturēšana,remonts (OMT remonta, uzturēšanas izdevumi gadā / kopējie izsaukumi gadā. 605722/364914= 1,65 euro x pakalpojuma skaits gadā)</t>
  </si>
  <si>
    <t>Komunālie pakalpojumi (komunālo pakalpojumu izdevumi gadā / kopējie izsaukumi gadā. 840318/364914 =2,30 euro x pakalpojuma skaits gadā)</t>
  </si>
  <si>
    <t>Administratīvie izdevumi (administratīvie izdevumi gadā / kopējie izsaukumi gadā.319988/364914 =0,88 euro x pakalpojuma skaits gadā)</t>
  </si>
  <si>
    <t>Izdevumi par precēm iestādes darbības nodrošināšanai, inventārs, biroja preces (inventāra, biroja preču izdevumi gadā / kopējie izsaukumi gadā. 178311/364914 = 0,49 eur x pakalpojuma skaits gadā)</t>
  </si>
  <si>
    <t>Zāles,medicīniskie materiāli (medikamentu izdevumi gadā / kopējie izsaukumi gadā. 647813/364914 = 1,78 + 9,22 euro x pakalpojuma skaits gadā)</t>
  </si>
  <si>
    <t>OMT rezerves daļas, iekārtu rezerves daļas (OMT rezerves daļu, iekārtu rezerves daļu izdevumi gadā / kopējie izsaukumi gadā. 544867/364914= 1,49 euro x pakalpojuma skaits gadā)</t>
  </si>
  <si>
    <t>Telpu uzturēšanas izmaksas (telpu uzturēšanas izmaksas gadā / kopējie izsaukumi gadā. 300406/364914= 0,82 euor x pakalpojuma skaits gadā)</t>
  </si>
  <si>
    <t>Zāles/medicīniskie materiāli (medikamentu izdevumi gadā / kopējie izsaukumi gadā. 647813/364914 = 1,78 + 11,52 eur x pakalpojuma skaits gadā)</t>
  </si>
  <si>
    <t>OMT rezerves daļas, iekārtu rezerves daļas (OMT rezerves daļu, iekārtu rezerves daļu izdevumi gadā / kopējie izsaukumi gadā.544867/364914= 1,49 euro x pakalpojuma skaits gadā)</t>
  </si>
  <si>
    <t>Komandējumi, mācību braucieni (komandējumu izdevumi gadā / kopējie izsaukumi gadā. 31310/364914 =0,09 euro x pakalpojuma skaits gadā)</t>
  </si>
  <si>
    <t>Nemateriālie ieguldījumi (izmaksas par licencēm un programmām gadā / kopējie izsaukumi gadā.18000/364914 = 0,05 euro x pakalpojuma skaits gadā)</t>
  </si>
  <si>
    <t>Sakaru pakalpojumi (sakaru un telekomunikāciju izdevumi gadā / kopējie izsaukumi gadā. 365814/364914 =1,00 euro x pakalpojuma skaits gadā)</t>
  </si>
  <si>
    <t>Zāles/medicīniskie materiāli (medikamentu izdevumi gadā / kopējie izsaukumi gadā. 647813/364914= 1,78 euro x pakalpojuma skaits gadā)</t>
  </si>
  <si>
    <t>OMT amortizācija (OMT amortizācija 1,12 euro/h x plānotais pakalpojumu skaits), medicīniskā aprīkojuma un informācijas tehnoloģiju izmaksas gadā / kopējie izsaukumi gadā. 332513/364914 = 0,91euro x pakalpojumu skaits gadā</t>
  </si>
  <si>
    <t>Zāles/medicīniskie materiāli (medikamentu izdevumi gadā / kopējie izsaukumi gadā. 647813/364914 = 1,78 + 6,91 eur x pakalpojuma skaits gadā)</t>
  </si>
  <si>
    <t>Administratīvie izdevumi (administratīvie izdevumi gadā / kopējie izsaukumi gadā. 319988/364914 = 0,88 eur x pakalpojuma skaits gadā)</t>
  </si>
  <si>
    <r>
      <rPr>
        <b/>
        <sz val="12"/>
        <rFont val="Times New Roman"/>
        <family val="1"/>
        <charset val="186"/>
      </rPr>
      <t>Iestāde:</t>
    </r>
    <r>
      <rPr>
        <sz val="12"/>
        <rFont val="Times New Roman"/>
        <family val="1"/>
        <charset val="186"/>
      </rPr>
      <t xml:space="preserve"> Neatliekamās medicīniskās palīdzības dienests</t>
    </r>
  </si>
  <si>
    <t>Zāles/medicīniskie materiāli (medikamentu izdevumi gadā / kopējie izsaukumi gadā. 647813/364914 = 1,78+ 9,22 euro x pakalpojuma skaits gadā)</t>
  </si>
  <si>
    <t>OMT uzturēšana/remonts (OMT remonta,uzturēšanas izdevumi gadā / kopējie izsaukumi gadā. 605722/364914 = 1,65 euro x pakalpojuma skaits gadā)</t>
  </si>
  <si>
    <t>Degviela  (vidējais nobraukums vienā izsaukumā 50 km, degvielas patēriņš 15 L/100 km, cena 1,07 eur/L. 15/100 x 50 x 1,07 = 8,03 x plānotais pakalpojumu skaits)</t>
  </si>
  <si>
    <t>IT pakalpojumi (IT sistēmu uzturēšanas izdevumi gadā / kopējie izsaukumi gadā. 604971/364914 = 1,66 eur x pakalpojuma skaits gadā)</t>
  </si>
  <si>
    <t>Degviela  (vidējais nobraukums vienā izsaukumā 60 km, degvielas patēriņš 15 L/100 km, cena 1,07 eur/L. 15/100 x 50 x 1,07 = 8,03 x plānotais pakalpojumu skaits)</t>
  </si>
  <si>
    <t>Zāles/medicīniskie materiāli (medikamentu izdevumi gadā / kopējie izsaukumi gadā. 647813/364914= 1,78 + 9,22 euro x pakalpojuma skaits gadā)</t>
  </si>
  <si>
    <t>Administratīvie izdevumi (administratīvie izdevumi gadā / kopējie izsaukumi gadā.319988/364914 = 0,88 euro x pakalpojuma skaits gadā)</t>
  </si>
  <si>
    <t>Telpu uzturēšanas izmaksas (telpu uzturēšanas izmaksas gadā / kopējie izsaukumi gadā. 300406/364914= 0,82 euro x pakalpojuma skaits gadā)</t>
  </si>
  <si>
    <t>Komunālie pakalpojumi (komunālo pakalpojumu izdevumi gadā / kopējie izsaukumi gadā.840318/364914 = 2,30 euro x pakalpojuma skaits gadā)</t>
  </si>
  <si>
    <t>Zāles/medicīniskie materiāli (medikamentu izdevumi gadā / kopējie izsaukumi gadā. 647813/364914 = 1,78 euro x pakalpojuma skaits gadā)</t>
  </si>
  <si>
    <t>Iestāžu uzturēšana/telpu kārtējais remonts (iestāžu uzturēšanas izdevumi gadā / kopējie izsaukumi gadā. 714967/364914 =1,96 euro x pakalpojuma skaits gadā)</t>
  </si>
  <si>
    <t>Sakaru pakalpojumi (sakaru un telekomunikāciju izdevumi gadā / kopējie izsaukumi gadā. 365814/364914 = 1,00 euro x pakalpojumu skaits gadā)</t>
  </si>
  <si>
    <t>Zāles/medicīniskie materiāli (medikamentu izdevumi gadā / kopējie izsaukumi gadā. 647813/364914 =1,78+27,58 euro x pakalpojuma skaits gadā)</t>
  </si>
  <si>
    <t>OMT uzturēšana/remonts/apdrošināšana (OMT remonta, apdrošināšanas izdevumi gadā / kopējie izsaukumi gadā. 605722/364914= 1,65 euro x pakalpojuma skaits gadā)</t>
  </si>
  <si>
    <t>Degviela (degvielas patēriņš 14 L/100 km, vidējā DD degvielas cena Eiropā uz 29.03.2021. - 1,242 euro/L, 14/100 x 1,242 = 0,17 euro/1 km)</t>
  </si>
  <si>
    <t>OMT uzturēšana/remonts (OMT vienas regulārās apkopes vidējās izmaksas 866,52 euro= 0,08 euro xgb)</t>
  </si>
  <si>
    <t>Komunālie pakalpojumi (komunālo pakalpojumu izdevumi gadā / kopējie izsaukumi gadā. 840318/364914= 2,30 euro x pakalpojuma skaits gadā)</t>
  </si>
  <si>
    <t>Zāles/medicīniskie materiāli (medikamentu izdevumi gadā / kopējie izsaukumi gadā. 647813/364914 = 1,78 + 9,22 euro x pakalpojuma skaits gadā)</t>
  </si>
  <si>
    <t>OMT uzturēšana/remonts (OMT remonta, uzturēšanas izdevumi gadā / kopējie izsaukumi gadā. 605722/364914= 1,65 euro x pakalpojuma skaits gadā)</t>
  </si>
  <si>
    <t>Izdevumi par precēm iestādes darbības nodrošināšanai, inventārs, biroja preces (inventāra, biroja preču izdevumi gadā / kopējie izsaukumi gadā. 178311/364914 =0,49 euro x pakalpojuma skaits gadā)</t>
  </si>
  <si>
    <t>Zāles/medicīniskie materiāli (medikamentu izdevumi gadā / kopējie izsaukumi gadā. 647813/364914 = 1,78 + 9,22 eur x pakalpojuma skaits gadā)</t>
  </si>
  <si>
    <t>OMT uzturēšana, remonts (OMT remonta, uzturēšanas izdevumi gadā / kopējie izsaukumi gadā. 605722/364914 = 1,65 euro x pakalpojuma skaits gadā)</t>
  </si>
  <si>
    <t>Atalgojums darbiniekam (5% no iesaistītā darbinieka atalgojuma = 1035 euro x 5%=51,75euro)</t>
  </si>
  <si>
    <t>Pārējie pamatlīdzekļi (amortizācija - dators, portatīvais dators, projektors, TV un DVD, 0,29 eur/st. x pakalpojumu skaits gadā)</t>
  </si>
  <si>
    <t>Pārējie pamatlīdzekļi (amortizācija - dators, portatīvais dators, projektors, TV un DVD, 0,20 eur/st. x stundu skaits 16 x pakalpojumu skaits gadā)</t>
  </si>
  <si>
    <r>
      <t xml:space="preserve">Maksas pakalpojuma izcenojums (euro) </t>
    </r>
    <r>
      <rPr>
        <i/>
        <sz val="12"/>
        <rFont val="Times New Roman"/>
        <family val="1"/>
        <charset val="186"/>
      </rPr>
      <t>(pakalpojuma izmaksas kopā, dalītas ar maksas pakalpojuma vienību skaitu noteiktā laikaposmā)</t>
    </r>
  </si>
  <si>
    <t>Degviela  (vidējais nobraukums vienā izsaukumā 34 km, degvielas patēriņš 15 L/100 km, cena 1,07 euro/L. 15/100 x 34 x 1,07 = 5,46 x plānotais pakalpojumu skaits)</t>
  </si>
  <si>
    <t>Atalgojums citiem darbiniekiem (atbalsta personāla atalgojums 0,11% no brigāžu personāla. 0,11 x pakalpojumu skaits gadā)</t>
  </si>
  <si>
    <t>Plānotais pakalpojuma sniegšanas vienību skaits: 24</t>
  </si>
  <si>
    <t>Plānotais pakalpojuma sniegšanas vienību skaits: 10000</t>
  </si>
  <si>
    <t>Maksas pakalpojuma veids:
1.1.Neatliekamās medicīniskās palīdzības brigādes izsaukums pie personas medicīniskās palīdzības sniegšanai, kas nav uzskatāma par neatliekamu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</si>
  <si>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1.2. Neatliekamās medicīniskās palīdzības brigādes izsaukums pie personas, kura nesaņem no valsts budžeta apmaksātus veselības aprūpes pakalpojumus, neatliekamās medicīniskās palīdzības sniegšanai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</si>
  <si>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1.3. Pacienta transportēšana uz nākamo tuvāko stacionāru, kurā var sniegt atbilstošu neatliekamo medicīnisko palīdzību, pēc pacienta pieprasījuma, ja pacientam nav medicīnisku kontrindikāciju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</si>
  <si>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2.1. Neatliekamās palīdzības ārsta palīga brigādes (divi neatliekamās palīdzības ārsta palīgi,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</si>
  <si>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2.2. Neatliekamās palīdzības ārsta palīga brigādes (divi neatliekamās palīdzības ārsta palīgi,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</si>
  <si>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2.3. Intensīvās terapijas/neatliekamās medicīnas palīdzības ārsta brigādes (neatliekamās medicīnas (palīdzības) ārsts,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</si>
  <si>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2.4. Intensīvās terapijas/neatliekamās medicīnas palīdzības ārsta brigādes (neatliekamās medicīnas (palīdzības) ārsts,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</si>
  <si>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2.5. Specializētās brigādes (ārsts speciālists,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</si>
  <si>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2.6. Specializētās brigādes (ārsts speciālists,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</si>
  <si>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2.7. Reanimācijas brigādes (anesteziologs–reanimatologs, neatliekamās palīdzības ārsta palīgs, operatīvais medicīniskais transportlīdzeklis un tā vadītājs) izsaukums Latvijas robežās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</si>
  <si>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2.8. Reanimācijas brigādes (anesteziologs–reanimatologs, neatliekamās palīdzības ārsta palīgs, operatīvais medicīniskais transportlīdzeklis un tā vadītājs) izsaukums ārpus Latvijas robežām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</si>
  <si>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3.1. Neatliekamās medicīniskās palīdzības ārsta palīga brigādes (divi neatliekamās palīdzības ārsta palīgi,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</si>
  <si>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3.2. Intensīvās terapijas/neatliekamās medicīnas palīdzības ārsta brigādes (neatliekamās medicīnas (palīdzības) ārsts, neatliekamās palīdzības ārsta palīgs, operatīvais medicīniskais transportlīdzeklis un tā vadītājs)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</si>
  <si>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3.3. Specializētā brigādes (ārsts speciālists,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</si>
  <si>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3.4. Reanimācijas brigādes (anesteziologs–reanimatologs, neatliekamās palīdzības ārsta palīgs, operatīvais medicīniskais transportlīdzeklis un tā vadītājs) izsaukums</t>
    </r>
  </si>
  <si>
    <r>
      <rPr>
        <b/>
        <sz val="12"/>
        <rFont val="Times New Roman"/>
        <family val="1"/>
        <charset val="186"/>
      </rPr>
      <t>Maksas pakalpojuma veids:</t>
    </r>
    <r>
      <rPr>
        <sz val="12"/>
        <rFont val="Times New Roman"/>
        <family val="1"/>
        <charset val="186"/>
      </rPr>
      <t xml:space="preserve"> 
</t>
    </r>
    <r>
      <rPr>
        <b/>
        <sz val="12"/>
        <rFont val="Times New Roman"/>
        <family val="1"/>
      </rPr>
      <t>4.1. Anesteziologa– reanimatologa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</si>
  <si>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4.2. Ārsta speciālista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</si>
  <si>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4.3. Neatliekamās medicīnas (palīdzības) ārsta nodrošināšana, neizmantojot operatīvo medicīnisko transportlīdzekli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</si>
  <si>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4.4. Neatliekamās palīdzības ārsta palīga nodrošināšana, neizmantojot operatīvo medicīnisko transportlīdzekli (izsaukums)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</si>
  <si>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4.5. Operatīvā medicīniskā transportlīdzekļa izmantošana (ar tā vadītāju) (izsaukums) </t>
    </r>
  </si>
  <si>
    <t>E5200</t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</si>
  <si>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4.6. Papildu anesteziologa–reanimatologa piesaistīšana (izsaukums) </t>
    </r>
  </si>
  <si>
    <r>
      <t xml:space="preserve">Maksas pakalpojuma veids:
</t>
    </r>
    <r>
      <rPr>
        <b/>
        <sz val="12"/>
        <color theme="1"/>
        <rFont val="Times New Roman"/>
        <family val="1"/>
      </rPr>
      <t>4.7. Papildu ārsta speciālista/neatliekamās medicīnas palīdzības ārsta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</si>
  <si>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4.8. Papildu neatliekamās palīdzības ārsta palīga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</si>
  <si>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4.9. Papildu operatīvā medicīniskā transportlīdzekļa vadītāja piesaistīšana (izsaukums)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</si>
  <si>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4.10. Medicīniskās palīdzības sniegšanas vietas (medpunkta) izveidošana un medicīniskās palīdzības nodrošināšana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</si>
  <si>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4.11. Operatīvā medicīniskā transportlīdzekļa degvielas izmaksas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</si>
  <si>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5.1. Reanimācijas brigādes (anesteziologs–reanimatologs,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</si>
  <si>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5.2. Ārsta speciālista (ārsts speciālists,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</si>
  <si>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5.3. Ārsta speciālista izsaukums, neizmantojot operatīvo medicīnisko transportlīdzekli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</si>
  <si>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5.4. Intensīvās terapijas/neatliekamās medicīnas palīdzības ārsta brigādes (neatliekamās medicīnas (palīdzības) ārsts, neatliekamās palīdzības ārsta palīgs, operatīvais medicīniskais transportlīdzeklis un tā vadītājs) izsaukums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</si>
  <si>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5.5. Ārsta/NMP dienesta speciālista telefona konsultācija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</si>
  <si>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6.1. Ārstniecības personu praktisko iemaņu pilnveide neatliekamās medicīniskās palīdzības sniegšanā un organizēšanā NMP brigādes sastāvā vai Operatīvās vadības centrā (viena persona/stundas)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</si>
  <si>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6.2. Prakses nodrošināšana personai, kura apgūst izglītības programmu neatliekamās medicīniskās palīdzības sniegšanā un organizēšanā, sertificēta neatliekamās medicīnas (palīdzības) ārsta vadībā (kontaktstundas)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</si>
  <si>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6.3. Prakses nodrošināšana personai, kura apgūst izglītības programmu neatliekamās medicīniskās palīdzības sniegšanā un organizēšanā, sertificēta neatliekamās palīdzības ārsta palīga vadībā (kontaktstundas) 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</si>
  <si>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6.4. Izziņas (medicīniskās) sagatavošana privātpersonām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</si>
  <si>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6.5. Pirmās palīdzības pasniedzēju apmācības kurss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</si>
  <si>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
</t>
    </r>
    <r>
      <rPr>
        <b/>
        <sz val="12"/>
        <color theme="1"/>
        <rFont val="Times New Roman"/>
        <family val="1"/>
      </rPr>
      <t xml:space="preserve">6.5.1.Pirmās palīdzības pasniedzēju kvalifikācijas paaugstināšanas seminārs (1 diena </t>
    </r>
    <r>
      <rPr>
        <b/>
        <sz val="12"/>
        <rFont val="Times New Roman"/>
        <family val="1"/>
      </rPr>
      <t>4h)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rFont val="Times New Roman"/>
        <family val="1"/>
      </rPr>
      <t>klātiene</t>
    </r>
  </si>
  <si>
    <t>Administratīvie izdevumi  (kafijas pauze 25 dalībniekiem, 3 pasniedzējiem,1 reizes. 2,5 eur x 28 x 1 = 70/25 = 2,80 eur x pakalpojumu skaits gadā)</t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</si>
  <si>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>6.5.2. Pirmās palīdzības pasniedzēju kvalifikācijas paaugstināšanas seminārs (1 diena</t>
    </r>
    <r>
      <rPr>
        <b/>
        <sz val="12"/>
        <rFont val="Times New Roman"/>
        <family val="1"/>
      </rPr>
      <t xml:space="preserve"> 4h</t>
    </r>
    <r>
      <rPr>
        <b/>
        <sz val="12"/>
        <color theme="1"/>
        <rFont val="Times New Roman"/>
        <family val="1"/>
      </rPr>
      <t xml:space="preserve">) </t>
    </r>
    <r>
      <rPr>
        <b/>
        <sz val="12"/>
        <rFont val="Times New Roman"/>
        <family val="1"/>
      </rPr>
      <t>attālināti</t>
    </r>
  </si>
  <si>
    <r>
      <rPr>
        <b/>
        <sz val="12"/>
        <color theme="1"/>
        <rFont val="Times New Roman"/>
        <family val="1"/>
        <charset val="186"/>
      </rPr>
      <t xml:space="preserve">Maksas pakalpojuma veids:
</t>
    </r>
    <r>
      <rPr>
        <b/>
        <sz val="12"/>
        <color theme="1"/>
        <rFont val="Times New Roman"/>
        <family val="1"/>
      </rPr>
      <t xml:space="preserve">6.6. Pirmās palīdzības pasniedzēju kvalifikācijas paaugstināšanas seminārs (1 diena) </t>
    </r>
    <r>
      <rPr>
        <b/>
        <sz val="12"/>
        <rFont val="Times New Roman"/>
        <family val="1"/>
      </rPr>
      <t>klātiene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</si>
  <si>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 xml:space="preserve">6.6.1.Pirmās palīdzības pasniedzēju kvalifikācijas paaugstināšanas seminārs (1 diena) </t>
    </r>
    <r>
      <rPr>
        <b/>
        <sz val="12"/>
        <rFont val="Times New Roman"/>
        <family val="1"/>
      </rPr>
      <t>attālināti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</si>
  <si>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6.7. Pirmās palīdzības pasniedzēju kvalifikācijas paaugstināšanas seminārs (2 dienas)</t>
    </r>
    <r>
      <rPr>
        <b/>
        <sz val="12"/>
        <color rgb="FFFF0000"/>
        <rFont val="Times New Roman"/>
        <family val="1"/>
      </rPr>
      <t xml:space="preserve"> </t>
    </r>
    <r>
      <rPr>
        <b/>
        <sz val="12"/>
        <rFont val="Times New Roman"/>
        <family val="1"/>
      </rPr>
      <t>klātiene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</si>
  <si>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6.8. Tiesību piešķiršana nodarboties ar apmācību pirmās palīdzības sniegšanā juridiskām personām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</si>
  <si>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6.9. Atkārtota tiesību piešķiršana nodarboties ar apmācību pirmās palīdzības sniegšanā juridiskām personām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</si>
  <si>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6.10. Tiesību piešķiršana nodarboties ar apmācību pirmās palīdzības sniegšanā fiziskām personām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</si>
  <si>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6.11. Atkārtota tiesību piešķiršana nodarboties ar apmācību pirmās palīdzības sniegšanā fiziskām personām</t>
    </r>
  </si>
  <si>
    <r>
      <rPr>
        <b/>
        <sz val="12"/>
        <rFont val="Times New Roman"/>
        <family val="1"/>
        <charset val="186"/>
      </rPr>
      <t xml:space="preserve">Maksas pakalpojuma veids:
</t>
    </r>
    <r>
      <rPr>
        <b/>
        <sz val="12"/>
        <rFont val="Times New Roman"/>
        <family val="1"/>
      </rPr>
      <t>6.11.1. Instruktora palīga, instruktora tiesību piešķiršana</t>
    </r>
  </si>
  <si>
    <r>
      <rPr>
        <b/>
        <sz val="12"/>
        <color theme="1"/>
        <rFont val="Times New Roman"/>
        <family val="1"/>
        <charset val="186"/>
      </rPr>
      <t>Maksas pakalpojuma veids:</t>
    </r>
    <r>
      <rPr>
        <sz val="12"/>
        <color theme="1"/>
        <rFont val="Times New Roman"/>
        <family val="1"/>
        <charset val="186"/>
      </rPr>
      <t xml:space="preserve"> 
</t>
    </r>
    <r>
      <rPr>
        <b/>
        <sz val="12"/>
        <color theme="1"/>
        <rFont val="Times New Roman"/>
        <family val="1"/>
      </rPr>
      <t>6.12. Apliecība par pirmās palīdzības apmācības kursu</t>
    </r>
  </si>
  <si>
    <t>2. pielikums
Ministru kabineta noteikumu projekta
 "Neatliekamās medicīniskās palīdzības dienesta
 maksas pakalpojumu cenrādis" sākotnējās 
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</si>
</sst>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0"/>
      <name val="Arial"/>
      <family val="2"/>
    </font>
    <font>
      <sz val="10"/>
      <name val="BaltHelvetica"/>
    </font>
    <font>
      <sz val="12"/>
      <color rgb="FFFF0000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2" fillId="0" borderId="0"/>
  </cellStyleXfs>
  <cellXfs count="14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6" fillId="0" borderId="0" xfId="0" applyFont="1"/>
    <xf numFmtId="0" fontId="7" fillId="0" borderId="0" xfId="0" applyFont="1"/>
    <xf numFmtId="0" fontId="2" fillId="0" borderId="0" xfId="0" applyFont="1"/>
    <xf numFmtId="0" fontId="1" fillId="2" borderId="0" xfId="0" applyFont="1" applyFill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2" fontId="6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/>
    </xf>
    <xf numFmtId="2" fontId="4" fillId="0" borderId="0" xfId="0" applyNumberFormat="1" applyFont="1"/>
    <xf numFmtId="0" fontId="13" fillId="2" borderId="0" xfId="0" applyFont="1" applyFill="1"/>
    <xf numFmtId="0" fontId="6" fillId="2" borderId="0" xfId="0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4" fontId="1" fillId="0" borderId="0" xfId="0" applyNumberFormat="1" applyFont="1"/>
    <xf numFmtId="0" fontId="1" fillId="2" borderId="0" xfId="0" applyFont="1" applyFill="1" applyAlignment="1"/>
    <xf numFmtId="4" fontId="4" fillId="0" borderId="0" xfId="0" applyNumberFormat="1" applyFont="1"/>
    <xf numFmtId="0" fontId="13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2" fontId="15" fillId="0" borderId="0" xfId="0" applyNumberFormat="1" applyFont="1" applyAlignment="1">
      <alignment horizontal="center"/>
    </xf>
    <xf numFmtId="0" fontId="17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left" vertical="center"/>
    </xf>
    <xf numFmtId="0" fontId="1" fillId="0" borderId="0" xfId="0" applyFont="1" applyFill="1"/>
    <xf numFmtId="2" fontId="1" fillId="2" borderId="0" xfId="0" applyNumberFormat="1" applyFont="1" applyFill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top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justify" vertical="top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justify" vertical="top" wrapText="1"/>
    </xf>
    <xf numFmtId="0" fontId="4" fillId="2" borderId="2" xfId="0" applyFont="1" applyFill="1" applyBorder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justify" wrapText="1"/>
    </xf>
    <xf numFmtId="4" fontId="20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/>
    </xf>
    <xf numFmtId="0" fontId="1" fillId="0" borderId="2" xfId="0" applyFont="1" applyBorder="1" applyAlignment="1">
      <alignment horizontal="justify"/>
    </xf>
    <xf numFmtId="0" fontId="1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1" fillId="2" borderId="2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2" fontId="1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2" fontId="21" fillId="0" borderId="1" xfId="0" applyNumberFormat="1" applyFont="1" applyBorder="1" applyAlignment="1">
      <alignment horizontal="center" vertical="top"/>
    </xf>
    <xf numFmtId="3" fontId="20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6">
    <cellStyle name="Normal" xfId="0" builtinId="0"/>
    <cellStyle name="Normal 2" xfId="1" xr:uid="{00000000-0005-0000-0000-000002000000}"/>
    <cellStyle name="Normal 2 2 2" xfId="2" xr:uid="{00000000-0005-0000-0000-000003000000}"/>
    <cellStyle name="Normal 3" xfId="3" xr:uid="{00000000-0005-0000-0000-000004000000}"/>
    <cellStyle name="Normal 4" xfId="4" xr:uid="{00000000-0005-0000-0000-000005000000}"/>
    <cellStyle name="Parastais_FMLikp01_p05_221205_pap_afp_makp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1539"/>
  <sheetViews>
    <sheetView tabSelected="1" topLeftCell="A19" zoomScale="90" zoomScaleNormal="90" workbookViewId="0">
      <selection activeCell="H9" sqref="H9"/>
    </sheetView>
  </sheetViews>
  <sheetFormatPr defaultColWidth="8.85546875" defaultRowHeight="15.75"/>
  <cols>
    <col min="1" max="1" width="15.5703125" style="1" customWidth="1"/>
    <col min="2" max="2" width="98.28515625" style="1" customWidth="1"/>
    <col min="3" max="3" width="19.85546875" style="1" customWidth="1"/>
    <col min="4" max="4" width="11.5703125" style="1" customWidth="1"/>
    <col min="5" max="16384" width="8.85546875" style="1"/>
  </cols>
  <sheetData>
    <row r="1" spans="1:5" ht="82.15" customHeight="1">
      <c r="A1" s="52"/>
      <c r="B1" s="94" t="s">
        <v>272</v>
      </c>
      <c r="C1" s="94"/>
    </row>
    <row r="2" spans="1:5">
      <c r="A2" s="52"/>
      <c r="B2" s="52"/>
      <c r="C2" s="52"/>
    </row>
    <row r="3" spans="1:5">
      <c r="A3" s="99" t="s">
        <v>0</v>
      </c>
      <c r="B3" s="99"/>
      <c r="C3" s="99"/>
      <c r="D3" s="5"/>
      <c r="E3" s="5"/>
    </row>
    <row r="4" spans="1:5">
      <c r="A4" s="52"/>
      <c r="B4" s="52"/>
      <c r="C4" s="52"/>
    </row>
    <row r="5" spans="1:5">
      <c r="A5" s="100" t="s">
        <v>12</v>
      </c>
      <c r="B5" s="100"/>
      <c r="C5" s="100"/>
    </row>
    <row r="6" spans="1:5" ht="48" customHeight="1">
      <c r="A6" s="101" t="s">
        <v>223</v>
      </c>
      <c r="B6" s="101"/>
      <c r="C6" s="101"/>
    </row>
    <row r="7" spans="1:5">
      <c r="A7" s="100" t="s">
        <v>1</v>
      </c>
      <c r="B7" s="100"/>
      <c r="C7" s="100"/>
    </row>
    <row r="8" spans="1:5">
      <c r="A8" s="102" t="s">
        <v>118</v>
      </c>
      <c r="B8" s="102"/>
    </row>
    <row r="9" spans="1:5">
      <c r="A9" s="39"/>
      <c r="B9" s="39"/>
    </row>
    <row r="10" spans="1:5" ht="78.75">
      <c r="A10" s="43" t="s">
        <v>2</v>
      </c>
      <c r="B10" s="43" t="s">
        <v>3</v>
      </c>
      <c r="C10" s="43" t="s">
        <v>4</v>
      </c>
    </row>
    <row r="11" spans="1:5" ht="16.149999999999999" customHeight="1">
      <c r="A11" s="95" t="s">
        <v>5</v>
      </c>
      <c r="B11" s="95"/>
      <c r="C11" s="95"/>
      <c r="D11" s="12"/>
    </row>
    <row r="12" spans="1:5" ht="31.5">
      <c r="A12" s="103">
        <v>1110</v>
      </c>
      <c r="B12" s="44" t="s">
        <v>63</v>
      </c>
      <c r="C12" s="45">
        <f>((16.68+10.28)/2)*C39</f>
        <v>11997.2</v>
      </c>
      <c r="D12" s="13"/>
    </row>
    <row r="13" spans="1:5">
      <c r="A13" s="103"/>
      <c r="B13" s="44" t="s">
        <v>64</v>
      </c>
      <c r="C13" s="45">
        <f>10.28*C39</f>
        <v>9149.1999999999989</v>
      </c>
      <c r="D13" s="9"/>
    </row>
    <row r="14" spans="1:5">
      <c r="A14" s="103"/>
      <c r="B14" s="44" t="s">
        <v>65</v>
      </c>
      <c r="C14" s="45">
        <f>7.59*C39</f>
        <v>6755.0999999999995</v>
      </c>
      <c r="D14" s="13"/>
    </row>
    <row r="15" spans="1:5" ht="31.5">
      <c r="A15" s="43">
        <v>1210</v>
      </c>
      <c r="B15" s="46" t="s">
        <v>62</v>
      </c>
      <c r="C15" s="47">
        <f>ROUNDUP((C12+C13+C14)*0.2359,2)</f>
        <v>6581.97</v>
      </c>
    </row>
    <row r="16" spans="1:5" ht="31.5">
      <c r="A16" s="48">
        <v>2210</v>
      </c>
      <c r="B16" s="44" t="s">
        <v>129</v>
      </c>
      <c r="C16" s="45">
        <f>ROUNDUP((365814/364914)*C39,2)</f>
        <v>892.2</v>
      </c>
    </row>
    <row r="17" spans="1:4" ht="31.5">
      <c r="A17" s="48">
        <v>2340</v>
      </c>
      <c r="B17" s="44" t="s">
        <v>130</v>
      </c>
      <c r="C17" s="45">
        <f>ROUNDUP(((647813/364914)+6.91)*C39,2)</f>
        <v>7729.88</v>
      </c>
      <c r="D17" s="15"/>
    </row>
    <row r="18" spans="1:4" ht="31.5">
      <c r="A18" s="48">
        <v>2364</v>
      </c>
      <c r="B18" s="44" t="s">
        <v>131</v>
      </c>
      <c r="C18" s="45">
        <f>ROUNDUP((397717/364914)*C39,2)</f>
        <v>970.01</v>
      </c>
    </row>
    <row r="19" spans="1:4" ht="31.5">
      <c r="A19" s="48">
        <v>2242</v>
      </c>
      <c r="B19" s="44" t="s">
        <v>132</v>
      </c>
      <c r="C19" s="45">
        <f>(605722/364914)*C39</f>
        <v>1477.3140520780237</v>
      </c>
    </row>
    <row r="20" spans="1:4" ht="31.5">
      <c r="A20" s="48">
        <v>2350</v>
      </c>
      <c r="B20" s="44" t="s">
        <v>133</v>
      </c>
      <c r="C20" s="45">
        <f>ROUNDUP((544867/364914)*C39,2)</f>
        <v>1328.9</v>
      </c>
    </row>
    <row r="21" spans="1:4" ht="31.5">
      <c r="A21" s="48">
        <v>2322</v>
      </c>
      <c r="B21" s="44" t="s">
        <v>134</v>
      </c>
      <c r="C21" s="45">
        <f>ROUNDUP(5.46*C39,2)</f>
        <v>4859.3999999999996</v>
      </c>
      <c r="D21" s="2"/>
    </row>
    <row r="22" spans="1:4">
      <c r="A22" s="96" t="s">
        <v>6</v>
      </c>
      <c r="B22" s="96"/>
      <c r="C22" s="49">
        <f>SUM(C12:C21)</f>
        <v>51741.174052078022</v>
      </c>
    </row>
    <row r="23" spans="1:4">
      <c r="A23" s="96" t="s">
        <v>7</v>
      </c>
      <c r="B23" s="96"/>
      <c r="C23" s="96"/>
    </row>
    <row r="24" spans="1:4" ht="31.5">
      <c r="A24" s="48">
        <v>1110</v>
      </c>
      <c r="B24" s="50" t="s">
        <v>66</v>
      </c>
      <c r="C24" s="45">
        <f>ROUNDUP((C12+C13+C14)*0.15,2)+1.18</f>
        <v>4186.4100000000008</v>
      </c>
      <c r="D24" s="31"/>
    </row>
    <row r="25" spans="1:4" ht="31.5">
      <c r="A25" s="48">
        <v>1210</v>
      </c>
      <c r="B25" s="44" t="s">
        <v>62</v>
      </c>
      <c r="C25" s="45">
        <f>C24*0.2359</f>
        <v>987.57411900000022</v>
      </c>
    </row>
    <row r="26" spans="1:4" ht="31.5">
      <c r="A26" s="48">
        <v>2100</v>
      </c>
      <c r="B26" s="44" t="s">
        <v>135</v>
      </c>
      <c r="C26" s="45">
        <f>ROUNDUP((31310/364914)*C39,2)</f>
        <v>76.37</v>
      </c>
    </row>
    <row r="27" spans="1:4" ht="31.5">
      <c r="A27" s="48">
        <v>2220</v>
      </c>
      <c r="B27" s="44" t="s">
        <v>136</v>
      </c>
      <c r="C27" s="45">
        <f>ROUNDUP((840318/364914)*C39,2)</f>
        <v>2049.48</v>
      </c>
    </row>
    <row r="28" spans="1:4" ht="31.5">
      <c r="A28" s="48">
        <v>2230</v>
      </c>
      <c r="B28" s="44" t="s">
        <v>137</v>
      </c>
      <c r="C28" s="45">
        <f>ROUNDUP((319988/364914)*C39,2)</f>
        <v>780.43</v>
      </c>
    </row>
    <row r="29" spans="1:4" ht="31.5">
      <c r="A29" s="48">
        <v>2240</v>
      </c>
      <c r="B29" s="51" t="s">
        <v>138</v>
      </c>
      <c r="C29" s="45">
        <f>ROUNDUP((714967/364914)*C39,2)</f>
        <v>1743.76</v>
      </c>
    </row>
    <row r="30" spans="1:4" ht="31.5">
      <c r="A30" s="48">
        <v>2250</v>
      </c>
      <c r="B30" s="44" t="s">
        <v>139</v>
      </c>
      <c r="C30" s="45">
        <f>ROUNDUP((604971/364914)*C39,2)</f>
        <v>1475.49</v>
      </c>
    </row>
    <row r="31" spans="1:4" ht="31.5">
      <c r="A31" s="48">
        <v>2261</v>
      </c>
      <c r="B31" s="44" t="s">
        <v>140</v>
      </c>
      <c r="C31" s="45">
        <f>ROUND((300406/364914)*C39,2)</f>
        <v>732.67</v>
      </c>
    </row>
    <row r="32" spans="1:4" ht="35.25" customHeight="1">
      <c r="A32" s="48">
        <v>2310</v>
      </c>
      <c r="B32" s="44" t="s">
        <v>141</v>
      </c>
      <c r="C32" s="45">
        <f>ROUNDUP((178311/364914)*C39,2)</f>
        <v>434.89</v>
      </c>
    </row>
    <row r="33" spans="1:7" ht="31.5">
      <c r="A33" s="48">
        <v>2510</v>
      </c>
      <c r="B33" s="44" t="s">
        <v>142</v>
      </c>
      <c r="C33" s="45">
        <f>ROUNDUP((46183/364914)*C39,2)</f>
        <v>112.64</v>
      </c>
    </row>
    <row r="34" spans="1:7" ht="31.5">
      <c r="A34" s="48">
        <v>5100</v>
      </c>
      <c r="B34" s="44" t="s">
        <v>143</v>
      </c>
      <c r="C34" s="45">
        <f>ROUNDUP((18000/364914)*C39,2)</f>
        <v>43.91</v>
      </c>
    </row>
    <row r="35" spans="1:7" ht="47.25">
      <c r="A35" s="48">
        <v>5200</v>
      </c>
      <c r="B35" s="44" t="s">
        <v>144</v>
      </c>
      <c r="C35" s="45">
        <f>1.12*C39+0.91*C39</f>
        <v>1806.7</v>
      </c>
      <c r="G35" s="2"/>
    </row>
    <row r="36" spans="1:7">
      <c r="A36" s="96" t="s">
        <v>8</v>
      </c>
      <c r="B36" s="96"/>
      <c r="C36" s="49">
        <f>SUM(C24:C35)</f>
        <v>14430.324119000001</v>
      </c>
    </row>
    <row r="37" spans="1:7">
      <c r="A37" s="104" t="s">
        <v>9</v>
      </c>
      <c r="B37" s="104"/>
      <c r="C37" s="49">
        <f>C36+C22</f>
        <v>66171.498171078027</v>
      </c>
    </row>
    <row r="38" spans="1:7">
      <c r="A38" s="7"/>
      <c r="B38" s="7"/>
      <c r="C38" s="21"/>
    </row>
    <row r="39" spans="1:7" ht="18" customHeight="1">
      <c r="A39" s="97" t="s">
        <v>10</v>
      </c>
      <c r="B39" s="98"/>
      <c r="C39" s="53">
        <v>890</v>
      </c>
    </row>
    <row r="40" spans="1:7" ht="29.45" customHeight="1">
      <c r="A40" s="97" t="s">
        <v>145</v>
      </c>
      <c r="B40" s="98"/>
      <c r="C40" s="54">
        <f>ROUND(C37/C39,2)</f>
        <v>74.349999999999994</v>
      </c>
      <c r="D40" s="26"/>
    </row>
    <row r="41" spans="1:7">
      <c r="D41" s="26"/>
    </row>
    <row r="42" spans="1:7">
      <c r="C42" s="26"/>
    </row>
    <row r="43" spans="1:7">
      <c r="A43" s="112" t="s">
        <v>0</v>
      </c>
      <c r="B43" s="112"/>
      <c r="C43" s="112"/>
      <c r="D43" s="5"/>
      <c r="E43" s="5"/>
    </row>
    <row r="45" spans="1:7">
      <c r="A45" s="113" t="s">
        <v>12</v>
      </c>
      <c r="B45" s="113"/>
      <c r="C45" s="113"/>
    </row>
    <row r="46" spans="1:7" ht="47.45" customHeight="1">
      <c r="A46" s="113" t="s">
        <v>224</v>
      </c>
      <c r="B46" s="113"/>
      <c r="C46" s="113"/>
    </row>
    <row r="47" spans="1:7">
      <c r="A47" s="113" t="s">
        <v>1</v>
      </c>
      <c r="B47" s="113"/>
      <c r="C47" s="113"/>
    </row>
    <row r="48" spans="1:7">
      <c r="A48" s="102" t="s">
        <v>119</v>
      </c>
      <c r="B48" s="102"/>
    </row>
    <row r="49" spans="1:6">
      <c r="A49" s="39"/>
      <c r="B49" s="39"/>
    </row>
    <row r="50" spans="1:6" ht="84.75" customHeight="1">
      <c r="A50" s="48" t="s">
        <v>2</v>
      </c>
      <c r="B50" s="48" t="s">
        <v>3</v>
      </c>
      <c r="C50" s="48" t="s">
        <v>4</v>
      </c>
    </row>
    <row r="51" spans="1:6" ht="15.6" customHeight="1">
      <c r="A51" s="106" t="s">
        <v>5</v>
      </c>
      <c r="B51" s="107"/>
      <c r="C51" s="108"/>
      <c r="D51" s="12"/>
      <c r="E51" s="3"/>
      <c r="F51" s="3"/>
    </row>
    <row r="52" spans="1:6">
      <c r="A52" s="105">
        <v>1110</v>
      </c>
      <c r="B52" s="44" t="s">
        <v>67</v>
      </c>
      <c r="C52" s="45">
        <f>27.97*C81</f>
        <v>22376</v>
      </c>
      <c r="D52" s="11"/>
      <c r="E52" s="11"/>
      <c r="F52" s="11"/>
    </row>
    <row r="53" spans="1:6">
      <c r="A53" s="105"/>
      <c r="B53" s="44" t="s">
        <v>64</v>
      </c>
      <c r="C53" s="45">
        <f>17.24*C81</f>
        <v>13791.999999999998</v>
      </c>
      <c r="D53" s="12"/>
      <c r="E53" s="11"/>
      <c r="F53" s="11"/>
    </row>
    <row r="54" spans="1:6">
      <c r="A54" s="105"/>
      <c r="B54" s="44" t="s">
        <v>65</v>
      </c>
      <c r="C54" s="45">
        <f>12.73*C81</f>
        <v>10184</v>
      </c>
      <c r="D54" s="12"/>
      <c r="E54" s="11"/>
      <c r="F54" s="11"/>
    </row>
    <row r="55" spans="1:6" ht="25.5" customHeight="1">
      <c r="A55" s="48">
        <v>1210</v>
      </c>
      <c r="B55" s="44" t="s">
        <v>62</v>
      </c>
      <c r="C55" s="45">
        <f>(C52+C53+C54)*0.2359</f>
        <v>10934.436799999999</v>
      </c>
    </row>
    <row r="56" spans="1:6" ht="31.5">
      <c r="A56" s="48">
        <v>2210</v>
      </c>
      <c r="B56" s="44" t="s">
        <v>129</v>
      </c>
      <c r="C56" s="45">
        <f>ROUNDUP((365814/364914)*C81,2)</f>
        <v>801.98</v>
      </c>
    </row>
    <row r="57" spans="1:6" ht="31.5">
      <c r="A57" s="48">
        <v>2340</v>
      </c>
      <c r="B57" s="44" t="s">
        <v>146</v>
      </c>
      <c r="C57" s="45">
        <f>ROUNDUP(((647813/364914)+11.52)*C81,2)</f>
        <v>10636.2</v>
      </c>
      <c r="D57" s="8"/>
    </row>
    <row r="58" spans="1:6" ht="31.5">
      <c r="A58" s="48">
        <v>2364</v>
      </c>
      <c r="B58" s="44" t="s">
        <v>131</v>
      </c>
      <c r="C58" s="45">
        <f>ROUNDUP((397717/364914)*C81,2)</f>
        <v>871.92</v>
      </c>
    </row>
    <row r="59" spans="1:6" ht="31.5">
      <c r="A59" s="48">
        <v>2242</v>
      </c>
      <c r="B59" s="44" t="s">
        <v>147</v>
      </c>
      <c r="C59" s="45">
        <f>ROUNDUP((605722/364914)*C81,2)</f>
        <v>1327.93</v>
      </c>
    </row>
    <row r="60" spans="1:6" ht="31.5">
      <c r="A60" s="48">
        <v>2350</v>
      </c>
      <c r="B60" s="44" t="s">
        <v>148</v>
      </c>
      <c r="C60" s="45">
        <f>ROUNDUP((544867/364914)*C81,2)</f>
        <v>1194.52</v>
      </c>
    </row>
    <row r="61" spans="1:6" ht="31.5">
      <c r="A61" s="48">
        <v>2322</v>
      </c>
      <c r="B61" s="44" t="s">
        <v>134</v>
      </c>
      <c r="C61" s="45">
        <f>ROUNDUP(5.46*C81,2)</f>
        <v>4368</v>
      </c>
    </row>
    <row r="62" spans="1:6">
      <c r="A62" s="109" t="s">
        <v>6</v>
      </c>
      <c r="B62" s="110"/>
      <c r="C62" s="49">
        <f>SUM(C52:C61)</f>
        <v>76486.986799999999</v>
      </c>
    </row>
    <row r="63" spans="1:6">
      <c r="A63" s="109" t="s">
        <v>7</v>
      </c>
      <c r="B63" s="111"/>
      <c r="C63" s="110"/>
    </row>
    <row r="64" spans="1:6" ht="31.15" customHeight="1">
      <c r="A64" s="48">
        <v>1110</v>
      </c>
      <c r="B64" s="50" t="s">
        <v>68</v>
      </c>
      <c r="C64" s="45">
        <f>ROUNDDOWN((C52+C53+C54)*0.25,2)-1.18</f>
        <v>11586.82</v>
      </c>
      <c r="D64" s="29"/>
    </row>
    <row r="65" spans="1:7" ht="27" customHeight="1">
      <c r="A65" s="48">
        <v>1210</v>
      </c>
      <c r="B65" s="57" t="s">
        <v>62</v>
      </c>
      <c r="C65" s="45">
        <f>ROUNDUP(C64*0.2359,2)</f>
        <v>2733.34</v>
      </c>
    </row>
    <row r="66" spans="1:7" ht="31.5">
      <c r="A66" s="48">
        <v>2100</v>
      </c>
      <c r="B66" s="44" t="s">
        <v>135</v>
      </c>
      <c r="C66" s="45">
        <f>ROUNDUP((31310/364914)*C81,2)</f>
        <v>68.650000000000006</v>
      </c>
      <c r="E66" s="6"/>
    </row>
    <row r="67" spans="1:7" ht="31.5">
      <c r="A67" s="48">
        <v>2220</v>
      </c>
      <c r="B67" s="44" t="s">
        <v>136</v>
      </c>
      <c r="C67" s="45">
        <f>ROUNDUP((840318/364914)*C81,2)</f>
        <v>1842.23</v>
      </c>
    </row>
    <row r="68" spans="1:7" ht="31.5">
      <c r="A68" s="48">
        <v>2230</v>
      </c>
      <c r="B68" s="44" t="s">
        <v>149</v>
      </c>
      <c r="C68" s="45">
        <f>ROUNDUP((319988/364914)*C81,2)</f>
        <v>701.51</v>
      </c>
    </row>
    <row r="69" spans="1:7" ht="31.5">
      <c r="A69" s="48">
        <v>2240</v>
      </c>
      <c r="B69" s="51" t="s">
        <v>150</v>
      </c>
      <c r="C69" s="45">
        <f>ROUNDUP((714967/364914)*C81,2)</f>
        <v>1567.43</v>
      </c>
    </row>
    <row r="70" spans="1:7" ht="31.5">
      <c r="A70" s="48">
        <v>2250</v>
      </c>
      <c r="B70" s="44" t="s">
        <v>139</v>
      </c>
      <c r="C70" s="45">
        <f>ROUNDUP((604971/364914)*C81,2)</f>
        <v>1326.28</v>
      </c>
    </row>
    <row r="71" spans="1:7" ht="33" customHeight="1">
      <c r="A71" s="48">
        <v>2261</v>
      </c>
      <c r="B71" s="44" t="s">
        <v>140</v>
      </c>
      <c r="C71" s="45">
        <f>ROUNDUP((300406/364914)*C81,2)</f>
        <v>658.58</v>
      </c>
    </row>
    <row r="72" spans="1:7" ht="38.25" customHeight="1">
      <c r="A72" s="48">
        <v>2310</v>
      </c>
      <c r="B72" s="44" t="s">
        <v>141</v>
      </c>
      <c r="C72" s="60">
        <f>ROUNDUP((178311/364914)*C81,2)</f>
        <v>390.92</v>
      </c>
    </row>
    <row r="73" spans="1:7" ht="31.5">
      <c r="A73" s="48">
        <v>2510</v>
      </c>
      <c r="B73" s="44" t="s">
        <v>142</v>
      </c>
      <c r="C73" s="45">
        <f>ROUNDUP((46423/364914)*C81,2)</f>
        <v>101.78</v>
      </c>
    </row>
    <row r="74" spans="1:7">
      <c r="A74" s="48">
        <v>2000</v>
      </c>
      <c r="B74" s="51" t="s">
        <v>127</v>
      </c>
      <c r="C74" s="60">
        <f>48.28*C81</f>
        <v>38624</v>
      </c>
    </row>
    <row r="75" spans="1:7" ht="31.5">
      <c r="A75" s="48">
        <v>5100</v>
      </c>
      <c r="B75" s="44" t="s">
        <v>143</v>
      </c>
      <c r="C75" s="45">
        <f>ROUNDUP((18000/364914)*C81,2)</f>
        <v>39.47</v>
      </c>
    </row>
    <row r="76" spans="1:7" ht="47.25">
      <c r="A76" s="48">
        <v>5200</v>
      </c>
      <c r="B76" s="44" t="s">
        <v>144</v>
      </c>
      <c r="C76" s="45">
        <f>1.12*C81+0.91*C81</f>
        <v>1624</v>
      </c>
      <c r="G76" s="2"/>
    </row>
    <row r="77" spans="1:7">
      <c r="A77" s="106" t="s">
        <v>8</v>
      </c>
      <c r="B77" s="108"/>
      <c r="C77" s="49">
        <f>SUM(C64:C76)</f>
        <v>61265.009999999995</v>
      </c>
      <c r="E77" s="38"/>
      <c r="F77" s="38"/>
    </row>
    <row r="78" spans="1:7">
      <c r="A78" s="106" t="s">
        <v>9</v>
      </c>
      <c r="B78" s="108"/>
      <c r="C78" s="49">
        <f>C77+C62</f>
        <v>137751.99679999999</v>
      </c>
      <c r="E78" s="6"/>
      <c r="F78" s="6"/>
    </row>
    <row r="79" spans="1:7">
      <c r="A79" s="7"/>
      <c r="B79" s="7"/>
      <c r="C79" s="21"/>
      <c r="E79" s="6"/>
      <c r="F79" s="6"/>
    </row>
    <row r="80" spans="1:7">
      <c r="A80" s="7"/>
      <c r="B80" s="7"/>
      <c r="C80" s="21"/>
      <c r="E80" s="6"/>
      <c r="F80" s="6"/>
    </row>
    <row r="81" spans="1:6">
      <c r="A81" s="97" t="s">
        <v>10</v>
      </c>
      <c r="B81" s="98"/>
      <c r="C81" s="63">
        <v>800</v>
      </c>
      <c r="E81" s="6"/>
      <c r="F81" s="6"/>
    </row>
    <row r="82" spans="1:6" ht="31.9" customHeight="1">
      <c r="A82" s="97" t="s">
        <v>145</v>
      </c>
      <c r="B82" s="98"/>
      <c r="C82" s="64">
        <f>ROUND(C78/C81,2)</f>
        <v>172.19</v>
      </c>
      <c r="D82" s="26"/>
      <c r="E82" s="6"/>
      <c r="F82" s="6"/>
    </row>
    <row r="85" spans="1:6">
      <c r="A85" s="112" t="s">
        <v>0</v>
      </c>
      <c r="B85" s="112"/>
      <c r="C85" s="112"/>
      <c r="D85" s="5"/>
      <c r="E85" s="5"/>
    </row>
    <row r="87" spans="1:6">
      <c r="A87" s="113" t="s">
        <v>12</v>
      </c>
      <c r="B87" s="113"/>
      <c r="C87" s="113"/>
    </row>
    <row r="88" spans="1:6" ht="49.9" customHeight="1">
      <c r="A88" s="97" t="s">
        <v>225</v>
      </c>
      <c r="B88" s="97"/>
      <c r="C88" s="97"/>
    </row>
    <row r="89" spans="1:6">
      <c r="A89" s="97" t="s">
        <v>151</v>
      </c>
      <c r="B89" s="97"/>
      <c r="C89" s="97"/>
    </row>
    <row r="90" spans="1:6">
      <c r="A90" s="114" t="s">
        <v>120</v>
      </c>
      <c r="B90" s="114"/>
      <c r="C90" s="7"/>
    </row>
    <row r="91" spans="1:6">
      <c r="A91" s="40"/>
      <c r="B91" s="40"/>
      <c r="C91" s="7"/>
    </row>
    <row r="92" spans="1:6" ht="92.25" customHeight="1">
      <c r="A92" s="48" t="s">
        <v>2</v>
      </c>
      <c r="B92" s="48" t="s">
        <v>3</v>
      </c>
      <c r="C92" s="48" t="s">
        <v>4</v>
      </c>
    </row>
    <row r="93" spans="1:6" ht="15.6" customHeight="1">
      <c r="A93" s="106" t="s">
        <v>5</v>
      </c>
      <c r="B93" s="107"/>
      <c r="C93" s="108"/>
      <c r="E93" s="3"/>
    </row>
    <row r="94" spans="1:6">
      <c r="A94" s="105">
        <v>1110</v>
      </c>
      <c r="B94" s="44" t="s">
        <v>64</v>
      </c>
      <c r="C94" s="45">
        <f>10.28*C121</f>
        <v>2261.6</v>
      </c>
      <c r="D94" s="10"/>
      <c r="E94" s="11"/>
    </row>
    <row r="95" spans="1:6">
      <c r="A95" s="105"/>
      <c r="B95" s="44" t="s">
        <v>64</v>
      </c>
      <c r="C95" s="45">
        <f>10.28*C121</f>
        <v>2261.6</v>
      </c>
      <c r="D95" s="3"/>
      <c r="E95" s="11"/>
    </row>
    <row r="96" spans="1:6">
      <c r="A96" s="105"/>
      <c r="B96" s="44" t="s">
        <v>65</v>
      </c>
      <c r="C96" s="45">
        <f>7.59*C121</f>
        <v>1669.8</v>
      </c>
      <c r="D96" s="3"/>
      <c r="E96" s="11"/>
    </row>
    <row r="97" spans="1:5" ht="22.5" customHeight="1">
      <c r="A97" s="48">
        <v>1210</v>
      </c>
      <c r="B97" s="44" t="s">
        <v>62</v>
      </c>
      <c r="C97" s="45">
        <f>(C94+C95+C96)*0.2359</f>
        <v>1460.9286999999999</v>
      </c>
    </row>
    <row r="98" spans="1:5" ht="31.5">
      <c r="A98" s="48">
        <v>2210</v>
      </c>
      <c r="B98" s="44" t="s">
        <v>129</v>
      </c>
      <c r="C98" s="45">
        <f>ROUNDUP((365814/364914)*C121,2)</f>
        <v>220.54999999999998</v>
      </c>
    </row>
    <row r="99" spans="1:5" ht="32.450000000000003" customHeight="1">
      <c r="A99" s="48">
        <v>2364</v>
      </c>
      <c r="B99" s="44" t="s">
        <v>131</v>
      </c>
      <c r="C99" s="45">
        <f>(397717/364914)*C121</f>
        <v>239.77633086151806</v>
      </c>
    </row>
    <row r="100" spans="1:5" ht="31.5">
      <c r="A100" s="48">
        <v>2242</v>
      </c>
      <c r="B100" s="44" t="s">
        <v>152</v>
      </c>
      <c r="C100" s="45">
        <f>ROUNDUP((605722/364914)*C121,2)</f>
        <v>365.18</v>
      </c>
    </row>
    <row r="101" spans="1:5" ht="31.5">
      <c r="A101" s="48">
        <v>2350</v>
      </c>
      <c r="B101" s="44" t="s">
        <v>148</v>
      </c>
      <c r="C101" s="45">
        <f>(544867/364914)*C121</f>
        <v>328.49038403569057</v>
      </c>
    </row>
    <row r="102" spans="1:5" ht="38.25" customHeight="1">
      <c r="A102" s="48">
        <v>2322</v>
      </c>
      <c r="B102" s="44" t="s">
        <v>115</v>
      </c>
      <c r="C102" s="45">
        <f>ROUNDUP((15/100*72*1.07)*C121,2)</f>
        <v>2542.3200000000002</v>
      </c>
      <c r="E102" s="2"/>
    </row>
    <row r="103" spans="1:5">
      <c r="A103" s="109" t="s">
        <v>6</v>
      </c>
      <c r="B103" s="110"/>
      <c r="C103" s="49">
        <f>SUM(C94:C102)</f>
        <v>11350.245414897208</v>
      </c>
    </row>
    <row r="104" spans="1:5">
      <c r="A104" s="109" t="s">
        <v>7</v>
      </c>
      <c r="B104" s="111"/>
      <c r="C104" s="110"/>
    </row>
    <row r="105" spans="1:5" ht="30.75" customHeight="1">
      <c r="A105" s="48">
        <v>1110</v>
      </c>
      <c r="B105" s="50" t="s">
        <v>66</v>
      </c>
      <c r="C105" s="45">
        <f>ROUNDDOWN((C94+C95+C96)*0.15,2)-0.18</f>
        <v>928.7700000000001</v>
      </c>
      <c r="D105" s="31"/>
    </row>
    <row r="106" spans="1:5" ht="29.25" customHeight="1">
      <c r="A106" s="48">
        <v>1210</v>
      </c>
      <c r="B106" s="44" t="s">
        <v>62</v>
      </c>
      <c r="C106" s="45">
        <f>C105*0.2359</f>
        <v>219.09684300000004</v>
      </c>
    </row>
    <row r="107" spans="1:5" ht="37.5" customHeight="1">
      <c r="A107" s="48">
        <v>2100</v>
      </c>
      <c r="B107" s="44" t="s">
        <v>135</v>
      </c>
      <c r="C107" s="45">
        <f>(31310/364914)*C121</f>
        <v>18.876228371616325</v>
      </c>
    </row>
    <row r="108" spans="1:5" ht="34.5" customHeight="1">
      <c r="A108" s="48">
        <v>2220</v>
      </c>
      <c r="B108" s="44" t="s">
        <v>136</v>
      </c>
      <c r="C108" s="45">
        <f>(840318/364914)*C121</f>
        <v>506.61240730692708</v>
      </c>
    </row>
    <row r="109" spans="1:5" ht="37.5" customHeight="1">
      <c r="A109" s="48">
        <v>2230</v>
      </c>
      <c r="B109" s="44" t="s">
        <v>137</v>
      </c>
      <c r="C109" s="45">
        <f>(319988/364914)*C121</f>
        <v>192.91493338156386</v>
      </c>
    </row>
    <row r="110" spans="1:5" ht="38.25" customHeight="1">
      <c r="A110" s="48">
        <v>2240</v>
      </c>
      <c r="B110" s="51" t="s">
        <v>150</v>
      </c>
      <c r="C110" s="45">
        <f>(714967/364914)*C121</f>
        <v>431.04057394344971</v>
      </c>
    </row>
    <row r="111" spans="1:5" ht="36.75" customHeight="1">
      <c r="A111" s="48">
        <v>2250</v>
      </c>
      <c r="B111" s="44" t="s">
        <v>139</v>
      </c>
      <c r="C111" s="45">
        <f>(604971/364914)*C121</f>
        <v>364.7259902333152</v>
      </c>
    </row>
    <row r="112" spans="1:5" ht="35.25" customHeight="1">
      <c r="A112" s="48">
        <v>2261</v>
      </c>
      <c r="B112" s="44" t="s">
        <v>153</v>
      </c>
      <c r="C112" s="45">
        <f>ROUNDUP((300406/364914)*C121,2)</f>
        <v>181.10999999999999</v>
      </c>
    </row>
    <row r="113" spans="1:7" ht="31.5">
      <c r="A113" s="48">
        <v>2310</v>
      </c>
      <c r="B113" s="44" t="s">
        <v>154</v>
      </c>
      <c r="C113" s="45">
        <f>ROUNDUP((178311/364914)*C121,2)</f>
        <v>107.51</v>
      </c>
    </row>
    <row r="114" spans="1:7" ht="31.5">
      <c r="A114" s="48">
        <v>2510</v>
      </c>
      <c r="B114" s="44" t="s">
        <v>142</v>
      </c>
      <c r="C114" s="45">
        <f>ROUND((46183/364914)*C121,2)</f>
        <v>27.84</v>
      </c>
    </row>
    <row r="115" spans="1:7" ht="31.5">
      <c r="A115" s="48">
        <v>5100</v>
      </c>
      <c r="B115" s="44" t="s">
        <v>143</v>
      </c>
      <c r="C115" s="45">
        <f>ROUNDUP((18000/364914)*C121,2)</f>
        <v>10.86</v>
      </c>
    </row>
    <row r="116" spans="1:7" ht="47.25">
      <c r="A116" s="48">
        <v>5200</v>
      </c>
      <c r="B116" s="44" t="s">
        <v>144</v>
      </c>
      <c r="C116" s="45">
        <f>1.12*C121+0.91*C121</f>
        <v>446.6</v>
      </c>
      <c r="G116" s="2"/>
    </row>
    <row r="117" spans="1:7">
      <c r="A117" s="106" t="s">
        <v>8</v>
      </c>
      <c r="B117" s="108"/>
      <c r="C117" s="49">
        <f>SUM(C105:C116)</f>
        <v>3435.9569762368728</v>
      </c>
    </row>
    <row r="118" spans="1:7">
      <c r="A118" s="106" t="s">
        <v>9</v>
      </c>
      <c r="B118" s="108"/>
      <c r="C118" s="49">
        <f>C117+C103</f>
        <v>14786.20239113408</v>
      </c>
    </row>
    <row r="119" spans="1:7">
      <c r="A119" s="7"/>
      <c r="B119" s="7"/>
      <c r="C119" s="21"/>
    </row>
    <row r="120" spans="1:7">
      <c r="A120" s="7"/>
      <c r="B120" s="7"/>
      <c r="C120" s="21"/>
    </row>
    <row r="121" spans="1:7">
      <c r="A121" s="97" t="s">
        <v>10</v>
      </c>
      <c r="B121" s="98"/>
      <c r="C121" s="61">
        <v>220</v>
      </c>
    </row>
    <row r="122" spans="1:7" ht="30.6" customHeight="1">
      <c r="A122" s="97" t="s">
        <v>218</v>
      </c>
      <c r="B122" s="98"/>
      <c r="C122" s="62">
        <f>ROUND(C118/C121,2)</f>
        <v>67.209999999999994</v>
      </c>
      <c r="D122" s="26"/>
    </row>
    <row r="125" spans="1:7">
      <c r="A125" s="112" t="s">
        <v>0</v>
      </c>
      <c r="B125" s="112"/>
      <c r="C125" s="112"/>
      <c r="D125" s="5"/>
      <c r="E125" s="5"/>
    </row>
    <row r="127" spans="1:7">
      <c r="A127" s="113" t="s">
        <v>12</v>
      </c>
      <c r="B127" s="113"/>
      <c r="C127" s="113"/>
    </row>
    <row r="128" spans="1:7" ht="48" customHeight="1">
      <c r="A128" s="113" t="s">
        <v>226</v>
      </c>
      <c r="B128" s="113"/>
      <c r="C128" s="113"/>
    </row>
    <row r="129" spans="1:7">
      <c r="A129" s="113" t="s">
        <v>1</v>
      </c>
      <c r="B129" s="113"/>
      <c r="C129" s="113"/>
    </row>
    <row r="130" spans="1:7">
      <c r="A130" s="102" t="s">
        <v>121</v>
      </c>
      <c r="B130" s="102"/>
    </row>
    <row r="131" spans="1:7">
      <c r="A131" s="39"/>
      <c r="B131" s="39"/>
    </row>
    <row r="132" spans="1:7" ht="78.75">
      <c r="A132" s="48" t="s">
        <v>2</v>
      </c>
      <c r="B132" s="48" t="s">
        <v>3</v>
      </c>
      <c r="C132" s="48" t="s">
        <v>4</v>
      </c>
    </row>
    <row r="133" spans="1:7">
      <c r="A133" s="117" t="s">
        <v>5</v>
      </c>
      <c r="B133" s="118"/>
      <c r="C133" s="119"/>
      <c r="E133" s="12"/>
    </row>
    <row r="134" spans="1:7">
      <c r="A134" s="105">
        <v>1110</v>
      </c>
      <c r="B134" s="44" t="s">
        <v>64</v>
      </c>
      <c r="C134" s="45">
        <f>10.28*C162</f>
        <v>15419.999999999998</v>
      </c>
      <c r="D134" s="11"/>
      <c r="E134" s="12"/>
    </row>
    <row r="135" spans="1:7">
      <c r="A135" s="105"/>
      <c r="B135" s="44" t="s">
        <v>64</v>
      </c>
      <c r="C135" s="45">
        <f>10.28*C162</f>
        <v>15419.999999999998</v>
      </c>
      <c r="D135" s="12"/>
      <c r="E135" s="12"/>
    </row>
    <row r="136" spans="1:7">
      <c r="A136" s="105"/>
      <c r="B136" s="44" t="s">
        <v>65</v>
      </c>
      <c r="C136" s="45">
        <f>7.59*C162</f>
        <v>11385</v>
      </c>
      <c r="D136" s="12"/>
      <c r="E136" s="12"/>
    </row>
    <row r="137" spans="1:7" ht="31.9" customHeight="1">
      <c r="A137" s="48">
        <v>1210</v>
      </c>
      <c r="B137" s="44" t="s">
        <v>62</v>
      </c>
      <c r="C137" s="45">
        <f>(C134+C135+C136)*0.2359</f>
        <v>9960.8775000000005</v>
      </c>
    </row>
    <row r="138" spans="1:7" ht="31.5">
      <c r="A138" s="48">
        <v>2210</v>
      </c>
      <c r="B138" s="44" t="s">
        <v>129</v>
      </c>
      <c r="C138" s="45">
        <f>(365814/364914)*C162</f>
        <v>1503.6995018004243</v>
      </c>
    </row>
    <row r="139" spans="1:7" ht="31.5">
      <c r="A139" s="48">
        <v>2340</v>
      </c>
      <c r="B139" s="44" t="s">
        <v>155</v>
      </c>
      <c r="C139" s="45">
        <f>(647813/364914)*C162</f>
        <v>2662.8726220424537</v>
      </c>
    </row>
    <row r="140" spans="1:7" ht="31.5">
      <c r="A140" s="48">
        <v>2364</v>
      </c>
      <c r="B140" s="44" t="s">
        <v>131</v>
      </c>
      <c r="C140" s="45">
        <f>(397717/364914)*C162</f>
        <v>1634.8386195103506</v>
      </c>
      <c r="D140" s="6"/>
      <c r="E140" s="22"/>
      <c r="F140" s="6"/>
      <c r="G140" s="6"/>
    </row>
    <row r="141" spans="1:7" ht="31.5">
      <c r="A141" s="48">
        <v>2242</v>
      </c>
      <c r="B141" s="44" t="s">
        <v>152</v>
      </c>
      <c r="C141" s="45">
        <f>(605722/364914)*C162</f>
        <v>2489.8551439517255</v>
      </c>
      <c r="D141" s="6"/>
      <c r="E141" s="6"/>
      <c r="F141" s="6"/>
      <c r="G141" s="6"/>
    </row>
    <row r="142" spans="1:7" ht="31.5">
      <c r="A142" s="48">
        <v>2350</v>
      </c>
      <c r="B142" s="44" t="s">
        <v>148</v>
      </c>
      <c r="C142" s="45">
        <f>(544867/364914)*C162</f>
        <v>2239.7071638797088</v>
      </c>
    </row>
    <row r="143" spans="1:7" ht="31.5">
      <c r="A143" s="48">
        <v>2322</v>
      </c>
      <c r="B143" s="44" t="s">
        <v>134</v>
      </c>
      <c r="C143" s="45">
        <f>((15/100)*34*1.07)*C162</f>
        <v>8185.5</v>
      </c>
    </row>
    <row r="144" spans="1:7">
      <c r="A144" s="109" t="s">
        <v>6</v>
      </c>
      <c r="B144" s="110"/>
      <c r="C144" s="49">
        <f>SUM(C134:C143)</f>
        <v>70902.35055118466</v>
      </c>
    </row>
    <row r="145" spans="1:7">
      <c r="A145" s="109" t="s">
        <v>7</v>
      </c>
      <c r="B145" s="111"/>
      <c r="C145" s="110"/>
    </row>
    <row r="146" spans="1:7" ht="31.9" customHeight="1">
      <c r="A146" s="48">
        <v>1110</v>
      </c>
      <c r="B146" s="50" t="s">
        <v>68</v>
      </c>
      <c r="C146" s="45">
        <f>ROUNDDOWN((C134+C135+C136)*0.25,2)-2.914</f>
        <v>10553.335999999999</v>
      </c>
      <c r="D146" s="30"/>
    </row>
    <row r="147" spans="1:7" ht="31.15" customHeight="1">
      <c r="A147" s="48">
        <v>1210</v>
      </c>
      <c r="B147" s="44" t="s">
        <v>62</v>
      </c>
      <c r="C147" s="45">
        <f>C146*0.2359</f>
        <v>2489.5319623999999</v>
      </c>
    </row>
    <row r="148" spans="1:7" ht="36" customHeight="1">
      <c r="A148" s="48">
        <v>2100</v>
      </c>
      <c r="B148" s="44" t="s">
        <v>135</v>
      </c>
      <c r="C148" s="45">
        <f>(31310/364914)*C162</f>
        <v>128.70155707920222</v>
      </c>
      <c r="E148" s="6"/>
    </row>
    <row r="149" spans="1:7" ht="31.5">
      <c r="A149" s="48">
        <v>2220</v>
      </c>
      <c r="B149" s="44" t="s">
        <v>156</v>
      </c>
      <c r="C149" s="45">
        <f>ROUNDUP((840318/438912)*C162,2)</f>
        <v>2871.8300000000004</v>
      </c>
    </row>
    <row r="150" spans="1:7" ht="31.5">
      <c r="A150" s="48">
        <v>2230</v>
      </c>
      <c r="B150" s="44" t="s">
        <v>137</v>
      </c>
      <c r="C150" s="45">
        <f>(319988/364914)*C162</f>
        <v>1315.3290912379355</v>
      </c>
    </row>
    <row r="151" spans="1:7" ht="31.5">
      <c r="A151" s="48">
        <v>2240</v>
      </c>
      <c r="B151" s="51" t="s">
        <v>150</v>
      </c>
      <c r="C151" s="45">
        <f>ROUNDUP((714967/364914)*C162,2)</f>
        <v>2938.92</v>
      </c>
    </row>
    <row r="152" spans="1:7" ht="31.5">
      <c r="A152" s="48">
        <v>2250</v>
      </c>
      <c r="B152" s="44" t="s">
        <v>139</v>
      </c>
      <c r="C152" s="45">
        <f>1.66*C162</f>
        <v>2490</v>
      </c>
    </row>
    <row r="153" spans="1:7" ht="31.5">
      <c r="A153" s="48">
        <v>2261</v>
      </c>
      <c r="B153" s="44" t="s">
        <v>153</v>
      </c>
      <c r="C153" s="45">
        <f>ROUNDUP(0.82*C162,2)</f>
        <v>1230</v>
      </c>
    </row>
    <row r="154" spans="1:7" ht="31.5">
      <c r="A154" s="48">
        <v>2310</v>
      </c>
      <c r="B154" s="44" t="s">
        <v>154</v>
      </c>
      <c r="C154" s="45">
        <f>ROUNDUP(0.49*C162,2)</f>
        <v>735</v>
      </c>
    </row>
    <row r="155" spans="1:7" ht="31.5">
      <c r="A155" s="48">
        <v>2510</v>
      </c>
      <c r="B155" s="44" t="s">
        <v>142</v>
      </c>
      <c r="C155" s="45">
        <f>0.13*C162</f>
        <v>195</v>
      </c>
    </row>
    <row r="156" spans="1:7" ht="31.5">
      <c r="A156" s="48">
        <v>5100</v>
      </c>
      <c r="B156" s="44" t="s">
        <v>157</v>
      </c>
      <c r="C156" s="45">
        <f>0.05*C162</f>
        <v>75</v>
      </c>
    </row>
    <row r="157" spans="1:7" ht="47.45" customHeight="1">
      <c r="A157" s="48">
        <v>5200</v>
      </c>
      <c r="B157" s="44" t="s">
        <v>144</v>
      </c>
      <c r="C157" s="45">
        <f>1.12*C162+0.91*C162</f>
        <v>3045</v>
      </c>
      <c r="G157" s="2"/>
    </row>
    <row r="158" spans="1:7">
      <c r="A158" s="106" t="s">
        <v>8</v>
      </c>
      <c r="B158" s="108"/>
      <c r="C158" s="49">
        <f>SUM(C146:C157)</f>
        <v>28067.648610717137</v>
      </c>
    </row>
    <row r="159" spans="1:7">
      <c r="A159" s="106" t="s">
        <v>9</v>
      </c>
      <c r="B159" s="108"/>
      <c r="C159" s="49">
        <f>C158+C144</f>
        <v>98969.999161901796</v>
      </c>
    </row>
    <row r="160" spans="1:7">
      <c r="A160" s="7"/>
      <c r="B160" s="7"/>
      <c r="C160" s="21"/>
    </row>
    <row r="161" spans="1:5">
      <c r="A161" s="7"/>
      <c r="B161" s="7"/>
      <c r="C161" s="21"/>
    </row>
    <row r="162" spans="1:5">
      <c r="A162" s="97" t="s">
        <v>10</v>
      </c>
      <c r="B162" s="98"/>
      <c r="C162" s="63">
        <v>1500</v>
      </c>
    </row>
    <row r="163" spans="1:5" ht="33.6" customHeight="1">
      <c r="A163" s="115" t="s">
        <v>11</v>
      </c>
      <c r="B163" s="116"/>
      <c r="C163" s="65">
        <f>ROUND(C159/C162,2)</f>
        <v>65.98</v>
      </c>
      <c r="D163" s="2"/>
    </row>
    <row r="166" spans="1:5">
      <c r="A166" s="112" t="s">
        <v>0</v>
      </c>
      <c r="B166" s="112"/>
      <c r="C166" s="112"/>
      <c r="D166" s="5"/>
      <c r="E166" s="5"/>
    </row>
    <row r="168" spans="1:5">
      <c r="A168" s="113" t="s">
        <v>12</v>
      </c>
      <c r="B168" s="113"/>
      <c r="C168" s="113"/>
    </row>
    <row r="169" spans="1:5" ht="49.15" customHeight="1">
      <c r="A169" s="113" t="s">
        <v>227</v>
      </c>
      <c r="B169" s="113"/>
      <c r="C169" s="113"/>
    </row>
    <row r="170" spans="1:5">
      <c r="A170" s="113" t="s">
        <v>1</v>
      </c>
      <c r="B170" s="113"/>
      <c r="C170" s="113"/>
    </row>
    <row r="171" spans="1:5">
      <c r="A171" s="102" t="s">
        <v>221</v>
      </c>
      <c r="B171" s="102"/>
    </row>
    <row r="172" spans="1:5">
      <c r="A172" s="39"/>
      <c r="B172" s="39"/>
    </row>
    <row r="173" spans="1:5" ht="78.75">
      <c r="A173" s="43" t="s">
        <v>2</v>
      </c>
      <c r="B173" s="43" t="s">
        <v>3</v>
      </c>
      <c r="C173" s="43" t="s">
        <v>4</v>
      </c>
    </row>
    <row r="174" spans="1:5">
      <c r="A174" s="120" t="s">
        <v>5</v>
      </c>
      <c r="B174" s="121"/>
      <c r="C174" s="122"/>
      <c r="E174" s="12"/>
    </row>
    <row r="175" spans="1:5">
      <c r="A175" s="105">
        <v>1110</v>
      </c>
      <c r="B175" s="44" t="s">
        <v>64</v>
      </c>
      <c r="C175" s="45">
        <f>17.24*C203</f>
        <v>413.76</v>
      </c>
      <c r="D175" s="11"/>
      <c r="E175" s="12"/>
    </row>
    <row r="176" spans="1:5">
      <c r="A176" s="105"/>
      <c r="B176" s="44" t="s">
        <v>64</v>
      </c>
      <c r="C176" s="45">
        <f>17.24*C203</f>
        <v>413.76</v>
      </c>
      <c r="D176" s="11"/>
      <c r="E176" s="12"/>
    </row>
    <row r="177" spans="1:5">
      <c r="A177" s="105"/>
      <c r="B177" s="57" t="s">
        <v>65</v>
      </c>
      <c r="C177" s="45">
        <f>12.73*C203</f>
        <v>305.52</v>
      </c>
      <c r="D177" s="12"/>
      <c r="E177" s="12"/>
    </row>
    <row r="178" spans="1:5" ht="31.5">
      <c r="A178" s="48">
        <v>1210</v>
      </c>
      <c r="B178" s="44" t="s">
        <v>62</v>
      </c>
      <c r="C178" s="45">
        <f>(C175+C176+C177)*0.2359</f>
        <v>267.28413599999999</v>
      </c>
    </row>
    <row r="179" spans="1:5" ht="31.5">
      <c r="A179" s="48">
        <v>2210</v>
      </c>
      <c r="B179" s="57" t="s">
        <v>129</v>
      </c>
      <c r="C179" s="45">
        <f>1*C203</f>
        <v>24</v>
      </c>
    </row>
    <row r="180" spans="1:5" ht="31.5">
      <c r="A180" s="48">
        <v>2340</v>
      </c>
      <c r="B180" s="44" t="s">
        <v>158</v>
      </c>
      <c r="C180" s="45">
        <f>1.78*C203</f>
        <v>42.72</v>
      </c>
    </row>
    <row r="181" spans="1:5" ht="31.5">
      <c r="A181" s="48">
        <v>2364</v>
      </c>
      <c r="B181" s="44" t="s">
        <v>131</v>
      </c>
      <c r="C181" s="45">
        <f>1.09*C203</f>
        <v>26.160000000000004</v>
      </c>
    </row>
    <row r="182" spans="1:5" ht="31.5">
      <c r="A182" s="48">
        <v>2242</v>
      </c>
      <c r="B182" s="57" t="s">
        <v>159</v>
      </c>
      <c r="C182" s="45">
        <f>1.65*C203</f>
        <v>39.599999999999994</v>
      </c>
    </row>
    <row r="183" spans="1:5" ht="31.5">
      <c r="A183" s="48">
        <v>2350</v>
      </c>
      <c r="B183" s="57" t="s">
        <v>148</v>
      </c>
      <c r="C183" s="45">
        <f>1.49*C203</f>
        <v>35.76</v>
      </c>
    </row>
    <row r="184" spans="1:5" ht="35.450000000000003" customHeight="1">
      <c r="A184" s="48">
        <v>2322</v>
      </c>
      <c r="B184" s="44" t="s">
        <v>115</v>
      </c>
      <c r="C184" s="45">
        <f>11.56*C203</f>
        <v>277.44</v>
      </c>
    </row>
    <row r="185" spans="1:5">
      <c r="A185" s="123" t="s">
        <v>6</v>
      </c>
      <c r="B185" s="124"/>
      <c r="C185" s="49">
        <f>SUM(C175:C184)</f>
        <v>1846.004136</v>
      </c>
    </row>
    <row r="186" spans="1:5">
      <c r="A186" s="123" t="s">
        <v>7</v>
      </c>
      <c r="B186" s="125"/>
      <c r="C186" s="124"/>
    </row>
    <row r="187" spans="1:5" ht="31.5">
      <c r="A187" s="48">
        <v>1110</v>
      </c>
      <c r="B187" s="50" t="s">
        <v>27</v>
      </c>
      <c r="C187" s="45">
        <f>ROUNDDOWN((C175+C176+C177)*0.25,2)</f>
        <v>283.26</v>
      </c>
      <c r="D187" s="29"/>
    </row>
    <row r="188" spans="1:5" ht="31.5">
      <c r="A188" s="48">
        <v>1210</v>
      </c>
      <c r="B188" s="44" t="s">
        <v>62</v>
      </c>
      <c r="C188" s="45">
        <f>C187*0.2359</f>
        <v>66.821033999999997</v>
      </c>
    </row>
    <row r="189" spans="1:5" ht="31.5">
      <c r="A189" s="48">
        <v>2100</v>
      </c>
      <c r="B189" s="66" t="s">
        <v>160</v>
      </c>
      <c r="C189" s="45">
        <f>0.09*C203</f>
        <v>2.16</v>
      </c>
      <c r="E189" s="6"/>
    </row>
    <row r="190" spans="1:5" ht="31.5">
      <c r="A190" s="48">
        <v>2220</v>
      </c>
      <c r="B190" s="57" t="s">
        <v>136</v>
      </c>
      <c r="C190" s="45">
        <f>2.3*C203</f>
        <v>55.199999999999996</v>
      </c>
    </row>
    <row r="191" spans="1:5" ht="31.5">
      <c r="A191" s="48">
        <v>2230</v>
      </c>
      <c r="B191" s="44" t="s">
        <v>137</v>
      </c>
      <c r="C191" s="45">
        <f>0.88*C203-0.09</f>
        <v>21.03</v>
      </c>
      <c r="D191" s="7"/>
    </row>
    <row r="192" spans="1:5" ht="31.5">
      <c r="A192" s="48">
        <v>2240</v>
      </c>
      <c r="B192" s="67" t="s">
        <v>150</v>
      </c>
      <c r="C192" s="45">
        <f>1.96*C203</f>
        <v>47.04</v>
      </c>
    </row>
    <row r="193" spans="1:7" ht="31.5">
      <c r="A193" s="48">
        <v>2250</v>
      </c>
      <c r="B193" s="44" t="s">
        <v>139</v>
      </c>
      <c r="C193" s="45">
        <f>1.66*C203</f>
        <v>39.839999999999996</v>
      </c>
    </row>
    <row r="194" spans="1:7" ht="31.5">
      <c r="A194" s="48">
        <v>2261</v>
      </c>
      <c r="B194" s="44" t="s">
        <v>161</v>
      </c>
      <c r="C194" s="45">
        <f>0.82*C203</f>
        <v>19.68</v>
      </c>
    </row>
    <row r="195" spans="1:7" ht="31.5">
      <c r="A195" s="48">
        <v>2310</v>
      </c>
      <c r="B195" s="57" t="s">
        <v>141</v>
      </c>
      <c r="C195" s="45">
        <f>0.49*C203</f>
        <v>11.76</v>
      </c>
    </row>
    <row r="196" spans="1:7" ht="31.5">
      <c r="A196" s="48">
        <v>2510</v>
      </c>
      <c r="B196" s="57" t="s">
        <v>162</v>
      </c>
      <c r="C196" s="45">
        <f>0.13*C203</f>
        <v>3.12</v>
      </c>
    </row>
    <row r="197" spans="1:7" ht="31.5">
      <c r="A197" s="48">
        <v>5100</v>
      </c>
      <c r="B197" s="44" t="s">
        <v>143</v>
      </c>
      <c r="C197" s="45">
        <f>0.05*C203</f>
        <v>1.2000000000000002</v>
      </c>
    </row>
    <row r="198" spans="1:7" ht="47.25">
      <c r="A198" s="48">
        <v>5200</v>
      </c>
      <c r="B198" s="44" t="s">
        <v>144</v>
      </c>
      <c r="C198" s="45">
        <f>1.12*C203+0.91*C203</f>
        <v>48.72</v>
      </c>
      <c r="G198" s="2"/>
    </row>
    <row r="199" spans="1:7">
      <c r="A199" s="106" t="s">
        <v>8</v>
      </c>
      <c r="B199" s="108"/>
      <c r="C199" s="49">
        <f>SUM(C187:C198)</f>
        <v>599.83103400000005</v>
      </c>
    </row>
    <row r="200" spans="1:7">
      <c r="A200" s="106" t="s">
        <v>9</v>
      </c>
      <c r="B200" s="108"/>
      <c r="C200" s="49">
        <f>C199+C185</f>
        <v>2445.8351700000003</v>
      </c>
    </row>
    <row r="201" spans="1:7">
      <c r="A201" s="7"/>
      <c r="B201" s="7"/>
      <c r="C201" s="21"/>
    </row>
    <row r="202" spans="1:7">
      <c r="A202" s="7"/>
      <c r="B202" s="7"/>
      <c r="C202" s="21"/>
    </row>
    <row r="203" spans="1:7">
      <c r="A203" s="97" t="s">
        <v>10</v>
      </c>
      <c r="B203" s="98"/>
      <c r="C203" s="63">
        <v>24</v>
      </c>
    </row>
    <row r="204" spans="1:7" ht="31.15" customHeight="1">
      <c r="A204" s="97" t="s">
        <v>145</v>
      </c>
      <c r="B204" s="98"/>
      <c r="C204" s="64">
        <f>ROUND(C200/C203,2)</f>
        <v>101.91</v>
      </c>
      <c r="D204" s="26"/>
    </row>
    <row r="207" spans="1:7">
      <c r="A207" s="112" t="s">
        <v>0</v>
      </c>
      <c r="B207" s="112"/>
      <c r="C207" s="112"/>
      <c r="D207" s="5"/>
      <c r="E207" s="5"/>
    </row>
    <row r="209" spans="1:5">
      <c r="A209" s="113" t="s">
        <v>12</v>
      </c>
      <c r="B209" s="113"/>
      <c r="C209" s="113"/>
    </row>
    <row r="210" spans="1:5" ht="48" customHeight="1">
      <c r="A210" s="113" t="s">
        <v>228</v>
      </c>
      <c r="B210" s="113"/>
      <c r="C210" s="113"/>
    </row>
    <row r="211" spans="1:5">
      <c r="A211" s="113" t="s">
        <v>1</v>
      </c>
      <c r="B211" s="113"/>
      <c r="C211" s="113"/>
    </row>
    <row r="212" spans="1:5">
      <c r="A212" s="102" t="s">
        <v>17</v>
      </c>
      <c r="B212" s="102"/>
    </row>
    <row r="213" spans="1:5">
      <c r="A213" s="39"/>
      <c r="B213" s="39"/>
    </row>
    <row r="214" spans="1:5" ht="78.75">
      <c r="A214" s="48" t="s">
        <v>2</v>
      </c>
      <c r="B214" s="48" t="s">
        <v>3</v>
      </c>
      <c r="C214" s="48" t="s">
        <v>4</v>
      </c>
    </row>
    <row r="215" spans="1:5">
      <c r="A215" s="106" t="s">
        <v>5</v>
      </c>
      <c r="B215" s="107"/>
      <c r="C215" s="108"/>
      <c r="E215" s="12"/>
    </row>
    <row r="216" spans="1:5">
      <c r="A216" s="105">
        <v>1110</v>
      </c>
      <c r="B216" s="57" t="s">
        <v>69</v>
      </c>
      <c r="C216" s="45">
        <f>15.44*C244</f>
        <v>1235.2</v>
      </c>
      <c r="D216" s="11"/>
      <c r="E216" s="3"/>
    </row>
    <row r="217" spans="1:5">
      <c r="A217" s="105"/>
      <c r="B217" s="57" t="s">
        <v>64</v>
      </c>
      <c r="C217" s="45">
        <f>10.28*C244</f>
        <v>822.4</v>
      </c>
      <c r="D217" s="12"/>
      <c r="E217" s="3"/>
    </row>
    <row r="218" spans="1:5">
      <c r="A218" s="105"/>
      <c r="B218" s="57" t="s">
        <v>65</v>
      </c>
      <c r="C218" s="45">
        <f>7.59*C244</f>
        <v>607.20000000000005</v>
      </c>
      <c r="D218" s="12"/>
      <c r="E218" s="3"/>
    </row>
    <row r="219" spans="1:5" ht="30.6" customHeight="1">
      <c r="A219" s="48">
        <v>1210</v>
      </c>
      <c r="B219" s="44" t="s">
        <v>62</v>
      </c>
      <c r="C219" s="45">
        <f>(C216+C217+C218)*0.2359</f>
        <v>628.62632000000008</v>
      </c>
    </row>
    <row r="220" spans="1:5" ht="31.5">
      <c r="A220" s="48">
        <v>2210</v>
      </c>
      <c r="B220" s="57" t="s">
        <v>129</v>
      </c>
      <c r="C220" s="45">
        <f>1*C244</f>
        <v>80</v>
      </c>
    </row>
    <row r="221" spans="1:5" ht="31.5">
      <c r="A221" s="48">
        <v>2340</v>
      </c>
      <c r="B221" s="57" t="s">
        <v>163</v>
      </c>
      <c r="C221" s="45">
        <f>(1.78+6.91)*C244</f>
        <v>695.19999999999993</v>
      </c>
    </row>
    <row r="222" spans="1:5" ht="31.5">
      <c r="A222" s="48">
        <v>2364</v>
      </c>
      <c r="B222" s="44" t="s">
        <v>131</v>
      </c>
      <c r="C222" s="45">
        <f>1.09*C244</f>
        <v>87.2</v>
      </c>
    </row>
    <row r="223" spans="1:5" ht="31.5">
      <c r="A223" s="48">
        <v>2242</v>
      </c>
      <c r="B223" s="57" t="s">
        <v>132</v>
      </c>
      <c r="C223" s="45">
        <f>1.65*C244</f>
        <v>132</v>
      </c>
    </row>
    <row r="224" spans="1:5" ht="31.5">
      <c r="A224" s="48">
        <v>2350</v>
      </c>
      <c r="B224" s="57" t="s">
        <v>148</v>
      </c>
      <c r="C224" s="45">
        <f>1.49*C244</f>
        <v>119.2</v>
      </c>
    </row>
    <row r="225" spans="1:7" ht="31.5">
      <c r="A225" s="48">
        <v>2322</v>
      </c>
      <c r="B225" s="44" t="s">
        <v>134</v>
      </c>
      <c r="C225" s="45">
        <f>5.46*C244</f>
        <v>436.8</v>
      </c>
    </row>
    <row r="226" spans="1:7">
      <c r="A226" s="123" t="s">
        <v>6</v>
      </c>
      <c r="B226" s="124"/>
      <c r="C226" s="49">
        <f>SUM(C216:C225)</f>
        <v>4843.8263200000001</v>
      </c>
    </row>
    <row r="227" spans="1:7">
      <c r="A227" s="123" t="s">
        <v>7</v>
      </c>
      <c r="B227" s="125"/>
      <c r="C227" s="124"/>
    </row>
    <row r="228" spans="1:7" ht="31.5">
      <c r="A228" s="48">
        <v>1110</v>
      </c>
      <c r="B228" s="50" t="s">
        <v>68</v>
      </c>
      <c r="C228" s="45">
        <f>ROUNDDOWN((C216+C217+C218)*0.25,2)-0.16</f>
        <v>666.04000000000008</v>
      </c>
      <c r="D228" s="29"/>
    </row>
    <row r="229" spans="1:7" ht="36.6" customHeight="1">
      <c r="A229" s="48">
        <v>1210</v>
      </c>
      <c r="B229" s="44" t="s">
        <v>62</v>
      </c>
      <c r="C229" s="45">
        <f>C228*0.2359</f>
        <v>157.11883600000002</v>
      </c>
    </row>
    <row r="230" spans="1:7" ht="31.5">
      <c r="A230" s="48">
        <v>2100</v>
      </c>
      <c r="B230" s="57" t="s">
        <v>135</v>
      </c>
      <c r="C230" s="45">
        <f>(31310/364914)*C244</f>
        <v>6.8640830442241185</v>
      </c>
      <c r="E230" s="6"/>
    </row>
    <row r="231" spans="1:7" ht="34.9" customHeight="1">
      <c r="A231" s="48">
        <v>2220</v>
      </c>
      <c r="B231" s="57" t="s">
        <v>136</v>
      </c>
      <c r="C231" s="45">
        <f>2.3*C244</f>
        <v>184</v>
      </c>
    </row>
    <row r="232" spans="1:7" ht="31.5">
      <c r="A232" s="48">
        <v>2230</v>
      </c>
      <c r="B232" s="44" t="s">
        <v>164</v>
      </c>
      <c r="C232" s="45">
        <f>0.88*C244</f>
        <v>70.400000000000006</v>
      </c>
    </row>
    <row r="233" spans="1:7" ht="31.5">
      <c r="A233" s="48">
        <v>2240</v>
      </c>
      <c r="B233" s="67" t="s">
        <v>165</v>
      </c>
      <c r="C233" s="45">
        <f>(714967/364914)*C244</f>
        <v>156.74202688852716</v>
      </c>
    </row>
    <row r="234" spans="1:7" ht="31.5">
      <c r="A234" s="48">
        <v>2250</v>
      </c>
      <c r="B234" s="44" t="s">
        <v>166</v>
      </c>
      <c r="C234" s="45">
        <f>(604971/364914)*C244</f>
        <v>132.62763281211463</v>
      </c>
    </row>
    <row r="235" spans="1:7" ht="31.5">
      <c r="A235" s="48">
        <v>2261</v>
      </c>
      <c r="B235" s="44" t="s">
        <v>167</v>
      </c>
      <c r="C235" s="45">
        <f>(300406/364914)*C244</f>
        <v>65.857928169376891</v>
      </c>
    </row>
    <row r="236" spans="1:7" ht="31.5">
      <c r="A236" s="48">
        <v>2310</v>
      </c>
      <c r="B236" s="57" t="s">
        <v>168</v>
      </c>
      <c r="C236" s="45">
        <f>0.49*C244</f>
        <v>39.200000000000003</v>
      </c>
    </row>
    <row r="237" spans="1:7" ht="31.5">
      <c r="A237" s="48">
        <v>2510</v>
      </c>
      <c r="B237" s="57" t="s">
        <v>162</v>
      </c>
      <c r="C237" s="45">
        <f>(46183/364914)*C244</f>
        <v>10.124686912532816</v>
      </c>
    </row>
    <row r="238" spans="1:7" ht="31.5">
      <c r="A238" s="48">
        <v>5100</v>
      </c>
      <c r="B238" s="44" t="s">
        <v>143</v>
      </c>
      <c r="C238" s="45">
        <f>0.05*C244</f>
        <v>4</v>
      </c>
    </row>
    <row r="239" spans="1:7" ht="47.25">
      <c r="A239" s="48">
        <v>5200</v>
      </c>
      <c r="B239" s="44" t="s">
        <v>144</v>
      </c>
      <c r="C239" s="45">
        <f>1.12*C244+0.91*C244</f>
        <v>162.4</v>
      </c>
      <c r="G239" s="2"/>
    </row>
    <row r="240" spans="1:7">
      <c r="A240" s="106" t="s">
        <v>8</v>
      </c>
      <c r="B240" s="108"/>
      <c r="C240" s="49">
        <f>SUM(C228:C239)</f>
        <v>1655.3751938267758</v>
      </c>
    </row>
    <row r="241" spans="1:5">
      <c r="A241" s="106" t="s">
        <v>9</v>
      </c>
      <c r="B241" s="108"/>
      <c r="C241" s="49">
        <f>C240+C226</f>
        <v>6499.2015138267761</v>
      </c>
    </row>
    <row r="242" spans="1:5">
      <c r="A242" s="7"/>
      <c r="B242" s="7"/>
      <c r="C242" s="21"/>
    </row>
    <row r="243" spans="1:5">
      <c r="A243" s="7"/>
      <c r="B243" s="7"/>
      <c r="C243" s="21"/>
    </row>
    <row r="244" spans="1:5">
      <c r="A244" s="97" t="s">
        <v>10</v>
      </c>
      <c r="B244" s="98"/>
      <c r="C244" s="63">
        <v>80</v>
      </c>
    </row>
    <row r="245" spans="1:5" ht="25.9" customHeight="1">
      <c r="A245" s="97" t="s">
        <v>218</v>
      </c>
      <c r="B245" s="98"/>
      <c r="C245" s="64">
        <f>ROUND(C241/C244,2)</f>
        <v>81.239999999999995</v>
      </c>
      <c r="D245" s="26"/>
    </row>
    <row r="248" spans="1:5">
      <c r="A248" s="112" t="s">
        <v>0</v>
      </c>
      <c r="B248" s="112"/>
      <c r="C248" s="112"/>
      <c r="D248" s="5"/>
      <c r="E248" s="5"/>
    </row>
    <row r="250" spans="1:5">
      <c r="A250" s="113" t="s">
        <v>12</v>
      </c>
      <c r="B250" s="113"/>
      <c r="C250" s="113"/>
    </row>
    <row r="251" spans="1:5" ht="53.45" customHeight="1">
      <c r="A251" s="126" t="s">
        <v>229</v>
      </c>
      <c r="B251" s="126"/>
      <c r="C251" s="126"/>
    </row>
    <row r="252" spans="1:5">
      <c r="A252" s="113" t="s">
        <v>1</v>
      </c>
      <c r="B252" s="113"/>
      <c r="C252" s="113"/>
    </row>
    <row r="253" spans="1:5">
      <c r="A253" s="102" t="s">
        <v>21</v>
      </c>
      <c r="B253" s="102"/>
    </row>
    <row r="254" spans="1:5">
      <c r="A254" s="39"/>
      <c r="B254" s="39"/>
    </row>
    <row r="255" spans="1:5" ht="78.75">
      <c r="A255" s="43" t="s">
        <v>2</v>
      </c>
      <c r="B255" s="43" t="s">
        <v>3</v>
      </c>
      <c r="C255" s="43" t="s">
        <v>4</v>
      </c>
    </row>
    <row r="256" spans="1:5">
      <c r="A256" s="106" t="s">
        <v>5</v>
      </c>
      <c r="B256" s="107"/>
      <c r="C256" s="108"/>
      <c r="E256" s="12"/>
    </row>
    <row r="257" spans="1:5">
      <c r="A257" s="105">
        <v>1110</v>
      </c>
      <c r="B257" s="57" t="s">
        <v>69</v>
      </c>
      <c r="C257" s="45">
        <f>27.97*C285</f>
        <v>279.7</v>
      </c>
      <c r="D257" s="11"/>
      <c r="E257" s="12"/>
    </row>
    <row r="258" spans="1:5">
      <c r="A258" s="105"/>
      <c r="B258" s="57" t="s">
        <v>64</v>
      </c>
      <c r="C258" s="45">
        <f>17.24*C285</f>
        <v>172.39999999999998</v>
      </c>
      <c r="D258" s="12"/>
      <c r="E258" s="12"/>
    </row>
    <row r="259" spans="1:5">
      <c r="A259" s="105"/>
      <c r="B259" s="57" t="s">
        <v>65</v>
      </c>
      <c r="C259" s="45">
        <f>12.73*C285</f>
        <v>127.30000000000001</v>
      </c>
      <c r="D259" s="23"/>
      <c r="E259" s="20"/>
    </row>
    <row r="260" spans="1:5" ht="31.5">
      <c r="A260" s="48">
        <v>1210</v>
      </c>
      <c r="B260" s="44" t="s">
        <v>62</v>
      </c>
      <c r="C260" s="45">
        <f>(C257+C258+C259)*0.2359</f>
        <v>136.68045999999998</v>
      </c>
    </row>
    <row r="261" spans="1:5" ht="31.5">
      <c r="A261" s="48">
        <v>2210</v>
      </c>
      <c r="B261" s="57" t="s">
        <v>129</v>
      </c>
      <c r="C261" s="45">
        <f>1*C285</f>
        <v>10</v>
      </c>
    </row>
    <row r="262" spans="1:5" ht="31.5">
      <c r="A262" s="48">
        <v>2340</v>
      </c>
      <c r="B262" s="57" t="s">
        <v>169</v>
      </c>
      <c r="C262" s="45">
        <f>(1.78+6.91)*C285</f>
        <v>86.899999999999991</v>
      </c>
    </row>
    <row r="263" spans="1:5" ht="31.5">
      <c r="A263" s="48">
        <v>2364</v>
      </c>
      <c r="B263" s="44" t="s">
        <v>131</v>
      </c>
      <c r="C263" s="45">
        <f>1.09*C285</f>
        <v>10.9</v>
      </c>
    </row>
    <row r="264" spans="1:5" ht="31.5">
      <c r="A264" s="48">
        <v>2242</v>
      </c>
      <c r="B264" s="57" t="s">
        <v>170</v>
      </c>
      <c r="C264" s="45">
        <f>1.65*C285</f>
        <v>16.5</v>
      </c>
    </row>
    <row r="265" spans="1:5" ht="31.5">
      <c r="A265" s="48">
        <v>2350</v>
      </c>
      <c r="B265" s="57" t="s">
        <v>148</v>
      </c>
      <c r="C265" s="45">
        <f>1.49*C285</f>
        <v>14.9</v>
      </c>
    </row>
    <row r="266" spans="1:5" ht="31.5">
      <c r="A266" s="48">
        <v>2322</v>
      </c>
      <c r="B266" s="44" t="s">
        <v>115</v>
      </c>
      <c r="C266" s="45">
        <f>11.56*C285</f>
        <v>115.60000000000001</v>
      </c>
    </row>
    <row r="267" spans="1:5">
      <c r="A267" s="123" t="s">
        <v>6</v>
      </c>
      <c r="B267" s="124"/>
      <c r="C267" s="49">
        <f>SUM(C257:C266)</f>
        <v>970.88045999999986</v>
      </c>
    </row>
    <row r="268" spans="1:5">
      <c r="A268" s="123" t="s">
        <v>7</v>
      </c>
      <c r="B268" s="125"/>
      <c r="C268" s="124"/>
    </row>
    <row r="269" spans="1:5" ht="31.5">
      <c r="A269" s="48">
        <v>1110</v>
      </c>
      <c r="B269" s="50" t="s">
        <v>68</v>
      </c>
      <c r="C269" s="45">
        <f>ROUNDUP((C257+C258+C259)*0.25,2)+0.03</f>
        <v>144.88</v>
      </c>
      <c r="D269" s="19"/>
    </row>
    <row r="270" spans="1:5" ht="31.5">
      <c r="A270" s="48">
        <v>1210</v>
      </c>
      <c r="B270" s="57" t="s">
        <v>62</v>
      </c>
      <c r="C270" s="45">
        <f>C269*0.2359</f>
        <v>34.177191999999998</v>
      </c>
    </row>
    <row r="271" spans="1:5" ht="31.5">
      <c r="A271" s="48">
        <v>2100</v>
      </c>
      <c r="B271" s="57" t="s">
        <v>135</v>
      </c>
      <c r="C271" s="45">
        <f>(31310/364914)*C285</f>
        <v>0.85801038052801482</v>
      </c>
      <c r="E271" s="27"/>
    </row>
    <row r="272" spans="1:5" ht="31.5">
      <c r="A272" s="48">
        <v>2220</v>
      </c>
      <c r="B272" s="57" t="s">
        <v>136</v>
      </c>
      <c r="C272" s="45">
        <f>2.3*C285</f>
        <v>23</v>
      </c>
    </row>
    <row r="273" spans="1:7" ht="31.5">
      <c r="A273" s="48">
        <v>2230</v>
      </c>
      <c r="B273" s="44" t="s">
        <v>137</v>
      </c>
      <c r="C273" s="45">
        <f>0.88*C285</f>
        <v>8.8000000000000007</v>
      </c>
    </row>
    <row r="274" spans="1:7" ht="31.5">
      <c r="A274" s="48">
        <v>2240</v>
      </c>
      <c r="B274" s="67" t="s">
        <v>171</v>
      </c>
      <c r="C274" s="45">
        <f>1.96*C285</f>
        <v>19.600000000000001</v>
      </c>
    </row>
    <row r="275" spans="1:7" ht="31.5">
      <c r="A275" s="48">
        <v>2250</v>
      </c>
      <c r="B275" s="44" t="s">
        <v>172</v>
      </c>
      <c r="C275" s="45">
        <f>1.66*C285</f>
        <v>16.599999999999998</v>
      </c>
    </row>
    <row r="276" spans="1:7" ht="31.5">
      <c r="A276" s="48">
        <v>2261</v>
      </c>
      <c r="B276" s="44" t="s">
        <v>173</v>
      </c>
      <c r="C276" s="45">
        <f>0.82*C285</f>
        <v>8.1999999999999993</v>
      </c>
    </row>
    <row r="277" spans="1:7" ht="31.5">
      <c r="A277" s="48">
        <v>2310</v>
      </c>
      <c r="B277" s="57" t="s">
        <v>154</v>
      </c>
      <c r="C277" s="45">
        <f>0.49*C285</f>
        <v>4.9000000000000004</v>
      </c>
    </row>
    <row r="278" spans="1:7" ht="31.5">
      <c r="A278" s="48">
        <v>2510</v>
      </c>
      <c r="B278" s="57" t="s">
        <v>142</v>
      </c>
      <c r="C278" s="45">
        <f>0.13*C285</f>
        <v>1.3</v>
      </c>
    </row>
    <row r="279" spans="1:7" ht="31.5">
      <c r="A279" s="48">
        <v>5100</v>
      </c>
      <c r="B279" s="44" t="s">
        <v>143</v>
      </c>
      <c r="C279" s="45">
        <f>0.05*C285</f>
        <v>0.5</v>
      </c>
    </row>
    <row r="280" spans="1:7" ht="47.25">
      <c r="A280" s="48">
        <v>5200</v>
      </c>
      <c r="B280" s="44" t="s">
        <v>174</v>
      </c>
      <c r="C280" s="45">
        <f>1.12*C285+0.91*C285</f>
        <v>20.3</v>
      </c>
      <c r="G280" s="2"/>
    </row>
    <row r="281" spans="1:7">
      <c r="A281" s="106" t="s">
        <v>8</v>
      </c>
      <c r="B281" s="108"/>
      <c r="C281" s="49">
        <f>SUM(C269:C280)</f>
        <v>283.11520238052799</v>
      </c>
    </row>
    <row r="282" spans="1:7">
      <c r="A282" s="106" t="s">
        <v>9</v>
      </c>
      <c r="B282" s="108"/>
      <c r="C282" s="49">
        <f>C281+C267</f>
        <v>1253.9956623805278</v>
      </c>
    </row>
    <row r="283" spans="1:7">
      <c r="A283" s="7"/>
      <c r="B283" s="7"/>
      <c r="C283" s="21"/>
    </row>
    <row r="284" spans="1:7">
      <c r="A284" s="7"/>
      <c r="B284" s="7"/>
      <c r="C284" s="21"/>
    </row>
    <row r="285" spans="1:7">
      <c r="A285" s="97" t="s">
        <v>10</v>
      </c>
      <c r="B285" s="98"/>
      <c r="C285" s="63">
        <v>10</v>
      </c>
    </row>
    <row r="286" spans="1:7" ht="31.15" customHeight="1">
      <c r="A286" s="97" t="s">
        <v>145</v>
      </c>
      <c r="B286" s="98"/>
      <c r="C286" s="64">
        <f>ROUND(C282/C285,2)</f>
        <v>125.4</v>
      </c>
      <c r="D286" s="26"/>
    </row>
    <row r="289" spans="1:5">
      <c r="A289" s="112" t="s">
        <v>0</v>
      </c>
      <c r="B289" s="112"/>
      <c r="C289" s="112"/>
      <c r="D289" s="5"/>
      <c r="E289" s="5"/>
    </row>
    <row r="291" spans="1:5">
      <c r="A291" s="113" t="s">
        <v>12</v>
      </c>
      <c r="B291" s="113"/>
      <c r="C291" s="113"/>
    </row>
    <row r="292" spans="1:5" ht="51.6" customHeight="1">
      <c r="A292" s="113" t="s">
        <v>230</v>
      </c>
      <c r="B292" s="113"/>
      <c r="C292" s="113"/>
    </row>
    <row r="293" spans="1:5">
      <c r="A293" s="113" t="s">
        <v>1</v>
      </c>
      <c r="B293" s="113"/>
      <c r="C293" s="113"/>
    </row>
    <row r="294" spans="1:5">
      <c r="A294" s="102" t="s">
        <v>109</v>
      </c>
      <c r="B294" s="102"/>
    </row>
    <row r="295" spans="1:5">
      <c r="A295" s="39"/>
      <c r="B295" s="39"/>
    </row>
    <row r="296" spans="1:5" ht="85.5" customHeight="1">
      <c r="A296" s="48" t="s">
        <v>2</v>
      </c>
      <c r="B296" s="48" t="s">
        <v>3</v>
      </c>
      <c r="C296" s="48" t="s">
        <v>4</v>
      </c>
    </row>
    <row r="297" spans="1:5">
      <c r="A297" s="106" t="s">
        <v>5</v>
      </c>
      <c r="B297" s="107"/>
      <c r="C297" s="108"/>
      <c r="E297" s="12"/>
    </row>
    <row r="298" spans="1:5">
      <c r="A298" s="105">
        <v>1110</v>
      </c>
      <c r="B298" s="57" t="s">
        <v>70</v>
      </c>
      <c r="C298" s="55">
        <f>16.68*C326</f>
        <v>33.36</v>
      </c>
      <c r="D298" s="11"/>
      <c r="E298" s="12"/>
    </row>
    <row r="299" spans="1:5">
      <c r="A299" s="105"/>
      <c r="B299" s="57" t="s">
        <v>64</v>
      </c>
      <c r="C299" s="55">
        <f>10.28*C326</f>
        <v>20.56</v>
      </c>
      <c r="D299" s="12"/>
      <c r="E299" s="12"/>
    </row>
    <row r="300" spans="1:5">
      <c r="A300" s="105"/>
      <c r="B300" s="57" t="s">
        <v>65</v>
      </c>
      <c r="C300" s="55">
        <f>7.59*C326</f>
        <v>15.18</v>
      </c>
      <c r="D300" s="12"/>
      <c r="E300" s="11"/>
    </row>
    <row r="301" spans="1:5" ht="31.15" customHeight="1">
      <c r="A301" s="48">
        <v>1210</v>
      </c>
      <c r="B301" s="44" t="s">
        <v>62</v>
      </c>
      <c r="C301" s="55">
        <f>(C298+C299+C300)*0.2359</f>
        <v>16.300689999999999</v>
      </c>
    </row>
    <row r="302" spans="1:5" ht="31.5">
      <c r="A302" s="48">
        <v>2210</v>
      </c>
      <c r="B302" s="57" t="s">
        <v>129</v>
      </c>
      <c r="C302" s="55">
        <f>1*C326</f>
        <v>2</v>
      </c>
    </row>
    <row r="303" spans="1:5" ht="31.5">
      <c r="A303" s="48">
        <v>2340</v>
      </c>
      <c r="B303" s="57" t="s">
        <v>175</v>
      </c>
      <c r="C303" s="55">
        <f>(1.78+9.22)*C326</f>
        <v>22</v>
      </c>
    </row>
    <row r="304" spans="1:5" ht="31.5">
      <c r="A304" s="48">
        <v>2364</v>
      </c>
      <c r="B304" s="44" t="s">
        <v>131</v>
      </c>
      <c r="C304" s="55">
        <f>1.09*C326</f>
        <v>2.1800000000000002</v>
      </c>
    </row>
    <row r="305" spans="1:5" ht="31.5">
      <c r="A305" s="48">
        <v>2242</v>
      </c>
      <c r="B305" s="57" t="s">
        <v>176</v>
      </c>
      <c r="C305" s="55">
        <f>1.65*C326</f>
        <v>3.3</v>
      </c>
    </row>
    <row r="306" spans="1:5" ht="31.5">
      <c r="A306" s="48">
        <v>2350</v>
      </c>
      <c r="B306" s="57" t="s">
        <v>148</v>
      </c>
      <c r="C306" s="55">
        <f>1.49*C326</f>
        <v>2.98</v>
      </c>
    </row>
    <row r="307" spans="1:5" ht="31.5">
      <c r="A307" s="48">
        <v>2322</v>
      </c>
      <c r="B307" s="44" t="s">
        <v>134</v>
      </c>
      <c r="C307" s="55">
        <f>5.46*C326</f>
        <v>10.92</v>
      </c>
    </row>
    <row r="308" spans="1:5">
      <c r="A308" s="123" t="s">
        <v>6</v>
      </c>
      <c r="B308" s="124"/>
      <c r="C308" s="56">
        <f>SUM(C298:C307)</f>
        <v>128.78068999999999</v>
      </c>
    </row>
    <row r="309" spans="1:5">
      <c r="A309" s="123" t="s">
        <v>7</v>
      </c>
      <c r="B309" s="125"/>
      <c r="C309" s="124"/>
    </row>
    <row r="310" spans="1:5" ht="31.5">
      <c r="A310" s="48">
        <v>1110</v>
      </c>
      <c r="B310" s="50" t="s">
        <v>68</v>
      </c>
      <c r="C310" s="55">
        <f>ROUNDUP((C298+C299+C300)*0.25,2)</f>
        <v>17.28</v>
      </c>
      <c r="D310" s="19"/>
    </row>
    <row r="311" spans="1:5" ht="37.15" customHeight="1">
      <c r="A311" s="48">
        <v>1210</v>
      </c>
      <c r="B311" s="57" t="s">
        <v>62</v>
      </c>
      <c r="C311" s="55">
        <f>C310*0.2359</f>
        <v>4.076352</v>
      </c>
    </row>
    <row r="312" spans="1:5" ht="31.5">
      <c r="A312" s="48">
        <v>2100</v>
      </c>
      <c r="B312" s="57" t="s">
        <v>135</v>
      </c>
      <c r="C312" s="55">
        <f>(31310/364914)*C326</f>
        <v>0.17160207610560296</v>
      </c>
      <c r="E312" s="6"/>
    </row>
    <row r="313" spans="1:5" ht="31.5">
      <c r="A313" s="48">
        <v>2220</v>
      </c>
      <c r="B313" s="57" t="s">
        <v>177</v>
      </c>
      <c r="C313" s="55">
        <f>2.3*C326</f>
        <v>4.5999999999999996</v>
      </c>
    </row>
    <row r="314" spans="1:5" ht="31.5">
      <c r="A314" s="48">
        <v>2230</v>
      </c>
      <c r="B314" s="44" t="s">
        <v>178</v>
      </c>
      <c r="C314" s="55">
        <f>0.88*C326</f>
        <v>1.76</v>
      </c>
    </row>
    <row r="315" spans="1:5" ht="31.5">
      <c r="A315" s="48">
        <v>2240</v>
      </c>
      <c r="B315" s="67" t="s">
        <v>150</v>
      </c>
      <c r="C315" s="55">
        <f>1.96*C326</f>
        <v>3.92</v>
      </c>
    </row>
    <row r="316" spans="1:5" ht="31.5">
      <c r="A316" s="48">
        <v>2250</v>
      </c>
      <c r="B316" s="44" t="s">
        <v>139</v>
      </c>
      <c r="C316" s="55">
        <f>1.66*C326</f>
        <v>3.32</v>
      </c>
    </row>
    <row r="317" spans="1:5" ht="31.5">
      <c r="A317" s="48">
        <v>2261</v>
      </c>
      <c r="B317" s="44" t="s">
        <v>173</v>
      </c>
      <c r="C317" s="55">
        <f>0.82*C326</f>
        <v>1.64</v>
      </c>
    </row>
    <row r="318" spans="1:5" ht="31.5">
      <c r="A318" s="48">
        <v>2310</v>
      </c>
      <c r="B318" s="57" t="s">
        <v>179</v>
      </c>
      <c r="C318" s="55">
        <f>0.49*C326</f>
        <v>0.98</v>
      </c>
    </row>
    <row r="319" spans="1:5" ht="31.5">
      <c r="A319" s="48">
        <v>2510</v>
      </c>
      <c r="B319" s="57" t="s">
        <v>142</v>
      </c>
      <c r="C319" s="55">
        <f>(46183/364914)*C326</f>
        <v>0.25311717281332041</v>
      </c>
    </row>
    <row r="320" spans="1:5" ht="31.5">
      <c r="A320" s="48">
        <v>5100</v>
      </c>
      <c r="B320" s="44" t="s">
        <v>143</v>
      </c>
      <c r="C320" s="55">
        <f>(18000/364941)*C326</f>
        <v>9.8646082517448025E-2</v>
      </c>
    </row>
    <row r="321" spans="1:7" ht="47.25">
      <c r="A321" s="48">
        <v>5200</v>
      </c>
      <c r="B321" s="44" t="s">
        <v>144</v>
      </c>
      <c r="C321" s="55">
        <f>1.12*C326+0.91*C326</f>
        <v>4.0600000000000005</v>
      </c>
      <c r="G321" s="2"/>
    </row>
    <row r="322" spans="1:7">
      <c r="A322" s="106" t="s">
        <v>8</v>
      </c>
      <c r="B322" s="108"/>
      <c r="C322" s="56">
        <f>SUM(C310:C321)</f>
        <v>42.159717331436369</v>
      </c>
    </row>
    <row r="323" spans="1:7">
      <c r="A323" s="106" t="s">
        <v>9</v>
      </c>
      <c r="B323" s="108"/>
      <c r="C323" s="56">
        <f>C322+C308</f>
        <v>170.94040733143635</v>
      </c>
    </row>
    <row r="324" spans="1:7">
      <c r="A324" s="7"/>
      <c r="B324" s="7"/>
      <c r="C324" s="21"/>
    </row>
    <row r="325" spans="1:7">
      <c r="A325" s="7"/>
      <c r="B325" s="7"/>
      <c r="C325" s="21"/>
    </row>
    <row r="326" spans="1:7">
      <c r="A326" s="97" t="s">
        <v>10</v>
      </c>
      <c r="B326" s="98"/>
      <c r="C326" s="63">
        <v>2</v>
      </c>
    </row>
    <row r="327" spans="1:7" ht="30" customHeight="1">
      <c r="A327" s="97" t="s">
        <v>145</v>
      </c>
      <c r="B327" s="98"/>
      <c r="C327" s="64">
        <f>ROUND(C323/C326,2)</f>
        <v>85.47</v>
      </c>
    </row>
    <row r="330" spans="1:7">
      <c r="A330" s="112" t="s">
        <v>0</v>
      </c>
      <c r="B330" s="112"/>
      <c r="C330" s="112"/>
      <c r="D330" s="5"/>
      <c r="E330" s="5"/>
    </row>
    <row r="332" spans="1:7">
      <c r="A332" s="113" t="s">
        <v>12</v>
      </c>
      <c r="B332" s="113"/>
      <c r="C332" s="113"/>
    </row>
    <row r="333" spans="1:7" ht="48" customHeight="1">
      <c r="A333" s="113" t="s">
        <v>231</v>
      </c>
      <c r="B333" s="113"/>
      <c r="C333" s="113"/>
    </row>
    <row r="334" spans="1:7">
      <c r="A334" s="113" t="s">
        <v>1</v>
      </c>
      <c r="B334" s="113"/>
      <c r="C334" s="113"/>
    </row>
    <row r="335" spans="1:7">
      <c r="A335" s="102" t="s">
        <v>21</v>
      </c>
      <c r="B335" s="102"/>
    </row>
    <row r="336" spans="1:7">
      <c r="A336" s="39"/>
      <c r="B336" s="39"/>
    </row>
    <row r="337" spans="1:5" ht="85.5" customHeight="1">
      <c r="A337" s="48" t="s">
        <v>2</v>
      </c>
      <c r="B337" s="48" t="s">
        <v>3</v>
      </c>
      <c r="C337" s="48" t="s">
        <v>4</v>
      </c>
    </row>
    <row r="338" spans="1:5">
      <c r="A338" s="106" t="s">
        <v>5</v>
      </c>
      <c r="B338" s="107"/>
      <c r="C338" s="108"/>
      <c r="D338" s="6"/>
      <c r="E338" s="23"/>
    </row>
    <row r="339" spans="1:5">
      <c r="A339" s="105">
        <v>1110</v>
      </c>
      <c r="B339" s="57" t="s">
        <v>70</v>
      </c>
      <c r="C339" s="45">
        <f>27.97*C367</f>
        <v>279.7</v>
      </c>
      <c r="D339" s="24"/>
      <c r="E339" s="23"/>
    </row>
    <row r="340" spans="1:5">
      <c r="A340" s="105"/>
      <c r="B340" s="57" t="s">
        <v>64</v>
      </c>
      <c r="C340" s="45">
        <f>17.24*C367</f>
        <v>172.39999999999998</v>
      </c>
      <c r="D340" s="23"/>
      <c r="E340" s="23"/>
    </row>
    <row r="341" spans="1:5">
      <c r="A341" s="105"/>
      <c r="B341" s="57" t="s">
        <v>65</v>
      </c>
      <c r="C341" s="60">
        <f>12.73*C367</f>
        <v>127.30000000000001</v>
      </c>
      <c r="D341" s="23"/>
      <c r="E341" s="23"/>
    </row>
    <row r="342" spans="1:5" ht="33" customHeight="1">
      <c r="A342" s="48">
        <v>1210</v>
      </c>
      <c r="B342" s="44" t="s">
        <v>62</v>
      </c>
      <c r="C342" s="45">
        <f>(C339+C340+C341)*0.2359</f>
        <v>136.68045999999998</v>
      </c>
      <c r="D342" s="6"/>
      <c r="E342" s="6"/>
    </row>
    <row r="343" spans="1:5" ht="31.5">
      <c r="A343" s="48">
        <v>2210</v>
      </c>
      <c r="B343" s="57" t="s">
        <v>129</v>
      </c>
      <c r="C343" s="45">
        <f>1*C367</f>
        <v>10</v>
      </c>
    </row>
    <row r="344" spans="1:5" ht="31.5">
      <c r="A344" s="48">
        <v>2340</v>
      </c>
      <c r="B344" s="57" t="s">
        <v>180</v>
      </c>
      <c r="C344" s="45">
        <f>(1.78+9.22)*C367</f>
        <v>110</v>
      </c>
    </row>
    <row r="345" spans="1:5" ht="31.5">
      <c r="A345" s="48">
        <v>2364</v>
      </c>
      <c r="B345" s="44" t="s">
        <v>131</v>
      </c>
      <c r="C345" s="45">
        <f>1.09*C367</f>
        <v>10.9</v>
      </c>
    </row>
    <row r="346" spans="1:5" ht="31.5">
      <c r="A346" s="48">
        <v>2242</v>
      </c>
      <c r="B346" s="57" t="s">
        <v>132</v>
      </c>
      <c r="C346" s="45">
        <f>1.65*C367</f>
        <v>16.5</v>
      </c>
    </row>
    <row r="347" spans="1:5" ht="31.5">
      <c r="A347" s="48">
        <v>2350</v>
      </c>
      <c r="B347" s="57" t="s">
        <v>181</v>
      </c>
      <c r="C347" s="45">
        <f>1.49*C367</f>
        <v>14.9</v>
      </c>
    </row>
    <row r="348" spans="1:5" ht="31.5">
      <c r="A348" s="48">
        <v>2322</v>
      </c>
      <c r="B348" s="44" t="s">
        <v>115</v>
      </c>
      <c r="C348" s="45">
        <f>11.56*C367</f>
        <v>115.60000000000001</v>
      </c>
    </row>
    <row r="349" spans="1:5">
      <c r="A349" s="123" t="s">
        <v>6</v>
      </c>
      <c r="B349" s="124"/>
      <c r="C349" s="49">
        <f>SUM(C339:C348)</f>
        <v>993.98045999999988</v>
      </c>
    </row>
    <row r="350" spans="1:5">
      <c r="A350" s="123" t="s">
        <v>7</v>
      </c>
      <c r="B350" s="125"/>
      <c r="C350" s="124"/>
    </row>
    <row r="351" spans="1:5" ht="31.5">
      <c r="A351" s="48">
        <v>1110</v>
      </c>
      <c r="B351" s="50" t="s">
        <v>68</v>
      </c>
      <c r="C351" s="45">
        <f>(C339+C340+C341)*0.25</f>
        <v>144.85</v>
      </c>
    </row>
    <row r="352" spans="1:5" ht="31.5">
      <c r="A352" s="48">
        <v>1210</v>
      </c>
      <c r="B352" s="44" t="s">
        <v>62</v>
      </c>
      <c r="C352" s="45">
        <f>C351*0.2359</f>
        <v>34.170114999999996</v>
      </c>
    </row>
    <row r="353" spans="1:7" ht="31.5">
      <c r="A353" s="48">
        <v>2100</v>
      </c>
      <c r="B353" s="57" t="s">
        <v>160</v>
      </c>
      <c r="C353" s="45">
        <f>(31310/364914)*C367</f>
        <v>0.85801038052801482</v>
      </c>
      <c r="E353" s="6"/>
    </row>
    <row r="354" spans="1:7" ht="31.5">
      <c r="A354" s="48">
        <v>2220</v>
      </c>
      <c r="B354" s="57" t="s">
        <v>136</v>
      </c>
      <c r="C354" s="45">
        <f>2.3*C367</f>
        <v>23</v>
      </c>
    </row>
    <row r="355" spans="1:7" ht="31.5">
      <c r="A355" s="48">
        <v>2230</v>
      </c>
      <c r="B355" s="44" t="s">
        <v>137</v>
      </c>
      <c r="C355" s="45">
        <f>(319988/364914)*C367</f>
        <v>8.7688606082529024</v>
      </c>
    </row>
    <row r="356" spans="1:7" ht="31.5">
      <c r="A356" s="48">
        <v>2240</v>
      </c>
      <c r="B356" s="67" t="s">
        <v>165</v>
      </c>
      <c r="C356" s="45">
        <f>1.96*C367</f>
        <v>19.600000000000001</v>
      </c>
    </row>
    <row r="357" spans="1:7" ht="31.5">
      <c r="A357" s="48">
        <v>2250</v>
      </c>
      <c r="B357" s="44" t="s">
        <v>139</v>
      </c>
      <c r="C357" s="45">
        <f>1.66*C367</f>
        <v>16.599999999999998</v>
      </c>
    </row>
    <row r="358" spans="1:7" ht="31.5">
      <c r="A358" s="48">
        <v>2261</v>
      </c>
      <c r="B358" s="57" t="s">
        <v>182</v>
      </c>
      <c r="C358" s="45">
        <f>(300406/364914)*C367</f>
        <v>8.2322410211721113</v>
      </c>
    </row>
    <row r="359" spans="1:7" ht="31.5">
      <c r="A359" s="48">
        <v>2310</v>
      </c>
      <c r="B359" s="57" t="s">
        <v>141</v>
      </c>
      <c r="C359" s="45">
        <f>(178311/364914)*C367</f>
        <v>4.8863841891514168</v>
      </c>
    </row>
    <row r="360" spans="1:7" ht="31.5">
      <c r="A360" s="48">
        <v>2510</v>
      </c>
      <c r="B360" s="57" t="s">
        <v>142</v>
      </c>
      <c r="C360" s="45">
        <f>(46183/364914)*C367</f>
        <v>1.265585864066602</v>
      </c>
    </row>
    <row r="361" spans="1:7" ht="31.5">
      <c r="A361" s="48">
        <v>5100</v>
      </c>
      <c r="B361" s="44" t="s">
        <v>143</v>
      </c>
      <c r="C361" s="45">
        <f>( 18000/364914)*C367</f>
        <v>0.49326690672322793</v>
      </c>
    </row>
    <row r="362" spans="1:7" ht="47.25">
      <c r="A362" s="48">
        <v>5200</v>
      </c>
      <c r="B362" s="44" t="s">
        <v>144</v>
      </c>
      <c r="C362" s="45">
        <f>1.12*C367+0.91*C367</f>
        <v>20.3</v>
      </c>
      <c r="G362" s="2"/>
    </row>
    <row r="363" spans="1:7">
      <c r="A363" s="106" t="s">
        <v>8</v>
      </c>
      <c r="B363" s="108"/>
      <c r="C363" s="49">
        <f>SUM(C351:C362)</f>
        <v>283.02446396989433</v>
      </c>
    </row>
    <row r="364" spans="1:7">
      <c r="A364" s="106" t="s">
        <v>9</v>
      </c>
      <c r="B364" s="108"/>
      <c r="C364" s="49">
        <f>C363+C349</f>
        <v>1277.0049239698942</v>
      </c>
    </row>
    <row r="365" spans="1:7">
      <c r="A365" s="7"/>
      <c r="B365" s="7"/>
      <c r="C365" s="21"/>
    </row>
    <row r="366" spans="1:7">
      <c r="A366" s="7"/>
      <c r="B366" s="7"/>
      <c r="C366" s="21"/>
    </row>
    <row r="367" spans="1:7">
      <c r="A367" s="97" t="s">
        <v>10</v>
      </c>
      <c r="B367" s="98"/>
      <c r="C367" s="63">
        <v>10</v>
      </c>
    </row>
    <row r="368" spans="1:7" ht="30" customHeight="1">
      <c r="A368" s="97" t="s">
        <v>145</v>
      </c>
      <c r="B368" s="98"/>
      <c r="C368" s="64">
        <f>ROUND(C364/C367,2)</f>
        <v>127.7</v>
      </c>
      <c r="D368" s="26"/>
    </row>
    <row r="371" spans="1:5">
      <c r="A371" s="112" t="s">
        <v>0</v>
      </c>
      <c r="B371" s="112"/>
      <c r="C371" s="112"/>
      <c r="D371" s="5"/>
      <c r="E371" s="5"/>
    </row>
    <row r="373" spans="1:5">
      <c r="A373" s="113" t="s">
        <v>12</v>
      </c>
      <c r="B373" s="113"/>
      <c r="C373" s="113"/>
    </row>
    <row r="374" spans="1:5" ht="51" customHeight="1">
      <c r="A374" s="113" t="s">
        <v>232</v>
      </c>
      <c r="B374" s="113"/>
      <c r="C374" s="113"/>
    </row>
    <row r="375" spans="1:5">
      <c r="A375" s="97" t="s">
        <v>151</v>
      </c>
      <c r="B375" s="97"/>
      <c r="C375" s="97"/>
    </row>
    <row r="376" spans="1:5">
      <c r="A376" s="114" t="s">
        <v>36</v>
      </c>
      <c r="B376" s="114"/>
      <c r="C376" s="7"/>
    </row>
    <row r="377" spans="1:5">
      <c r="A377" s="40"/>
      <c r="B377" s="40"/>
      <c r="C377" s="7"/>
    </row>
    <row r="378" spans="1:5" ht="93" customHeight="1">
      <c r="A378" s="48" t="s">
        <v>2</v>
      </c>
      <c r="B378" s="48" t="s">
        <v>3</v>
      </c>
      <c r="C378" s="48" t="s">
        <v>4</v>
      </c>
    </row>
    <row r="379" spans="1:5">
      <c r="A379" s="106" t="s">
        <v>5</v>
      </c>
      <c r="B379" s="107"/>
      <c r="C379" s="108"/>
      <c r="E379" s="12"/>
    </row>
    <row r="380" spans="1:5">
      <c r="A380" s="105">
        <v>1110</v>
      </c>
      <c r="B380" s="57" t="s">
        <v>67</v>
      </c>
      <c r="C380" s="45">
        <f>17.47*C408</f>
        <v>1694.59</v>
      </c>
      <c r="D380" s="11"/>
      <c r="E380" s="12"/>
    </row>
    <row r="381" spans="1:5">
      <c r="A381" s="105"/>
      <c r="B381" s="57" t="s">
        <v>64</v>
      </c>
      <c r="C381" s="45">
        <f>10.28*C408</f>
        <v>997.16</v>
      </c>
      <c r="D381" s="12"/>
      <c r="E381" s="12"/>
    </row>
    <row r="382" spans="1:5">
      <c r="A382" s="105"/>
      <c r="B382" s="57" t="s">
        <v>65</v>
      </c>
      <c r="C382" s="45">
        <f>7.59*C408</f>
        <v>736.23</v>
      </c>
      <c r="D382" s="12"/>
      <c r="E382" s="12"/>
    </row>
    <row r="383" spans="1:5" ht="28.5" customHeight="1">
      <c r="A383" s="48">
        <v>1210</v>
      </c>
      <c r="B383" s="44" t="s">
        <v>62</v>
      </c>
      <c r="C383" s="45">
        <f>(C380+C381+C382)*0.2359</f>
        <v>808.660482</v>
      </c>
    </row>
    <row r="384" spans="1:5" ht="31.5">
      <c r="A384" s="48">
        <v>2210</v>
      </c>
      <c r="B384" s="57" t="s">
        <v>129</v>
      </c>
      <c r="C384" s="45">
        <f>1*C408</f>
        <v>97</v>
      </c>
    </row>
    <row r="385" spans="1:5" ht="31.5">
      <c r="A385" s="48">
        <v>2340</v>
      </c>
      <c r="B385" s="57" t="s">
        <v>183</v>
      </c>
      <c r="C385" s="45">
        <f>(1.78+11.52)*C408</f>
        <v>1290.0999999999999</v>
      </c>
    </row>
    <row r="386" spans="1:5" ht="31.5">
      <c r="A386" s="48">
        <v>2364</v>
      </c>
      <c r="B386" s="44" t="s">
        <v>131</v>
      </c>
      <c r="C386" s="45">
        <f>(397717/364914)*C408</f>
        <v>105.71956406166933</v>
      </c>
    </row>
    <row r="387" spans="1:5" ht="31.5">
      <c r="A387" s="48">
        <v>2242</v>
      </c>
      <c r="B387" s="57" t="s">
        <v>132</v>
      </c>
      <c r="C387" s="45">
        <f>1.65*C408</f>
        <v>160.04999999999998</v>
      </c>
    </row>
    <row r="388" spans="1:5" ht="31.5">
      <c r="A388" s="48">
        <v>2350</v>
      </c>
      <c r="B388" s="57" t="s">
        <v>184</v>
      </c>
      <c r="C388" s="45">
        <f>1.49*C408</f>
        <v>144.53</v>
      </c>
    </row>
    <row r="389" spans="1:5" ht="31.5">
      <c r="A389" s="48">
        <v>2322</v>
      </c>
      <c r="B389" s="44" t="s">
        <v>134</v>
      </c>
      <c r="C389" s="45">
        <f>5.46*C408</f>
        <v>529.62</v>
      </c>
    </row>
    <row r="390" spans="1:5">
      <c r="A390" s="123" t="s">
        <v>6</v>
      </c>
      <c r="B390" s="124"/>
      <c r="C390" s="49">
        <f>SUM(C380:C389)</f>
        <v>6563.6600460616683</v>
      </c>
    </row>
    <row r="391" spans="1:5">
      <c r="A391" s="123" t="s">
        <v>7</v>
      </c>
      <c r="B391" s="125"/>
      <c r="C391" s="124"/>
    </row>
    <row r="392" spans="1:5" ht="30.6" customHeight="1">
      <c r="A392" s="48">
        <v>1110</v>
      </c>
      <c r="B392" s="50" t="s">
        <v>68</v>
      </c>
      <c r="C392" s="45">
        <f>ROUNDUP((C380+C381+C382)*0.25,2)+0.17</f>
        <v>857.17</v>
      </c>
      <c r="D392" s="19"/>
    </row>
    <row r="393" spans="1:5" ht="34.9" customHeight="1">
      <c r="A393" s="48">
        <v>1210</v>
      </c>
      <c r="B393" s="44" t="s">
        <v>62</v>
      </c>
      <c r="C393" s="45">
        <f>C392*0.2359</f>
        <v>202.20640299999999</v>
      </c>
    </row>
    <row r="394" spans="1:5" ht="31.5">
      <c r="A394" s="48">
        <v>2100</v>
      </c>
      <c r="B394" s="57" t="s">
        <v>135</v>
      </c>
      <c r="C394" s="45">
        <f>(31310/364914)*C408</f>
        <v>8.322700691121744</v>
      </c>
      <c r="E394" s="6"/>
    </row>
    <row r="395" spans="1:5" ht="31.5">
      <c r="A395" s="48">
        <v>2220</v>
      </c>
      <c r="B395" s="57" t="s">
        <v>136</v>
      </c>
      <c r="C395" s="45">
        <f>2.3*C408</f>
        <v>223.1</v>
      </c>
    </row>
    <row r="396" spans="1:5" ht="31.5">
      <c r="A396" s="48">
        <v>2230</v>
      </c>
      <c r="B396" s="44" t="s">
        <v>137</v>
      </c>
      <c r="C396" s="45">
        <f>(319988/364914)*C408</f>
        <v>85.057947900053165</v>
      </c>
    </row>
    <row r="397" spans="1:5" ht="31.5">
      <c r="A397" s="48">
        <v>2240</v>
      </c>
      <c r="B397" s="67" t="s">
        <v>150</v>
      </c>
      <c r="C397" s="45">
        <f>1.96*C408</f>
        <v>190.12</v>
      </c>
    </row>
    <row r="398" spans="1:5" ht="31.5">
      <c r="A398" s="48">
        <v>2250</v>
      </c>
      <c r="B398" s="44" t="s">
        <v>139</v>
      </c>
      <c r="C398" s="45">
        <f>1.66*C408</f>
        <v>161.01999999999998</v>
      </c>
    </row>
    <row r="399" spans="1:5" ht="34.5" customHeight="1">
      <c r="A399" s="48">
        <v>2261</v>
      </c>
      <c r="B399" s="44" t="s">
        <v>153</v>
      </c>
      <c r="C399" s="45">
        <f>0.82*C408</f>
        <v>79.539999999999992</v>
      </c>
    </row>
    <row r="400" spans="1:5" ht="31.5">
      <c r="A400" s="48">
        <v>2310</v>
      </c>
      <c r="B400" s="57" t="s">
        <v>141</v>
      </c>
      <c r="C400" s="45">
        <f>0.49*C408</f>
        <v>47.53</v>
      </c>
    </row>
    <row r="401" spans="1:7" ht="31.5">
      <c r="A401" s="48">
        <v>2510</v>
      </c>
      <c r="B401" s="57" t="s">
        <v>142</v>
      </c>
      <c r="C401" s="45">
        <f>0.13*C408</f>
        <v>12.610000000000001</v>
      </c>
    </row>
    <row r="402" spans="1:7" ht="31.5">
      <c r="A402" s="48">
        <v>5100</v>
      </c>
      <c r="B402" s="44" t="s">
        <v>143</v>
      </c>
      <c r="C402" s="45">
        <f>(18000/364914)*C408</f>
        <v>4.7846889952153111</v>
      </c>
    </row>
    <row r="403" spans="1:7" ht="47.25">
      <c r="A403" s="48">
        <v>5200</v>
      </c>
      <c r="B403" s="44" t="s">
        <v>144</v>
      </c>
      <c r="C403" s="45">
        <f>1.12*C408+0.91*C408</f>
        <v>196.91000000000003</v>
      </c>
      <c r="G403" s="2"/>
    </row>
    <row r="404" spans="1:7">
      <c r="A404" s="106" t="s">
        <v>8</v>
      </c>
      <c r="B404" s="108"/>
      <c r="C404" s="49">
        <f>SUM(C392:C403)</f>
        <v>2068.3717405863899</v>
      </c>
    </row>
    <row r="405" spans="1:7">
      <c r="A405" s="106" t="s">
        <v>9</v>
      </c>
      <c r="B405" s="108"/>
      <c r="C405" s="68">
        <f>C404+C390</f>
        <v>8632.0317866480582</v>
      </c>
    </row>
    <row r="406" spans="1:7">
      <c r="A406" s="7"/>
      <c r="B406" s="7"/>
      <c r="C406" s="21"/>
    </row>
    <row r="407" spans="1:7">
      <c r="A407" s="7"/>
      <c r="B407" s="7"/>
      <c r="C407" s="21"/>
    </row>
    <row r="408" spans="1:7">
      <c r="A408" s="97" t="s">
        <v>10</v>
      </c>
      <c r="B408" s="98"/>
      <c r="C408" s="63">
        <v>97</v>
      </c>
    </row>
    <row r="409" spans="1:7" ht="31.15" customHeight="1">
      <c r="A409" s="97" t="s">
        <v>145</v>
      </c>
      <c r="B409" s="98"/>
      <c r="C409" s="64">
        <f>ROUND(C405/C408,2)</f>
        <v>88.99</v>
      </c>
      <c r="D409" s="26"/>
    </row>
    <row r="412" spans="1:7">
      <c r="A412" s="112" t="s">
        <v>0</v>
      </c>
      <c r="B412" s="112"/>
      <c r="C412" s="112"/>
      <c r="D412" s="5"/>
      <c r="E412" s="5"/>
    </row>
    <row r="414" spans="1:7">
      <c r="A414" s="113" t="s">
        <v>12</v>
      </c>
      <c r="B414" s="113"/>
      <c r="C414" s="113"/>
    </row>
    <row r="415" spans="1:7" ht="48" customHeight="1">
      <c r="A415" s="113" t="s">
        <v>233</v>
      </c>
      <c r="B415" s="113"/>
      <c r="C415" s="113"/>
    </row>
    <row r="416" spans="1:7">
      <c r="A416" s="113" t="s">
        <v>1</v>
      </c>
      <c r="B416" s="113"/>
      <c r="C416" s="113"/>
    </row>
    <row r="417" spans="1:5">
      <c r="A417" s="102" t="s">
        <v>17</v>
      </c>
      <c r="B417" s="102"/>
    </row>
    <row r="418" spans="1:5">
      <c r="A418" s="39"/>
      <c r="B418" s="39"/>
    </row>
    <row r="419" spans="1:5" ht="85.5" customHeight="1">
      <c r="A419" s="43" t="s">
        <v>2</v>
      </c>
      <c r="B419" s="43" t="s">
        <v>3</v>
      </c>
      <c r="C419" s="43" t="s">
        <v>4</v>
      </c>
    </row>
    <row r="420" spans="1:5">
      <c r="A420" s="120" t="s">
        <v>5</v>
      </c>
      <c r="B420" s="121"/>
      <c r="C420" s="122"/>
      <c r="D420" s="12"/>
      <c r="E420" s="12"/>
    </row>
    <row r="421" spans="1:5">
      <c r="A421" s="103">
        <v>1110</v>
      </c>
      <c r="B421" s="57" t="s">
        <v>67</v>
      </c>
      <c r="C421" s="45">
        <f>29.3*C449</f>
        <v>2344</v>
      </c>
      <c r="D421" s="11"/>
      <c r="E421" s="12"/>
    </row>
    <row r="422" spans="1:5">
      <c r="A422" s="103"/>
      <c r="B422" s="57" t="s">
        <v>64</v>
      </c>
      <c r="C422" s="45">
        <f>17.24*C449</f>
        <v>1379.1999999999998</v>
      </c>
      <c r="D422" s="12"/>
      <c r="E422" s="12"/>
    </row>
    <row r="423" spans="1:5">
      <c r="A423" s="103"/>
      <c r="B423" s="57" t="s">
        <v>65</v>
      </c>
      <c r="C423" s="45">
        <f>12.73*C449</f>
        <v>1018.4000000000001</v>
      </c>
      <c r="D423" s="12"/>
      <c r="E423" s="12"/>
    </row>
    <row r="424" spans="1:5" ht="31.5">
      <c r="A424" s="43">
        <v>1210</v>
      </c>
      <c r="B424" s="50" t="s">
        <v>62</v>
      </c>
      <c r="C424" s="45">
        <f>(C421+C422+C423)*0.2359</f>
        <v>1118.5434400000001</v>
      </c>
    </row>
    <row r="425" spans="1:5" ht="31.5">
      <c r="A425" s="43">
        <v>2210</v>
      </c>
      <c r="B425" s="57" t="s">
        <v>129</v>
      </c>
      <c r="C425" s="45">
        <f>1*C449</f>
        <v>80</v>
      </c>
    </row>
    <row r="426" spans="1:5" ht="31.5">
      <c r="A426" s="43">
        <v>2340</v>
      </c>
      <c r="B426" s="57" t="s">
        <v>183</v>
      </c>
      <c r="C426" s="45">
        <f>(1.78+11.52)*C449</f>
        <v>1064</v>
      </c>
    </row>
    <row r="427" spans="1:5" ht="31.5">
      <c r="A427" s="48">
        <v>2364</v>
      </c>
      <c r="B427" s="44" t="s">
        <v>131</v>
      </c>
      <c r="C427" s="45">
        <f>1.09*C449</f>
        <v>87.2</v>
      </c>
    </row>
    <row r="428" spans="1:5" ht="31.5">
      <c r="A428" s="43">
        <v>2242</v>
      </c>
      <c r="B428" s="57" t="s">
        <v>132</v>
      </c>
      <c r="C428" s="45">
        <f>1.65*C449</f>
        <v>132</v>
      </c>
    </row>
    <row r="429" spans="1:5" ht="31.5">
      <c r="A429" s="43">
        <v>2350</v>
      </c>
      <c r="B429" s="57" t="s">
        <v>148</v>
      </c>
      <c r="C429" s="45">
        <f>1.49*C449</f>
        <v>119.2</v>
      </c>
    </row>
    <row r="430" spans="1:5" ht="31.5">
      <c r="A430" s="43">
        <v>2322</v>
      </c>
      <c r="B430" s="44" t="s">
        <v>115</v>
      </c>
      <c r="C430" s="45">
        <f>11.56*C449</f>
        <v>924.80000000000007</v>
      </c>
    </row>
    <row r="431" spans="1:5">
      <c r="A431" s="123" t="s">
        <v>6</v>
      </c>
      <c r="B431" s="124"/>
      <c r="C431" s="49">
        <f>SUM(C421:C430)</f>
        <v>8267.3434400000006</v>
      </c>
    </row>
    <row r="432" spans="1:5">
      <c r="A432" s="123" t="s">
        <v>7</v>
      </c>
      <c r="B432" s="125"/>
      <c r="C432" s="124"/>
    </row>
    <row r="433" spans="1:7" ht="31.5">
      <c r="A433" s="43">
        <v>1110</v>
      </c>
      <c r="B433" s="50" t="s">
        <v>68</v>
      </c>
      <c r="C433" s="45">
        <f>ROUNDDOWN((C421+C422+C423)*0.25,2)-0.085</f>
        <v>1185.3150000000001</v>
      </c>
      <c r="D433" s="19"/>
    </row>
    <row r="434" spans="1:7" ht="31.5">
      <c r="A434" s="43">
        <v>1210</v>
      </c>
      <c r="B434" s="57" t="s">
        <v>62</v>
      </c>
      <c r="C434" s="45">
        <f>C433*0.2359</f>
        <v>279.61580850000001</v>
      </c>
    </row>
    <row r="435" spans="1:7" ht="31.5">
      <c r="A435" s="43">
        <v>2100</v>
      </c>
      <c r="B435" s="57" t="s">
        <v>185</v>
      </c>
      <c r="C435" s="45">
        <f>0.09*C449</f>
        <v>7.1999999999999993</v>
      </c>
      <c r="E435" s="6"/>
    </row>
    <row r="436" spans="1:7" ht="31.5">
      <c r="A436" s="43">
        <v>2220</v>
      </c>
      <c r="B436" s="57" t="s">
        <v>136</v>
      </c>
      <c r="C436" s="45">
        <f>2.3*C449</f>
        <v>184</v>
      </c>
    </row>
    <row r="437" spans="1:7" ht="31.5">
      <c r="A437" s="43">
        <v>2230</v>
      </c>
      <c r="B437" s="44" t="s">
        <v>137</v>
      </c>
      <c r="C437" s="45">
        <f>0.88*C449</f>
        <v>70.400000000000006</v>
      </c>
    </row>
    <row r="438" spans="1:7" ht="31.5">
      <c r="A438" s="43">
        <v>2240</v>
      </c>
      <c r="B438" s="67" t="s">
        <v>171</v>
      </c>
      <c r="C438" s="45">
        <f>1.96*C449</f>
        <v>156.80000000000001</v>
      </c>
    </row>
    <row r="439" spans="1:7" ht="31.5">
      <c r="A439" s="43">
        <v>2250</v>
      </c>
      <c r="B439" s="57" t="s">
        <v>139</v>
      </c>
      <c r="C439" s="45">
        <f>1.66*C449</f>
        <v>132.79999999999998</v>
      </c>
    </row>
    <row r="440" spans="1:7" ht="31.5">
      <c r="A440" s="43">
        <v>2261</v>
      </c>
      <c r="B440" s="44" t="s">
        <v>153</v>
      </c>
      <c r="C440" s="45">
        <f>0.82*C449</f>
        <v>65.599999999999994</v>
      </c>
    </row>
    <row r="441" spans="1:7" ht="31.5">
      <c r="A441" s="43">
        <v>2310</v>
      </c>
      <c r="B441" s="57" t="s">
        <v>154</v>
      </c>
      <c r="C441" s="45">
        <f>0.49*C449</f>
        <v>39.200000000000003</v>
      </c>
    </row>
    <row r="442" spans="1:7" ht="31.5">
      <c r="A442" s="43">
        <v>2510</v>
      </c>
      <c r="B442" s="57" t="s">
        <v>142</v>
      </c>
      <c r="C442" s="45">
        <f>(46183/364914)*C449</f>
        <v>10.124686912532816</v>
      </c>
    </row>
    <row r="443" spans="1:7" ht="31.5">
      <c r="A443" s="43">
        <v>5100</v>
      </c>
      <c r="B443" s="44" t="s">
        <v>186</v>
      </c>
      <c r="C443" s="45">
        <f>0.05*C449</f>
        <v>4</v>
      </c>
    </row>
    <row r="444" spans="1:7" ht="47.25">
      <c r="A444" s="43">
        <v>5200</v>
      </c>
      <c r="B444" s="44" t="s">
        <v>174</v>
      </c>
      <c r="C444" s="45">
        <f>1.12*C449+0.91*C449</f>
        <v>162.4</v>
      </c>
      <c r="G444" s="2"/>
    </row>
    <row r="445" spans="1:7">
      <c r="A445" s="120" t="s">
        <v>8</v>
      </c>
      <c r="B445" s="122"/>
      <c r="C445" s="70">
        <f>SUM(C433:C444)</f>
        <v>2297.4554954125329</v>
      </c>
    </row>
    <row r="446" spans="1:7">
      <c r="A446" s="120" t="s">
        <v>9</v>
      </c>
      <c r="B446" s="122"/>
      <c r="C446" s="70">
        <f>C445+C431</f>
        <v>10564.798935412533</v>
      </c>
    </row>
    <row r="447" spans="1:7">
      <c r="C447" s="2"/>
    </row>
    <row r="448" spans="1:7">
      <c r="C448" s="2"/>
    </row>
    <row r="449" spans="1:5">
      <c r="A449" s="115" t="s">
        <v>10</v>
      </c>
      <c r="B449" s="116"/>
      <c r="C449" s="63">
        <v>80</v>
      </c>
    </row>
    <row r="450" spans="1:5" ht="30" customHeight="1">
      <c r="A450" s="115" t="s">
        <v>11</v>
      </c>
      <c r="B450" s="116"/>
      <c r="C450" s="65">
        <f>ROUND(C446/C449,2)</f>
        <v>132.06</v>
      </c>
    </row>
    <row r="453" spans="1:5">
      <c r="A453" s="112" t="s">
        <v>0</v>
      </c>
      <c r="B453" s="112"/>
      <c r="C453" s="112"/>
      <c r="D453" s="5"/>
      <c r="E453" s="5"/>
    </row>
    <row r="455" spans="1:5">
      <c r="A455" s="113" t="s">
        <v>12</v>
      </c>
      <c r="B455" s="113"/>
      <c r="C455" s="113"/>
    </row>
    <row r="456" spans="1:5" ht="51" customHeight="1">
      <c r="A456" s="113" t="s">
        <v>234</v>
      </c>
      <c r="B456" s="113"/>
      <c r="C456" s="113"/>
    </row>
    <row r="457" spans="1:5">
      <c r="A457" s="113" t="s">
        <v>1</v>
      </c>
      <c r="B457" s="113"/>
      <c r="C457" s="113"/>
    </row>
    <row r="458" spans="1:5">
      <c r="A458" s="102" t="s">
        <v>128</v>
      </c>
      <c r="B458" s="102"/>
    </row>
    <row r="459" spans="1:5">
      <c r="A459" s="39"/>
      <c r="B459" s="39"/>
    </row>
    <row r="460" spans="1:5" ht="94.5" customHeight="1">
      <c r="A460" s="48" t="s">
        <v>2</v>
      </c>
      <c r="B460" s="48" t="s">
        <v>3</v>
      </c>
      <c r="C460" s="48" t="s">
        <v>4</v>
      </c>
      <c r="D460" s="7"/>
    </row>
    <row r="461" spans="1:5">
      <c r="A461" s="106" t="s">
        <v>5</v>
      </c>
      <c r="B461" s="107"/>
      <c r="C461" s="108"/>
      <c r="D461" s="4"/>
      <c r="E461" s="12"/>
    </row>
    <row r="462" spans="1:5">
      <c r="A462" s="105">
        <v>1110</v>
      </c>
      <c r="B462" s="57" t="s">
        <v>64</v>
      </c>
      <c r="C462" s="45">
        <f>17.24*C490</f>
        <v>18102</v>
      </c>
      <c r="D462" s="4"/>
      <c r="E462" s="12"/>
    </row>
    <row r="463" spans="1:5">
      <c r="A463" s="105"/>
      <c r="B463" s="57" t="s">
        <v>64</v>
      </c>
      <c r="C463" s="45">
        <f>17.24*C490</f>
        <v>18102</v>
      </c>
      <c r="D463" s="4"/>
      <c r="E463" s="12"/>
    </row>
    <row r="464" spans="1:5">
      <c r="A464" s="105"/>
      <c r="B464" s="57" t="s">
        <v>65</v>
      </c>
      <c r="C464" s="45">
        <f>12.73*C490</f>
        <v>13366.5</v>
      </c>
      <c r="D464" s="4"/>
      <c r="E464" s="12"/>
    </row>
    <row r="465" spans="1:5" ht="31.5">
      <c r="A465" s="48">
        <v>1210</v>
      </c>
      <c r="B465" s="44" t="s">
        <v>62</v>
      </c>
      <c r="C465" s="45">
        <f>ROUNDUP((C462+C463+C464)*0.2359,2)</f>
        <v>11693.69</v>
      </c>
      <c r="D465" s="4"/>
    </row>
    <row r="466" spans="1:5" ht="31.5">
      <c r="A466" s="48">
        <v>2210</v>
      </c>
      <c r="B466" s="57" t="s">
        <v>187</v>
      </c>
      <c r="C466" s="45">
        <f>1*C490</f>
        <v>1050</v>
      </c>
      <c r="D466" s="4"/>
    </row>
    <row r="467" spans="1:5" ht="31.5">
      <c r="A467" s="48">
        <v>2340</v>
      </c>
      <c r="B467" s="57" t="s">
        <v>188</v>
      </c>
      <c r="C467" s="45">
        <f>1.78*C490</f>
        <v>1869</v>
      </c>
      <c r="D467" s="4"/>
    </row>
    <row r="468" spans="1:5" ht="31.5">
      <c r="A468" s="48">
        <v>2364</v>
      </c>
      <c r="B468" s="44" t="s">
        <v>131</v>
      </c>
      <c r="C468" s="45">
        <f>1.09*C490</f>
        <v>1144.5</v>
      </c>
      <c r="D468" s="4"/>
    </row>
    <row r="469" spans="1:5" ht="31.5">
      <c r="A469" s="48">
        <v>2242</v>
      </c>
      <c r="B469" s="57" t="s">
        <v>152</v>
      </c>
      <c r="C469" s="45">
        <f>1.65*C490</f>
        <v>1732.5</v>
      </c>
      <c r="D469" s="4"/>
    </row>
    <row r="470" spans="1:5" ht="31.5">
      <c r="A470" s="48">
        <v>2350</v>
      </c>
      <c r="B470" s="57" t="s">
        <v>148</v>
      </c>
      <c r="C470" s="45">
        <f>1.49*C490</f>
        <v>1564.5</v>
      </c>
      <c r="D470" s="4"/>
    </row>
    <row r="471" spans="1:5" ht="31.5">
      <c r="A471" s="48">
        <v>2322</v>
      </c>
      <c r="B471" s="44" t="s">
        <v>134</v>
      </c>
      <c r="C471" s="45">
        <f>5.46*C490</f>
        <v>5733</v>
      </c>
      <c r="D471" s="4"/>
    </row>
    <row r="472" spans="1:5">
      <c r="A472" s="123" t="s">
        <v>6</v>
      </c>
      <c r="B472" s="124"/>
      <c r="C472" s="49">
        <f>SUM(C462:C471)</f>
        <v>74357.69</v>
      </c>
      <c r="D472" s="4"/>
    </row>
    <row r="473" spans="1:5">
      <c r="A473" s="123" t="s">
        <v>7</v>
      </c>
      <c r="B473" s="125"/>
      <c r="C473" s="124"/>
      <c r="D473" s="4"/>
    </row>
    <row r="474" spans="1:5" ht="31.5">
      <c r="A474" s="48">
        <v>1110</v>
      </c>
      <c r="B474" s="50" t="s">
        <v>79</v>
      </c>
      <c r="C474" s="45">
        <f>ROUND((C462+C463+C464)*0.1,2)-4.23</f>
        <v>4952.8200000000006</v>
      </c>
      <c r="D474" s="29"/>
    </row>
    <row r="475" spans="1:5" ht="21.6" customHeight="1">
      <c r="A475" s="48">
        <v>1210</v>
      </c>
      <c r="B475" s="57" t="s">
        <v>62</v>
      </c>
      <c r="C475" s="45">
        <f>C474*0.2359</f>
        <v>1168.3702380000002</v>
      </c>
      <c r="D475" s="4"/>
    </row>
    <row r="476" spans="1:5" ht="31.5">
      <c r="A476" s="48">
        <v>2100</v>
      </c>
      <c r="B476" s="57" t="s">
        <v>135</v>
      </c>
      <c r="C476" s="45">
        <f>0.09*C490</f>
        <v>94.5</v>
      </c>
      <c r="D476" s="4"/>
      <c r="E476" s="6"/>
    </row>
    <row r="477" spans="1:5" ht="31.5">
      <c r="A477" s="48">
        <v>2220</v>
      </c>
      <c r="B477" s="57" t="s">
        <v>136</v>
      </c>
      <c r="C477" s="45">
        <f>2.3*C490</f>
        <v>2415</v>
      </c>
      <c r="D477" s="4"/>
    </row>
    <row r="478" spans="1:5" ht="31.5">
      <c r="A478" s="48">
        <v>2230</v>
      </c>
      <c r="B478" s="44" t="s">
        <v>137</v>
      </c>
      <c r="C478" s="45">
        <f>((319988/364914)*C490)</f>
        <v>920.73036386655485</v>
      </c>
      <c r="D478" s="4"/>
    </row>
    <row r="479" spans="1:5" ht="31.5">
      <c r="A479" s="48">
        <v>2240</v>
      </c>
      <c r="B479" s="67" t="s">
        <v>150</v>
      </c>
      <c r="C479" s="45">
        <f>1.96*C490</f>
        <v>2058</v>
      </c>
      <c r="D479" s="4"/>
    </row>
    <row r="480" spans="1:5" ht="31.5">
      <c r="A480" s="48">
        <v>2250</v>
      </c>
      <c r="B480" s="44" t="s">
        <v>139</v>
      </c>
      <c r="C480" s="45">
        <f>1.66*C490</f>
        <v>1743</v>
      </c>
      <c r="D480" s="4"/>
    </row>
    <row r="481" spans="1:7" ht="31.5">
      <c r="A481" s="48">
        <v>2261</v>
      </c>
      <c r="B481" s="44" t="s">
        <v>153</v>
      </c>
      <c r="C481" s="45">
        <f>0.82*C490</f>
        <v>861</v>
      </c>
      <c r="D481" s="4"/>
    </row>
    <row r="482" spans="1:7" ht="31.5">
      <c r="A482" s="48">
        <v>2310</v>
      </c>
      <c r="B482" s="57" t="s">
        <v>154</v>
      </c>
      <c r="C482" s="45">
        <f>0.49*C490</f>
        <v>514.5</v>
      </c>
      <c r="D482" s="4"/>
    </row>
    <row r="483" spans="1:7" ht="31.5">
      <c r="A483" s="48">
        <v>2510</v>
      </c>
      <c r="B483" s="57" t="s">
        <v>142</v>
      </c>
      <c r="C483" s="45">
        <f>(46183/364914)*C490</f>
        <v>132.88651572699322</v>
      </c>
      <c r="D483" s="4"/>
    </row>
    <row r="484" spans="1:7" ht="31.5">
      <c r="A484" s="48">
        <v>5100</v>
      </c>
      <c r="B484" s="44" t="s">
        <v>157</v>
      </c>
      <c r="C484" s="45">
        <f>0.12*C490</f>
        <v>126</v>
      </c>
      <c r="D484" s="4"/>
    </row>
    <row r="485" spans="1:7" ht="47.25">
      <c r="A485" s="48">
        <v>5200</v>
      </c>
      <c r="B485" s="44" t="s">
        <v>189</v>
      </c>
      <c r="C485" s="45">
        <f>1.12*C490+0.91*C490</f>
        <v>2131.5</v>
      </c>
      <c r="D485" s="4"/>
      <c r="G485" s="2"/>
    </row>
    <row r="486" spans="1:7">
      <c r="A486" s="106" t="s">
        <v>8</v>
      </c>
      <c r="B486" s="108"/>
      <c r="C486" s="49">
        <f>SUM(C474:C485)</f>
        <v>17118.307117593547</v>
      </c>
      <c r="D486" s="4"/>
    </row>
    <row r="487" spans="1:7">
      <c r="A487" s="106" t="s">
        <v>9</v>
      </c>
      <c r="B487" s="108"/>
      <c r="C487" s="49">
        <f>C486+C472</f>
        <v>91475.99711759355</v>
      </c>
      <c r="D487" s="4"/>
    </row>
    <row r="488" spans="1:7">
      <c r="A488" s="7"/>
      <c r="B488" s="7"/>
      <c r="C488" s="21"/>
      <c r="D488" s="4"/>
    </row>
    <row r="489" spans="1:7">
      <c r="A489" s="7"/>
      <c r="B489" s="7"/>
      <c r="C489" s="21"/>
      <c r="D489" s="7"/>
    </row>
    <row r="490" spans="1:7">
      <c r="A490" s="97" t="s">
        <v>10</v>
      </c>
      <c r="B490" s="98"/>
      <c r="C490" s="71">
        <v>1050</v>
      </c>
      <c r="D490" s="7"/>
    </row>
    <row r="491" spans="1:7" ht="31.9" customHeight="1">
      <c r="A491" s="97" t="s">
        <v>145</v>
      </c>
      <c r="B491" s="98"/>
      <c r="C491" s="64">
        <f>ROUND(C487/C490,2)</f>
        <v>87.12</v>
      </c>
      <c r="D491" s="28"/>
    </row>
    <row r="494" spans="1:7">
      <c r="A494" s="112" t="s">
        <v>0</v>
      </c>
      <c r="B494" s="112"/>
      <c r="C494" s="112"/>
      <c r="D494" s="5"/>
      <c r="E494" s="5"/>
    </row>
    <row r="496" spans="1:7">
      <c r="A496" s="113" t="s">
        <v>12</v>
      </c>
      <c r="B496" s="113"/>
      <c r="C496" s="113"/>
    </row>
    <row r="497" spans="1:5" ht="50.45" customHeight="1">
      <c r="A497" s="113" t="s">
        <v>235</v>
      </c>
      <c r="B497" s="113"/>
      <c r="C497" s="113"/>
    </row>
    <row r="498" spans="1:5">
      <c r="A498" s="113" t="s">
        <v>1</v>
      </c>
      <c r="B498" s="113"/>
      <c r="C498" s="113"/>
    </row>
    <row r="499" spans="1:5">
      <c r="A499" s="102" t="s">
        <v>122</v>
      </c>
      <c r="B499" s="102"/>
    </row>
    <row r="500" spans="1:5">
      <c r="A500" s="39"/>
      <c r="B500" s="39"/>
    </row>
    <row r="501" spans="1:5" ht="92.25" customHeight="1">
      <c r="A501" s="43" t="s">
        <v>2</v>
      </c>
      <c r="B501" s="43" t="s">
        <v>3</v>
      </c>
      <c r="C501" s="43" t="s">
        <v>4</v>
      </c>
    </row>
    <row r="502" spans="1:5">
      <c r="A502" s="120" t="s">
        <v>5</v>
      </c>
      <c r="B502" s="121"/>
      <c r="C502" s="122"/>
      <c r="D502" s="12"/>
      <c r="E502" s="12"/>
    </row>
    <row r="503" spans="1:5">
      <c r="A503" s="103">
        <v>1110</v>
      </c>
      <c r="B503" s="57" t="s">
        <v>69</v>
      </c>
      <c r="C503" s="45">
        <f>22.81*C531</f>
        <v>684.3</v>
      </c>
      <c r="D503" s="11"/>
      <c r="E503" s="12"/>
    </row>
    <row r="504" spans="1:5">
      <c r="A504" s="103"/>
      <c r="B504" s="57" t="s">
        <v>64</v>
      </c>
      <c r="C504" s="45">
        <f>15.19*C531</f>
        <v>455.7</v>
      </c>
      <c r="D504" s="12"/>
      <c r="E504" s="12"/>
    </row>
    <row r="505" spans="1:5">
      <c r="A505" s="103"/>
      <c r="B505" s="57" t="s">
        <v>65</v>
      </c>
      <c r="C505" s="45">
        <f>10.7*C531</f>
        <v>321</v>
      </c>
      <c r="D505" s="11"/>
      <c r="E505" s="12"/>
    </row>
    <row r="506" spans="1:5" ht="31.5">
      <c r="A506" s="48">
        <v>1210</v>
      </c>
      <c r="B506" s="44" t="s">
        <v>62</v>
      </c>
      <c r="C506" s="45">
        <f>(C503+C504+C505)*0.2359</f>
        <v>344.6499</v>
      </c>
    </row>
    <row r="507" spans="1:5" ht="31.5">
      <c r="A507" s="48">
        <v>2210</v>
      </c>
      <c r="B507" s="57" t="s">
        <v>187</v>
      </c>
      <c r="C507" s="45">
        <f>ROUND((365814/364914)*C531,2)</f>
        <v>30.07</v>
      </c>
    </row>
    <row r="508" spans="1:5" ht="31.5">
      <c r="A508" s="48">
        <v>2340</v>
      </c>
      <c r="B508" s="57" t="s">
        <v>190</v>
      </c>
      <c r="C508" s="45">
        <f>(1.78+6.91)*C531</f>
        <v>260.7</v>
      </c>
    </row>
    <row r="509" spans="1:5" ht="31.5">
      <c r="A509" s="48">
        <v>2364</v>
      </c>
      <c r="B509" s="44" t="s">
        <v>131</v>
      </c>
      <c r="C509" s="45">
        <f>ROUND((397717/364914)*C531,2)</f>
        <v>32.700000000000003</v>
      </c>
    </row>
    <row r="510" spans="1:5" ht="31.5">
      <c r="A510" s="48">
        <v>2242</v>
      </c>
      <c r="B510" s="57" t="s">
        <v>152</v>
      </c>
      <c r="C510" s="45">
        <f>1.65*C531</f>
        <v>49.5</v>
      </c>
    </row>
    <row r="511" spans="1:5" ht="31.5">
      <c r="A511" s="48">
        <v>2350</v>
      </c>
      <c r="B511" s="57" t="s">
        <v>148</v>
      </c>
      <c r="C511" s="60">
        <f>(544867/364914)*C531</f>
        <v>44.794143277594173</v>
      </c>
    </row>
    <row r="512" spans="1:5" ht="31.5">
      <c r="A512" s="48">
        <v>2322</v>
      </c>
      <c r="B512" s="44" t="s">
        <v>134</v>
      </c>
      <c r="C512" s="45">
        <f>5.46*C531</f>
        <v>163.80000000000001</v>
      </c>
    </row>
    <row r="513" spans="1:7">
      <c r="A513" s="123" t="s">
        <v>6</v>
      </c>
      <c r="B513" s="124"/>
      <c r="C513" s="49">
        <f>SUM(C503:C512)</f>
        <v>2387.2140432775941</v>
      </c>
    </row>
    <row r="514" spans="1:7">
      <c r="A514" s="123" t="s">
        <v>7</v>
      </c>
      <c r="B514" s="125"/>
      <c r="C514" s="124"/>
    </row>
    <row r="515" spans="1:7" ht="31.5">
      <c r="A515" s="48">
        <v>1110</v>
      </c>
      <c r="B515" s="50" t="s">
        <v>117</v>
      </c>
      <c r="C515" s="45">
        <f>ROUNDDOWN((C503+C504+C505)*0.1,2)-0.014</f>
        <v>146.08599999999998</v>
      </c>
      <c r="D515" s="19"/>
    </row>
    <row r="516" spans="1:7" ht="31.5">
      <c r="A516" s="48">
        <v>1210</v>
      </c>
      <c r="B516" s="44" t="s">
        <v>62</v>
      </c>
      <c r="C516" s="45">
        <f>C515*0.2359</f>
        <v>34.461687399999995</v>
      </c>
    </row>
    <row r="517" spans="1:7" ht="31.5">
      <c r="A517" s="48">
        <v>2100</v>
      </c>
      <c r="B517" s="57" t="s">
        <v>135</v>
      </c>
      <c r="C517" s="45">
        <f>ROUND((31310/364914)*C531,2)</f>
        <v>2.57</v>
      </c>
      <c r="E517" s="6"/>
    </row>
    <row r="518" spans="1:7" ht="31.5">
      <c r="A518" s="48">
        <v>2220</v>
      </c>
      <c r="B518" s="57" t="s">
        <v>136</v>
      </c>
      <c r="C518" s="45">
        <f>2.3*C531</f>
        <v>69</v>
      </c>
    </row>
    <row r="519" spans="1:7" ht="31.5">
      <c r="A519" s="48">
        <v>2230</v>
      </c>
      <c r="B519" s="57" t="s">
        <v>191</v>
      </c>
      <c r="C519" s="45">
        <f>ROUND((319988/364914)*C531,2)</f>
        <v>26.31</v>
      </c>
    </row>
    <row r="520" spans="1:7" ht="31.5">
      <c r="A520" s="48">
        <v>2240</v>
      </c>
      <c r="B520" s="67" t="s">
        <v>150</v>
      </c>
      <c r="C520" s="45">
        <f>(714967/364914)*C531</f>
        <v>58.778260083197686</v>
      </c>
    </row>
    <row r="521" spans="1:7" ht="31.5">
      <c r="A521" s="48">
        <v>2250</v>
      </c>
      <c r="B521" s="44" t="s">
        <v>139</v>
      </c>
      <c r="C521" s="45">
        <f>ROUND((604971/364914)*C531,2)</f>
        <v>49.74</v>
      </c>
    </row>
    <row r="522" spans="1:7" ht="31.5">
      <c r="A522" s="48">
        <v>2261</v>
      </c>
      <c r="B522" s="44" t="s">
        <v>153</v>
      </c>
      <c r="C522" s="45">
        <f>ROUND((300406/364914)*C531,2)</f>
        <v>24.7</v>
      </c>
    </row>
    <row r="523" spans="1:7" ht="36.75" customHeight="1">
      <c r="A523" s="48">
        <v>2310</v>
      </c>
      <c r="B523" s="44" t="s">
        <v>154</v>
      </c>
      <c r="C523" s="45">
        <f>ROUND((178311/364914)*C531,2)</f>
        <v>14.66</v>
      </c>
    </row>
    <row r="524" spans="1:7" ht="31.5">
      <c r="A524" s="48">
        <v>2510</v>
      </c>
      <c r="B524" s="72" t="s">
        <v>142</v>
      </c>
      <c r="C524" s="45">
        <f>ROUND((46183/364914)*C531,2)</f>
        <v>3.8</v>
      </c>
    </row>
    <row r="525" spans="1:7" ht="31.5">
      <c r="A525" s="48">
        <v>5100</v>
      </c>
      <c r="B525" s="44" t="s">
        <v>143</v>
      </c>
      <c r="C525" s="45">
        <f>ROUND((18000/364914)*C531,2)</f>
        <v>1.48</v>
      </c>
    </row>
    <row r="526" spans="1:7" ht="47.25">
      <c r="A526" s="48">
        <v>5200</v>
      </c>
      <c r="B526" s="44" t="s">
        <v>144</v>
      </c>
      <c r="C526" s="45">
        <f>1.12*C531+0.91*C531</f>
        <v>60.900000000000006</v>
      </c>
      <c r="G526" s="2"/>
    </row>
    <row r="527" spans="1:7">
      <c r="A527" s="106" t="s">
        <v>8</v>
      </c>
      <c r="B527" s="108"/>
      <c r="C527" s="49">
        <f>SUM(C515:C526)</f>
        <v>492.48594748319772</v>
      </c>
    </row>
    <row r="528" spans="1:7">
      <c r="A528" s="106" t="s">
        <v>9</v>
      </c>
      <c r="B528" s="108"/>
      <c r="C528" s="49">
        <f>C527+C513</f>
        <v>2879.6999907607919</v>
      </c>
    </row>
    <row r="529" spans="1:5">
      <c r="A529" s="7"/>
      <c r="B529" s="7"/>
      <c r="C529" s="21"/>
    </row>
    <row r="530" spans="1:5">
      <c r="A530" s="7"/>
      <c r="B530" s="7"/>
      <c r="C530" s="21"/>
    </row>
    <row r="531" spans="1:5">
      <c r="A531" s="97" t="s">
        <v>10</v>
      </c>
      <c r="B531" s="98"/>
      <c r="C531" s="73">
        <v>30</v>
      </c>
    </row>
    <row r="532" spans="1:5" ht="30" customHeight="1">
      <c r="A532" s="97" t="s">
        <v>145</v>
      </c>
      <c r="B532" s="98"/>
      <c r="C532" s="73">
        <f>ROUND(C528/C531,2)</f>
        <v>95.99</v>
      </c>
      <c r="D532" s="26"/>
    </row>
    <row r="535" spans="1:5">
      <c r="A535" s="127" t="s">
        <v>0</v>
      </c>
      <c r="B535" s="127"/>
      <c r="C535" s="127"/>
      <c r="D535" s="5"/>
      <c r="E535" s="5"/>
    </row>
    <row r="536" spans="1:5">
      <c r="A536" s="7"/>
      <c r="B536" s="7"/>
      <c r="C536" s="7"/>
    </row>
    <row r="537" spans="1:5">
      <c r="A537" s="97" t="s">
        <v>192</v>
      </c>
      <c r="B537" s="97"/>
      <c r="C537" s="97"/>
    </row>
    <row r="538" spans="1:5" ht="49.9" customHeight="1">
      <c r="A538" s="97" t="s">
        <v>236</v>
      </c>
      <c r="B538" s="97"/>
      <c r="C538" s="97"/>
    </row>
    <row r="539" spans="1:5">
      <c r="A539" s="97" t="s">
        <v>151</v>
      </c>
      <c r="B539" s="97"/>
      <c r="C539" s="97"/>
    </row>
    <row r="540" spans="1:5">
      <c r="A540" s="114" t="s">
        <v>16</v>
      </c>
      <c r="B540" s="114"/>
      <c r="C540" s="7"/>
    </row>
    <row r="541" spans="1:5">
      <c r="A541" s="40"/>
      <c r="B541" s="40"/>
      <c r="C541" s="7"/>
    </row>
    <row r="542" spans="1:5" ht="84.75" customHeight="1">
      <c r="A542" s="48" t="s">
        <v>2</v>
      </c>
      <c r="B542" s="48" t="s">
        <v>3</v>
      </c>
      <c r="C542" s="48" t="s">
        <v>4</v>
      </c>
    </row>
    <row r="543" spans="1:5">
      <c r="A543" s="106" t="s">
        <v>5</v>
      </c>
      <c r="B543" s="107"/>
      <c r="C543" s="108"/>
      <c r="D543" s="12"/>
      <c r="E543" s="12"/>
    </row>
    <row r="544" spans="1:5">
      <c r="A544" s="105">
        <v>1110</v>
      </c>
      <c r="B544" s="57" t="s">
        <v>70</v>
      </c>
      <c r="C544" s="55">
        <f>24.64*C572</f>
        <v>123.2</v>
      </c>
      <c r="D544" s="11"/>
      <c r="E544" s="11"/>
    </row>
    <row r="545" spans="1:5">
      <c r="A545" s="105"/>
      <c r="B545" s="57" t="s">
        <v>64</v>
      </c>
      <c r="C545" s="55">
        <f>15.19*C572</f>
        <v>75.95</v>
      </c>
      <c r="D545" s="12"/>
      <c r="E545" s="12"/>
    </row>
    <row r="546" spans="1:5">
      <c r="A546" s="105"/>
      <c r="B546" s="57" t="s">
        <v>65</v>
      </c>
      <c r="C546" s="55">
        <f>10.7*C572</f>
        <v>53.5</v>
      </c>
      <c r="D546" s="12"/>
      <c r="E546" s="11"/>
    </row>
    <row r="547" spans="1:5" ht="31.5">
      <c r="A547" s="48">
        <v>1210</v>
      </c>
      <c r="B547" s="44" t="s">
        <v>62</v>
      </c>
      <c r="C547" s="55">
        <f>(C544+C545+C546)*0.2359</f>
        <v>59.600135000000002</v>
      </c>
    </row>
    <row r="548" spans="1:5" ht="31.5">
      <c r="A548" s="48">
        <v>2210</v>
      </c>
      <c r="B548" s="57" t="s">
        <v>129</v>
      </c>
      <c r="C548" s="55">
        <f>(365814/364914 )*C572</f>
        <v>5.0123316726680809</v>
      </c>
    </row>
    <row r="549" spans="1:5" ht="31.5">
      <c r="A549" s="48">
        <v>2340</v>
      </c>
      <c r="B549" s="57" t="s">
        <v>193</v>
      </c>
      <c r="C549" s="55">
        <f>(1.78+9.22)*C572</f>
        <v>55</v>
      </c>
    </row>
    <row r="550" spans="1:5" ht="31.5">
      <c r="A550" s="48">
        <v>2364</v>
      </c>
      <c r="B550" s="44" t="s">
        <v>131</v>
      </c>
      <c r="C550" s="55">
        <f>(397717/364914)*C572</f>
        <v>5.4494620650345018</v>
      </c>
    </row>
    <row r="551" spans="1:5" ht="31.5">
      <c r="A551" s="48">
        <v>2242</v>
      </c>
      <c r="B551" s="57" t="s">
        <v>194</v>
      </c>
      <c r="C551" s="55">
        <f>(605722/364914)*C572</f>
        <v>8.2995171465057513</v>
      </c>
    </row>
    <row r="552" spans="1:5" ht="31.5">
      <c r="A552" s="48">
        <v>2350</v>
      </c>
      <c r="B552" s="57" t="s">
        <v>148</v>
      </c>
      <c r="C552" s="55">
        <f>(544867/364914)*C572</f>
        <v>7.4656905462656953</v>
      </c>
    </row>
    <row r="553" spans="1:5" ht="31.5">
      <c r="A553" s="48">
        <v>2322</v>
      </c>
      <c r="B553" s="57" t="s">
        <v>195</v>
      </c>
      <c r="C553" s="55">
        <f>8.03*C572</f>
        <v>40.15</v>
      </c>
    </row>
    <row r="554" spans="1:5">
      <c r="A554" s="123" t="s">
        <v>6</v>
      </c>
      <c r="B554" s="124"/>
      <c r="C554" s="56">
        <f>SUM(C544:C553)</f>
        <v>433.62713643047402</v>
      </c>
    </row>
    <row r="555" spans="1:5">
      <c r="A555" s="123" t="s">
        <v>7</v>
      </c>
      <c r="B555" s="125"/>
      <c r="C555" s="124"/>
    </row>
    <row r="556" spans="1:5" ht="31.5">
      <c r="A556" s="48">
        <v>1110</v>
      </c>
      <c r="B556" s="50" t="s">
        <v>66</v>
      </c>
      <c r="C556" s="55">
        <f>(C544+C545+C546)*0.15</f>
        <v>37.897500000000001</v>
      </c>
    </row>
    <row r="557" spans="1:5" ht="31.5">
      <c r="A557" s="48">
        <v>1210</v>
      </c>
      <c r="B557" s="44" t="s">
        <v>62</v>
      </c>
      <c r="C557" s="55">
        <f>C556*0.2359</f>
        <v>8.9400202499999999</v>
      </c>
    </row>
    <row r="558" spans="1:5" ht="31.5">
      <c r="A558" s="48">
        <v>2100</v>
      </c>
      <c r="B558" s="57" t="s">
        <v>135</v>
      </c>
      <c r="C558" s="55">
        <f>(31310/364914)*C572</f>
        <v>0.42900519026400741</v>
      </c>
      <c r="E558" s="6"/>
    </row>
    <row r="559" spans="1:5" ht="31.5">
      <c r="A559" s="48">
        <v>2220</v>
      </c>
      <c r="B559" s="57" t="s">
        <v>136</v>
      </c>
      <c r="C559" s="55">
        <f>2.3*C572</f>
        <v>11.5</v>
      </c>
    </row>
    <row r="560" spans="1:5" ht="31.5">
      <c r="A560" s="48">
        <v>2230</v>
      </c>
      <c r="B560" s="44" t="s">
        <v>137</v>
      </c>
      <c r="C560" s="55">
        <f>(319988/364914)*C572</f>
        <v>4.3844303041264512</v>
      </c>
    </row>
    <row r="561" spans="1:7" ht="31.5">
      <c r="A561" s="48">
        <v>2240</v>
      </c>
      <c r="B561" s="67" t="s">
        <v>150</v>
      </c>
      <c r="C561" s="55">
        <f>(714967/364914)*C572</f>
        <v>9.7963766805329477</v>
      </c>
    </row>
    <row r="562" spans="1:7" ht="31.5">
      <c r="A562" s="48">
        <v>2250</v>
      </c>
      <c r="B562" s="44" t="s">
        <v>196</v>
      </c>
      <c r="C562" s="55">
        <f>(604971/364914)*C572</f>
        <v>8.2892270507571642</v>
      </c>
    </row>
    <row r="563" spans="1:7" ht="31.5">
      <c r="A563" s="48">
        <v>2261</v>
      </c>
      <c r="B563" s="44" t="s">
        <v>153</v>
      </c>
      <c r="C563" s="55">
        <f>(300406/364914)*C572</f>
        <v>4.1161205105860557</v>
      </c>
    </row>
    <row r="564" spans="1:7" ht="36" customHeight="1">
      <c r="A564" s="48">
        <v>2310</v>
      </c>
      <c r="B564" s="57" t="s">
        <v>154</v>
      </c>
      <c r="C564" s="55">
        <f>(178311/364914)*C572</f>
        <v>2.4431920945757084</v>
      </c>
    </row>
    <row r="565" spans="1:7" ht="38.25" customHeight="1">
      <c r="A565" s="48">
        <v>2510</v>
      </c>
      <c r="B565" s="57" t="s">
        <v>142</v>
      </c>
      <c r="C565" s="55">
        <f>(46183/364914)*C572</f>
        <v>0.632792932033301</v>
      </c>
    </row>
    <row r="566" spans="1:7" ht="31.5">
      <c r="A566" s="48">
        <v>5100</v>
      </c>
      <c r="B566" s="44" t="s">
        <v>143</v>
      </c>
      <c r="C566" s="55">
        <f>(18000/364914)*C572</f>
        <v>0.24663345336161396</v>
      </c>
    </row>
    <row r="567" spans="1:7" ht="47.25">
      <c r="A567" s="48">
        <v>5200</v>
      </c>
      <c r="B567" s="44" t="s">
        <v>144</v>
      </c>
      <c r="C567" s="55">
        <f>1.12*C572+0.91*C572</f>
        <v>10.15</v>
      </c>
      <c r="G567" s="2"/>
    </row>
    <row r="568" spans="1:7">
      <c r="A568" s="120" t="s">
        <v>8</v>
      </c>
      <c r="B568" s="122"/>
      <c r="C568" s="69">
        <f>SUM(C556:C567)</f>
        <v>98.825298466237243</v>
      </c>
    </row>
    <row r="569" spans="1:7">
      <c r="A569" s="120" t="s">
        <v>9</v>
      </c>
      <c r="B569" s="122"/>
      <c r="C569" s="69">
        <f>C568+C554</f>
        <v>532.45243489671122</v>
      </c>
    </row>
    <row r="570" spans="1:7">
      <c r="C570" s="2"/>
    </row>
    <row r="571" spans="1:7">
      <c r="C571" s="2"/>
    </row>
    <row r="572" spans="1:7">
      <c r="A572" s="115" t="s">
        <v>10</v>
      </c>
      <c r="B572" s="116"/>
      <c r="C572" s="63">
        <v>5</v>
      </c>
    </row>
    <row r="573" spans="1:7" ht="32.450000000000003" customHeight="1">
      <c r="A573" s="115" t="s">
        <v>11</v>
      </c>
      <c r="B573" s="116"/>
      <c r="C573" s="65">
        <f>ROUND(C569/C572,2)</f>
        <v>106.49</v>
      </c>
    </row>
    <row r="576" spans="1:7">
      <c r="A576" s="112" t="s">
        <v>0</v>
      </c>
      <c r="B576" s="112"/>
      <c r="C576" s="112"/>
      <c r="D576" s="5"/>
      <c r="E576" s="5"/>
    </row>
    <row r="578" spans="1:4">
      <c r="A578" s="113" t="s">
        <v>12</v>
      </c>
      <c r="B578" s="113"/>
      <c r="C578" s="113"/>
    </row>
    <row r="579" spans="1:4" ht="50.45" customHeight="1">
      <c r="A579" s="113" t="s">
        <v>237</v>
      </c>
      <c r="B579" s="113"/>
      <c r="C579" s="113"/>
    </row>
    <row r="580" spans="1:4">
      <c r="A580" s="113" t="s">
        <v>1</v>
      </c>
      <c r="B580" s="113"/>
      <c r="C580" s="113"/>
    </row>
    <row r="581" spans="1:4">
      <c r="A581" s="102" t="s">
        <v>17</v>
      </c>
      <c r="B581" s="102"/>
    </row>
    <row r="582" spans="1:4">
      <c r="A582" s="39"/>
      <c r="B582" s="39"/>
    </row>
    <row r="583" spans="1:4" ht="92.25" customHeight="1">
      <c r="A583" s="43" t="s">
        <v>2</v>
      </c>
      <c r="B583" s="43" t="s">
        <v>3</v>
      </c>
      <c r="C583" s="43" t="s">
        <v>4</v>
      </c>
    </row>
    <row r="584" spans="1:4">
      <c r="A584" s="120" t="s">
        <v>5</v>
      </c>
      <c r="B584" s="121"/>
      <c r="C584" s="122"/>
    </row>
    <row r="585" spans="1:4">
      <c r="A585" s="103">
        <v>1110</v>
      </c>
      <c r="B585" s="57" t="s">
        <v>67</v>
      </c>
      <c r="C585" s="45">
        <f>26.37*C614</f>
        <v>2109.6</v>
      </c>
    </row>
    <row r="586" spans="1:4">
      <c r="A586" s="103"/>
      <c r="B586" s="57" t="s">
        <v>64</v>
      </c>
      <c r="C586" s="45">
        <f>15.52*C614</f>
        <v>1241.5999999999999</v>
      </c>
    </row>
    <row r="587" spans="1:4" hidden="1">
      <c r="A587" s="103"/>
      <c r="B587" s="57" t="s">
        <v>71</v>
      </c>
      <c r="C587" s="45"/>
      <c r="D587" s="19"/>
    </row>
    <row r="588" spans="1:4">
      <c r="A588" s="103"/>
      <c r="B588" s="57" t="s">
        <v>65</v>
      </c>
      <c r="C588" s="45">
        <f>11.46*C614</f>
        <v>916.80000000000007</v>
      </c>
    </row>
    <row r="589" spans="1:4" ht="18.75" customHeight="1">
      <c r="A589" s="48">
        <v>1210</v>
      </c>
      <c r="B589" s="44" t="s">
        <v>62</v>
      </c>
      <c r="C589" s="45">
        <f>(C585+C586+C587+C588)*0.2359</f>
        <v>1006.8212</v>
      </c>
      <c r="D589" s="7"/>
    </row>
    <row r="590" spans="1:4" ht="31.5">
      <c r="A590" s="48">
        <v>2210</v>
      </c>
      <c r="B590" s="57" t="s">
        <v>129</v>
      </c>
      <c r="C590" s="45">
        <f>1*C614</f>
        <v>80</v>
      </c>
      <c r="D590" s="7"/>
    </row>
    <row r="591" spans="1:4" ht="31.5">
      <c r="A591" s="48">
        <v>2340</v>
      </c>
      <c r="B591" s="57" t="s">
        <v>146</v>
      </c>
      <c r="C591" s="45">
        <f>((647813/364914)+11.52)*C614</f>
        <v>1063.6198731755976</v>
      </c>
      <c r="D591" s="7"/>
    </row>
    <row r="592" spans="1:4" ht="31.5">
      <c r="A592" s="48">
        <v>2364</v>
      </c>
      <c r="B592" s="44" t="s">
        <v>131</v>
      </c>
      <c r="C592" s="45">
        <f>(397717/364914)*C614</f>
        <v>87.191393040552029</v>
      </c>
      <c r="D592" s="7"/>
    </row>
    <row r="593" spans="1:4" ht="31.5">
      <c r="A593" s="48">
        <v>2242</v>
      </c>
      <c r="B593" s="57" t="s">
        <v>152</v>
      </c>
      <c r="C593" s="45">
        <f>(605722/364914 )*C614</f>
        <v>132.79227434409202</v>
      </c>
      <c r="D593" s="7"/>
    </row>
    <row r="594" spans="1:4" ht="31.5">
      <c r="A594" s="48">
        <v>2350</v>
      </c>
      <c r="B594" s="57" t="s">
        <v>148</v>
      </c>
      <c r="C594" s="45">
        <f>(544867/364914)*C614</f>
        <v>119.45104874025112</v>
      </c>
      <c r="D594" s="7"/>
    </row>
    <row r="595" spans="1:4" ht="31.5">
      <c r="A595" s="48">
        <v>2322</v>
      </c>
      <c r="B595" s="57" t="s">
        <v>197</v>
      </c>
      <c r="C595" s="45">
        <f>ROUND((15/100*60*1.07)*C614,2)</f>
        <v>770.4</v>
      </c>
      <c r="D595" s="7"/>
    </row>
    <row r="596" spans="1:4" ht="15.6" customHeight="1">
      <c r="A596" s="123" t="s">
        <v>6</v>
      </c>
      <c r="B596" s="124"/>
      <c r="C596" s="49">
        <f>SUM(C585:C595)</f>
        <v>7528.2757893004928</v>
      </c>
      <c r="D596" s="7"/>
    </row>
    <row r="597" spans="1:4">
      <c r="A597" s="123" t="s">
        <v>7</v>
      </c>
      <c r="B597" s="125"/>
      <c r="C597" s="124"/>
      <c r="D597" s="7"/>
    </row>
    <row r="598" spans="1:4" ht="19.5" customHeight="1">
      <c r="A598" s="48">
        <v>1110</v>
      </c>
      <c r="B598" s="50" t="s">
        <v>72</v>
      </c>
      <c r="C598" s="45">
        <f>ROUNDDOWN((C585+C586+C587+C588)*0.15,2)-0.3</f>
        <v>639.90000000000009</v>
      </c>
      <c r="D598" s="29"/>
    </row>
    <row r="599" spans="1:4" ht="18.75" customHeight="1">
      <c r="A599" s="48">
        <v>1210</v>
      </c>
      <c r="B599" s="44" t="s">
        <v>62</v>
      </c>
      <c r="C599" s="45">
        <f>C598*0.2359</f>
        <v>150.95241000000001</v>
      </c>
      <c r="D599" s="7"/>
    </row>
    <row r="600" spans="1:4" ht="31.5">
      <c r="A600" s="48">
        <v>2100</v>
      </c>
      <c r="B600" s="57" t="s">
        <v>135</v>
      </c>
      <c r="C600" s="45">
        <f>(31310/364914)*C614</f>
        <v>6.8640830442241185</v>
      </c>
      <c r="D600" s="7"/>
    </row>
    <row r="601" spans="1:4" ht="31.5">
      <c r="A601" s="48">
        <v>2220</v>
      </c>
      <c r="B601" s="57" t="s">
        <v>136</v>
      </c>
      <c r="C601" s="45">
        <f>ROUNDUP((840318/364914)*C614,2)</f>
        <v>184.23</v>
      </c>
      <c r="D601" s="7"/>
    </row>
    <row r="602" spans="1:4" ht="31.5">
      <c r="A602" s="48">
        <v>2230</v>
      </c>
      <c r="B602" s="44" t="s">
        <v>137</v>
      </c>
      <c r="C602" s="45">
        <f>ROUNDUP((319988/364914 )*C614,2)</f>
        <v>70.160000000000011</v>
      </c>
      <c r="D602" s="7"/>
    </row>
    <row r="603" spans="1:4" ht="31.5">
      <c r="A603" s="48">
        <v>2240</v>
      </c>
      <c r="B603" s="67" t="s">
        <v>150</v>
      </c>
      <c r="C603" s="45">
        <f>ROUNDUP((714967/364914)*C614,2)</f>
        <v>156.75</v>
      </c>
      <c r="D603" s="7"/>
    </row>
    <row r="604" spans="1:4" ht="31.5">
      <c r="A604" s="48">
        <v>2250</v>
      </c>
      <c r="B604" s="44" t="s">
        <v>139</v>
      </c>
      <c r="C604" s="45">
        <f>ROUNDUP((604971/364914)*C614,2)</f>
        <v>132.63</v>
      </c>
      <c r="D604" s="7"/>
    </row>
    <row r="605" spans="1:4" ht="33" customHeight="1">
      <c r="A605" s="48">
        <v>2261</v>
      </c>
      <c r="B605" s="44" t="s">
        <v>153</v>
      </c>
      <c r="C605" s="45">
        <f>ROUNDUP((300406/364914)*C614,2)</f>
        <v>65.86</v>
      </c>
      <c r="D605" s="7"/>
    </row>
    <row r="606" spans="1:4" ht="31.5">
      <c r="A606" s="48">
        <v>2310</v>
      </c>
      <c r="B606" s="57" t="s">
        <v>141</v>
      </c>
      <c r="C606" s="45">
        <f>ROUNDUP((178311/364914)*C614,2)</f>
        <v>39.1</v>
      </c>
      <c r="D606" s="7"/>
    </row>
    <row r="607" spans="1:4" ht="31.5">
      <c r="A607" s="48">
        <v>2510</v>
      </c>
      <c r="B607" s="57" t="s">
        <v>142</v>
      </c>
      <c r="C607" s="45">
        <f>ROUNDUP((46183/364914)*C614,2)</f>
        <v>10.129999999999999</v>
      </c>
      <c r="D607" s="7"/>
    </row>
    <row r="608" spans="1:4" ht="31.5">
      <c r="A608" s="48">
        <v>5100</v>
      </c>
      <c r="B608" s="44" t="s">
        <v>143</v>
      </c>
      <c r="C608" s="45">
        <f>ROUNDUP((18000/364914)*C614,2)</f>
        <v>3.9499999999999997</v>
      </c>
      <c r="D608" s="7"/>
    </row>
    <row r="609" spans="1:7" ht="47.25">
      <c r="A609" s="48">
        <v>5200</v>
      </c>
      <c r="B609" s="44" t="s">
        <v>144</v>
      </c>
      <c r="C609" s="45">
        <f>1.12*C614+0.91*C614</f>
        <v>162.4</v>
      </c>
      <c r="D609" s="7"/>
      <c r="G609" s="2"/>
    </row>
    <row r="610" spans="1:7">
      <c r="A610" s="106" t="s">
        <v>8</v>
      </c>
      <c r="B610" s="108"/>
      <c r="C610" s="49">
        <f>SUM(C598:C609)</f>
        <v>1622.9264930442241</v>
      </c>
      <c r="D610" s="7"/>
    </row>
    <row r="611" spans="1:7">
      <c r="A611" s="106" t="s">
        <v>9</v>
      </c>
      <c r="B611" s="108"/>
      <c r="C611" s="49">
        <f>C610+C596</f>
        <v>9151.2022823447169</v>
      </c>
      <c r="D611" s="7"/>
    </row>
    <row r="612" spans="1:7">
      <c r="A612" s="7"/>
      <c r="B612" s="7"/>
      <c r="C612" s="21"/>
      <c r="D612" s="7"/>
    </row>
    <row r="613" spans="1:7">
      <c r="A613" s="7"/>
      <c r="B613" s="7"/>
      <c r="C613" s="21"/>
      <c r="D613" s="7"/>
    </row>
    <row r="614" spans="1:7">
      <c r="A614" s="97" t="s">
        <v>10</v>
      </c>
      <c r="B614" s="98"/>
      <c r="C614" s="63">
        <v>80</v>
      </c>
      <c r="D614" s="7"/>
    </row>
    <row r="615" spans="1:7" ht="31.9" customHeight="1">
      <c r="A615" s="97" t="s">
        <v>145</v>
      </c>
      <c r="B615" s="98"/>
      <c r="C615" s="64">
        <f>ROUND(C611/C614,2)</f>
        <v>114.39</v>
      </c>
      <c r="D615" s="28"/>
    </row>
    <row r="618" spans="1:7">
      <c r="A618" s="112" t="s">
        <v>0</v>
      </c>
      <c r="B618" s="112"/>
      <c r="C618" s="112"/>
      <c r="D618" s="5"/>
    </row>
    <row r="619" spans="1:7">
      <c r="A619" s="7"/>
      <c r="B619" s="7"/>
      <c r="C619" s="7"/>
    </row>
    <row r="620" spans="1:7">
      <c r="A620" s="97" t="s">
        <v>192</v>
      </c>
      <c r="B620" s="97"/>
      <c r="C620" s="97"/>
    </row>
    <row r="621" spans="1:7" ht="34.5" customHeight="1">
      <c r="A621" s="97" t="s">
        <v>238</v>
      </c>
      <c r="B621" s="97"/>
      <c r="C621" s="97"/>
    </row>
    <row r="622" spans="1:7">
      <c r="A622" s="97" t="s">
        <v>151</v>
      </c>
      <c r="B622" s="97"/>
      <c r="C622" s="97"/>
    </row>
    <row r="623" spans="1:7">
      <c r="A623" s="114" t="s">
        <v>15</v>
      </c>
      <c r="B623" s="114"/>
      <c r="C623" s="7"/>
    </row>
    <row r="624" spans="1:7">
      <c r="A624" s="40"/>
      <c r="B624" s="40"/>
      <c r="C624" s="7"/>
    </row>
    <row r="625" spans="1:4" ht="93" customHeight="1">
      <c r="A625" s="48" t="s">
        <v>2</v>
      </c>
      <c r="B625" s="48" t="s">
        <v>3</v>
      </c>
      <c r="C625" s="48" t="s">
        <v>4</v>
      </c>
    </row>
    <row r="626" spans="1:4">
      <c r="A626" s="106" t="s">
        <v>5</v>
      </c>
      <c r="B626" s="107"/>
      <c r="C626" s="108"/>
      <c r="D626" s="12"/>
    </row>
    <row r="627" spans="1:4">
      <c r="A627" s="48">
        <v>1110</v>
      </c>
      <c r="B627" s="57" t="s">
        <v>67</v>
      </c>
      <c r="C627" s="55">
        <f>29.3*C650</f>
        <v>117.2</v>
      </c>
      <c r="D627" s="12"/>
    </row>
    <row r="628" spans="1:4" ht="31.5">
      <c r="A628" s="48">
        <v>1210</v>
      </c>
      <c r="B628" s="44" t="s">
        <v>62</v>
      </c>
      <c r="C628" s="55">
        <f>C627*0.2359</f>
        <v>27.647480000000002</v>
      </c>
    </row>
    <row r="629" spans="1:4" ht="31.5">
      <c r="A629" s="48">
        <v>2210</v>
      </c>
      <c r="B629" s="57" t="s">
        <v>129</v>
      </c>
      <c r="C629" s="55">
        <f>1*C650</f>
        <v>4</v>
      </c>
    </row>
    <row r="630" spans="1:4" ht="31.5">
      <c r="A630" s="48">
        <v>2340</v>
      </c>
      <c r="B630" s="57" t="s">
        <v>183</v>
      </c>
      <c r="C630" s="55">
        <f>(1.78+11.52)*C650</f>
        <v>53.199999999999996</v>
      </c>
    </row>
    <row r="631" spans="1:4" ht="31.5">
      <c r="A631" s="48">
        <v>2364</v>
      </c>
      <c r="B631" s="44" t="s">
        <v>131</v>
      </c>
      <c r="C631" s="55">
        <f>1.09*C650</f>
        <v>4.3600000000000003</v>
      </c>
    </row>
    <row r="632" spans="1:4">
      <c r="A632" s="123" t="s">
        <v>6</v>
      </c>
      <c r="B632" s="124"/>
      <c r="C632" s="56">
        <f>SUM(C627:C631)</f>
        <v>206.40748000000002</v>
      </c>
    </row>
    <row r="633" spans="1:4">
      <c r="A633" s="123" t="s">
        <v>7</v>
      </c>
      <c r="B633" s="125"/>
      <c r="C633" s="124"/>
    </row>
    <row r="634" spans="1:4" ht="31.5">
      <c r="A634" s="48">
        <v>1110</v>
      </c>
      <c r="B634" s="50" t="s">
        <v>73</v>
      </c>
      <c r="C634" s="55">
        <f>ROUNDDOWN(C627*0.1,2)-0.015</f>
        <v>11.705</v>
      </c>
      <c r="D634" s="29"/>
    </row>
    <row r="635" spans="1:4" ht="31.5">
      <c r="A635" s="48">
        <v>1210</v>
      </c>
      <c r="B635" s="57" t="s">
        <v>62</v>
      </c>
      <c r="C635" s="55">
        <f>C634*0.2359</f>
        <v>2.7612095000000001</v>
      </c>
    </row>
    <row r="636" spans="1:4" ht="31.5">
      <c r="A636" s="48">
        <v>2100</v>
      </c>
      <c r="B636" s="57" t="s">
        <v>135</v>
      </c>
      <c r="C636" s="55">
        <f>ROUND((31310/364914)*C650,2)</f>
        <v>0.34</v>
      </c>
      <c r="D636" s="6"/>
    </row>
    <row r="637" spans="1:4" ht="31.5">
      <c r="A637" s="48">
        <v>2220</v>
      </c>
      <c r="B637" s="57" t="s">
        <v>136</v>
      </c>
      <c r="C637" s="55">
        <f>2.3*C650</f>
        <v>9.1999999999999993</v>
      </c>
    </row>
    <row r="638" spans="1:4" ht="31.5">
      <c r="A638" s="48">
        <v>2230</v>
      </c>
      <c r="B638" s="44" t="s">
        <v>164</v>
      </c>
      <c r="C638" s="55">
        <f>ROUND((319988/364914)*C650,2)</f>
        <v>3.51</v>
      </c>
    </row>
    <row r="639" spans="1:4" ht="31.5">
      <c r="A639" s="48">
        <v>2240</v>
      </c>
      <c r="B639" s="67" t="s">
        <v>150</v>
      </c>
      <c r="C639" s="55">
        <f>1.96*C650</f>
        <v>7.84</v>
      </c>
    </row>
    <row r="640" spans="1:4" ht="31.5">
      <c r="A640" s="48">
        <v>2250</v>
      </c>
      <c r="B640" s="44" t="s">
        <v>139</v>
      </c>
      <c r="C640" s="55">
        <f>1.66*C650</f>
        <v>6.64</v>
      </c>
    </row>
    <row r="641" spans="1:6" ht="31.5">
      <c r="A641" s="48">
        <v>2261</v>
      </c>
      <c r="B641" s="44" t="s">
        <v>153</v>
      </c>
      <c r="C641" s="55">
        <f>0.82*C650</f>
        <v>3.28</v>
      </c>
    </row>
    <row r="642" spans="1:6" ht="31.5">
      <c r="A642" s="48">
        <v>2310</v>
      </c>
      <c r="B642" s="57" t="s">
        <v>154</v>
      </c>
      <c r="C642" s="55">
        <f>(178311/364914)*C650</f>
        <v>1.9545536756605666</v>
      </c>
    </row>
    <row r="643" spans="1:6" ht="31.5">
      <c r="A643" s="48">
        <v>2510</v>
      </c>
      <c r="B643" s="57" t="s">
        <v>142</v>
      </c>
      <c r="C643" s="55">
        <f>0.13*C650</f>
        <v>0.52</v>
      </c>
    </row>
    <row r="644" spans="1:6" ht="31.5">
      <c r="A644" s="48">
        <v>5100</v>
      </c>
      <c r="B644" s="44" t="s">
        <v>143</v>
      </c>
      <c r="C644" s="55">
        <f>0.05*C650</f>
        <v>0.2</v>
      </c>
    </row>
    <row r="645" spans="1:6" ht="19.5" customHeight="1">
      <c r="A645" s="48">
        <v>5200</v>
      </c>
      <c r="B645" s="44" t="s">
        <v>25</v>
      </c>
      <c r="C645" s="55">
        <f>0.5*C650</f>
        <v>2</v>
      </c>
      <c r="F645" s="2"/>
    </row>
    <row r="646" spans="1:6">
      <c r="A646" s="106" t="s">
        <v>8</v>
      </c>
      <c r="B646" s="108"/>
      <c r="C646" s="56">
        <f>SUM(C634:C645)</f>
        <v>49.950763175660569</v>
      </c>
    </row>
    <row r="647" spans="1:6">
      <c r="A647" s="106" t="s">
        <v>9</v>
      </c>
      <c r="B647" s="108"/>
      <c r="C647" s="56">
        <f>C646+C632</f>
        <v>256.35824317566062</v>
      </c>
    </row>
    <row r="648" spans="1:6">
      <c r="C648" s="2"/>
    </row>
    <row r="649" spans="1:6">
      <c r="C649" s="2"/>
    </row>
    <row r="650" spans="1:6">
      <c r="A650" s="115" t="s">
        <v>10</v>
      </c>
      <c r="B650" s="116"/>
      <c r="C650" s="63">
        <v>4</v>
      </c>
    </row>
    <row r="651" spans="1:6" ht="31.9" customHeight="1">
      <c r="A651" s="115" t="s">
        <v>11</v>
      </c>
      <c r="B651" s="116"/>
      <c r="C651" s="65">
        <f>ROUND(C647/C650,2)</f>
        <v>64.09</v>
      </c>
    </row>
    <row r="654" spans="1:6">
      <c r="A654" s="112" t="s">
        <v>0</v>
      </c>
      <c r="B654" s="112"/>
      <c r="C654" s="112"/>
      <c r="D654" s="5"/>
      <c r="E654" s="5"/>
    </row>
    <row r="656" spans="1:6">
      <c r="A656" s="113" t="s">
        <v>12</v>
      </c>
      <c r="B656" s="113"/>
      <c r="C656" s="113"/>
    </row>
    <row r="657" spans="1:5" ht="33.6" customHeight="1">
      <c r="A657" s="113" t="s">
        <v>239</v>
      </c>
      <c r="B657" s="113"/>
      <c r="C657" s="113"/>
    </row>
    <row r="658" spans="1:5">
      <c r="A658" s="113" t="s">
        <v>1</v>
      </c>
      <c r="B658" s="113"/>
      <c r="C658" s="113"/>
    </row>
    <row r="659" spans="1:5">
      <c r="A659" s="102" t="s">
        <v>38</v>
      </c>
      <c r="B659" s="102"/>
    </row>
    <row r="660" spans="1:5">
      <c r="A660" s="39"/>
      <c r="B660" s="39"/>
    </row>
    <row r="661" spans="1:5" ht="85.5" customHeight="1">
      <c r="A661" s="48" t="s">
        <v>2</v>
      </c>
      <c r="B661" s="48" t="s">
        <v>3</v>
      </c>
      <c r="C661" s="48" t="s">
        <v>4</v>
      </c>
    </row>
    <row r="662" spans="1:5">
      <c r="A662" s="106" t="s">
        <v>5</v>
      </c>
      <c r="B662" s="107"/>
      <c r="C662" s="108"/>
      <c r="D662" s="3"/>
      <c r="E662" s="12"/>
    </row>
    <row r="663" spans="1:5">
      <c r="A663" s="48">
        <v>1110</v>
      </c>
      <c r="B663" s="57" t="s">
        <v>70</v>
      </c>
      <c r="C663" s="45">
        <f>27.97*C686</f>
        <v>1118.8</v>
      </c>
      <c r="D663" s="11"/>
      <c r="E663" s="11"/>
    </row>
    <row r="664" spans="1:5" ht="31.5">
      <c r="A664" s="48">
        <v>1210</v>
      </c>
      <c r="B664" s="44" t="s">
        <v>62</v>
      </c>
      <c r="C664" s="45">
        <f>C663*0.2359</f>
        <v>263.92491999999999</v>
      </c>
    </row>
    <row r="665" spans="1:5" ht="31.5">
      <c r="A665" s="48">
        <v>2210</v>
      </c>
      <c r="B665" s="57" t="s">
        <v>129</v>
      </c>
      <c r="C665" s="45">
        <f>ROUND((365814/364914)*C686,2)</f>
        <v>40.1</v>
      </c>
    </row>
    <row r="666" spans="1:5" ht="31.5">
      <c r="A666" s="48">
        <v>2340</v>
      </c>
      <c r="B666" s="57" t="s">
        <v>198</v>
      </c>
      <c r="C666" s="45">
        <f>(1.78+9.22)*C686</f>
        <v>440</v>
      </c>
    </row>
    <row r="667" spans="1:5" ht="31.5">
      <c r="A667" s="48">
        <v>2364</v>
      </c>
      <c r="B667" s="44" t="s">
        <v>131</v>
      </c>
      <c r="C667" s="45">
        <f>ROUND((397717/364914)*C686,2)</f>
        <v>43.6</v>
      </c>
    </row>
    <row r="668" spans="1:5">
      <c r="A668" s="123" t="s">
        <v>6</v>
      </c>
      <c r="B668" s="124"/>
      <c r="C668" s="49">
        <f>SUM(C663:C667)</f>
        <v>1906.4249199999997</v>
      </c>
    </row>
    <row r="669" spans="1:5">
      <c r="A669" s="123" t="s">
        <v>7</v>
      </c>
      <c r="B669" s="125"/>
      <c r="C669" s="124"/>
    </row>
    <row r="670" spans="1:5" ht="31.5">
      <c r="A670" s="48">
        <v>1110</v>
      </c>
      <c r="B670" s="50" t="s">
        <v>28</v>
      </c>
      <c r="C670" s="55">
        <f>ROUNDDOWN(C663*0.1,2)-0.095</f>
        <v>111.785</v>
      </c>
      <c r="D670" s="29"/>
    </row>
    <row r="671" spans="1:5" ht="31.5">
      <c r="A671" s="48">
        <v>1210</v>
      </c>
      <c r="B671" s="44" t="s">
        <v>62</v>
      </c>
      <c r="C671" s="55">
        <f>C670*0.2359</f>
        <v>26.370081499999998</v>
      </c>
    </row>
    <row r="672" spans="1:5" ht="31.5">
      <c r="A672" s="48">
        <v>2100</v>
      </c>
      <c r="B672" s="57" t="s">
        <v>185</v>
      </c>
      <c r="C672" s="55">
        <f>ROUND((31310/364914)*C686,2)</f>
        <v>3.43</v>
      </c>
      <c r="E672" s="6"/>
    </row>
    <row r="673" spans="1:7" ht="31.5">
      <c r="A673" s="48">
        <v>2220</v>
      </c>
      <c r="B673" s="57" t="s">
        <v>177</v>
      </c>
      <c r="C673" s="55">
        <f>ROUND((840318/364914)*C686,2)</f>
        <v>92.11</v>
      </c>
    </row>
    <row r="674" spans="1:7" ht="31.5">
      <c r="A674" s="48">
        <v>2230</v>
      </c>
      <c r="B674" s="44" t="s">
        <v>199</v>
      </c>
      <c r="C674" s="55">
        <f>0.88*C686</f>
        <v>35.200000000000003</v>
      </c>
    </row>
    <row r="675" spans="1:7" ht="31.5">
      <c r="A675" s="48">
        <v>2240</v>
      </c>
      <c r="B675" s="67" t="s">
        <v>150</v>
      </c>
      <c r="C675" s="55">
        <f>ROUND((714967/364914)*C686,2)</f>
        <v>78.37</v>
      </c>
    </row>
    <row r="676" spans="1:7" ht="31.5">
      <c r="A676" s="48">
        <v>2250</v>
      </c>
      <c r="B676" s="44" t="s">
        <v>139</v>
      </c>
      <c r="C676" s="55">
        <f>1.66*C686</f>
        <v>66.399999999999991</v>
      </c>
    </row>
    <row r="677" spans="1:7" ht="31.5">
      <c r="A677" s="48">
        <v>2261</v>
      </c>
      <c r="B677" s="44" t="s">
        <v>200</v>
      </c>
      <c r="C677" s="55">
        <f>ROUND((300406/364914)*C686,2)</f>
        <v>32.93</v>
      </c>
    </row>
    <row r="678" spans="1:7" ht="31.5">
      <c r="A678" s="48">
        <v>2310</v>
      </c>
      <c r="B678" s="57" t="s">
        <v>179</v>
      </c>
      <c r="C678" s="55">
        <f>ROUND((178311/364914)*C686,2)</f>
        <v>19.55</v>
      </c>
    </row>
    <row r="679" spans="1:7" ht="31.5">
      <c r="A679" s="48">
        <v>2510</v>
      </c>
      <c r="B679" s="57" t="s">
        <v>142</v>
      </c>
      <c r="C679" s="55">
        <f>ROUND((46183/364914)*C686,2)</f>
        <v>5.0599999999999996</v>
      </c>
    </row>
    <row r="680" spans="1:7" ht="31.5">
      <c r="A680" s="48">
        <v>5100</v>
      </c>
      <c r="B680" s="44" t="s">
        <v>186</v>
      </c>
      <c r="C680" s="55">
        <f>ROUND((18000/364914)*C686,2)</f>
        <v>1.97</v>
      </c>
    </row>
    <row r="681" spans="1:7">
      <c r="A681" s="48">
        <v>5200</v>
      </c>
      <c r="B681" s="57" t="s">
        <v>25</v>
      </c>
      <c r="C681" s="55">
        <f>0.5*C686</f>
        <v>20</v>
      </c>
      <c r="G681" s="2"/>
    </row>
    <row r="682" spans="1:7">
      <c r="A682" s="106" t="s">
        <v>8</v>
      </c>
      <c r="B682" s="108"/>
      <c r="C682" s="56">
        <f>SUM(C670:C681)</f>
        <v>493.17508150000003</v>
      </c>
    </row>
    <row r="683" spans="1:7">
      <c r="A683" s="106" t="s">
        <v>9</v>
      </c>
      <c r="B683" s="108"/>
      <c r="C683" s="49">
        <f>C682+C668</f>
        <v>2399.6000015</v>
      </c>
    </row>
    <row r="684" spans="1:7">
      <c r="A684" s="7"/>
      <c r="B684" s="7"/>
      <c r="C684" s="21"/>
    </row>
    <row r="685" spans="1:7">
      <c r="A685" s="7"/>
      <c r="B685" s="7"/>
      <c r="C685" s="21"/>
    </row>
    <row r="686" spans="1:7">
      <c r="A686" s="97" t="s">
        <v>10</v>
      </c>
      <c r="B686" s="98"/>
      <c r="C686" s="63">
        <v>40</v>
      </c>
    </row>
    <row r="687" spans="1:7" ht="29.45" customHeight="1">
      <c r="A687" s="97" t="s">
        <v>145</v>
      </c>
      <c r="B687" s="98"/>
      <c r="C687" s="64">
        <f>ROUND(C683/C686,2)</f>
        <v>59.99</v>
      </c>
      <c r="D687" s="26"/>
    </row>
    <row r="690" spans="1:5">
      <c r="A690" s="112" t="s">
        <v>0</v>
      </c>
      <c r="B690" s="112"/>
      <c r="C690" s="112"/>
      <c r="D690" s="5"/>
      <c r="E690" s="5"/>
    </row>
    <row r="692" spans="1:5">
      <c r="A692" s="113" t="s">
        <v>12</v>
      </c>
      <c r="B692" s="113"/>
      <c r="C692" s="113"/>
    </row>
    <row r="693" spans="1:5" ht="31.15" customHeight="1">
      <c r="A693" s="113" t="s">
        <v>240</v>
      </c>
      <c r="B693" s="113"/>
      <c r="C693" s="113"/>
    </row>
    <row r="694" spans="1:5">
      <c r="A694" s="113" t="s">
        <v>1</v>
      </c>
      <c r="B694" s="113"/>
      <c r="C694" s="113"/>
    </row>
    <row r="695" spans="1:5">
      <c r="A695" s="114" t="s">
        <v>15</v>
      </c>
      <c r="B695" s="114"/>
      <c r="C695" s="7"/>
    </row>
    <row r="696" spans="1:5">
      <c r="A696" s="40"/>
      <c r="B696" s="40"/>
      <c r="C696" s="7"/>
    </row>
    <row r="697" spans="1:5" ht="87" customHeight="1">
      <c r="A697" s="48" t="s">
        <v>2</v>
      </c>
      <c r="B697" s="48" t="s">
        <v>3</v>
      </c>
      <c r="C697" s="48" t="s">
        <v>4</v>
      </c>
    </row>
    <row r="698" spans="1:5">
      <c r="A698" s="106" t="s">
        <v>5</v>
      </c>
      <c r="B698" s="107"/>
      <c r="C698" s="108"/>
      <c r="D698" s="3"/>
      <c r="E698" s="3"/>
    </row>
    <row r="699" spans="1:5">
      <c r="A699" s="48">
        <v>1110</v>
      </c>
      <c r="B699" s="57" t="s">
        <v>69</v>
      </c>
      <c r="C699" s="55">
        <f>25.9*C722</f>
        <v>103.6</v>
      </c>
      <c r="D699" s="11"/>
      <c r="E699" s="12"/>
    </row>
    <row r="700" spans="1:5" ht="31.5">
      <c r="A700" s="48">
        <v>1210</v>
      </c>
      <c r="B700" s="44" t="s">
        <v>62</v>
      </c>
      <c r="C700" s="55">
        <f>C699*0.2359</f>
        <v>24.439239999999998</v>
      </c>
    </row>
    <row r="701" spans="1:5" ht="31.5">
      <c r="A701" s="48">
        <v>2210</v>
      </c>
      <c r="B701" s="57" t="s">
        <v>187</v>
      </c>
      <c r="C701" s="55">
        <f>1*C722</f>
        <v>4</v>
      </c>
    </row>
    <row r="702" spans="1:5" ht="31.5">
      <c r="A702" s="48">
        <v>2340</v>
      </c>
      <c r="B702" s="57" t="s">
        <v>163</v>
      </c>
      <c r="C702" s="55">
        <f>(1.78+6.91)*C722</f>
        <v>34.76</v>
      </c>
    </row>
    <row r="703" spans="1:5" ht="31.5">
      <c r="A703" s="48">
        <v>2364</v>
      </c>
      <c r="B703" s="44" t="s">
        <v>131</v>
      </c>
      <c r="C703" s="55">
        <f>1.09*C722</f>
        <v>4.3600000000000003</v>
      </c>
    </row>
    <row r="704" spans="1:5">
      <c r="A704" s="123" t="s">
        <v>6</v>
      </c>
      <c r="B704" s="124"/>
      <c r="C704" s="56">
        <f>SUM(C699:C703)</f>
        <v>171.15924000000001</v>
      </c>
    </row>
    <row r="705" spans="1:7">
      <c r="A705" s="123" t="s">
        <v>7</v>
      </c>
      <c r="B705" s="125"/>
      <c r="C705" s="124"/>
    </row>
    <row r="706" spans="1:7" ht="31.5">
      <c r="A706" s="48">
        <v>1110</v>
      </c>
      <c r="B706" s="50" t="s">
        <v>73</v>
      </c>
      <c r="C706" s="55">
        <f>C699*0.1</f>
        <v>10.36</v>
      </c>
    </row>
    <row r="707" spans="1:7" ht="31.5">
      <c r="A707" s="48">
        <v>1210</v>
      </c>
      <c r="B707" s="44" t="s">
        <v>62</v>
      </c>
      <c r="C707" s="55">
        <f>C706*0.2359</f>
        <v>2.443924</v>
      </c>
    </row>
    <row r="708" spans="1:7" ht="31.5">
      <c r="A708" s="48">
        <v>2100</v>
      </c>
      <c r="B708" s="57" t="s">
        <v>135</v>
      </c>
      <c r="C708" s="55">
        <f>0.09*C722</f>
        <v>0.36</v>
      </c>
      <c r="E708" s="6"/>
    </row>
    <row r="709" spans="1:7" ht="31.5">
      <c r="A709" s="48">
        <v>2220</v>
      </c>
      <c r="B709" s="57" t="s">
        <v>201</v>
      </c>
      <c r="C709" s="55">
        <f>2.3*C722</f>
        <v>9.1999999999999993</v>
      </c>
    </row>
    <row r="710" spans="1:7" ht="31.5">
      <c r="A710" s="48">
        <v>2230</v>
      </c>
      <c r="B710" s="44" t="s">
        <v>199</v>
      </c>
      <c r="C710" s="55">
        <f>0.88*C722</f>
        <v>3.52</v>
      </c>
    </row>
    <row r="711" spans="1:7" ht="31.5">
      <c r="A711" s="48">
        <v>2240</v>
      </c>
      <c r="B711" s="67" t="s">
        <v>150</v>
      </c>
      <c r="C711" s="55">
        <f>1.96*C722</f>
        <v>7.84</v>
      </c>
    </row>
    <row r="712" spans="1:7" ht="31.5">
      <c r="A712" s="48">
        <v>2250</v>
      </c>
      <c r="B712" s="44" t="s">
        <v>139</v>
      </c>
      <c r="C712" s="55">
        <f>1.66*C722</f>
        <v>6.64</v>
      </c>
    </row>
    <row r="713" spans="1:7" ht="31.5">
      <c r="A713" s="48">
        <v>2261</v>
      </c>
      <c r="B713" s="57" t="s">
        <v>153</v>
      </c>
      <c r="C713" s="55">
        <f>0.82*C722</f>
        <v>3.28</v>
      </c>
    </row>
    <row r="714" spans="1:7" ht="31.5">
      <c r="A714" s="48">
        <v>2310</v>
      </c>
      <c r="B714" s="57" t="s">
        <v>154</v>
      </c>
      <c r="C714" s="55">
        <f>0.49*C722</f>
        <v>1.96</v>
      </c>
    </row>
    <row r="715" spans="1:7" ht="31.5">
      <c r="A715" s="48">
        <v>2510</v>
      </c>
      <c r="B715" s="57" t="s">
        <v>162</v>
      </c>
      <c r="C715" s="55">
        <f>0.13*C722</f>
        <v>0.52</v>
      </c>
    </row>
    <row r="716" spans="1:7" ht="31.5">
      <c r="A716" s="48">
        <v>5100</v>
      </c>
      <c r="B716" s="44" t="s">
        <v>143</v>
      </c>
      <c r="C716" s="55">
        <f>0.05*C722</f>
        <v>0.2</v>
      </c>
    </row>
    <row r="717" spans="1:7">
      <c r="A717" s="48">
        <v>5200</v>
      </c>
      <c r="B717" s="57" t="s">
        <v>25</v>
      </c>
      <c r="C717" s="55">
        <f>0.5*C722</f>
        <v>2</v>
      </c>
      <c r="G717" s="2"/>
    </row>
    <row r="718" spans="1:7">
      <c r="A718" s="106" t="s">
        <v>8</v>
      </c>
      <c r="B718" s="108"/>
      <c r="C718" s="56">
        <f>SUM(C706:C717)</f>
        <v>48.323924000000005</v>
      </c>
    </row>
    <row r="719" spans="1:7">
      <c r="A719" s="106" t="s">
        <v>9</v>
      </c>
      <c r="B719" s="108"/>
      <c r="C719" s="56">
        <f>C718+C704</f>
        <v>219.48316400000002</v>
      </c>
    </row>
    <row r="720" spans="1:7">
      <c r="A720" s="7"/>
      <c r="B720" s="7"/>
      <c r="C720" s="21"/>
    </row>
    <row r="721" spans="1:4">
      <c r="A721" s="7"/>
      <c r="B721" s="7"/>
      <c r="C721" s="21"/>
    </row>
    <row r="722" spans="1:4">
      <c r="A722" s="97" t="s">
        <v>10</v>
      </c>
      <c r="B722" s="98"/>
      <c r="C722" s="63">
        <v>4</v>
      </c>
    </row>
    <row r="723" spans="1:4" ht="31.15" customHeight="1">
      <c r="A723" s="97" t="s">
        <v>145</v>
      </c>
      <c r="B723" s="98"/>
      <c r="C723" s="64">
        <f>ROUND(C719/C722,2)</f>
        <v>54.87</v>
      </c>
    </row>
    <row r="726" spans="1:4">
      <c r="A726" s="112" t="s">
        <v>0</v>
      </c>
      <c r="B726" s="112"/>
      <c r="C726" s="112"/>
      <c r="D726" s="5"/>
    </row>
    <row r="728" spans="1:4">
      <c r="A728" s="113" t="s">
        <v>12</v>
      </c>
      <c r="B728" s="113"/>
      <c r="C728" s="113"/>
    </row>
    <row r="729" spans="1:4" ht="33" customHeight="1">
      <c r="A729" s="113" t="s">
        <v>241</v>
      </c>
      <c r="B729" s="113"/>
      <c r="C729" s="113"/>
    </row>
    <row r="730" spans="1:4">
      <c r="A730" s="113" t="s">
        <v>1</v>
      </c>
      <c r="B730" s="113"/>
      <c r="C730" s="113"/>
    </row>
    <row r="731" spans="1:4">
      <c r="A731" s="114" t="s">
        <v>123</v>
      </c>
      <c r="B731" s="114"/>
      <c r="C731" s="7"/>
    </row>
    <row r="732" spans="1:4">
      <c r="A732" s="40"/>
      <c r="B732" s="40"/>
      <c r="C732" s="7"/>
    </row>
    <row r="733" spans="1:4" ht="89.25" customHeight="1">
      <c r="A733" s="48" t="s">
        <v>2</v>
      </c>
      <c r="B733" s="48" t="s">
        <v>3</v>
      </c>
      <c r="C733" s="48" t="s">
        <v>4</v>
      </c>
    </row>
    <row r="734" spans="1:4">
      <c r="A734" s="106" t="s">
        <v>5</v>
      </c>
      <c r="B734" s="107"/>
      <c r="C734" s="108"/>
      <c r="D734" s="12"/>
    </row>
    <row r="735" spans="1:4">
      <c r="A735" s="48">
        <v>1110</v>
      </c>
      <c r="B735" s="57" t="s">
        <v>74</v>
      </c>
      <c r="C735" s="45">
        <f>17.24*C758</f>
        <v>8620</v>
      </c>
      <c r="D735" s="12"/>
    </row>
    <row r="736" spans="1:4" ht="31.5">
      <c r="A736" s="48">
        <v>1210</v>
      </c>
      <c r="B736" s="44" t="s">
        <v>62</v>
      </c>
      <c r="C736" s="45">
        <f>ROUNDUP(C735*0.2359,2)</f>
        <v>2033.46</v>
      </c>
    </row>
    <row r="737" spans="1:4" ht="31.5">
      <c r="A737" s="48">
        <v>2210</v>
      </c>
      <c r="B737" s="57" t="s">
        <v>129</v>
      </c>
      <c r="C737" s="45">
        <f>ROUNDUP((365814/364914)*C758,2)</f>
        <v>501.24</v>
      </c>
    </row>
    <row r="738" spans="1:4" ht="31.5">
      <c r="A738" s="48">
        <v>2340</v>
      </c>
      <c r="B738" s="44" t="s">
        <v>202</v>
      </c>
      <c r="C738" s="45">
        <f>ROUNDUP((647813/364914)*C758,2)</f>
        <v>887.63</v>
      </c>
    </row>
    <row r="739" spans="1:4" ht="31.5">
      <c r="A739" s="48">
        <v>2364</v>
      </c>
      <c r="B739" s="44" t="s">
        <v>131</v>
      </c>
      <c r="C739" s="45">
        <f>ROUND((397717/364914)*C758,2)</f>
        <v>544.95000000000005</v>
      </c>
    </row>
    <row r="740" spans="1:4">
      <c r="A740" s="123" t="s">
        <v>6</v>
      </c>
      <c r="B740" s="124"/>
      <c r="C740" s="49">
        <f>SUM(C735:C739)</f>
        <v>12587.279999999999</v>
      </c>
    </row>
    <row r="741" spans="1:4">
      <c r="A741" s="123" t="s">
        <v>7</v>
      </c>
      <c r="B741" s="125"/>
      <c r="C741" s="124"/>
    </row>
    <row r="742" spans="1:4" ht="31.5">
      <c r="A742" s="48">
        <v>1110</v>
      </c>
      <c r="B742" s="50" t="s">
        <v>68</v>
      </c>
      <c r="C742" s="45">
        <f>ROUNDDOWN(C735*0.25,2)-0.68</f>
        <v>2154.3200000000002</v>
      </c>
      <c r="D742" s="29"/>
    </row>
    <row r="743" spans="1:4" ht="31.5">
      <c r="A743" s="48">
        <v>1210</v>
      </c>
      <c r="B743" s="44" t="s">
        <v>62</v>
      </c>
      <c r="C743" s="45">
        <f>C742*0.2359</f>
        <v>508.20408800000001</v>
      </c>
    </row>
    <row r="744" spans="1:4" ht="31.5">
      <c r="A744" s="48">
        <v>2100</v>
      </c>
      <c r="B744" s="44" t="s">
        <v>135</v>
      </c>
      <c r="C744" s="45">
        <f>ROUNDUP((31310/364914)*C758,2)</f>
        <v>42.91</v>
      </c>
      <c r="D744" s="6"/>
    </row>
    <row r="745" spans="1:4" ht="31.5">
      <c r="A745" s="48">
        <v>2220</v>
      </c>
      <c r="B745" s="57" t="s">
        <v>136</v>
      </c>
      <c r="C745" s="45">
        <f>ROUNDUP((840318/364914)*C758,2)</f>
        <v>1151.4000000000001</v>
      </c>
    </row>
    <row r="746" spans="1:4" ht="31.5">
      <c r="A746" s="48">
        <v>2230</v>
      </c>
      <c r="B746" s="44" t="s">
        <v>149</v>
      </c>
      <c r="C746" s="45">
        <f>ROUNDUP((319988/364914)*C758,2)</f>
        <v>438.45</v>
      </c>
    </row>
    <row r="747" spans="1:4" ht="31.5">
      <c r="A747" s="48">
        <v>2240</v>
      </c>
      <c r="B747" s="67" t="s">
        <v>150</v>
      </c>
      <c r="C747" s="45">
        <f>ROUNDUP((714967/364914)*C758,2)</f>
        <v>979.64</v>
      </c>
    </row>
    <row r="748" spans="1:4" ht="31.5">
      <c r="A748" s="48">
        <v>2250</v>
      </c>
      <c r="B748" s="44" t="s">
        <v>166</v>
      </c>
      <c r="C748" s="45">
        <f>ROUNDUP((604971/364914)*C758,2)</f>
        <v>828.93</v>
      </c>
    </row>
    <row r="749" spans="1:4" ht="31.5">
      <c r="A749" s="48">
        <v>2261</v>
      </c>
      <c r="B749" s="44" t="s">
        <v>153</v>
      </c>
      <c r="C749" s="45">
        <f>ROUND((300406/364914)*C758,2)</f>
        <v>411.61</v>
      </c>
    </row>
    <row r="750" spans="1:4" ht="33.75" customHeight="1">
      <c r="A750" s="48">
        <v>2310</v>
      </c>
      <c r="B750" s="57" t="s">
        <v>154</v>
      </c>
      <c r="C750" s="45">
        <f>ROUNDUP((178311/364914)*C758,2)</f>
        <v>244.32</v>
      </c>
    </row>
    <row r="751" spans="1:4" ht="31.5">
      <c r="A751" s="48">
        <v>2510</v>
      </c>
      <c r="B751" s="57" t="s">
        <v>162</v>
      </c>
      <c r="C751" s="45">
        <f>ROUNDUP((46183/364914)*C758,2)</f>
        <v>63.28</v>
      </c>
    </row>
    <row r="752" spans="1:4" ht="31.5">
      <c r="A752" s="48">
        <v>5100</v>
      </c>
      <c r="B752" s="44" t="s">
        <v>143</v>
      </c>
      <c r="C752" s="45">
        <f>ROUND((18000/364914)*C758,2)</f>
        <v>24.66</v>
      </c>
    </row>
    <row r="753" spans="1:6">
      <c r="A753" s="48">
        <v>5200</v>
      </c>
      <c r="B753" s="57" t="s">
        <v>25</v>
      </c>
      <c r="C753" s="45">
        <f>0.5*C758</f>
        <v>250</v>
      </c>
      <c r="F753" s="2"/>
    </row>
    <row r="754" spans="1:6">
      <c r="A754" s="106" t="s">
        <v>8</v>
      </c>
      <c r="B754" s="108"/>
      <c r="C754" s="49">
        <f>SUM(C742:C753)</f>
        <v>7097.7240879999999</v>
      </c>
    </row>
    <row r="755" spans="1:6">
      <c r="A755" s="106" t="s">
        <v>9</v>
      </c>
      <c r="B755" s="108"/>
      <c r="C755" s="49">
        <f>C754+C740</f>
        <v>19685.004087999998</v>
      </c>
    </row>
    <row r="756" spans="1:6">
      <c r="A756" s="7"/>
      <c r="B756" s="7"/>
      <c r="C756" s="21"/>
    </row>
    <row r="757" spans="1:6">
      <c r="A757" s="7"/>
      <c r="B757" s="7"/>
      <c r="C757" s="21"/>
    </row>
    <row r="758" spans="1:6">
      <c r="A758" s="97" t="s">
        <v>10</v>
      </c>
      <c r="B758" s="98"/>
      <c r="C758" s="63">
        <v>500</v>
      </c>
    </row>
    <row r="759" spans="1:6" ht="30" customHeight="1">
      <c r="A759" s="97" t="s">
        <v>145</v>
      </c>
      <c r="B759" s="98"/>
      <c r="C759" s="64">
        <f>ROUND(C755/C758,2)</f>
        <v>39.369999999999997</v>
      </c>
      <c r="D759" s="26"/>
    </row>
    <row r="762" spans="1:6">
      <c r="A762" s="112" t="s">
        <v>0</v>
      </c>
      <c r="B762" s="112"/>
      <c r="C762" s="112"/>
      <c r="D762" s="5"/>
    </row>
    <row r="764" spans="1:6">
      <c r="A764" s="113" t="s">
        <v>12</v>
      </c>
      <c r="B764" s="113"/>
      <c r="C764" s="113"/>
    </row>
    <row r="765" spans="1:6" ht="31.9" customHeight="1">
      <c r="A765" s="113" t="s">
        <v>242</v>
      </c>
      <c r="B765" s="113"/>
      <c r="C765" s="113"/>
    </row>
    <row r="766" spans="1:6">
      <c r="A766" s="113" t="s">
        <v>1</v>
      </c>
      <c r="B766" s="113"/>
      <c r="C766" s="113"/>
    </row>
    <row r="767" spans="1:6">
      <c r="A767" s="102" t="s">
        <v>123</v>
      </c>
      <c r="B767" s="102"/>
    </row>
    <row r="768" spans="1:6">
      <c r="A768" s="39"/>
      <c r="B768" s="39"/>
    </row>
    <row r="769" spans="1:4" ht="83.25" customHeight="1">
      <c r="A769" s="48" t="s">
        <v>2</v>
      </c>
      <c r="B769" s="48" t="s">
        <v>3</v>
      </c>
      <c r="C769" s="48" t="s">
        <v>4</v>
      </c>
    </row>
    <row r="770" spans="1:4">
      <c r="A770" s="106" t="s">
        <v>5</v>
      </c>
      <c r="B770" s="107"/>
      <c r="C770" s="108"/>
      <c r="D770" s="12"/>
    </row>
    <row r="771" spans="1:4">
      <c r="A771" s="48">
        <v>1110</v>
      </c>
      <c r="B771" s="57" t="s">
        <v>65</v>
      </c>
      <c r="C771" s="60">
        <f>12.73*C795</f>
        <v>6365</v>
      </c>
      <c r="D771" s="12"/>
    </row>
    <row r="772" spans="1:4" ht="31.5">
      <c r="A772" s="48">
        <v>1210</v>
      </c>
      <c r="B772" s="44" t="s">
        <v>62</v>
      </c>
      <c r="C772" s="45">
        <f>C771*0.2359</f>
        <v>1501.5035</v>
      </c>
    </row>
    <row r="773" spans="1:4" ht="31.5">
      <c r="A773" s="48">
        <v>2210</v>
      </c>
      <c r="B773" s="57" t="s">
        <v>129</v>
      </c>
      <c r="C773" s="45">
        <f>ROUND((365814/364914)*C795,2)</f>
        <v>501.23</v>
      </c>
    </row>
    <row r="774" spans="1:4" ht="31.5">
      <c r="A774" s="48">
        <v>2242</v>
      </c>
      <c r="B774" s="57" t="s">
        <v>152</v>
      </c>
      <c r="C774" s="45">
        <f>(605722/364914)*C795</f>
        <v>829.95171465057513</v>
      </c>
      <c r="D774" s="37"/>
    </row>
    <row r="775" spans="1:4" ht="31.5">
      <c r="A775" s="48">
        <v>2350</v>
      </c>
      <c r="B775" s="57" t="s">
        <v>148</v>
      </c>
      <c r="C775" s="45">
        <f>(544867/364914)*C795</f>
        <v>746.56905462656948</v>
      </c>
    </row>
    <row r="776" spans="1:4" ht="31.5">
      <c r="A776" s="48">
        <v>2322</v>
      </c>
      <c r="B776" s="44" t="s">
        <v>219</v>
      </c>
      <c r="C776" s="45">
        <f>(15/100)*34*1.07*C795</f>
        <v>2728.5</v>
      </c>
    </row>
    <row r="777" spans="1:4">
      <c r="A777" s="123" t="s">
        <v>6</v>
      </c>
      <c r="B777" s="124"/>
      <c r="C777" s="49">
        <f>SUM(C771:C776)</f>
        <v>12672.754269277144</v>
      </c>
    </row>
    <row r="778" spans="1:4">
      <c r="A778" s="123" t="s">
        <v>7</v>
      </c>
      <c r="B778" s="125"/>
      <c r="C778" s="124"/>
    </row>
    <row r="779" spans="1:4" ht="31.5">
      <c r="A779" s="48">
        <v>1110</v>
      </c>
      <c r="B779" s="50" t="s">
        <v>220</v>
      </c>
      <c r="C779" s="45">
        <f>ROUNDUP(C771*0.11123,2)</f>
        <v>707.98</v>
      </c>
      <c r="D779" s="19"/>
    </row>
    <row r="780" spans="1:4" ht="31.5">
      <c r="A780" s="48">
        <v>1210</v>
      </c>
      <c r="B780" s="44" t="s">
        <v>62</v>
      </c>
      <c r="C780" s="45">
        <f>ROUND(C779*0.2359,2)</f>
        <v>167.01</v>
      </c>
    </row>
    <row r="781" spans="1:4" ht="31.5">
      <c r="A781" s="48">
        <v>2100</v>
      </c>
      <c r="B781" s="57" t="s">
        <v>135</v>
      </c>
      <c r="C781" s="45">
        <f>0.09*C795</f>
        <v>45</v>
      </c>
      <c r="D781" s="6"/>
    </row>
    <row r="782" spans="1:4" ht="31.5">
      <c r="A782" s="48">
        <v>2220</v>
      </c>
      <c r="B782" s="57" t="s">
        <v>136</v>
      </c>
      <c r="C782" s="45">
        <f>ROUND((840318/364914)*C795,2)</f>
        <v>1151.3900000000001</v>
      </c>
    </row>
    <row r="783" spans="1:4" ht="31.5">
      <c r="A783" s="48">
        <v>2230</v>
      </c>
      <c r="B783" s="44" t="s">
        <v>137</v>
      </c>
      <c r="C783" s="45">
        <f>ROUND((319988/364914)*C795,2)</f>
        <v>438.44</v>
      </c>
    </row>
    <row r="784" spans="1:4" ht="31.5">
      <c r="A784" s="48">
        <v>2240</v>
      </c>
      <c r="B784" s="67" t="s">
        <v>203</v>
      </c>
      <c r="C784" s="45">
        <f>ROUNDUP((714967/364914)*C795,2)</f>
        <v>979.64</v>
      </c>
    </row>
    <row r="785" spans="1:6" ht="31.5">
      <c r="A785" s="48">
        <v>2250</v>
      </c>
      <c r="B785" s="44" t="s">
        <v>139</v>
      </c>
      <c r="C785" s="45">
        <f>ROUND((604971/364914)*C795,2)</f>
        <v>828.92</v>
      </c>
    </row>
    <row r="786" spans="1:6" ht="31.5">
      <c r="A786" s="48">
        <v>2261</v>
      </c>
      <c r="B786" s="44" t="s">
        <v>153</v>
      </c>
      <c r="C786" s="45">
        <f>ROUND((300406/364914)*C795,2)</f>
        <v>411.61</v>
      </c>
    </row>
    <row r="787" spans="1:6" ht="35.450000000000003" customHeight="1">
      <c r="A787" s="48">
        <v>2310</v>
      </c>
      <c r="B787" s="57" t="s">
        <v>168</v>
      </c>
      <c r="C787" s="45">
        <f>ROUND((178311/364914)*C795,2)</f>
        <v>244.32</v>
      </c>
    </row>
    <row r="788" spans="1:6" ht="31.5">
      <c r="A788" s="48">
        <v>2510</v>
      </c>
      <c r="B788" s="57" t="s">
        <v>142</v>
      </c>
      <c r="C788" s="45">
        <f>ROUND((46183/364914)*C795,2)</f>
        <v>63.28</v>
      </c>
    </row>
    <row r="789" spans="1:6" ht="31.5">
      <c r="A789" s="48">
        <v>5100</v>
      </c>
      <c r="B789" s="44" t="s">
        <v>143</v>
      </c>
      <c r="C789" s="45">
        <f>ROUND((18000/364914)*C795,2)</f>
        <v>24.66</v>
      </c>
    </row>
    <row r="790" spans="1:6" ht="47.25">
      <c r="A790" s="48" t="s">
        <v>243</v>
      </c>
      <c r="B790" s="44" t="s">
        <v>144</v>
      </c>
      <c r="C790" s="45">
        <f>1.12*C795+0.91*C795</f>
        <v>1015</v>
      </c>
      <c r="F790" s="2"/>
    </row>
    <row r="791" spans="1:6">
      <c r="A791" s="106" t="s">
        <v>8</v>
      </c>
      <c r="B791" s="108"/>
      <c r="C791" s="49">
        <f>SUM(C779:C790)</f>
        <v>6077.2499999999991</v>
      </c>
    </row>
    <row r="792" spans="1:6">
      <c r="A792" s="106" t="s">
        <v>9</v>
      </c>
      <c r="B792" s="108"/>
      <c r="C792" s="49">
        <f>C791+C777</f>
        <v>18750.004269277142</v>
      </c>
    </row>
    <row r="793" spans="1:6">
      <c r="A793" s="7"/>
      <c r="B793" s="7"/>
      <c r="C793" s="21"/>
    </row>
    <row r="794" spans="1:6">
      <c r="A794" s="7"/>
      <c r="B794" s="7"/>
      <c r="C794" s="21"/>
    </row>
    <row r="795" spans="1:6">
      <c r="A795" s="97" t="s">
        <v>10</v>
      </c>
      <c r="B795" s="98"/>
      <c r="C795" s="63">
        <v>500</v>
      </c>
    </row>
    <row r="796" spans="1:6" ht="32.450000000000003" customHeight="1">
      <c r="A796" s="97" t="s">
        <v>145</v>
      </c>
      <c r="B796" s="98"/>
      <c r="C796" s="64">
        <f>ROUND(C792/C795,2)</f>
        <v>37.5</v>
      </c>
      <c r="D796" s="26"/>
    </row>
    <row r="799" spans="1:6">
      <c r="A799" s="112" t="s">
        <v>0</v>
      </c>
      <c r="B799" s="112"/>
      <c r="C799" s="112"/>
    </row>
    <row r="801" spans="1:5">
      <c r="A801" s="113" t="s">
        <v>12</v>
      </c>
      <c r="B801" s="113"/>
      <c r="C801" s="113"/>
    </row>
    <row r="802" spans="1:5" ht="33.6" customHeight="1">
      <c r="A802" s="113" t="s">
        <v>244</v>
      </c>
      <c r="B802" s="113"/>
      <c r="C802" s="113"/>
    </row>
    <row r="803" spans="1:5">
      <c r="A803" s="113" t="s">
        <v>1</v>
      </c>
      <c r="B803" s="113"/>
      <c r="C803" s="113"/>
    </row>
    <row r="804" spans="1:5">
      <c r="A804" s="102" t="s">
        <v>21</v>
      </c>
      <c r="B804" s="102"/>
    </row>
    <row r="805" spans="1:5">
      <c r="A805" s="39"/>
      <c r="B805" s="39"/>
    </row>
    <row r="806" spans="1:5" ht="85.5" customHeight="1">
      <c r="A806" s="48" t="s">
        <v>2</v>
      </c>
      <c r="B806" s="48" t="s">
        <v>3</v>
      </c>
      <c r="C806" s="48" t="s">
        <v>4</v>
      </c>
    </row>
    <row r="807" spans="1:5">
      <c r="A807" s="106" t="s">
        <v>5</v>
      </c>
      <c r="B807" s="107"/>
      <c r="C807" s="108"/>
    </row>
    <row r="808" spans="1:5">
      <c r="A808" s="48">
        <v>1110</v>
      </c>
      <c r="B808" s="57" t="s">
        <v>67</v>
      </c>
      <c r="C808" s="55">
        <f>29.3*C821</f>
        <v>293</v>
      </c>
    </row>
    <row r="809" spans="1:5" ht="35.25" customHeight="1">
      <c r="A809" s="48">
        <v>1210</v>
      </c>
      <c r="B809" s="44" t="s">
        <v>62</v>
      </c>
      <c r="C809" s="55">
        <f>C808*0.2359</f>
        <v>69.118700000000004</v>
      </c>
    </row>
    <row r="810" spans="1:5">
      <c r="A810" s="123" t="s">
        <v>6</v>
      </c>
      <c r="B810" s="124"/>
      <c r="C810" s="56">
        <f>SUM(C808:C809)</f>
        <v>362.11869999999999</v>
      </c>
    </row>
    <row r="811" spans="1:5">
      <c r="A811" s="123" t="s">
        <v>7</v>
      </c>
      <c r="B811" s="125"/>
      <c r="C811" s="124"/>
    </row>
    <row r="812" spans="1:5" ht="31.5">
      <c r="A812" s="48">
        <v>2100</v>
      </c>
      <c r="B812" s="57" t="s">
        <v>135</v>
      </c>
      <c r="C812" s="55">
        <f>ROUNDUP((31310/364914)*C821,2)</f>
        <v>0.86</v>
      </c>
    </row>
    <row r="813" spans="1:5" ht="31.5">
      <c r="A813" s="48">
        <v>2230</v>
      </c>
      <c r="B813" s="44" t="s">
        <v>137</v>
      </c>
      <c r="C813" s="55">
        <f>ROUNDUP((319988/364914)*C821,2)</f>
        <v>8.77</v>
      </c>
    </row>
    <row r="814" spans="1:5" ht="31.5">
      <c r="A814" s="48">
        <v>2510</v>
      </c>
      <c r="B814" s="57" t="s">
        <v>142</v>
      </c>
      <c r="C814" s="55">
        <f>ROUNDUP((46183/364914)*C821,2)</f>
        <v>1.27</v>
      </c>
    </row>
    <row r="815" spans="1:5" ht="31.5">
      <c r="A815" s="48">
        <v>5100</v>
      </c>
      <c r="B815" s="44" t="s">
        <v>186</v>
      </c>
      <c r="C815" s="55">
        <f>ROUNDUP((18000/36914)*C821,2)</f>
        <v>4.88</v>
      </c>
    </row>
    <row r="816" spans="1:5">
      <c r="A816" s="48">
        <v>5200</v>
      </c>
      <c r="B816" s="44" t="s">
        <v>25</v>
      </c>
      <c r="C816" s="55">
        <f>0.5*C821</f>
        <v>5</v>
      </c>
      <c r="E816" s="2"/>
    </row>
    <row r="817" spans="1:4">
      <c r="A817" s="120" t="s">
        <v>8</v>
      </c>
      <c r="B817" s="122"/>
      <c r="C817" s="69">
        <f>SUM(C812:C816)</f>
        <v>20.779999999999998</v>
      </c>
    </row>
    <row r="818" spans="1:4">
      <c r="A818" s="120" t="s">
        <v>9</v>
      </c>
      <c r="B818" s="122"/>
      <c r="C818" s="69">
        <f>C817+C810</f>
        <v>382.89869999999996</v>
      </c>
    </row>
    <row r="819" spans="1:4">
      <c r="C819" s="2"/>
    </row>
    <row r="820" spans="1:4">
      <c r="C820" s="2"/>
    </row>
    <row r="821" spans="1:4">
      <c r="A821" s="115" t="s">
        <v>10</v>
      </c>
      <c r="B821" s="116"/>
      <c r="C821" s="63">
        <v>10</v>
      </c>
    </row>
    <row r="822" spans="1:4" ht="33.6" customHeight="1">
      <c r="A822" s="115" t="s">
        <v>11</v>
      </c>
      <c r="B822" s="116"/>
      <c r="C822" s="65">
        <f>ROUND(C818/C821,2)</f>
        <v>38.29</v>
      </c>
      <c r="D822" s="26"/>
    </row>
    <row r="825" spans="1:4">
      <c r="A825" s="112" t="s">
        <v>0</v>
      </c>
      <c r="B825" s="112"/>
      <c r="C825" s="112"/>
      <c r="D825" s="5"/>
    </row>
    <row r="827" spans="1:4">
      <c r="A827" s="113" t="s">
        <v>12</v>
      </c>
      <c r="B827" s="113"/>
      <c r="C827" s="113"/>
    </row>
    <row r="828" spans="1:4" ht="32.450000000000003" customHeight="1">
      <c r="A828" s="128" t="s">
        <v>245</v>
      </c>
      <c r="B828" s="113"/>
      <c r="C828" s="113"/>
    </row>
    <row r="829" spans="1:4">
      <c r="A829" s="113" t="s">
        <v>1</v>
      </c>
      <c r="B829" s="113"/>
      <c r="C829" s="113"/>
    </row>
    <row r="830" spans="1:4">
      <c r="A830" s="114" t="s">
        <v>21</v>
      </c>
      <c r="B830" s="114"/>
      <c r="C830" s="7"/>
    </row>
    <row r="831" spans="1:4">
      <c r="A831" s="40"/>
      <c r="B831" s="40"/>
      <c r="C831" s="7"/>
    </row>
    <row r="832" spans="1:4" ht="96" customHeight="1">
      <c r="A832" s="48" t="s">
        <v>2</v>
      </c>
      <c r="B832" s="48" t="s">
        <v>3</v>
      </c>
      <c r="C832" s="48" t="s">
        <v>4</v>
      </c>
    </row>
    <row r="833" spans="1:6">
      <c r="A833" s="106" t="s">
        <v>5</v>
      </c>
      <c r="B833" s="107"/>
      <c r="C833" s="108"/>
      <c r="D833" s="12"/>
    </row>
    <row r="834" spans="1:6">
      <c r="A834" s="48">
        <v>1110</v>
      </c>
      <c r="B834" s="57" t="s">
        <v>70</v>
      </c>
      <c r="C834" s="55">
        <f>27.97*C847</f>
        <v>279.7</v>
      </c>
      <c r="D834" s="11"/>
    </row>
    <row r="835" spans="1:6" ht="34.9" customHeight="1">
      <c r="A835" s="48">
        <v>1210</v>
      </c>
      <c r="B835" s="44" t="s">
        <v>62</v>
      </c>
      <c r="C835" s="55">
        <f>ROUNDUP(C834*0.2359,1)</f>
        <v>66</v>
      </c>
    </row>
    <row r="836" spans="1:6">
      <c r="A836" s="123" t="s">
        <v>6</v>
      </c>
      <c r="B836" s="124"/>
      <c r="C836" s="56">
        <f>SUM(C834:C835)</f>
        <v>345.7</v>
      </c>
    </row>
    <row r="837" spans="1:6">
      <c r="A837" s="123" t="s">
        <v>7</v>
      </c>
      <c r="B837" s="125"/>
      <c r="C837" s="124"/>
    </row>
    <row r="838" spans="1:6" ht="31.5">
      <c r="A838" s="48">
        <v>2100</v>
      </c>
      <c r="B838" s="57" t="s">
        <v>185</v>
      </c>
      <c r="C838" s="55">
        <f>ROUNDUP((31310/364914)*C847,2)</f>
        <v>0.86</v>
      </c>
      <c r="D838" s="6"/>
    </row>
    <row r="839" spans="1:6" ht="31.5">
      <c r="A839" s="48">
        <v>2230</v>
      </c>
      <c r="B839" s="44" t="s">
        <v>137</v>
      </c>
      <c r="C839" s="55">
        <f>ROUNDUP((319988/364914)*C847,2)</f>
        <v>8.77</v>
      </c>
    </row>
    <row r="840" spans="1:6" ht="31.5">
      <c r="A840" s="48">
        <v>2510</v>
      </c>
      <c r="B840" s="57" t="s">
        <v>142</v>
      </c>
      <c r="C840" s="55">
        <f>ROUNDUP((46183/364914)*C847,2)</f>
        <v>1.27</v>
      </c>
    </row>
    <row r="841" spans="1:6" ht="31.5">
      <c r="A841" s="48">
        <v>5100</v>
      </c>
      <c r="B841" s="44" t="s">
        <v>157</v>
      </c>
      <c r="C841" s="55">
        <f>ROUNDUP((18000/364914)*C847,2)</f>
        <v>0.5</v>
      </c>
    </row>
    <row r="842" spans="1:6">
      <c r="A842" s="48">
        <v>5200</v>
      </c>
      <c r="B842" s="57" t="s">
        <v>25</v>
      </c>
      <c r="C842" s="55">
        <f>0.5*C847</f>
        <v>5</v>
      </c>
      <c r="F842" s="2"/>
    </row>
    <row r="843" spans="1:6">
      <c r="A843" s="120" t="s">
        <v>8</v>
      </c>
      <c r="B843" s="122"/>
      <c r="C843" s="69">
        <f>SUM(C838:C842)</f>
        <v>16.399999999999999</v>
      </c>
    </row>
    <row r="844" spans="1:6">
      <c r="A844" s="120" t="s">
        <v>9</v>
      </c>
      <c r="B844" s="122"/>
      <c r="C844" s="69">
        <f>C843+C836</f>
        <v>362.09999999999997</v>
      </c>
    </row>
    <row r="845" spans="1:6">
      <c r="C845" s="2"/>
    </row>
    <row r="846" spans="1:6">
      <c r="C846" s="2"/>
    </row>
    <row r="847" spans="1:6">
      <c r="A847" s="115" t="s">
        <v>10</v>
      </c>
      <c r="B847" s="116"/>
      <c r="C847" s="63">
        <v>10</v>
      </c>
    </row>
    <row r="848" spans="1:6" ht="33" customHeight="1">
      <c r="A848" s="115" t="s">
        <v>11</v>
      </c>
      <c r="B848" s="116"/>
      <c r="C848" s="65">
        <f>ROUND(C844/C847,2)</f>
        <v>36.21</v>
      </c>
      <c r="D848" s="2"/>
    </row>
    <row r="851" spans="1:4">
      <c r="A851" s="112" t="s">
        <v>0</v>
      </c>
      <c r="B851" s="112"/>
      <c r="C851" s="112"/>
      <c r="D851" s="5"/>
    </row>
    <row r="853" spans="1:4">
      <c r="A853" s="113" t="s">
        <v>12</v>
      </c>
      <c r="B853" s="113"/>
      <c r="C853" s="113"/>
    </row>
    <row r="854" spans="1:4" ht="31.9" customHeight="1">
      <c r="A854" s="113" t="s">
        <v>246</v>
      </c>
      <c r="B854" s="113"/>
      <c r="C854" s="113"/>
    </row>
    <row r="855" spans="1:4">
      <c r="A855" s="113" t="s">
        <v>1</v>
      </c>
      <c r="B855" s="113"/>
      <c r="C855" s="113"/>
    </row>
    <row r="856" spans="1:4">
      <c r="A856" s="102" t="s">
        <v>17</v>
      </c>
      <c r="B856" s="102"/>
    </row>
    <row r="857" spans="1:4">
      <c r="A857" s="39"/>
      <c r="B857" s="39"/>
    </row>
    <row r="858" spans="1:4" ht="93" customHeight="1">
      <c r="A858" s="43" t="s">
        <v>2</v>
      </c>
      <c r="B858" s="43" t="s">
        <v>3</v>
      </c>
      <c r="C858" s="43" t="s">
        <v>4</v>
      </c>
    </row>
    <row r="859" spans="1:4">
      <c r="A859" s="106" t="s">
        <v>5</v>
      </c>
      <c r="B859" s="107"/>
      <c r="C859" s="108"/>
      <c r="D859" s="3"/>
    </row>
    <row r="860" spans="1:4">
      <c r="A860" s="48">
        <v>1110</v>
      </c>
      <c r="B860" s="57" t="s">
        <v>64</v>
      </c>
      <c r="C860" s="45">
        <f>17.24*C873</f>
        <v>1379.1999999999998</v>
      </c>
      <c r="D860" s="11"/>
    </row>
    <row r="861" spans="1:4" ht="31.5">
      <c r="A861" s="48">
        <v>1210</v>
      </c>
      <c r="B861" s="57" t="s">
        <v>62</v>
      </c>
      <c r="C861" s="45">
        <f>ROUND(C860*0.2359,2)</f>
        <v>325.35000000000002</v>
      </c>
    </row>
    <row r="862" spans="1:4">
      <c r="A862" s="123" t="s">
        <v>6</v>
      </c>
      <c r="B862" s="124"/>
      <c r="C862" s="49">
        <f>SUM(C860:C861)</f>
        <v>1704.5499999999997</v>
      </c>
    </row>
    <row r="863" spans="1:4">
      <c r="A863" s="123" t="s">
        <v>7</v>
      </c>
      <c r="B863" s="125"/>
      <c r="C863" s="124"/>
    </row>
    <row r="864" spans="1:4" ht="31.5">
      <c r="A864" s="48">
        <v>2100</v>
      </c>
      <c r="B864" s="57" t="s">
        <v>135</v>
      </c>
      <c r="C864" s="55">
        <f>ROUND((31310/364914)*C873,2)</f>
        <v>6.86</v>
      </c>
      <c r="D864" s="6"/>
    </row>
    <row r="865" spans="1:6" ht="31.5">
      <c r="A865" s="48">
        <v>2230</v>
      </c>
      <c r="B865" s="44" t="s">
        <v>149</v>
      </c>
      <c r="C865" s="55">
        <f>ROUNDUP((319988/364914)*C873,2)+0.35</f>
        <v>70.510000000000005</v>
      </c>
      <c r="D865" s="19"/>
    </row>
    <row r="866" spans="1:6" ht="31.5">
      <c r="A866" s="48">
        <v>2510</v>
      </c>
      <c r="B866" s="57" t="s">
        <v>142</v>
      </c>
      <c r="C866" s="55">
        <f>ROUNDUP((46183/364914)*C873,2)</f>
        <v>10.129999999999999</v>
      </c>
    </row>
    <row r="867" spans="1:6" ht="31.5">
      <c r="A867" s="48">
        <v>5100</v>
      </c>
      <c r="B867" s="44" t="s">
        <v>186</v>
      </c>
      <c r="C867" s="55">
        <f>ROUND((18000/364914)*C873,2)</f>
        <v>3.95</v>
      </c>
    </row>
    <row r="868" spans="1:6">
      <c r="A868" s="48">
        <v>5200</v>
      </c>
      <c r="B868" s="57" t="s">
        <v>25</v>
      </c>
      <c r="C868" s="55">
        <f>0.5*C873</f>
        <v>40</v>
      </c>
      <c r="F868" s="2"/>
    </row>
    <row r="869" spans="1:6">
      <c r="A869" s="106" t="s">
        <v>8</v>
      </c>
      <c r="B869" s="108"/>
      <c r="C869" s="56">
        <f>SUM(C864:C868)</f>
        <v>131.44999999999999</v>
      </c>
    </row>
    <row r="870" spans="1:6">
      <c r="A870" s="106" t="s">
        <v>9</v>
      </c>
      <c r="B870" s="108"/>
      <c r="C870" s="49">
        <f>C869+C862</f>
        <v>1835.9999999999998</v>
      </c>
    </row>
    <row r="871" spans="1:6">
      <c r="A871" s="7"/>
      <c r="B871" s="7"/>
      <c r="C871" s="21"/>
    </row>
    <row r="872" spans="1:6">
      <c r="A872" s="7"/>
      <c r="B872" s="7"/>
      <c r="C872" s="21"/>
    </row>
    <row r="873" spans="1:6">
      <c r="A873" s="97" t="s">
        <v>10</v>
      </c>
      <c r="B873" s="98"/>
      <c r="C873" s="64">
        <v>80</v>
      </c>
    </row>
    <row r="874" spans="1:6" ht="31.9" customHeight="1">
      <c r="A874" s="97" t="s">
        <v>145</v>
      </c>
      <c r="B874" s="98"/>
      <c r="C874" s="64">
        <f>ROUND(C870/C873,2)</f>
        <v>22.95</v>
      </c>
      <c r="D874" s="26"/>
    </row>
    <row r="877" spans="1:6">
      <c r="A877" s="112" t="s">
        <v>0</v>
      </c>
      <c r="B877" s="112"/>
      <c r="C877" s="112"/>
      <c r="D877" s="5"/>
      <c r="E877" s="5"/>
    </row>
    <row r="879" spans="1:6">
      <c r="A879" s="113" t="s">
        <v>12</v>
      </c>
      <c r="B879" s="113"/>
      <c r="C879" s="113"/>
    </row>
    <row r="880" spans="1:6" ht="30" customHeight="1">
      <c r="A880" s="113" t="s">
        <v>247</v>
      </c>
      <c r="B880" s="113"/>
      <c r="C880" s="113"/>
    </row>
    <row r="881" spans="1:5">
      <c r="A881" s="113" t="s">
        <v>1</v>
      </c>
      <c r="B881" s="113"/>
      <c r="C881" s="113"/>
    </row>
    <row r="882" spans="1:5">
      <c r="A882" s="102" t="s">
        <v>124</v>
      </c>
      <c r="B882" s="102"/>
    </row>
    <row r="883" spans="1:5">
      <c r="A883" s="39"/>
      <c r="B883" s="39"/>
    </row>
    <row r="884" spans="1:5" ht="100.5" customHeight="1">
      <c r="A884" s="43" t="s">
        <v>2</v>
      </c>
      <c r="B884" s="43" t="s">
        <v>3</v>
      </c>
      <c r="C884" s="43" t="s">
        <v>4</v>
      </c>
    </row>
    <row r="885" spans="1:5">
      <c r="A885" s="120" t="s">
        <v>5</v>
      </c>
      <c r="B885" s="121"/>
      <c r="C885" s="122"/>
      <c r="D885" s="12"/>
      <c r="E885" s="12"/>
    </row>
    <row r="886" spans="1:5">
      <c r="A886" s="48">
        <v>1110</v>
      </c>
      <c r="B886" s="57" t="s">
        <v>65</v>
      </c>
      <c r="C886" s="45">
        <f>12.73*C898</f>
        <v>891.1</v>
      </c>
      <c r="D886" s="11"/>
      <c r="E886" s="11"/>
    </row>
    <row r="887" spans="1:5" ht="31.5">
      <c r="A887" s="48">
        <v>1210</v>
      </c>
      <c r="B887" s="44" t="s">
        <v>62</v>
      </c>
      <c r="C887" s="45">
        <f>ROUNDDOWN(C886*0.2359,1)</f>
        <v>210.2</v>
      </c>
    </row>
    <row r="888" spans="1:5">
      <c r="A888" s="123" t="s">
        <v>6</v>
      </c>
      <c r="B888" s="124"/>
      <c r="C888" s="49">
        <f>SUM(C886:C887)</f>
        <v>1101.3</v>
      </c>
    </row>
    <row r="889" spans="1:5">
      <c r="A889" s="123" t="s">
        <v>7</v>
      </c>
      <c r="B889" s="125"/>
      <c r="C889" s="124"/>
    </row>
    <row r="890" spans="1:5" ht="31.5">
      <c r="A890" s="48">
        <v>2100</v>
      </c>
      <c r="B890" s="57" t="s">
        <v>135</v>
      </c>
      <c r="C890" s="45">
        <f>0.09*C898</f>
        <v>6.3</v>
      </c>
      <c r="E890" s="6"/>
    </row>
    <row r="891" spans="1:5" ht="31.5">
      <c r="A891" s="48">
        <v>2230</v>
      </c>
      <c r="B891" s="44" t="s">
        <v>137</v>
      </c>
      <c r="C891" s="45">
        <f>0.88*C898+0.04</f>
        <v>61.64</v>
      </c>
      <c r="D891" s="19"/>
    </row>
    <row r="892" spans="1:5" ht="31.5">
      <c r="A892" s="48">
        <v>2510</v>
      </c>
      <c r="B892" s="57" t="s">
        <v>142</v>
      </c>
      <c r="C892" s="45">
        <f>ROUNDUP((46183/364914)*C898,1)</f>
        <v>8.9</v>
      </c>
    </row>
    <row r="893" spans="1:5" ht="31.5">
      <c r="A893" s="48">
        <v>5100</v>
      </c>
      <c r="B893" s="57" t="s">
        <v>143</v>
      </c>
      <c r="C893" s="45">
        <f>ROUNDUP((18000/364914)*C898,2)</f>
        <v>3.46</v>
      </c>
    </row>
    <row r="894" spans="1:5">
      <c r="A894" s="120" t="s">
        <v>8</v>
      </c>
      <c r="B894" s="122"/>
      <c r="C894" s="70">
        <f>SUM(C890:C893)</f>
        <v>80.3</v>
      </c>
    </row>
    <row r="895" spans="1:5">
      <c r="A895" s="120" t="s">
        <v>9</v>
      </c>
      <c r="B895" s="122"/>
      <c r="C895" s="70">
        <f>C894+C888</f>
        <v>1181.5999999999999</v>
      </c>
    </row>
    <row r="896" spans="1:5">
      <c r="C896" s="2"/>
    </row>
    <row r="897" spans="1:7">
      <c r="C897" s="2"/>
    </row>
    <row r="898" spans="1:7">
      <c r="A898" s="115" t="s">
        <v>10</v>
      </c>
      <c r="B898" s="116"/>
      <c r="C898" s="63">
        <v>70</v>
      </c>
    </row>
    <row r="899" spans="1:7" ht="34.9" customHeight="1">
      <c r="A899" s="115" t="s">
        <v>11</v>
      </c>
      <c r="B899" s="116"/>
      <c r="C899" s="65">
        <f>ROUND(C895/C898,2)</f>
        <v>16.88</v>
      </c>
      <c r="D899" s="2"/>
    </row>
    <row r="902" spans="1:7">
      <c r="A902" s="112" t="s">
        <v>0</v>
      </c>
      <c r="B902" s="112"/>
      <c r="C902" s="112"/>
      <c r="D902" s="5"/>
    </row>
    <row r="904" spans="1:7">
      <c r="A904" s="113" t="s">
        <v>12</v>
      </c>
      <c r="B904" s="113"/>
      <c r="C904" s="113"/>
    </row>
    <row r="905" spans="1:7" ht="33" customHeight="1">
      <c r="A905" s="113" t="s">
        <v>248</v>
      </c>
      <c r="B905" s="113"/>
      <c r="C905" s="113"/>
    </row>
    <row r="906" spans="1:7">
      <c r="A906" s="113" t="s">
        <v>1</v>
      </c>
      <c r="B906" s="113"/>
      <c r="C906" s="113"/>
    </row>
    <row r="907" spans="1:7">
      <c r="A907" s="102" t="s">
        <v>37</v>
      </c>
      <c r="B907" s="102"/>
    </row>
    <row r="908" spans="1:7">
      <c r="A908" s="39"/>
      <c r="B908" s="39"/>
    </row>
    <row r="909" spans="1:7" ht="96" customHeight="1">
      <c r="A909" s="43" t="s">
        <v>2</v>
      </c>
      <c r="B909" s="43" t="s">
        <v>3</v>
      </c>
      <c r="C909" s="43" t="s">
        <v>4</v>
      </c>
    </row>
    <row r="910" spans="1:7">
      <c r="A910" s="120" t="s">
        <v>5</v>
      </c>
      <c r="B910" s="121"/>
      <c r="C910" s="122"/>
      <c r="D910" s="12"/>
    </row>
    <row r="911" spans="1:7">
      <c r="A911" s="105">
        <v>1110</v>
      </c>
      <c r="B911" s="57" t="s">
        <v>67</v>
      </c>
      <c r="C911" s="55">
        <f>29.3*C940</f>
        <v>205.1</v>
      </c>
      <c r="D911" s="11"/>
      <c r="G911" s="2"/>
    </row>
    <row r="912" spans="1:7">
      <c r="A912" s="105"/>
      <c r="B912" s="57" t="s">
        <v>64</v>
      </c>
      <c r="C912" s="55">
        <f>17.24*C940</f>
        <v>120.67999999999999</v>
      </c>
      <c r="D912" s="11"/>
      <c r="G912" s="2"/>
    </row>
    <row r="913" spans="1:7">
      <c r="A913" s="105"/>
      <c r="B913" s="57" t="s">
        <v>64</v>
      </c>
      <c r="C913" s="55">
        <f>17.24*C940</f>
        <v>120.67999999999999</v>
      </c>
      <c r="D913" s="11"/>
      <c r="G913" s="2"/>
    </row>
    <row r="914" spans="1:7">
      <c r="A914" s="105"/>
      <c r="B914" s="57" t="s">
        <v>65</v>
      </c>
      <c r="C914" s="55">
        <f>12.73*C940</f>
        <v>89.11</v>
      </c>
      <c r="D914" s="11"/>
      <c r="G914" s="2"/>
    </row>
    <row r="915" spans="1:7" ht="15.75" customHeight="1">
      <c r="A915" s="48">
        <v>1210</v>
      </c>
      <c r="B915" s="44" t="s">
        <v>62</v>
      </c>
      <c r="C915" s="55">
        <f>(C911+C912+C913+C914)*0.2359</f>
        <v>126.34096299999999</v>
      </c>
      <c r="D915" s="11"/>
      <c r="G915" s="2"/>
    </row>
    <row r="916" spans="1:7" ht="31.5">
      <c r="A916" s="48">
        <v>2210</v>
      </c>
      <c r="B916" s="57" t="s">
        <v>204</v>
      </c>
      <c r="C916" s="55">
        <f>(365814/364914)*C940</f>
        <v>7.0172643417353138</v>
      </c>
      <c r="D916" s="11"/>
      <c r="G916" s="2"/>
    </row>
    <row r="917" spans="1:7" ht="31.5">
      <c r="A917" s="48">
        <v>2340</v>
      </c>
      <c r="B917" s="57" t="s">
        <v>205</v>
      </c>
      <c r="C917" s="55">
        <f>(1.78+27.58)*C940</f>
        <v>205.51999999999998</v>
      </c>
      <c r="D917" s="11"/>
      <c r="G917" s="2"/>
    </row>
    <row r="918" spans="1:7" ht="31.5">
      <c r="A918" s="48">
        <v>2364</v>
      </c>
      <c r="B918" s="44" t="s">
        <v>131</v>
      </c>
      <c r="C918" s="55">
        <f>(397717/364914)*C940</f>
        <v>7.629246891048302</v>
      </c>
      <c r="D918" s="11"/>
      <c r="G918" s="2"/>
    </row>
    <row r="919" spans="1:7" ht="31.5">
      <c r="A919" s="48">
        <v>2242</v>
      </c>
      <c r="B919" s="57" t="s">
        <v>206</v>
      </c>
      <c r="C919" s="55">
        <f>(605722/364914)*C940</f>
        <v>11.619324005108052</v>
      </c>
      <c r="D919" s="11"/>
      <c r="G919" s="2"/>
    </row>
    <row r="920" spans="1:7" ht="31.5">
      <c r="A920" s="48">
        <v>2350</v>
      </c>
      <c r="B920" s="57" t="s">
        <v>148</v>
      </c>
      <c r="C920" s="55">
        <f>1.49*C940</f>
        <v>10.43</v>
      </c>
      <c r="D920" s="11"/>
      <c r="G920" s="2"/>
    </row>
    <row r="921" spans="1:7" ht="31.5">
      <c r="A921" s="48">
        <v>2322</v>
      </c>
      <c r="B921" s="44" t="s">
        <v>115</v>
      </c>
      <c r="C921" s="55">
        <f>11.56*C940</f>
        <v>80.92</v>
      </c>
      <c r="D921" s="11"/>
      <c r="G921" s="2"/>
    </row>
    <row r="922" spans="1:7">
      <c r="A922" s="123" t="s">
        <v>6</v>
      </c>
      <c r="B922" s="124"/>
      <c r="C922" s="56">
        <f>SUM(C911:C921)</f>
        <v>985.04679823789149</v>
      </c>
      <c r="D922" s="11"/>
      <c r="G922" s="2"/>
    </row>
    <row r="923" spans="1:7">
      <c r="A923" s="123" t="s">
        <v>7</v>
      </c>
      <c r="B923" s="125"/>
      <c r="C923" s="124"/>
      <c r="D923" s="11"/>
      <c r="G923" s="2"/>
    </row>
    <row r="924" spans="1:7" ht="15.75" customHeight="1">
      <c r="A924" s="48">
        <v>1110</v>
      </c>
      <c r="B924" s="50" t="s">
        <v>27</v>
      </c>
      <c r="C924" s="55">
        <f>ROUNDUP((C911+C912+C913+C914)*0.25,2)+0.01</f>
        <v>133.90999999999997</v>
      </c>
      <c r="D924" s="32"/>
      <c r="G924" s="2"/>
    </row>
    <row r="925" spans="1:7" ht="17.25" customHeight="1">
      <c r="A925" s="48">
        <v>1210</v>
      </c>
      <c r="B925" s="44" t="s">
        <v>62</v>
      </c>
      <c r="C925" s="55">
        <f>C924*0.2409</f>
        <v>32.258918999999992</v>
      </c>
      <c r="D925" s="11"/>
      <c r="G925" s="2"/>
    </row>
    <row r="926" spans="1:7" ht="31.5">
      <c r="A926" s="48">
        <v>2100</v>
      </c>
      <c r="B926" s="57" t="s">
        <v>135</v>
      </c>
      <c r="C926" s="55">
        <f>0.09*C940</f>
        <v>0.63</v>
      </c>
      <c r="D926" s="11"/>
      <c r="G926" s="2"/>
    </row>
    <row r="927" spans="1:7" ht="31.5">
      <c r="A927" s="48">
        <v>2220</v>
      </c>
      <c r="B927" s="57" t="s">
        <v>136</v>
      </c>
      <c r="C927" s="55">
        <f>(840318/364914)*C940</f>
        <v>16.119485687038591</v>
      </c>
      <c r="D927" s="11"/>
      <c r="G927" s="2"/>
    </row>
    <row r="928" spans="1:7" ht="31.5">
      <c r="A928" s="48">
        <v>2230</v>
      </c>
      <c r="B928" s="44" t="s">
        <v>137</v>
      </c>
      <c r="C928" s="55">
        <f>ROUNDUP((319988/364914)*C940,2)</f>
        <v>6.14</v>
      </c>
      <c r="D928" s="11"/>
      <c r="G928" s="2"/>
    </row>
    <row r="929" spans="1:7" ht="31.5">
      <c r="A929" s="48">
        <v>2240</v>
      </c>
      <c r="B929" s="67" t="s">
        <v>150</v>
      </c>
      <c r="C929" s="55">
        <f>1.96*C940</f>
        <v>13.719999999999999</v>
      </c>
      <c r="D929" s="11"/>
      <c r="G929" s="2"/>
    </row>
    <row r="930" spans="1:7" ht="31.5">
      <c r="A930" s="48">
        <v>2250</v>
      </c>
      <c r="B930" s="57" t="s">
        <v>172</v>
      </c>
      <c r="C930" s="55">
        <f>1.66*C940</f>
        <v>11.62</v>
      </c>
      <c r="D930" s="11"/>
      <c r="G930" s="2"/>
    </row>
    <row r="931" spans="1:7" ht="33" customHeight="1">
      <c r="A931" s="48">
        <v>2261</v>
      </c>
      <c r="B931" s="44" t="s">
        <v>153</v>
      </c>
      <c r="C931" s="55">
        <f>ROUNDUP((300406/364914)*C940,2)</f>
        <v>5.77</v>
      </c>
      <c r="D931" s="11"/>
      <c r="G931" s="2"/>
    </row>
    <row r="932" spans="1:7" ht="31.5">
      <c r="A932" s="48">
        <v>2310</v>
      </c>
      <c r="B932" s="57" t="s">
        <v>154</v>
      </c>
      <c r="C932" s="55">
        <f>ROUND((178311/364914)*C940,2)</f>
        <v>3.42</v>
      </c>
      <c r="D932" s="11"/>
      <c r="G932" s="2"/>
    </row>
    <row r="933" spans="1:7" ht="31.5">
      <c r="A933" s="48">
        <v>2510</v>
      </c>
      <c r="B933" s="57" t="s">
        <v>142</v>
      </c>
      <c r="C933" s="55">
        <f>ROUNDUP((46183/364914)*C940,2)</f>
        <v>0.89</v>
      </c>
      <c r="D933" s="11"/>
      <c r="G933" s="2"/>
    </row>
    <row r="934" spans="1:7" ht="31.5">
      <c r="A934" s="48">
        <v>5100</v>
      </c>
      <c r="B934" s="44" t="s">
        <v>143</v>
      </c>
      <c r="C934" s="55">
        <f>ROUNDUP((18000/364914)*C940,2)</f>
        <v>0.35000000000000003</v>
      </c>
      <c r="D934" s="11"/>
      <c r="G934" s="2"/>
    </row>
    <row r="935" spans="1:7" ht="47.25">
      <c r="A935" s="48">
        <v>5200</v>
      </c>
      <c r="B935" s="44" t="s">
        <v>144</v>
      </c>
      <c r="C935" s="55">
        <f>1.12*C940+0.91*C940</f>
        <v>14.21</v>
      </c>
      <c r="D935" s="11"/>
      <c r="G935" s="2"/>
    </row>
    <row r="936" spans="1:7">
      <c r="A936" s="120" t="s">
        <v>8</v>
      </c>
      <c r="B936" s="122"/>
      <c r="C936" s="69">
        <f>SUM(C924:C935)</f>
        <v>239.03840468703854</v>
      </c>
      <c r="D936" s="11"/>
      <c r="G936" s="2"/>
    </row>
    <row r="937" spans="1:7">
      <c r="A937" s="120" t="s">
        <v>9</v>
      </c>
      <c r="B937" s="122"/>
      <c r="C937" s="70">
        <f>C936+C922</f>
        <v>1224.0852029249299</v>
      </c>
      <c r="D937" s="11"/>
      <c r="G937" s="2"/>
    </row>
    <row r="938" spans="1:7">
      <c r="C938" s="2"/>
    </row>
    <row r="939" spans="1:7">
      <c r="C939" s="2"/>
    </row>
    <row r="940" spans="1:7">
      <c r="A940" s="115" t="s">
        <v>10</v>
      </c>
      <c r="B940" s="116"/>
      <c r="C940" s="63">
        <v>7</v>
      </c>
    </row>
    <row r="941" spans="1:7" ht="33" customHeight="1">
      <c r="A941" s="115" t="s">
        <v>11</v>
      </c>
      <c r="B941" s="116"/>
      <c r="C941" s="65">
        <f>ROUND(C937/C940,2)</f>
        <v>174.87</v>
      </c>
      <c r="D941" s="26"/>
    </row>
    <row r="944" spans="1:7">
      <c r="A944" s="112" t="s">
        <v>0</v>
      </c>
      <c r="B944" s="112"/>
      <c r="C944" s="112"/>
      <c r="D944" s="5"/>
      <c r="E944" s="5"/>
    </row>
    <row r="946" spans="1:7">
      <c r="A946" s="113" t="s">
        <v>12</v>
      </c>
      <c r="B946" s="113"/>
      <c r="C946" s="113"/>
    </row>
    <row r="947" spans="1:7" ht="31.15" customHeight="1">
      <c r="A947" s="128" t="s">
        <v>249</v>
      </c>
      <c r="B947" s="113"/>
      <c r="C947" s="113"/>
    </row>
    <row r="948" spans="1:7">
      <c r="A948" s="113" t="s">
        <v>1</v>
      </c>
      <c r="B948" s="113"/>
      <c r="C948" s="113"/>
    </row>
    <row r="949" spans="1:7">
      <c r="A949" s="102" t="s">
        <v>222</v>
      </c>
      <c r="B949" s="102"/>
    </row>
    <row r="950" spans="1:7">
      <c r="A950" s="39"/>
      <c r="B950" s="39"/>
    </row>
    <row r="951" spans="1:7" ht="78.75">
      <c r="A951" s="48" t="s">
        <v>2</v>
      </c>
      <c r="B951" s="48" t="s">
        <v>3</v>
      </c>
      <c r="C951" s="48" t="s">
        <v>4</v>
      </c>
    </row>
    <row r="952" spans="1:7">
      <c r="A952" s="106" t="s">
        <v>5</v>
      </c>
      <c r="B952" s="107"/>
      <c r="C952" s="108"/>
    </row>
    <row r="953" spans="1:7" ht="31.5">
      <c r="A953" s="48">
        <v>2322</v>
      </c>
      <c r="B953" s="57" t="s">
        <v>207</v>
      </c>
      <c r="C953" s="45">
        <f>((14/100)*1.242)*C961</f>
        <v>1738.8</v>
      </c>
    </row>
    <row r="954" spans="1:7">
      <c r="A954" s="48">
        <v>2242</v>
      </c>
      <c r="B954" s="57" t="s">
        <v>208</v>
      </c>
      <c r="C954" s="45">
        <f>ROUNDUP(0.08612*C961,2)</f>
        <v>861.2</v>
      </c>
    </row>
    <row r="955" spans="1:7">
      <c r="A955" s="123" t="s">
        <v>6</v>
      </c>
      <c r="B955" s="124"/>
      <c r="C955" s="49">
        <f>SUM(C953:C954)</f>
        <v>2600</v>
      </c>
    </row>
    <row r="956" spans="1:7">
      <c r="A956" s="123" t="s">
        <v>7</v>
      </c>
      <c r="B956" s="125"/>
      <c r="C956" s="124"/>
    </row>
    <row r="957" spans="1:7">
      <c r="A957" s="106" t="s">
        <v>8</v>
      </c>
      <c r="B957" s="108"/>
      <c r="C957" s="56">
        <v>0</v>
      </c>
      <c r="G957" s="7"/>
    </row>
    <row r="958" spans="1:7">
      <c r="A958" s="120" t="s">
        <v>9</v>
      </c>
      <c r="B958" s="122"/>
      <c r="C958" s="70">
        <f>C957+C955</f>
        <v>2600</v>
      </c>
    </row>
    <row r="959" spans="1:7">
      <c r="C959" s="2"/>
    </row>
    <row r="960" spans="1:7">
      <c r="C960" s="2"/>
    </row>
    <row r="961" spans="1:5">
      <c r="A961" s="115" t="s">
        <v>10</v>
      </c>
      <c r="B961" s="116"/>
      <c r="C961" s="73">
        <v>10000</v>
      </c>
    </row>
    <row r="962" spans="1:5" ht="30.6" customHeight="1">
      <c r="A962" s="115" t="s">
        <v>11</v>
      </c>
      <c r="B962" s="116"/>
      <c r="C962" s="74">
        <f>ROUND(C958/C961,2)</f>
        <v>0.26</v>
      </c>
      <c r="D962" s="2"/>
    </row>
    <row r="965" spans="1:5">
      <c r="A965" s="112" t="s">
        <v>0</v>
      </c>
      <c r="B965" s="112"/>
      <c r="C965" s="112"/>
      <c r="D965" s="5"/>
      <c r="E965" s="5"/>
    </row>
    <row r="967" spans="1:5">
      <c r="A967" s="113" t="s">
        <v>12</v>
      </c>
      <c r="B967" s="113"/>
      <c r="C967" s="113"/>
    </row>
    <row r="968" spans="1:5" ht="49.15" customHeight="1">
      <c r="A968" s="128" t="s">
        <v>250</v>
      </c>
      <c r="B968" s="113"/>
      <c r="C968" s="113"/>
    </row>
    <row r="969" spans="1:5">
      <c r="A969" s="113" t="s">
        <v>1</v>
      </c>
      <c r="B969" s="113"/>
      <c r="C969" s="113"/>
    </row>
    <row r="970" spans="1:5">
      <c r="A970" s="114" t="s">
        <v>15</v>
      </c>
      <c r="B970" s="114"/>
      <c r="C970" s="7"/>
    </row>
    <row r="971" spans="1:5">
      <c r="A971" s="40"/>
      <c r="B971" s="40"/>
      <c r="C971" s="7"/>
    </row>
    <row r="972" spans="1:5" ht="78.75">
      <c r="A972" s="48" t="s">
        <v>2</v>
      </c>
      <c r="B972" s="48" t="s">
        <v>3</v>
      </c>
      <c r="C972" s="48" t="s">
        <v>4</v>
      </c>
    </row>
    <row r="973" spans="1:5">
      <c r="A973" s="106" t="s">
        <v>5</v>
      </c>
      <c r="B973" s="107"/>
      <c r="C973" s="108"/>
      <c r="D973" s="12"/>
      <c r="E973" s="12"/>
    </row>
    <row r="974" spans="1:5">
      <c r="A974" s="105">
        <v>1110</v>
      </c>
      <c r="B974" s="57" t="s">
        <v>67</v>
      </c>
      <c r="C974" s="55">
        <f>29.3*C1002</f>
        <v>117.2</v>
      </c>
      <c r="D974" s="24"/>
      <c r="E974" s="23"/>
    </row>
    <row r="975" spans="1:5">
      <c r="A975" s="105"/>
      <c r="B975" s="57" t="s">
        <v>64</v>
      </c>
      <c r="C975" s="55">
        <f>17.24*C1002</f>
        <v>68.959999999999994</v>
      </c>
      <c r="D975" s="23"/>
      <c r="E975" s="23"/>
    </row>
    <row r="976" spans="1:5">
      <c r="A976" s="105"/>
      <c r="B976" s="57" t="s">
        <v>65</v>
      </c>
      <c r="C976" s="55">
        <f>12.73*C1002</f>
        <v>50.92</v>
      </c>
      <c r="D976" s="23"/>
      <c r="E976" s="25"/>
    </row>
    <row r="977" spans="1:5" ht="31.5">
      <c r="A977" s="48">
        <v>1210</v>
      </c>
      <c r="B977" s="44" t="s">
        <v>62</v>
      </c>
      <c r="C977" s="55">
        <f>(C974+C975+C976)*0.2359</f>
        <v>55.927171999999999</v>
      </c>
    </row>
    <row r="978" spans="1:5" ht="31.5">
      <c r="A978" s="48">
        <v>2210</v>
      </c>
      <c r="B978" s="57" t="s">
        <v>129</v>
      </c>
      <c r="C978" s="55">
        <f>1*C1002</f>
        <v>4</v>
      </c>
    </row>
    <row r="979" spans="1:5" ht="31.5">
      <c r="A979" s="48">
        <v>2340</v>
      </c>
      <c r="B979" s="57" t="s">
        <v>183</v>
      </c>
      <c r="C979" s="55">
        <f>(1.78+11.52)*C1002</f>
        <v>53.199999999999996</v>
      </c>
    </row>
    <row r="980" spans="1:5" ht="31.5">
      <c r="A980" s="48">
        <v>2364</v>
      </c>
      <c r="B980" s="44" t="s">
        <v>131</v>
      </c>
      <c r="C980" s="55">
        <f>1.09*C1002</f>
        <v>4.3600000000000003</v>
      </c>
    </row>
    <row r="981" spans="1:5" ht="31.5">
      <c r="A981" s="48">
        <v>2242</v>
      </c>
      <c r="B981" s="57" t="s">
        <v>132</v>
      </c>
      <c r="C981" s="55">
        <f>1.65*C1002</f>
        <v>6.6</v>
      </c>
    </row>
    <row r="982" spans="1:5" ht="31.5">
      <c r="A982" s="48">
        <v>2350</v>
      </c>
      <c r="B982" s="57" t="s">
        <v>148</v>
      </c>
      <c r="C982" s="55">
        <f>1.49*C1002</f>
        <v>5.96</v>
      </c>
    </row>
    <row r="983" spans="1:5" ht="31.5">
      <c r="A983" s="48">
        <v>2322</v>
      </c>
      <c r="B983" s="44" t="s">
        <v>115</v>
      </c>
      <c r="C983" s="55">
        <f>11.56*C1002</f>
        <v>46.24</v>
      </c>
    </row>
    <row r="984" spans="1:5">
      <c r="A984" s="123" t="s">
        <v>6</v>
      </c>
      <c r="B984" s="124"/>
      <c r="C984" s="56">
        <f>SUM(C974:C983)</f>
        <v>413.36717199999998</v>
      </c>
    </row>
    <row r="985" spans="1:5">
      <c r="A985" s="123" t="s">
        <v>7</v>
      </c>
      <c r="B985" s="125"/>
      <c r="C985" s="124"/>
    </row>
    <row r="986" spans="1:5" ht="31.5">
      <c r="A986" s="48">
        <v>1110</v>
      </c>
      <c r="B986" s="50" t="s">
        <v>66</v>
      </c>
      <c r="C986" s="55">
        <f>ROUNDUP((C974+C975+C976)*0.15,2)</f>
        <v>35.57</v>
      </c>
    </row>
    <row r="987" spans="1:5" ht="31.5">
      <c r="A987" s="48">
        <v>1210</v>
      </c>
      <c r="B987" s="57" t="s">
        <v>62</v>
      </c>
      <c r="C987" s="55">
        <f>C986*0.2359</f>
        <v>8.3909629999999993</v>
      </c>
    </row>
    <row r="988" spans="1:5" ht="31.5">
      <c r="A988" s="48">
        <v>2100</v>
      </c>
      <c r="B988" s="57" t="s">
        <v>135</v>
      </c>
      <c r="C988" s="55">
        <f>ROUNDUP((31310/364914)*C1002,2)</f>
        <v>0.35000000000000003</v>
      </c>
      <c r="E988" s="6"/>
    </row>
    <row r="989" spans="1:5" ht="31.5">
      <c r="A989" s="48">
        <v>2220</v>
      </c>
      <c r="B989" s="57" t="s">
        <v>209</v>
      </c>
      <c r="C989" s="55">
        <f>2.3*C1002</f>
        <v>9.1999999999999993</v>
      </c>
    </row>
    <row r="990" spans="1:5" ht="31.5">
      <c r="A990" s="48">
        <v>2230</v>
      </c>
      <c r="B990" s="57" t="s">
        <v>137</v>
      </c>
      <c r="C990" s="55">
        <f>0.88*C1002</f>
        <v>3.52</v>
      </c>
    </row>
    <row r="991" spans="1:5" ht="31.5">
      <c r="A991" s="48">
        <v>2240</v>
      </c>
      <c r="B991" s="67" t="s">
        <v>150</v>
      </c>
      <c r="C991" s="55">
        <f>1.96*C1002</f>
        <v>7.84</v>
      </c>
    </row>
    <row r="992" spans="1:5" ht="31.5">
      <c r="A992" s="48">
        <v>2250</v>
      </c>
      <c r="B992" s="44" t="s">
        <v>139</v>
      </c>
      <c r="C992" s="55">
        <f>1.66*C1002</f>
        <v>6.64</v>
      </c>
    </row>
    <row r="993" spans="1:7" ht="31.5">
      <c r="A993" s="48">
        <v>2261</v>
      </c>
      <c r="B993" s="57" t="s">
        <v>153</v>
      </c>
      <c r="C993" s="55">
        <f>0.82*C1002</f>
        <v>3.28</v>
      </c>
    </row>
    <row r="994" spans="1:7" ht="31.5">
      <c r="A994" s="48">
        <v>2310</v>
      </c>
      <c r="B994" s="57" t="s">
        <v>154</v>
      </c>
      <c r="C994" s="55">
        <f>0.49*C1002</f>
        <v>1.96</v>
      </c>
    </row>
    <row r="995" spans="1:7" ht="31.5">
      <c r="A995" s="48">
        <v>2510</v>
      </c>
      <c r="B995" s="57" t="s">
        <v>162</v>
      </c>
      <c r="C995" s="55">
        <f>0.13*C1002</f>
        <v>0.52</v>
      </c>
    </row>
    <row r="996" spans="1:7" ht="31.5">
      <c r="A996" s="48">
        <v>5100</v>
      </c>
      <c r="B996" s="44" t="s">
        <v>143</v>
      </c>
      <c r="C996" s="55">
        <f>0.05*C1002</f>
        <v>0.2</v>
      </c>
    </row>
    <row r="997" spans="1:7" ht="47.25">
      <c r="A997" s="48">
        <v>5200</v>
      </c>
      <c r="B997" s="44" t="s">
        <v>144</v>
      </c>
      <c r="C997" s="55">
        <f>1.12*4+0.91*C1002</f>
        <v>8.120000000000001</v>
      </c>
      <c r="G997" s="2"/>
    </row>
    <row r="998" spans="1:7">
      <c r="A998" s="120" t="s">
        <v>8</v>
      </c>
      <c r="B998" s="122"/>
      <c r="C998" s="69">
        <f>SUM(C986:C997)</f>
        <v>85.590963000000002</v>
      </c>
    </row>
    <row r="999" spans="1:7">
      <c r="A999" s="120" t="s">
        <v>9</v>
      </c>
      <c r="B999" s="122"/>
      <c r="C999" s="69">
        <f>C998+C984</f>
        <v>498.95813499999997</v>
      </c>
    </row>
    <row r="1000" spans="1:7">
      <c r="C1000" s="2"/>
    </row>
    <row r="1001" spans="1:7">
      <c r="C1001" s="2"/>
    </row>
    <row r="1002" spans="1:7">
      <c r="A1002" s="115" t="s">
        <v>10</v>
      </c>
      <c r="B1002" s="116"/>
      <c r="C1002" s="63">
        <v>4</v>
      </c>
    </row>
    <row r="1003" spans="1:7">
      <c r="A1003" s="115" t="s">
        <v>11</v>
      </c>
      <c r="B1003" s="116"/>
      <c r="C1003" s="65">
        <f>ROUND(C999/C1002,2)</f>
        <v>124.74</v>
      </c>
      <c r="D1003" s="2"/>
    </row>
    <row r="1006" spans="1:7">
      <c r="A1006" s="112" t="s">
        <v>0</v>
      </c>
      <c r="B1006" s="112"/>
      <c r="C1006" s="112"/>
      <c r="D1006" s="5"/>
      <c r="E1006" s="5"/>
    </row>
    <row r="1008" spans="1:7">
      <c r="A1008" s="113" t="s">
        <v>12</v>
      </c>
      <c r="B1008" s="113"/>
      <c r="C1008" s="113"/>
    </row>
    <row r="1009" spans="1:5" ht="34.15" customHeight="1">
      <c r="A1009" s="113" t="s">
        <v>251</v>
      </c>
      <c r="B1009" s="113"/>
      <c r="C1009" s="113"/>
    </row>
    <row r="1010" spans="1:5">
      <c r="A1010" s="113" t="s">
        <v>1</v>
      </c>
      <c r="B1010" s="113"/>
      <c r="C1010" s="113"/>
    </row>
    <row r="1011" spans="1:5">
      <c r="A1011" s="102" t="s">
        <v>125</v>
      </c>
      <c r="B1011" s="102"/>
    </row>
    <row r="1012" spans="1:5">
      <c r="A1012" s="39"/>
      <c r="B1012" s="39"/>
    </row>
    <row r="1013" spans="1:5" ht="87.75" customHeight="1">
      <c r="A1013" s="48" t="s">
        <v>2</v>
      </c>
      <c r="B1013" s="48" t="s">
        <v>3</v>
      </c>
      <c r="C1013" s="48" t="s">
        <v>4</v>
      </c>
    </row>
    <row r="1014" spans="1:5">
      <c r="A1014" s="106" t="s">
        <v>5</v>
      </c>
      <c r="B1014" s="107"/>
      <c r="C1014" s="108"/>
      <c r="D1014" s="12"/>
      <c r="E1014" s="12"/>
    </row>
    <row r="1015" spans="1:5">
      <c r="A1015" s="105">
        <v>1110</v>
      </c>
      <c r="B1015" s="57" t="s">
        <v>75</v>
      </c>
      <c r="C1015" s="45">
        <f>27.97*C1042</f>
        <v>22096.3</v>
      </c>
      <c r="D1015" s="11"/>
      <c r="E1015" s="12"/>
    </row>
    <row r="1016" spans="1:5">
      <c r="A1016" s="105"/>
      <c r="B1016" s="57" t="s">
        <v>65</v>
      </c>
      <c r="C1016" s="45">
        <f>12.73*C1042</f>
        <v>10056.700000000001</v>
      </c>
      <c r="D1016" s="12"/>
      <c r="E1016" s="12"/>
    </row>
    <row r="1017" spans="1:5" ht="24" customHeight="1">
      <c r="A1017" s="48">
        <v>1210</v>
      </c>
      <c r="B1017" s="44" t="s">
        <v>62</v>
      </c>
      <c r="C1017" s="45">
        <f>(C1015+C1016)*0.2359</f>
        <v>7584.8927000000003</v>
      </c>
    </row>
    <row r="1018" spans="1:5" ht="31.5">
      <c r="A1018" s="48">
        <v>2210</v>
      </c>
      <c r="B1018" s="57" t="s">
        <v>129</v>
      </c>
      <c r="C1018" s="45">
        <f>(365814/364914)*C1042</f>
        <v>791.9484042815568</v>
      </c>
    </row>
    <row r="1019" spans="1:5" ht="31.5">
      <c r="A1019" s="48">
        <v>2340</v>
      </c>
      <c r="B1019" s="57" t="s">
        <v>210</v>
      </c>
      <c r="C1019" s="45">
        <f>((647813/364914)+9.22)*C1042</f>
        <v>8686.2462476090259</v>
      </c>
    </row>
    <row r="1020" spans="1:5" ht="34.15" customHeight="1">
      <c r="A1020" s="48">
        <v>2364</v>
      </c>
      <c r="B1020" s="44" t="s">
        <v>131</v>
      </c>
      <c r="C1020" s="45">
        <f>ROUND((397717/364914)*C1042,2)</f>
        <v>861.02</v>
      </c>
    </row>
    <row r="1021" spans="1:5" ht="31.5">
      <c r="A1021" s="48">
        <v>2242</v>
      </c>
      <c r="B1021" s="57" t="s">
        <v>211</v>
      </c>
      <c r="C1021" s="45">
        <f>(605722/364914)*C1042</f>
        <v>1311.3237091479089</v>
      </c>
    </row>
    <row r="1022" spans="1:5" ht="31.5">
      <c r="A1022" s="48">
        <v>2350</v>
      </c>
      <c r="B1022" s="57" t="s">
        <v>148</v>
      </c>
      <c r="C1022" s="45">
        <f>(544867/364914)*C1042</f>
        <v>1179.5791063099798</v>
      </c>
    </row>
    <row r="1023" spans="1:5" ht="31.5">
      <c r="A1023" s="48">
        <v>2322</v>
      </c>
      <c r="B1023" s="44" t="s">
        <v>219</v>
      </c>
      <c r="C1023" s="45">
        <f>5.46*C1042</f>
        <v>4313.3999999999996</v>
      </c>
    </row>
    <row r="1024" spans="1:5">
      <c r="A1024" s="123" t="s">
        <v>6</v>
      </c>
      <c r="B1024" s="124"/>
      <c r="C1024" s="49">
        <f>SUM(C1015:C1023)</f>
        <v>56881.410167348477</v>
      </c>
    </row>
    <row r="1025" spans="1:7">
      <c r="A1025" s="123" t="s">
        <v>7</v>
      </c>
      <c r="B1025" s="125"/>
      <c r="C1025" s="124"/>
    </row>
    <row r="1026" spans="1:7" ht="19.5" customHeight="1">
      <c r="A1026" s="48">
        <v>1110</v>
      </c>
      <c r="B1026" s="50" t="s">
        <v>26</v>
      </c>
      <c r="C1026" s="45">
        <f>ROUNDUP((C1015+C1016)*0.15,2)+3.07</f>
        <v>4826.0199999999995</v>
      </c>
      <c r="D1026" s="19"/>
    </row>
    <row r="1027" spans="1:7" ht="18.75" customHeight="1">
      <c r="A1027" s="48">
        <v>1210</v>
      </c>
      <c r="B1027" s="44" t="s">
        <v>62</v>
      </c>
      <c r="C1027" s="45">
        <f>C1026*0.2359</f>
        <v>1138.4581179999998</v>
      </c>
    </row>
    <row r="1028" spans="1:7" ht="31.5">
      <c r="A1028" s="48">
        <v>2100</v>
      </c>
      <c r="B1028" s="57" t="s">
        <v>135</v>
      </c>
      <c r="C1028" s="45">
        <f>(31310/364914)*C1042</f>
        <v>67.782820061713167</v>
      </c>
      <c r="E1028" s="6"/>
    </row>
    <row r="1029" spans="1:7" ht="31.5">
      <c r="A1029" s="48">
        <v>2220</v>
      </c>
      <c r="B1029" s="57" t="s">
        <v>209</v>
      </c>
      <c r="C1029" s="45">
        <f>2.3*C1042</f>
        <v>1816.9999999999998</v>
      </c>
    </row>
    <row r="1030" spans="1:7" ht="31.5">
      <c r="A1030" s="48">
        <v>2230</v>
      </c>
      <c r="B1030" s="44" t="s">
        <v>164</v>
      </c>
      <c r="C1030" s="45">
        <f>ROUND((319988/364914)*C1042,2)</f>
        <v>692.74</v>
      </c>
    </row>
    <row r="1031" spans="1:7" ht="31.5">
      <c r="A1031" s="48">
        <v>2240</v>
      </c>
      <c r="B1031" s="67" t="s">
        <v>150</v>
      </c>
      <c r="C1031" s="45">
        <f>ROUND((714967/364914)*C1042,2)</f>
        <v>1547.83</v>
      </c>
    </row>
    <row r="1032" spans="1:7" ht="31.5">
      <c r="A1032" s="48">
        <v>2250</v>
      </c>
      <c r="B1032" s="44" t="s">
        <v>139</v>
      </c>
      <c r="C1032" s="45">
        <f>ROUNDUP((604971/364914)*C1042,2)</f>
        <v>1309.7</v>
      </c>
    </row>
    <row r="1033" spans="1:7" ht="33" customHeight="1">
      <c r="A1033" s="48">
        <v>2261</v>
      </c>
      <c r="B1033" s="44" t="s">
        <v>153</v>
      </c>
      <c r="C1033" s="45">
        <f>(300406/364914)*C1042</f>
        <v>650.34704067259679</v>
      </c>
    </row>
    <row r="1034" spans="1:7" ht="31.5">
      <c r="A1034" s="48">
        <v>2310</v>
      </c>
      <c r="B1034" s="57" t="s">
        <v>212</v>
      </c>
      <c r="C1034" s="45">
        <f>ROUNDUP((178311/364914)*C1042,2)</f>
        <v>386.03</v>
      </c>
    </row>
    <row r="1035" spans="1:7" ht="31.5">
      <c r="A1035" s="48">
        <v>2510</v>
      </c>
      <c r="B1035" s="57" t="s">
        <v>142</v>
      </c>
      <c r="C1035" s="45">
        <f>(46183/364914)*C1042</f>
        <v>99.981283261261567</v>
      </c>
    </row>
    <row r="1036" spans="1:7" ht="31.5">
      <c r="A1036" s="48">
        <v>5100</v>
      </c>
      <c r="B1036" s="44" t="s">
        <v>157</v>
      </c>
      <c r="C1036" s="45">
        <f>0.05*C1042</f>
        <v>39.5</v>
      </c>
    </row>
    <row r="1037" spans="1:7" ht="48" customHeight="1">
      <c r="A1037" s="48">
        <v>5200</v>
      </c>
      <c r="B1037" s="44" t="s">
        <v>144</v>
      </c>
      <c r="C1037" s="45">
        <f>1.12*C1042+0.91*C1042</f>
        <v>1603.7</v>
      </c>
      <c r="G1037" s="2"/>
    </row>
    <row r="1038" spans="1:7">
      <c r="A1038" s="106" t="s">
        <v>8</v>
      </c>
      <c r="B1038" s="108"/>
      <c r="C1038" s="75">
        <f>SUM(C1026:C1037)</f>
        <v>14179.089261995574</v>
      </c>
    </row>
    <row r="1039" spans="1:7">
      <c r="A1039" s="48"/>
      <c r="B1039" s="59" t="s">
        <v>9</v>
      </c>
      <c r="C1039" s="49">
        <f>C1038+C1024</f>
        <v>71060.499429344054</v>
      </c>
    </row>
    <row r="1040" spans="1:7">
      <c r="A1040" s="7"/>
      <c r="B1040" s="7"/>
      <c r="C1040" s="21"/>
    </row>
    <row r="1041" spans="1:5">
      <c r="A1041" s="7"/>
      <c r="B1041" s="7"/>
      <c r="C1041" s="21"/>
    </row>
    <row r="1042" spans="1:5">
      <c r="A1042" s="97" t="s">
        <v>10</v>
      </c>
      <c r="B1042" s="98"/>
      <c r="C1042" s="63">
        <v>790</v>
      </c>
    </row>
    <row r="1043" spans="1:5" ht="30" customHeight="1">
      <c r="A1043" s="97" t="s">
        <v>145</v>
      </c>
      <c r="B1043" s="98"/>
      <c r="C1043" s="64">
        <f>ROUND(C1039/C1042,2)</f>
        <v>89.95</v>
      </c>
      <c r="D1043" s="26"/>
    </row>
    <row r="1046" spans="1:5">
      <c r="A1046" s="112" t="s">
        <v>0</v>
      </c>
      <c r="B1046" s="112"/>
      <c r="C1046" s="112"/>
      <c r="D1046" s="5"/>
      <c r="E1046" s="5"/>
    </row>
    <row r="1048" spans="1:5">
      <c r="A1048" s="113" t="s">
        <v>12</v>
      </c>
      <c r="B1048" s="113"/>
      <c r="C1048" s="113"/>
    </row>
    <row r="1049" spans="1:5" ht="33" customHeight="1">
      <c r="A1049" s="113" t="s">
        <v>252</v>
      </c>
      <c r="B1049" s="113"/>
      <c r="C1049" s="113"/>
    </row>
    <row r="1050" spans="1:5">
      <c r="A1050" s="113" t="s">
        <v>1</v>
      </c>
      <c r="B1050" s="113"/>
      <c r="C1050" s="113"/>
    </row>
    <row r="1051" spans="1:5">
      <c r="A1051" s="102" t="s">
        <v>126</v>
      </c>
      <c r="B1051" s="102"/>
    </row>
    <row r="1052" spans="1:5">
      <c r="A1052" s="39"/>
      <c r="B1052" s="39"/>
    </row>
    <row r="1053" spans="1:5" ht="78.75">
      <c r="A1053" s="48" t="s">
        <v>2</v>
      </c>
      <c r="B1053" s="48" t="s">
        <v>3</v>
      </c>
      <c r="C1053" s="48" t="s">
        <v>4</v>
      </c>
    </row>
    <row r="1054" spans="1:5">
      <c r="A1054" s="106" t="s">
        <v>5</v>
      </c>
      <c r="B1054" s="107"/>
      <c r="C1054" s="108"/>
      <c r="D1054" s="12"/>
      <c r="E1054" s="12"/>
    </row>
    <row r="1055" spans="1:5">
      <c r="A1055" s="48">
        <v>1110</v>
      </c>
      <c r="B1055" s="57" t="s">
        <v>75</v>
      </c>
      <c r="C1055" s="45">
        <f>27.97*C1078</f>
        <v>23494.799999999999</v>
      </c>
      <c r="D1055" s="11"/>
      <c r="E1055" s="12"/>
    </row>
    <row r="1056" spans="1:5" ht="31.5">
      <c r="A1056" s="48">
        <v>1210</v>
      </c>
      <c r="B1056" s="44" t="s">
        <v>62</v>
      </c>
      <c r="C1056" s="45">
        <f>C1055*0.2359</f>
        <v>5542.4233199999999</v>
      </c>
    </row>
    <row r="1057" spans="1:5" ht="31.5">
      <c r="A1057" s="48">
        <v>2210</v>
      </c>
      <c r="B1057" s="57" t="s">
        <v>129</v>
      </c>
      <c r="C1057" s="45">
        <f>ROUNDUP((365814/364914)*C1078,2)</f>
        <v>842.08</v>
      </c>
    </row>
    <row r="1058" spans="1:5" ht="31.5">
      <c r="A1058" s="48">
        <v>2340</v>
      </c>
      <c r="B1058" s="57" t="s">
        <v>213</v>
      </c>
      <c r="C1058" s="45">
        <f>ROUNDUP(((647813/364914)+9.22)*C1078,2)</f>
        <v>9236.01</v>
      </c>
    </row>
    <row r="1059" spans="1:5" ht="31.5">
      <c r="A1059" s="48">
        <v>2364</v>
      </c>
      <c r="B1059" s="44" t="s">
        <v>131</v>
      </c>
      <c r="C1059" s="45">
        <f>ROUNDUP((397717/364914)*C1078,2)</f>
        <v>915.51</v>
      </c>
    </row>
    <row r="1060" spans="1:5">
      <c r="A1060" s="123" t="s">
        <v>6</v>
      </c>
      <c r="B1060" s="124"/>
      <c r="C1060" s="49">
        <f>SUM(C1055:C1059)</f>
        <v>40030.823320000003</v>
      </c>
    </row>
    <row r="1061" spans="1:5">
      <c r="A1061" s="123" t="s">
        <v>7</v>
      </c>
      <c r="B1061" s="125"/>
      <c r="C1061" s="124"/>
    </row>
    <row r="1062" spans="1:5" ht="21.6" customHeight="1">
      <c r="A1062" s="48">
        <v>1110</v>
      </c>
      <c r="B1062" s="50" t="s">
        <v>26</v>
      </c>
      <c r="C1062" s="45">
        <f>ROUNDUP(C1055*0.15,2)+3.31</f>
        <v>3527.5299999999997</v>
      </c>
      <c r="D1062" s="19"/>
    </row>
    <row r="1063" spans="1:5" ht="24" customHeight="1">
      <c r="A1063" s="48">
        <v>1210</v>
      </c>
      <c r="B1063" s="44" t="s">
        <v>62</v>
      </c>
      <c r="C1063" s="45">
        <f>C1062*0.2359</f>
        <v>832.14432699999998</v>
      </c>
    </row>
    <row r="1064" spans="1:5" ht="31.5">
      <c r="A1064" s="48">
        <v>2100</v>
      </c>
      <c r="B1064" s="57" t="s">
        <v>135</v>
      </c>
      <c r="C1064" s="45">
        <f>ROUNDUP((31310/364914)*C1078,2)</f>
        <v>72.08</v>
      </c>
      <c r="E1064" s="6"/>
    </row>
    <row r="1065" spans="1:5" ht="31.5">
      <c r="A1065" s="48">
        <v>2220</v>
      </c>
      <c r="B1065" s="57" t="s">
        <v>209</v>
      </c>
      <c r="C1065" s="45">
        <f>ROUNDUP((840318/364914)*C1078,2)</f>
        <v>1934.34</v>
      </c>
    </row>
    <row r="1066" spans="1:5" ht="31.5">
      <c r="A1066" s="48">
        <v>2230</v>
      </c>
      <c r="B1066" s="44" t="s">
        <v>137</v>
      </c>
      <c r="C1066" s="45">
        <f>0.88*C1078</f>
        <v>739.2</v>
      </c>
    </row>
    <row r="1067" spans="1:5" ht="31.5">
      <c r="A1067" s="48">
        <v>2240</v>
      </c>
      <c r="B1067" s="67" t="s">
        <v>203</v>
      </c>
      <c r="C1067" s="45">
        <f>ROUNDUP((714967/364914)*C1078,2)</f>
        <v>1645.8</v>
      </c>
    </row>
    <row r="1068" spans="1:5" ht="31.5">
      <c r="A1068" s="48">
        <v>2250</v>
      </c>
      <c r="B1068" s="44" t="s">
        <v>139</v>
      </c>
      <c r="C1068" s="45">
        <f>ROUNDUP((604971/364914)*C1078,2)</f>
        <v>1392.6</v>
      </c>
    </row>
    <row r="1069" spans="1:5" ht="31.5">
      <c r="A1069" s="48">
        <v>2261</v>
      </c>
      <c r="B1069" s="44" t="s">
        <v>173</v>
      </c>
      <c r="C1069" s="45">
        <f>ROUNDUP((300406/364914)*C1078,2)</f>
        <v>691.51</v>
      </c>
    </row>
    <row r="1070" spans="1:5" ht="31.5">
      <c r="A1070" s="48">
        <v>2310</v>
      </c>
      <c r="B1070" s="57" t="s">
        <v>154</v>
      </c>
      <c r="C1070" s="45">
        <f>ROUND((178311/364914)*C1078,2)</f>
        <v>410.46</v>
      </c>
    </row>
    <row r="1071" spans="1:5" ht="31.5">
      <c r="A1071" s="48">
        <v>2510</v>
      </c>
      <c r="B1071" s="57" t="s">
        <v>142</v>
      </c>
      <c r="C1071" s="45">
        <f>ROUNDUP((46183/364914)*C1078,2)</f>
        <v>106.31</v>
      </c>
    </row>
    <row r="1072" spans="1:5" ht="31.5">
      <c r="A1072" s="48">
        <v>5100</v>
      </c>
      <c r="B1072" s="44" t="s">
        <v>157</v>
      </c>
      <c r="C1072" s="45">
        <f>0.05*C1078</f>
        <v>42</v>
      </c>
    </row>
    <row r="1073" spans="1:7">
      <c r="A1073" s="48">
        <v>5200</v>
      </c>
      <c r="B1073" s="57" t="s">
        <v>31</v>
      </c>
      <c r="C1073" s="45">
        <f>1.8*C1078</f>
        <v>1512</v>
      </c>
      <c r="G1073" s="2"/>
    </row>
    <row r="1074" spans="1:7">
      <c r="A1074" s="106" t="s">
        <v>8</v>
      </c>
      <c r="B1074" s="108"/>
      <c r="C1074" s="49">
        <f>SUM(C1062:C1073)</f>
        <v>12905.974326999998</v>
      </c>
    </row>
    <row r="1075" spans="1:7">
      <c r="A1075" s="106" t="s">
        <v>9</v>
      </c>
      <c r="B1075" s="108"/>
      <c r="C1075" s="49">
        <f>C1074+C1060</f>
        <v>52936.797646999999</v>
      </c>
    </row>
    <row r="1076" spans="1:7">
      <c r="A1076" s="7"/>
      <c r="B1076" s="7"/>
      <c r="C1076" s="21"/>
    </row>
    <row r="1077" spans="1:7">
      <c r="A1077" s="7"/>
      <c r="B1077" s="7"/>
      <c r="C1077" s="21"/>
    </row>
    <row r="1078" spans="1:7">
      <c r="A1078" s="97" t="s">
        <v>10</v>
      </c>
      <c r="B1078" s="98"/>
      <c r="C1078" s="63">
        <v>840</v>
      </c>
    </row>
    <row r="1079" spans="1:7" ht="31.15" customHeight="1">
      <c r="A1079" s="97" t="s">
        <v>145</v>
      </c>
      <c r="B1079" s="98"/>
      <c r="C1079" s="64">
        <f>ROUND(C1075/C1078,2)</f>
        <v>63.02</v>
      </c>
      <c r="D1079" s="26"/>
    </row>
    <row r="1082" spans="1:7">
      <c r="A1082" s="112" t="s">
        <v>0</v>
      </c>
      <c r="B1082" s="112"/>
      <c r="C1082" s="112"/>
      <c r="D1082" s="5"/>
      <c r="E1082" s="5"/>
    </row>
    <row r="1084" spans="1:7">
      <c r="A1084" s="113" t="s">
        <v>12</v>
      </c>
      <c r="B1084" s="113"/>
      <c r="C1084" s="113"/>
    </row>
    <row r="1085" spans="1:7" ht="51" customHeight="1">
      <c r="A1085" s="128" t="s">
        <v>253</v>
      </c>
      <c r="B1085" s="113"/>
      <c r="C1085" s="113"/>
    </row>
    <row r="1086" spans="1:7">
      <c r="A1086" s="113" t="s">
        <v>1</v>
      </c>
      <c r="B1086" s="113"/>
      <c r="C1086" s="113"/>
    </row>
    <row r="1087" spans="1:7">
      <c r="A1087" s="102" t="s">
        <v>18</v>
      </c>
      <c r="B1087" s="102"/>
    </row>
    <row r="1088" spans="1:7">
      <c r="A1088" s="39"/>
      <c r="B1088" s="39"/>
    </row>
    <row r="1089" spans="1:5" ht="78.75">
      <c r="A1089" s="48" t="s">
        <v>2</v>
      </c>
      <c r="B1089" s="48" t="s">
        <v>3</v>
      </c>
      <c r="C1089" s="48" t="s">
        <v>4</v>
      </c>
    </row>
    <row r="1090" spans="1:5">
      <c r="A1090" s="106" t="s">
        <v>5</v>
      </c>
      <c r="B1090" s="107"/>
      <c r="C1090" s="108"/>
      <c r="D1090" s="12"/>
      <c r="E1090" s="12"/>
    </row>
    <row r="1091" spans="1:5">
      <c r="A1091" s="105">
        <v>1110</v>
      </c>
      <c r="B1091" s="57" t="s">
        <v>69</v>
      </c>
      <c r="C1091" s="55">
        <f>15.44*C1119</f>
        <v>123.52</v>
      </c>
      <c r="D1091" s="11"/>
      <c r="E1091" s="12"/>
    </row>
    <row r="1092" spans="1:5">
      <c r="A1092" s="105"/>
      <c r="B1092" s="57" t="s">
        <v>64</v>
      </c>
      <c r="C1092" s="55">
        <f>10.28*C1119</f>
        <v>82.24</v>
      </c>
      <c r="D1092" s="12"/>
      <c r="E1092" s="12"/>
    </row>
    <row r="1093" spans="1:5">
      <c r="A1093" s="105"/>
      <c r="B1093" s="57" t="s">
        <v>76</v>
      </c>
      <c r="C1093" s="55">
        <f>7.59*C1119</f>
        <v>60.72</v>
      </c>
      <c r="D1093" s="12"/>
      <c r="E1093" s="11"/>
    </row>
    <row r="1094" spans="1:5" ht="38.25" customHeight="1">
      <c r="A1094" s="48">
        <v>1210</v>
      </c>
      <c r="B1094" s="57" t="s">
        <v>62</v>
      </c>
      <c r="C1094" s="55">
        <f>(C1091+C1092+C1093)*0.2359</f>
        <v>62.862632000000005</v>
      </c>
    </row>
    <row r="1095" spans="1:5" ht="31.5">
      <c r="A1095" s="48">
        <v>2210</v>
      </c>
      <c r="B1095" s="57" t="s">
        <v>129</v>
      </c>
      <c r="C1095" s="55">
        <f>1*C1119</f>
        <v>8</v>
      </c>
    </row>
    <row r="1096" spans="1:5" ht="31.5">
      <c r="A1096" s="48">
        <v>2340</v>
      </c>
      <c r="B1096" s="57" t="s">
        <v>190</v>
      </c>
      <c r="C1096" s="55">
        <f>(1.78+6.91)*C1119</f>
        <v>69.52</v>
      </c>
    </row>
    <row r="1097" spans="1:5" ht="31.5">
      <c r="A1097" s="48">
        <v>2364</v>
      </c>
      <c r="B1097" s="44" t="s">
        <v>131</v>
      </c>
      <c r="C1097" s="55">
        <f>1.09*C1119</f>
        <v>8.7200000000000006</v>
      </c>
    </row>
    <row r="1098" spans="1:5" ht="36" customHeight="1">
      <c r="A1098" s="48">
        <v>2242</v>
      </c>
      <c r="B1098" s="57" t="s">
        <v>214</v>
      </c>
      <c r="C1098" s="55">
        <f>1.65*C1119</f>
        <v>13.2</v>
      </c>
    </row>
    <row r="1099" spans="1:5" ht="38.25" customHeight="1">
      <c r="A1099" s="48">
        <v>2350</v>
      </c>
      <c r="B1099" s="57" t="s">
        <v>148</v>
      </c>
      <c r="C1099" s="55">
        <f>1.49*C1119</f>
        <v>11.92</v>
      </c>
    </row>
    <row r="1100" spans="1:5" ht="31.5">
      <c r="A1100" s="48">
        <v>2322</v>
      </c>
      <c r="B1100" s="44" t="s">
        <v>115</v>
      </c>
      <c r="C1100" s="55">
        <f>11.56*C1119</f>
        <v>92.48</v>
      </c>
    </row>
    <row r="1101" spans="1:5">
      <c r="A1101" s="123" t="s">
        <v>6</v>
      </c>
      <c r="B1101" s="124"/>
      <c r="C1101" s="56">
        <f>SUM(C1091:C1100)</f>
        <v>533.18263200000001</v>
      </c>
    </row>
    <row r="1102" spans="1:5">
      <c r="A1102" s="123" t="s">
        <v>7</v>
      </c>
      <c r="B1102" s="125"/>
      <c r="C1102" s="124"/>
    </row>
    <row r="1103" spans="1:5" ht="31.5">
      <c r="A1103" s="48">
        <v>1110</v>
      </c>
      <c r="B1103" s="50" t="s">
        <v>68</v>
      </c>
      <c r="C1103" s="55">
        <f>ROUNDUP((C1091+C1092+C1093)*0.25,2)+0.0055</f>
        <v>66.625500000000002</v>
      </c>
      <c r="D1103" s="19"/>
    </row>
    <row r="1104" spans="1:5" ht="31.5">
      <c r="A1104" s="48">
        <v>1210</v>
      </c>
      <c r="B1104" s="44" t="s">
        <v>62</v>
      </c>
      <c r="C1104" s="55">
        <f>C1103*0.2359</f>
        <v>15.71695545</v>
      </c>
    </row>
    <row r="1105" spans="1:7" ht="34.5" customHeight="1">
      <c r="A1105" s="48">
        <v>2100</v>
      </c>
      <c r="B1105" s="57" t="s">
        <v>135</v>
      </c>
      <c r="C1105" s="55">
        <f>0.09*C1119</f>
        <v>0.72</v>
      </c>
      <c r="E1105" s="6"/>
    </row>
    <row r="1106" spans="1:7" ht="31.5">
      <c r="A1106" s="48">
        <v>2220</v>
      </c>
      <c r="B1106" s="57" t="s">
        <v>136</v>
      </c>
      <c r="C1106" s="55">
        <f>2.3*C1119</f>
        <v>18.399999999999999</v>
      </c>
    </row>
    <row r="1107" spans="1:7" ht="36" customHeight="1">
      <c r="A1107" s="48">
        <v>2230</v>
      </c>
      <c r="B1107" s="44" t="s">
        <v>137</v>
      </c>
      <c r="C1107" s="55">
        <f>(319988/364914)*C1119</f>
        <v>7.0150884866023224</v>
      </c>
    </row>
    <row r="1108" spans="1:7" ht="31.5">
      <c r="A1108" s="48">
        <v>2240</v>
      </c>
      <c r="B1108" s="67" t="s">
        <v>150</v>
      </c>
      <c r="C1108" s="55">
        <f>(714967/364914)*C1119</f>
        <v>15.674202688852716</v>
      </c>
    </row>
    <row r="1109" spans="1:7" ht="31.5">
      <c r="A1109" s="48">
        <v>2250</v>
      </c>
      <c r="B1109" s="44" t="s">
        <v>139</v>
      </c>
      <c r="C1109" s="55">
        <f>(604971/364914)*C1119</f>
        <v>13.262763281211463</v>
      </c>
    </row>
    <row r="1110" spans="1:7" ht="31.5">
      <c r="A1110" s="48">
        <v>2261</v>
      </c>
      <c r="B1110" s="44" t="s">
        <v>167</v>
      </c>
      <c r="C1110" s="55">
        <f>0.82*C1119</f>
        <v>6.56</v>
      </c>
    </row>
    <row r="1111" spans="1:7" ht="38.25" customHeight="1">
      <c r="A1111" s="48">
        <v>2310</v>
      </c>
      <c r="B1111" s="57" t="s">
        <v>154</v>
      </c>
      <c r="C1111" s="55">
        <f>(178311/364914)*C1119</f>
        <v>3.9091073513211332</v>
      </c>
    </row>
    <row r="1112" spans="1:7" ht="31.5">
      <c r="A1112" s="48">
        <v>2510</v>
      </c>
      <c r="B1112" s="57" t="s">
        <v>162</v>
      </c>
      <c r="C1112" s="55">
        <f>(46183/364914)*C1119</f>
        <v>1.0124686912532816</v>
      </c>
    </row>
    <row r="1113" spans="1:7" ht="31.5">
      <c r="A1113" s="48">
        <v>5100</v>
      </c>
      <c r="B1113" s="44" t="s">
        <v>143</v>
      </c>
      <c r="C1113" s="55">
        <f>0.05*C1119</f>
        <v>0.4</v>
      </c>
    </row>
    <row r="1114" spans="1:7" ht="47.25">
      <c r="A1114" s="48">
        <v>5200</v>
      </c>
      <c r="B1114" s="44" t="s">
        <v>174</v>
      </c>
      <c r="C1114" s="55">
        <f>1.12*C1119+0.91*C1119</f>
        <v>16.240000000000002</v>
      </c>
      <c r="G1114" s="2"/>
    </row>
    <row r="1115" spans="1:7">
      <c r="A1115" s="106" t="s">
        <v>8</v>
      </c>
      <c r="B1115" s="108"/>
      <c r="C1115" s="56">
        <f>SUM(C1103:C1114)</f>
        <v>165.53608594924091</v>
      </c>
    </row>
    <row r="1116" spans="1:7">
      <c r="A1116" s="120" t="s">
        <v>9</v>
      </c>
      <c r="B1116" s="122"/>
      <c r="C1116" s="69">
        <f>C1115+C1101</f>
        <v>698.71871794924095</v>
      </c>
    </row>
    <row r="1117" spans="1:7">
      <c r="C1117" s="2"/>
    </row>
    <row r="1118" spans="1:7">
      <c r="C1118" s="2"/>
    </row>
    <row r="1119" spans="1:7">
      <c r="A1119" s="115" t="s">
        <v>10</v>
      </c>
      <c r="B1119" s="116"/>
      <c r="C1119" s="63">
        <v>8</v>
      </c>
    </row>
    <row r="1120" spans="1:7" ht="31.15" customHeight="1">
      <c r="A1120" s="115" t="s">
        <v>11</v>
      </c>
      <c r="B1120" s="116"/>
      <c r="C1120" s="65">
        <f>ROUND(C1116/C1119,2)</f>
        <v>87.34</v>
      </c>
    </row>
    <row r="1123" spans="1:5">
      <c r="A1123" s="112" t="s">
        <v>0</v>
      </c>
      <c r="B1123" s="112"/>
      <c r="C1123" s="112"/>
      <c r="D1123" s="5"/>
      <c r="E1123" s="5"/>
    </row>
    <row r="1125" spans="1:5">
      <c r="A1125" s="113" t="s">
        <v>12</v>
      </c>
      <c r="B1125" s="113"/>
      <c r="C1125" s="113"/>
    </row>
    <row r="1126" spans="1:5" ht="29.45" customHeight="1">
      <c r="A1126" s="113" t="s">
        <v>254</v>
      </c>
      <c r="B1126" s="113"/>
      <c r="C1126" s="113"/>
    </row>
    <row r="1127" spans="1:5">
      <c r="A1127" s="113" t="s">
        <v>1</v>
      </c>
      <c r="B1127" s="113"/>
      <c r="C1127" s="113"/>
    </row>
    <row r="1128" spans="1:5">
      <c r="A1128" s="102" t="s">
        <v>19</v>
      </c>
      <c r="B1128" s="102"/>
    </row>
    <row r="1129" spans="1:5">
      <c r="A1129" s="39"/>
      <c r="B1129" s="39"/>
    </row>
    <row r="1130" spans="1:5" ht="92.25" customHeight="1">
      <c r="A1130" s="43" t="s">
        <v>2</v>
      </c>
      <c r="B1130" s="43" t="s">
        <v>3</v>
      </c>
      <c r="C1130" s="43" t="s">
        <v>4</v>
      </c>
    </row>
    <row r="1131" spans="1:5">
      <c r="A1131" s="120" t="s">
        <v>5</v>
      </c>
      <c r="B1131" s="121"/>
      <c r="C1131" s="122"/>
      <c r="D1131" s="12"/>
      <c r="E1131" s="12"/>
    </row>
    <row r="1132" spans="1:5">
      <c r="A1132" s="43">
        <v>1110</v>
      </c>
      <c r="B1132" s="57" t="s">
        <v>77</v>
      </c>
      <c r="C1132" s="55">
        <f>27.97*C1141</f>
        <v>335.64</v>
      </c>
      <c r="D1132" s="11"/>
      <c r="E1132" s="12"/>
    </row>
    <row r="1133" spans="1:5" ht="31.5">
      <c r="A1133" s="43">
        <v>1210</v>
      </c>
      <c r="B1133" s="44" t="s">
        <v>62</v>
      </c>
      <c r="C1133" s="76">
        <f>ROUNDUP(C1132*0.2359,2)</f>
        <v>79.180000000000007</v>
      </c>
    </row>
    <row r="1134" spans="1:5" ht="31.5">
      <c r="A1134" s="43">
        <v>2210</v>
      </c>
      <c r="B1134" s="46" t="s">
        <v>30</v>
      </c>
      <c r="C1134" s="76">
        <f>4.32167*C1141</f>
        <v>51.860039999999998</v>
      </c>
    </row>
    <row r="1135" spans="1:5">
      <c r="A1135" s="129" t="s">
        <v>6</v>
      </c>
      <c r="B1135" s="130"/>
      <c r="C1135" s="69">
        <f>SUM(C1132:C1134)</f>
        <v>466.68003999999996</v>
      </c>
    </row>
    <row r="1136" spans="1:5">
      <c r="A1136" s="129" t="s">
        <v>7</v>
      </c>
      <c r="B1136" s="131"/>
      <c r="C1136" s="130"/>
    </row>
    <row r="1137" spans="1:5">
      <c r="A1137" s="120" t="s">
        <v>8</v>
      </c>
      <c r="B1137" s="122"/>
      <c r="C1137" s="69">
        <v>0</v>
      </c>
    </row>
    <row r="1138" spans="1:5">
      <c r="A1138" s="120" t="s">
        <v>9</v>
      </c>
      <c r="B1138" s="122"/>
      <c r="C1138" s="69">
        <f>C1137+C1135</f>
        <v>466.68003999999996</v>
      </c>
    </row>
    <row r="1139" spans="1:5">
      <c r="C1139" s="2"/>
    </row>
    <row r="1140" spans="1:5">
      <c r="C1140" s="2"/>
    </row>
    <row r="1141" spans="1:5">
      <c r="A1141" s="115" t="s">
        <v>10</v>
      </c>
      <c r="B1141" s="116"/>
      <c r="C1141" s="63">
        <v>12</v>
      </c>
    </row>
    <row r="1142" spans="1:5" ht="32.450000000000003" customHeight="1">
      <c r="A1142" s="115" t="s">
        <v>11</v>
      </c>
      <c r="B1142" s="116"/>
      <c r="C1142" s="65">
        <f>ROUND(C1138/C1141,2)</f>
        <v>38.89</v>
      </c>
      <c r="D1142" s="26"/>
    </row>
    <row r="1145" spans="1:5">
      <c r="A1145" s="112" t="s">
        <v>0</v>
      </c>
      <c r="B1145" s="112"/>
      <c r="C1145" s="112"/>
      <c r="D1145" s="5"/>
      <c r="E1145" s="5"/>
    </row>
    <row r="1147" spans="1:5">
      <c r="A1147" s="113" t="s">
        <v>12</v>
      </c>
      <c r="B1147" s="113"/>
      <c r="C1147" s="113"/>
    </row>
    <row r="1148" spans="1:5" ht="50.45" customHeight="1">
      <c r="A1148" s="113" t="s">
        <v>255</v>
      </c>
      <c r="B1148" s="113"/>
      <c r="C1148" s="113"/>
    </row>
    <row r="1149" spans="1:5">
      <c r="A1149" s="113" t="s">
        <v>1</v>
      </c>
      <c r="B1149" s="113"/>
      <c r="C1149" s="113"/>
    </row>
    <row r="1150" spans="1:5">
      <c r="A1150" s="102" t="s">
        <v>20</v>
      </c>
      <c r="B1150" s="102"/>
    </row>
    <row r="1151" spans="1:5">
      <c r="A1151" s="39"/>
      <c r="B1151" s="39"/>
    </row>
    <row r="1152" spans="1:5" ht="84.75" customHeight="1">
      <c r="A1152" s="43" t="s">
        <v>2</v>
      </c>
      <c r="B1152" s="43" t="s">
        <v>3</v>
      </c>
      <c r="C1152" s="43" t="s">
        <v>4</v>
      </c>
    </row>
    <row r="1153" spans="1:5">
      <c r="A1153" s="120" t="s">
        <v>5</v>
      </c>
      <c r="B1153" s="121"/>
      <c r="C1153" s="122"/>
    </row>
    <row r="1154" spans="1:5">
      <c r="A1154" s="43">
        <v>1110</v>
      </c>
      <c r="B1154" s="57" t="s">
        <v>29</v>
      </c>
      <c r="C1154" s="55">
        <f>(1.35*C1163)</f>
        <v>86.4</v>
      </c>
      <c r="D1154" s="2"/>
    </row>
    <row r="1155" spans="1:5" ht="31.5">
      <c r="A1155" s="43">
        <v>1210</v>
      </c>
      <c r="B1155" s="44" t="s">
        <v>62</v>
      </c>
      <c r="C1155" s="76">
        <f>C1154*0.2359</f>
        <v>20.38176</v>
      </c>
    </row>
    <row r="1156" spans="1:5">
      <c r="A1156" s="129" t="s">
        <v>6</v>
      </c>
      <c r="B1156" s="130"/>
      <c r="C1156" s="69">
        <f>SUM(C1154:C1155)</f>
        <v>106.78176000000001</v>
      </c>
    </row>
    <row r="1157" spans="1:5">
      <c r="A1157" s="129" t="s">
        <v>7</v>
      </c>
      <c r="B1157" s="131"/>
      <c r="C1157" s="130"/>
    </row>
    <row r="1158" spans="1:5">
      <c r="A1158" s="43">
        <v>2230</v>
      </c>
      <c r="B1158" s="57" t="s">
        <v>13</v>
      </c>
      <c r="C1158" s="55">
        <f>ROUNDDOWN((0.13*C1163)+0.32,2)-0.22</f>
        <v>8.42</v>
      </c>
      <c r="D1158" s="33"/>
    </row>
    <row r="1159" spans="1:5">
      <c r="A1159" s="120" t="s">
        <v>8</v>
      </c>
      <c r="B1159" s="122"/>
      <c r="C1159" s="69">
        <f>SUM(C1158:C1158)</f>
        <v>8.42</v>
      </c>
    </row>
    <row r="1160" spans="1:5">
      <c r="A1160" s="120" t="s">
        <v>9</v>
      </c>
      <c r="B1160" s="122"/>
      <c r="C1160" s="69">
        <f>C1159+C1156</f>
        <v>115.20176000000001</v>
      </c>
    </row>
    <row r="1161" spans="1:5">
      <c r="C1161" s="2"/>
    </row>
    <row r="1162" spans="1:5">
      <c r="C1162" s="2"/>
    </row>
    <row r="1163" spans="1:5">
      <c r="A1163" s="115" t="s">
        <v>10</v>
      </c>
      <c r="B1163" s="116"/>
      <c r="C1163" s="63">
        <v>64</v>
      </c>
    </row>
    <row r="1164" spans="1:5" ht="31.9" customHeight="1">
      <c r="A1164" s="115" t="s">
        <v>11</v>
      </c>
      <c r="B1164" s="116"/>
      <c r="C1164" s="65">
        <f>ROUND(C1160/C1163,2)</f>
        <v>1.8</v>
      </c>
      <c r="D1164" s="26"/>
    </row>
    <row r="1167" spans="1:5">
      <c r="A1167" s="112" t="s">
        <v>0</v>
      </c>
      <c r="B1167" s="112"/>
      <c r="C1167" s="112"/>
      <c r="D1167" s="5"/>
      <c r="E1167" s="5"/>
    </row>
    <row r="1169" spans="1:4">
      <c r="A1169" s="113" t="s">
        <v>12</v>
      </c>
      <c r="B1169" s="113"/>
      <c r="C1169" s="113"/>
    </row>
    <row r="1170" spans="1:4" ht="52.15" customHeight="1">
      <c r="A1170" s="113" t="s">
        <v>256</v>
      </c>
      <c r="B1170" s="113"/>
      <c r="C1170" s="113"/>
    </row>
    <row r="1171" spans="1:4">
      <c r="A1171" s="113" t="s">
        <v>1</v>
      </c>
      <c r="B1171" s="113"/>
      <c r="C1171" s="113"/>
    </row>
    <row r="1172" spans="1:4">
      <c r="A1172" s="102" t="s">
        <v>61</v>
      </c>
      <c r="B1172" s="102"/>
    </row>
    <row r="1173" spans="1:4">
      <c r="A1173" s="39"/>
      <c r="B1173" s="39"/>
    </row>
    <row r="1174" spans="1:4" ht="85.5" customHeight="1">
      <c r="A1174" s="43" t="s">
        <v>2</v>
      </c>
      <c r="B1174" s="43" t="s">
        <v>3</v>
      </c>
      <c r="C1174" s="43" t="s">
        <v>4</v>
      </c>
    </row>
    <row r="1175" spans="1:4">
      <c r="A1175" s="120" t="s">
        <v>5</v>
      </c>
      <c r="B1175" s="121"/>
      <c r="C1175" s="122"/>
    </row>
    <row r="1176" spans="1:4">
      <c r="A1176" s="43">
        <v>1110</v>
      </c>
      <c r="B1176" s="57" t="s">
        <v>59</v>
      </c>
      <c r="C1176" s="45">
        <f>ROUND(2.08*C1185,2)</f>
        <v>1456</v>
      </c>
      <c r="D1176" s="2"/>
    </row>
    <row r="1177" spans="1:4" ht="31.5">
      <c r="A1177" s="43">
        <v>1210</v>
      </c>
      <c r="B1177" s="44" t="s">
        <v>62</v>
      </c>
      <c r="C1177" s="45">
        <f>ROUND(C1176*0.2359,2)</f>
        <v>343.47</v>
      </c>
    </row>
    <row r="1178" spans="1:4">
      <c r="A1178" s="123" t="s">
        <v>6</v>
      </c>
      <c r="B1178" s="124"/>
      <c r="C1178" s="49">
        <f>SUM(C1176:C1177)</f>
        <v>1799.47</v>
      </c>
    </row>
    <row r="1179" spans="1:4">
      <c r="A1179" s="123" t="s">
        <v>7</v>
      </c>
      <c r="B1179" s="125"/>
      <c r="C1179" s="124"/>
    </row>
    <row r="1180" spans="1:4">
      <c r="A1180" s="43">
        <v>2230</v>
      </c>
      <c r="B1180" s="57" t="s">
        <v>13</v>
      </c>
      <c r="C1180" s="55">
        <f>ROUNDDOWN(0.13*C1185,2)-0.47</f>
        <v>90.53</v>
      </c>
      <c r="D1180" s="19"/>
    </row>
    <row r="1181" spans="1:4">
      <c r="A1181" s="106" t="s">
        <v>8</v>
      </c>
      <c r="B1181" s="108"/>
      <c r="C1181" s="56">
        <f>SUM(C1180:C1180)</f>
        <v>90.53</v>
      </c>
    </row>
    <row r="1182" spans="1:4">
      <c r="A1182" s="120" t="s">
        <v>9</v>
      </c>
      <c r="B1182" s="122"/>
      <c r="C1182" s="70">
        <f>C1181+C1178</f>
        <v>1890</v>
      </c>
    </row>
    <row r="1183" spans="1:4">
      <c r="C1183" s="2"/>
    </row>
    <row r="1184" spans="1:4">
      <c r="C1184" s="2"/>
    </row>
    <row r="1185" spans="1:5">
      <c r="A1185" s="115" t="s">
        <v>10</v>
      </c>
      <c r="B1185" s="116"/>
      <c r="C1185" s="63">
        <v>700</v>
      </c>
    </row>
    <row r="1186" spans="1:5" ht="31.9" customHeight="1">
      <c r="A1186" s="115" t="s">
        <v>11</v>
      </c>
      <c r="B1186" s="116"/>
      <c r="C1186" s="65">
        <f>ROUND(C1182/C1185,2)</f>
        <v>2.7</v>
      </c>
      <c r="D1186" s="26"/>
    </row>
    <row r="1189" spans="1:5">
      <c r="A1189" s="112" t="s">
        <v>0</v>
      </c>
      <c r="B1189" s="112"/>
      <c r="C1189" s="112"/>
      <c r="D1189" s="5"/>
      <c r="E1189" s="5"/>
    </row>
    <row r="1191" spans="1:5">
      <c r="A1191" s="113" t="s">
        <v>12</v>
      </c>
      <c r="B1191" s="113"/>
      <c r="C1191" s="113"/>
    </row>
    <row r="1192" spans="1:5" ht="52.5" customHeight="1">
      <c r="A1192" s="126" t="s">
        <v>257</v>
      </c>
      <c r="B1192" s="126"/>
      <c r="C1192" s="126"/>
    </row>
    <row r="1193" spans="1:5">
      <c r="A1193" s="113" t="s">
        <v>1</v>
      </c>
      <c r="B1193" s="113"/>
      <c r="C1193" s="113"/>
    </row>
    <row r="1194" spans="1:5">
      <c r="A1194" s="102" t="s">
        <v>60</v>
      </c>
      <c r="B1194" s="102"/>
    </row>
    <row r="1195" spans="1:5">
      <c r="A1195" s="39"/>
      <c r="B1195" s="39"/>
    </row>
    <row r="1196" spans="1:5" ht="78.75">
      <c r="A1196" s="43" t="s">
        <v>2</v>
      </c>
      <c r="B1196" s="43" t="s">
        <v>3</v>
      </c>
      <c r="C1196" s="43" t="s">
        <v>4</v>
      </c>
    </row>
    <row r="1197" spans="1:5">
      <c r="A1197" s="120" t="s">
        <v>5</v>
      </c>
      <c r="B1197" s="121"/>
      <c r="C1197" s="122"/>
    </row>
    <row r="1198" spans="1:5">
      <c r="A1198" s="43">
        <v>1110</v>
      </c>
      <c r="B1198" s="57" t="s">
        <v>78</v>
      </c>
      <c r="C1198" s="45">
        <f>1.52*C1207</f>
        <v>9576</v>
      </c>
      <c r="D1198" s="2"/>
    </row>
    <row r="1199" spans="1:5" ht="31.5">
      <c r="A1199" s="43">
        <v>1210</v>
      </c>
      <c r="B1199" s="44" t="s">
        <v>62</v>
      </c>
      <c r="C1199" s="45">
        <f>C1198*0.2359</f>
        <v>2258.9784</v>
      </c>
    </row>
    <row r="1200" spans="1:5">
      <c r="A1200" s="123" t="s">
        <v>6</v>
      </c>
      <c r="B1200" s="124"/>
      <c r="C1200" s="49">
        <f>SUM(C1198:C1199)</f>
        <v>11834.9784</v>
      </c>
    </row>
    <row r="1201" spans="1:5">
      <c r="A1201" s="123" t="s">
        <v>7</v>
      </c>
      <c r="B1201" s="125"/>
      <c r="C1201" s="124"/>
    </row>
    <row r="1202" spans="1:5">
      <c r="A1202" s="43">
        <v>2230</v>
      </c>
      <c r="B1202" s="57" t="s">
        <v>13</v>
      </c>
      <c r="C1202" s="55">
        <f>ROUNDDOWN((0.13*C1207)+27.95,2)-18.93</f>
        <v>828.0200000000001</v>
      </c>
      <c r="D1202" s="33"/>
    </row>
    <row r="1203" spans="1:5">
      <c r="A1203" s="106" t="s">
        <v>8</v>
      </c>
      <c r="B1203" s="108"/>
      <c r="C1203" s="56">
        <f>SUM(C1202:C1202)</f>
        <v>828.0200000000001</v>
      </c>
    </row>
    <row r="1204" spans="1:5">
      <c r="A1204" s="120" t="s">
        <v>9</v>
      </c>
      <c r="B1204" s="122"/>
      <c r="C1204" s="70">
        <f>C1203+C1200</f>
        <v>12662.9984</v>
      </c>
    </row>
    <row r="1205" spans="1:5">
      <c r="C1205" s="2"/>
    </row>
    <row r="1206" spans="1:5">
      <c r="C1206" s="2"/>
    </row>
    <row r="1207" spans="1:5">
      <c r="A1207" s="115" t="s">
        <v>10</v>
      </c>
      <c r="B1207" s="116"/>
      <c r="C1207" s="73">
        <v>6300</v>
      </c>
    </row>
    <row r="1208" spans="1:5" ht="32.450000000000003" customHeight="1">
      <c r="A1208" s="115" t="s">
        <v>11</v>
      </c>
      <c r="B1208" s="116"/>
      <c r="C1208" s="74">
        <f>ROUND(C1204/C1207,2)</f>
        <v>2.0099999999999998</v>
      </c>
      <c r="D1208" s="26"/>
    </row>
    <row r="1211" spans="1:5">
      <c r="A1211" s="112" t="s">
        <v>0</v>
      </c>
      <c r="B1211" s="112"/>
      <c r="C1211" s="112"/>
      <c r="D1211" s="5"/>
      <c r="E1211" s="5"/>
    </row>
    <row r="1213" spans="1:5">
      <c r="A1213" s="113" t="s">
        <v>12</v>
      </c>
      <c r="B1213" s="113"/>
      <c r="C1213" s="113"/>
    </row>
    <row r="1214" spans="1:5" ht="38.450000000000003" customHeight="1">
      <c r="A1214" s="126" t="s">
        <v>258</v>
      </c>
      <c r="B1214" s="126"/>
      <c r="C1214" s="126"/>
    </row>
    <row r="1215" spans="1:5">
      <c r="A1215" s="113" t="s">
        <v>1</v>
      </c>
      <c r="B1215" s="113"/>
      <c r="C1215" s="113"/>
    </row>
    <row r="1216" spans="1:5">
      <c r="A1216" s="102" t="s">
        <v>21</v>
      </c>
      <c r="B1216" s="102"/>
    </row>
    <row r="1217" spans="1:5">
      <c r="A1217" s="39"/>
      <c r="B1217" s="39"/>
    </row>
    <row r="1218" spans="1:5" ht="98.25" customHeight="1">
      <c r="A1218" s="43" t="s">
        <v>2</v>
      </c>
      <c r="B1218" s="43" t="s">
        <v>3</v>
      </c>
      <c r="C1218" s="43" t="s">
        <v>4</v>
      </c>
    </row>
    <row r="1219" spans="1:5">
      <c r="A1219" s="120" t="s">
        <v>5</v>
      </c>
      <c r="B1219" s="121"/>
      <c r="C1219" s="122"/>
    </row>
    <row r="1220" spans="1:5">
      <c r="A1220" s="43">
        <v>1110</v>
      </c>
      <c r="B1220" s="57" t="s">
        <v>215</v>
      </c>
      <c r="C1220" s="55">
        <f>51.75</f>
        <v>51.75</v>
      </c>
      <c r="D1220" s="2"/>
    </row>
    <row r="1221" spans="1:5" ht="31.5">
      <c r="A1221" s="43">
        <v>1210</v>
      </c>
      <c r="B1221" s="44" t="s">
        <v>62</v>
      </c>
      <c r="C1221" s="55">
        <f>ROUND(C1220*0.2359,2)</f>
        <v>12.21</v>
      </c>
    </row>
    <row r="1222" spans="1:5">
      <c r="A1222" s="43">
        <v>2310</v>
      </c>
      <c r="B1222" s="57" t="s">
        <v>22</v>
      </c>
      <c r="C1222" s="55">
        <f>1.304*C1229</f>
        <v>13.040000000000001</v>
      </c>
      <c r="D1222" s="19"/>
    </row>
    <row r="1223" spans="1:5">
      <c r="A1223" s="123" t="s">
        <v>6</v>
      </c>
      <c r="B1223" s="124"/>
      <c r="C1223" s="56">
        <f>SUM(C1220:C1222)</f>
        <v>77</v>
      </c>
      <c r="E1223" s="2"/>
    </row>
    <row r="1224" spans="1:5">
      <c r="A1224" s="123" t="s">
        <v>7</v>
      </c>
      <c r="B1224" s="125"/>
      <c r="C1224" s="124"/>
    </row>
    <row r="1225" spans="1:5">
      <c r="A1225" s="106" t="s">
        <v>8</v>
      </c>
      <c r="B1225" s="108"/>
      <c r="C1225" s="56">
        <v>0</v>
      </c>
    </row>
    <row r="1226" spans="1:5">
      <c r="A1226" s="120" t="s">
        <v>9</v>
      </c>
      <c r="B1226" s="122"/>
      <c r="C1226" s="69">
        <f>C1225+C1223</f>
        <v>77</v>
      </c>
    </row>
    <row r="1227" spans="1:5">
      <c r="C1227" s="2"/>
    </row>
    <row r="1228" spans="1:5">
      <c r="C1228" s="2"/>
    </row>
    <row r="1229" spans="1:5">
      <c r="A1229" s="115" t="s">
        <v>10</v>
      </c>
      <c r="B1229" s="116"/>
      <c r="C1229" s="63">
        <v>10</v>
      </c>
    </row>
    <row r="1230" spans="1:5" ht="29.45" customHeight="1">
      <c r="A1230" s="115" t="s">
        <v>11</v>
      </c>
      <c r="B1230" s="116"/>
      <c r="C1230" s="65">
        <f>ROUND(C1226/C1229,2)</f>
        <v>7.7</v>
      </c>
      <c r="D1230" s="2"/>
    </row>
    <row r="1233" spans="1:5">
      <c r="A1233" s="112" t="s">
        <v>0</v>
      </c>
      <c r="B1233" s="112"/>
      <c r="C1233" s="112"/>
      <c r="D1233" s="5"/>
      <c r="E1233" s="5"/>
    </row>
    <row r="1235" spans="1:5" ht="15.6" customHeight="1">
      <c r="A1235" s="113" t="s">
        <v>12</v>
      </c>
      <c r="B1235" s="113"/>
      <c r="C1235" s="113"/>
    </row>
    <row r="1236" spans="1:5" ht="31.9" customHeight="1">
      <c r="A1236" s="128" t="s">
        <v>259</v>
      </c>
      <c r="B1236" s="113"/>
      <c r="C1236" s="113"/>
    </row>
    <row r="1237" spans="1:5" ht="15.6" customHeight="1">
      <c r="A1237" s="113" t="s">
        <v>80</v>
      </c>
      <c r="B1237" s="113"/>
      <c r="C1237" s="113"/>
    </row>
    <row r="1238" spans="1:5">
      <c r="A1238" s="114" t="s">
        <v>15</v>
      </c>
      <c r="B1238" s="114"/>
    </row>
    <row r="1239" spans="1:5">
      <c r="A1239" s="40"/>
      <c r="B1239" s="40"/>
    </row>
    <row r="1240" spans="1:5" ht="78.75">
      <c r="A1240" s="43" t="s">
        <v>2</v>
      </c>
      <c r="B1240" s="43" t="s">
        <v>3</v>
      </c>
      <c r="C1240" s="43" t="s">
        <v>4</v>
      </c>
    </row>
    <row r="1241" spans="1:5">
      <c r="A1241" s="120" t="s">
        <v>5</v>
      </c>
      <c r="B1241" s="121"/>
      <c r="C1241" s="122"/>
      <c r="D1241" s="14"/>
      <c r="E1241" s="12"/>
    </row>
    <row r="1242" spans="1:5" ht="31.5">
      <c r="A1242" s="43">
        <v>1110</v>
      </c>
      <c r="B1242" s="77" t="s">
        <v>52</v>
      </c>
      <c r="C1242" s="45">
        <f>123.64*4</f>
        <v>494.56</v>
      </c>
      <c r="D1242" s="13"/>
      <c r="E1242" s="9"/>
    </row>
    <row r="1243" spans="1:5" ht="31.5">
      <c r="A1243" s="43">
        <v>1110</v>
      </c>
      <c r="B1243" s="77" t="s">
        <v>53</v>
      </c>
      <c r="C1243" s="45">
        <f>86.55*4</f>
        <v>346.2</v>
      </c>
      <c r="D1243" s="13"/>
      <c r="E1243" s="9"/>
    </row>
    <row r="1244" spans="1:5" ht="31.5">
      <c r="A1244" s="43">
        <v>1110</v>
      </c>
      <c r="B1244" s="77" t="s">
        <v>54</v>
      </c>
      <c r="C1244" s="45">
        <f>18.18*4</f>
        <v>72.72</v>
      </c>
      <c r="D1244" s="13"/>
      <c r="E1244" s="9"/>
    </row>
    <row r="1245" spans="1:5" ht="36" customHeight="1">
      <c r="A1245" s="43">
        <v>1210</v>
      </c>
      <c r="B1245" s="78" t="s">
        <v>62</v>
      </c>
      <c r="C1245" s="47">
        <f>(C1242+C1243+C1244)*0.2359</f>
        <v>215.48993200000001</v>
      </c>
      <c r="D1245" s="2"/>
    </row>
    <row r="1246" spans="1:5">
      <c r="A1246" s="132" t="s">
        <v>6</v>
      </c>
      <c r="B1246" s="133"/>
      <c r="C1246" s="70">
        <f>SUM(C1242:C1245)</f>
        <v>1128.969932</v>
      </c>
      <c r="D1246" s="2"/>
      <c r="E1246" s="9"/>
    </row>
    <row r="1247" spans="1:5">
      <c r="A1247" s="132" t="s">
        <v>7</v>
      </c>
      <c r="B1247" s="134"/>
      <c r="C1247" s="133"/>
      <c r="E1247" s="8"/>
    </row>
    <row r="1248" spans="1:5" ht="31.5">
      <c r="A1248" s="43">
        <v>2230</v>
      </c>
      <c r="B1248" s="77" t="s">
        <v>81</v>
      </c>
      <c r="C1248" s="55">
        <f>ROUNDUP(40*4,2)</f>
        <v>160</v>
      </c>
      <c r="E1248" s="13"/>
    </row>
    <row r="1249" spans="1:5" ht="31.5">
      <c r="A1249" s="43">
        <v>2261</v>
      </c>
      <c r="B1249" s="77" t="s">
        <v>42</v>
      </c>
      <c r="C1249" s="76">
        <f>ROUNDUP((680/11)*4,2)</f>
        <v>247.28</v>
      </c>
    </row>
    <row r="1250" spans="1:5">
      <c r="A1250" s="43">
        <v>2311</v>
      </c>
      <c r="B1250" s="77" t="s">
        <v>32</v>
      </c>
      <c r="C1250" s="76">
        <f>ROUNDUP((30/11)*4,2)</f>
        <v>10.91</v>
      </c>
    </row>
    <row r="1251" spans="1:5" ht="49.15" customHeight="1">
      <c r="A1251" s="43">
        <v>2312</v>
      </c>
      <c r="B1251" s="44" t="s">
        <v>82</v>
      </c>
      <c r="C1251" s="76">
        <f>ROUNDUP((460/11)*4,2)</f>
        <v>167.28</v>
      </c>
      <c r="E1251" s="9"/>
    </row>
    <row r="1252" spans="1:5" ht="97.15" customHeight="1">
      <c r="A1252" s="43">
        <v>5220</v>
      </c>
      <c r="B1252" s="44" t="s">
        <v>83</v>
      </c>
      <c r="C1252" s="55">
        <f>57.37*4</f>
        <v>229.48</v>
      </c>
    </row>
    <row r="1253" spans="1:5" ht="31.5">
      <c r="A1253" s="43">
        <v>5230</v>
      </c>
      <c r="B1253" s="44" t="s">
        <v>84</v>
      </c>
      <c r="C1253" s="76">
        <f>0.2*68*4</f>
        <v>54.400000000000006</v>
      </c>
    </row>
    <row r="1254" spans="1:5">
      <c r="A1254" s="120" t="s">
        <v>8</v>
      </c>
      <c r="B1254" s="122"/>
      <c r="C1254" s="69">
        <f>SUM(C1248:C1253)</f>
        <v>869.35</v>
      </c>
    </row>
    <row r="1255" spans="1:5">
      <c r="A1255" s="120" t="s">
        <v>9</v>
      </c>
      <c r="B1255" s="122"/>
      <c r="C1255" s="70">
        <f>C1254+C1246</f>
        <v>1998.3199319999999</v>
      </c>
    </row>
    <row r="1256" spans="1:5">
      <c r="C1256" s="2"/>
    </row>
    <row r="1257" spans="1:5">
      <c r="C1257" s="2"/>
    </row>
    <row r="1258" spans="1:5" ht="16.149999999999999" customHeight="1">
      <c r="A1258" s="115" t="s">
        <v>10</v>
      </c>
      <c r="B1258" s="116"/>
      <c r="C1258" s="63">
        <v>4</v>
      </c>
    </row>
    <row r="1259" spans="1:5" ht="31.9" customHeight="1">
      <c r="A1259" s="115" t="s">
        <v>85</v>
      </c>
      <c r="B1259" s="116"/>
      <c r="C1259" s="64">
        <f>ROUND(C1255/C1258,2)</f>
        <v>499.58</v>
      </c>
      <c r="D1259" s="26"/>
      <c r="E1259" s="12"/>
    </row>
    <row r="1262" spans="1:5">
      <c r="A1262" s="140" t="s">
        <v>0</v>
      </c>
      <c r="B1262" s="140"/>
      <c r="C1262" s="140"/>
      <c r="D1262" s="5"/>
      <c r="E1262" s="5"/>
    </row>
    <row r="1263" spans="1:5">
      <c r="A1263" s="16"/>
      <c r="B1263" s="16"/>
      <c r="C1263" s="16"/>
    </row>
    <row r="1264" spans="1:5" ht="15.6" customHeight="1">
      <c r="A1264" s="126" t="s">
        <v>12</v>
      </c>
      <c r="B1264" s="126"/>
      <c r="C1264" s="126"/>
    </row>
    <row r="1265" spans="1:5" ht="32.450000000000003" customHeight="1">
      <c r="A1265" s="126" t="s">
        <v>260</v>
      </c>
      <c r="B1265" s="126"/>
      <c r="C1265" s="126"/>
    </row>
    <row r="1266" spans="1:5" ht="15.6" customHeight="1">
      <c r="A1266" s="126" t="s">
        <v>1</v>
      </c>
      <c r="B1266" s="126"/>
      <c r="C1266" s="126"/>
    </row>
    <row r="1267" spans="1:5">
      <c r="A1267" s="141" t="s">
        <v>86</v>
      </c>
      <c r="B1267" s="141"/>
      <c r="C1267" s="16"/>
    </row>
    <row r="1268" spans="1:5">
      <c r="A1268" s="41"/>
      <c r="B1268" s="41"/>
      <c r="C1268" s="16"/>
    </row>
    <row r="1269" spans="1:5" ht="78.75">
      <c r="A1269" s="43" t="s">
        <v>2</v>
      </c>
      <c r="B1269" s="43" t="s">
        <v>3</v>
      </c>
      <c r="C1269" s="79" t="s">
        <v>4</v>
      </c>
    </row>
    <row r="1270" spans="1:5">
      <c r="A1270" s="129" t="s">
        <v>5</v>
      </c>
      <c r="B1270" s="131"/>
      <c r="C1270" s="130"/>
      <c r="D1270" s="14"/>
      <c r="E1270" s="12"/>
    </row>
    <row r="1271" spans="1:5" ht="31.5">
      <c r="A1271" s="43">
        <v>1110</v>
      </c>
      <c r="B1271" s="44" t="s">
        <v>87</v>
      </c>
      <c r="C1271" s="85">
        <f>3.2*100</f>
        <v>320</v>
      </c>
      <c r="D1271" s="13"/>
      <c r="E1271" s="9"/>
    </row>
    <row r="1272" spans="1:5" ht="31.5">
      <c r="A1272" s="43">
        <v>1110</v>
      </c>
      <c r="B1272" s="44" t="s">
        <v>88</v>
      </c>
      <c r="C1272" s="85">
        <f>(20*(4/25))*100</f>
        <v>320</v>
      </c>
      <c r="D1272" s="13"/>
      <c r="E1272" s="9"/>
    </row>
    <row r="1273" spans="1:5" ht="31.5">
      <c r="A1273" s="43">
        <v>1110</v>
      </c>
      <c r="B1273" s="44" t="s">
        <v>89</v>
      </c>
      <c r="C1273" s="85">
        <f>3.2*100</f>
        <v>320</v>
      </c>
      <c r="D1273" s="13"/>
      <c r="E1273" s="9"/>
    </row>
    <row r="1274" spans="1:5" ht="36" customHeight="1">
      <c r="A1274" s="43">
        <v>1210</v>
      </c>
      <c r="B1274" s="46" t="s">
        <v>62</v>
      </c>
      <c r="C1274" s="86">
        <f>(C1271+C1272+C1273)*0.2359</f>
        <v>226.464</v>
      </c>
      <c r="D1274" s="2"/>
    </row>
    <row r="1275" spans="1:5">
      <c r="A1275" s="137" t="s">
        <v>6</v>
      </c>
      <c r="B1275" s="138"/>
      <c r="C1275" s="84">
        <f>SUM(C1271:C1274)</f>
        <v>1186.4639999999999</v>
      </c>
      <c r="D1275" s="2"/>
      <c r="E1275" s="9"/>
    </row>
    <row r="1276" spans="1:5">
      <c r="A1276" s="137" t="s">
        <v>7</v>
      </c>
      <c r="B1276" s="139"/>
      <c r="C1276" s="138"/>
      <c r="E1276" s="8"/>
    </row>
    <row r="1277" spans="1:5" ht="31.5">
      <c r="A1277" s="43">
        <v>2230</v>
      </c>
      <c r="B1277" s="44" t="s">
        <v>261</v>
      </c>
      <c r="C1277" s="80">
        <f>ROUNDDOWN((70/25)*100,2)-0.464</f>
        <v>279.536</v>
      </c>
      <c r="D1277" s="19"/>
      <c r="E1277" s="13"/>
    </row>
    <row r="1278" spans="1:5" ht="31.5">
      <c r="A1278" s="43">
        <v>2261</v>
      </c>
      <c r="B1278" s="44" t="s">
        <v>90</v>
      </c>
      <c r="C1278" s="80">
        <f>ROUNDUP((40/25)*100,2)</f>
        <v>160</v>
      </c>
    </row>
    <row r="1279" spans="1:5">
      <c r="A1279" s="43">
        <v>2311</v>
      </c>
      <c r="B1279" s="44" t="s">
        <v>33</v>
      </c>
      <c r="C1279" s="81">
        <f>ROUNDUP((30/25)*100,2)</f>
        <v>120</v>
      </c>
    </row>
    <row r="1280" spans="1:5" ht="49.15" customHeight="1">
      <c r="A1280" s="43">
        <v>2312</v>
      </c>
      <c r="B1280" s="44" t="s">
        <v>91</v>
      </c>
      <c r="C1280" s="80">
        <f>ROUNDUP(5.48*100,2)</f>
        <v>548</v>
      </c>
      <c r="E1280" s="9"/>
    </row>
    <row r="1281" spans="1:5" ht="46.9" customHeight="1">
      <c r="A1281" s="43">
        <v>5220</v>
      </c>
      <c r="B1281" s="44" t="s">
        <v>34</v>
      </c>
      <c r="C1281" s="81">
        <f>ROUNDUP((90/25)*100,2)</f>
        <v>360</v>
      </c>
    </row>
    <row r="1282" spans="1:5" ht="31.5">
      <c r="A1282" s="43">
        <v>5230</v>
      </c>
      <c r="B1282" s="44" t="s">
        <v>84</v>
      </c>
      <c r="C1282" s="83">
        <f>ROUNDUP((0.2*8)*100,2)</f>
        <v>160</v>
      </c>
    </row>
    <row r="1283" spans="1:5">
      <c r="A1283" s="129" t="s">
        <v>8</v>
      </c>
      <c r="B1283" s="130"/>
      <c r="C1283" s="84">
        <f>SUM(C1277:C1282)</f>
        <v>1627.5360000000001</v>
      </c>
    </row>
    <row r="1284" spans="1:5">
      <c r="A1284" s="129" t="s">
        <v>9</v>
      </c>
      <c r="B1284" s="130"/>
      <c r="C1284" s="84">
        <f>C1283+C1275</f>
        <v>2814</v>
      </c>
    </row>
    <row r="1285" spans="1:5">
      <c r="A1285" s="16"/>
      <c r="B1285" s="16"/>
      <c r="C1285" s="17"/>
    </row>
    <row r="1286" spans="1:5">
      <c r="A1286" s="16"/>
      <c r="B1286" s="16"/>
      <c r="C1286" s="17"/>
    </row>
    <row r="1287" spans="1:5" ht="16.149999999999999" customHeight="1">
      <c r="A1287" s="135" t="s">
        <v>10</v>
      </c>
      <c r="B1287" s="136"/>
      <c r="C1287" s="87">
        <v>100</v>
      </c>
    </row>
    <row r="1288" spans="1:5" ht="33" customHeight="1">
      <c r="A1288" s="135" t="s">
        <v>85</v>
      </c>
      <c r="B1288" s="136"/>
      <c r="C1288" s="64">
        <f>ROUND(C1284/C1287,2)</f>
        <v>28.14</v>
      </c>
      <c r="D1288" s="26"/>
      <c r="E1288" s="12"/>
    </row>
    <row r="1291" spans="1:5">
      <c r="A1291" s="140" t="s">
        <v>0</v>
      </c>
      <c r="B1291" s="140"/>
      <c r="C1291" s="140"/>
      <c r="D1291" s="5"/>
      <c r="E1291" s="5"/>
    </row>
    <row r="1292" spans="1:5">
      <c r="A1292" s="16"/>
      <c r="B1292" s="16"/>
      <c r="C1292" s="16"/>
    </row>
    <row r="1293" spans="1:5" ht="15.6" customHeight="1">
      <c r="A1293" s="126" t="s">
        <v>12</v>
      </c>
      <c r="B1293" s="126"/>
      <c r="C1293" s="126"/>
    </row>
    <row r="1294" spans="1:5" ht="33" customHeight="1">
      <c r="A1294" s="142" t="s">
        <v>262</v>
      </c>
      <c r="B1294" s="126"/>
      <c r="C1294" s="126"/>
    </row>
    <row r="1295" spans="1:5" ht="15.6" customHeight="1">
      <c r="A1295" s="126" t="s">
        <v>1</v>
      </c>
      <c r="B1295" s="126"/>
      <c r="C1295" s="126"/>
    </row>
    <row r="1296" spans="1:5">
      <c r="A1296" s="141" t="s">
        <v>86</v>
      </c>
      <c r="B1296" s="141"/>
      <c r="C1296" s="16"/>
    </row>
    <row r="1297" spans="1:5">
      <c r="A1297" s="41"/>
      <c r="B1297" s="41"/>
      <c r="C1297" s="16"/>
    </row>
    <row r="1298" spans="1:5" ht="78.75">
      <c r="A1298" s="43" t="s">
        <v>2</v>
      </c>
      <c r="B1298" s="43" t="s">
        <v>3</v>
      </c>
      <c r="C1298" s="79" t="s">
        <v>4</v>
      </c>
    </row>
    <row r="1299" spans="1:5">
      <c r="A1299" s="129" t="s">
        <v>5</v>
      </c>
      <c r="B1299" s="131"/>
      <c r="C1299" s="130"/>
      <c r="D1299" s="14"/>
      <c r="E1299" s="12"/>
    </row>
    <row r="1300" spans="1:5" ht="31.5">
      <c r="A1300" s="43">
        <v>1110</v>
      </c>
      <c r="B1300" s="44" t="s">
        <v>87</v>
      </c>
      <c r="C1300" s="85">
        <f>3.2*100</f>
        <v>320</v>
      </c>
      <c r="D1300" s="13"/>
      <c r="E1300" s="9"/>
    </row>
    <row r="1301" spans="1:5" ht="31.5">
      <c r="A1301" s="43">
        <v>1110</v>
      </c>
      <c r="B1301" s="44" t="s">
        <v>88</v>
      </c>
      <c r="C1301" s="85">
        <f>(20*(4/25))*100</f>
        <v>320</v>
      </c>
      <c r="D1301" s="13"/>
      <c r="E1301" s="9"/>
    </row>
    <row r="1302" spans="1:5" ht="31.5">
      <c r="A1302" s="43">
        <v>1110</v>
      </c>
      <c r="B1302" s="44" t="s">
        <v>89</v>
      </c>
      <c r="C1302" s="85">
        <f>3.2*100</f>
        <v>320</v>
      </c>
      <c r="D1302" s="13"/>
      <c r="E1302" s="9"/>
    </row>
    <row r="1303" spans="1:5" ht="36" customHeight="1">
      <c r="A1303" s="43">
        <v>1210</v>
      </c>
      <c r="B1303" s="46" t="s">
        <v>62</v>
      </c>
      <c r="C1303" s="86">
        <f>(C1300+C1301+C1302)*0.2359</f>
        <v>226.464</v>
      </c>
      <c r="D1303" s="2"/>
    </row>
    <row r="1304" spans="1:5">
      <c r="A1304" s="137" t="s">
        <v>6</v>
      </c>
      <c r="B1304" s="138"/>
      <c r="C1304" s="84">
        <f>SUM(C1300:C1303)</f>
        <v>1186.4639999999999</v>
      </c>
      <c r="D1304" s="2"/>
      <c r="E1304" s="9"/>
    </row>
    <row r="1305" spans="1:5">
      <c r="A1305" s="137" t="s">
        <v>7</v>
      </c>
      <c r="B1305" s="139"/>
      <c r="C1305" s="138"/>
      <c r="E1305" s="8"/>
    </row>
    <row r="1306" spans="1:5" ht="31.5">
      <c r="A1306" s="43">
        <v>2261</v>
      </c>
      <c r="B1306" s="44" t="s">
        <v>92</v>
      </c>
      <c r="C1306" s="80">
        <f>ROUNDDOWN((40/25)*100,2)-0.232</f>
        <v>159.768</v>
      </c>
      <c r="D1306" s="33"/>
      <c r="E1306" s="13"/>
    </row>
    <row r="1307" spans="1:5" ht="31.5">
      <c r="A1307" s="43">
        <v>5230</v>
      </c>
      <c r="B1307" s="44" t="s">
        <v>84</v>
      </c>
      <c r="C1307" s="83">
        <f>ROUNDDOWN((0.2*8)*100,2)-0.232</f>
        <v>159.768</v>
      </c>
      <c r="D1307" s="33"/>
    </row>
    <row r="1308" spans="1:5">
      <c r="A1308" s="129" t="s">
        <v>8</v>
      </c>
      <c r="B1308" s="130"/>
      <c r="C1308" s="82">
        <f>SUM(C1306:C1307)</f>
        <v>319.536</v>
      </c>
    </row>
    <row r="1309" spans="1:5" ht="16.899999999999999" customHeight="1">
      <c r="A1309" s="129" t="s">
        <v>9</v>
      </c>
      <c r="B1309" s="130"/>
      <c r="C1309" s="84">
        <f>C1308+C1304</f>
        <v>1506</v>
      </c>
      <c r="E1309" s="9"/>
    </row>
    <row r="1310" spans="1:5" ht="12.6" customHeight="1">
      <c r="A1310" s="16"/>
      <c r="B1310" s="16"/>
      <c r="C1310" s="17"/>
    </row>
    <row r="1311" spans="1:5">
      <c r="A1311" s="16"/>
      <c r="B1311" s="16"/>
      <c r="C1311" s="17"/>
    </row>
    <row r="1312" spans="1:5" ht="16.149999999999999" customHeight="1">
      <c r="A1312" s="135" t="s">
        <v>10</v>
      </c>
      <c r="B1312" s="136"/>
      <c r="C1312" s="87">
        <v>100</v>
      </c>
    </row>
    <row r="1313" spans="1:5" ht="31.9" customHeight="1">
      <c r="A1313" s="135" t="s">
        <v>85</v>
      </c>
      <c r="B1313" s="136"/>
      <c r="C1313" s="64">
        <f>ROUND(C1309/C1312,2)</f>
        <v>15.06</v>
      </c>
      <c r="D1313" s="26"/>
    </row>
    <row r="1316" spans="1:5">
      <c r="A1316" s="112" t="s">
        <v>0</v>
      </c>
      <c r="B1316" s="112"/>
      <c r="C1316" s="112"/>
      <c r="D1316" s="5"/>
      <c r="E1316" s="5"/>
    </row>
    <row r="1318" spans="1:5" ht="15.6" customHeight="1">
      <c r="A1318" s="113" t="s">
        <v>12</v>
      </c>
      <c r="B1318" s="113"/>
      <c r="C1318" s="113"/>
    </row>
    <row r="1319" spans="1:5" ht="34.15" customHeight="1">
      <c r="A1319" s="128" t="s">
        <v>263</v>
      </c>
      <c r="B1319" s="113"/>
      <c r="C1319" s="113"/>
    </row>
    <row r="1320" spans="1:5" ht="15.6" customHeight="1">
      <c r="A1320" s="113" t="s">
        <v>1</v>
      </c>
      <c r="B1320" s="113"/>
      <c r="C1320" s="113"/>
    </row>
    <row r="1321" spans="1:5">
      <c r="A1321" s="114" t="s">
        <v>17</v>
      </c>
      <c r="B1321" s="114"/>
    </row>
    <row r="1322" spans="1:5">
      <c r="A1322" s="40"/>
      <c r="B1322" s="40"/>
    </row>
    <row r="1323" spans="1:5" ht="78.75">
      <c r="A1323" s="43" t="s">
        <v>2</v>
      </c>
      <c r="B1323" s="43" t="s">
        <v>3</v>
      </c>
      <c r="C1323" s="43" t="s">
        <v>4</v>
      </c>
    </row>
    <row r="1324" spans="1:5">
      <c r="A1324" s="120" t="s">
        <v>5</v>
      </c>
      <c r="B1324" s="121"/>
      <c r="C1324" s="122"/>
      <c r="E1324" s="12"/>
    </row>
    <row r="1325" spans="1:5" ht="31.5">
      <c r="A1325" s="43">
        <v>1110</v>
      </c>
      <c r="B1325" s="44" t="s">
        <v>43</v>
      </c>
      <c r="C1325" s="45">
        <f>6.4*80</f>
        <v>512</v>
      </c>
      <c r="E1325" s="13"/>
    </row>
    <row r="1326" spans="1:5" ht="31.5">
      <c r="A1326" s="43">
        <v>1110</v>
      </c>
      <c r="B1326" s="44" t="s">
        <v>44</v>
      </c>
      <c r="C1326" s="45">
        <f>(20*(8/25))*80</f>
        <v>512</v>
      </c>
      <c r="E1326" s="13"/>
    </row>
    <row r="1327" spans="1:5" ht="31.5">
      <c r="A1327" s="43">
        <v>1110</v>
      </c>
      <c r="B1327" s="44" t="s">
        <v>45</v>
      </c>
      <c r="C1327" s="45">
        <f>6.4*80</f>
        <v>512</v>
      </c>
      <c r="E1327" s="13"/>
    </row>
    <row r="1328" spans="1:5" ht="31.5">
      <c r="A1328" s="43">
        <v>1210</v>
      </c>
      <c r="B1328" s="44" t="s">
        <v>62</v>
      </c>
      <c r="C1328" s="45">
        <f>(C1325+C1326+C1327)*0.2359</f>
        <v>362.3424</v>
      </c>
    </row>
    <row r="1329" spans="1:5">
      <c r="A1329" s="109" t="s">
        <v>6</v>
      </c>
      <c r="B1329" s="110"/>
      <c r="C1329" s="49">
        <f>SUM(C1325:C1328)</f>
        <v>1898.3424</v>
      </c>
    </row>
    <row r="1330" spans="1:5">
      <c r="A1330" s="109" t="s">
        <v>7</v>
      </c>
      <c r="B1330" s="111"/>
      <c r="C1330" s="110"/>
    </row>
    <row r="1331" spans="1:5" ht="31.5">
      <c r="A1331" s="43">
        <v>2230</v>
      </c>
      <c r="B1331" s="44" t="s">
        <v>46</v>
      </c>
      <c r="C1331" s="55">
        <f>ROUNDDOWN((140/25)*80,2)-0.26</f>
        <v>447.74</v>
      </c>
      <c r="D1331" s="19"/>
      <c r="E1331" s="9"/>
    </row>
    <row r="1332" spans="1:5" ht="31.9" customHeight="1">
      <c r="A1332" s="43">
        <v>2261</v>
      </c>
      <c r="B1332" s="44" t="s">
        <v>41</v>
      </c>
      <c r="C1332" s="55">
        <f>80/25*80</f>
        <v>256</v>
      </c>
    </row>
    <row r="1333" spans="1:5" ht="25.15" customHeight="1">
      <c r="A1333" s="43">
        <v>2311</v>
      </c>
      <c r="B1333" s="44" t="s">
        <v>116</v>
      </c>
      <c r="C1333" s="55">
        <f>34/25*80</f>
        <v>108.80000000000001</v>
      </c>
    </row>
    <row r="1334" spans="1:5" ht="51" customHeight="1">
      <c r="A1334" s="43">
        <v>2312</v>
      </c>
      <c r="B1334" s="44" t="s">
        <v>57</v>
      </c>
      <c r="C1334" s="55">
        <f>3.88*80</f>
        <v>310.39999999999998</v>
      </c>
    </row>
    <row r="1335" spans="1:5" ht="53.25" customHeight="1">
      <c r="A1335" s="43">
        <v>5220</v>
      </c>
      <c r="B1335" s="44" t="s">
        <v>34</v>
      </c>
      <c r="C1335" s="55">
        <f>90/25*80</f>
        <v>288</v>
      </c>
    </row>
    <row r="1336" spans="1:5" ht="37.5" customHeight="1">
      <c r="A1336" s="43">
        <v>5230</v>
      </c>
      <c r="B1336" s="44" t="s">
        <v>216</v>
      </c>
      <c r="C1336" s="58">
        <f>0.293*8*80</f>
        <v>187.51999999999998</v>
      </c>
    </row>
    <row r="1337" spans="1:5">
      <c r="A1337" s="120" t="s">
        <v>8</v>
      </c>
      <c r="B1337" s="122"/>
      <c r="C1337" s="70">
        <f>SUM(C1331:C1336)</f>
        <v>1598.46</v>
      </c>
    </row>
    <row r="1338" spans="1:5">
      <c r="A1338" s="120" t="s">
        <v>9</v>
      </c>
      <c r="B1338" s="122"/>
      <c r="C1338" s="70">
        <f>C1337+C1329</f>
        <v>3496.8024</v>
      </c>
    </row>
    <row r="1339" spans="1:5">
      <c r="C1339" s="2"/>
    </row>
    <row r="1340" spans="1:5">
      <c r="C1340" s="2"/>
    </row>
    <row r="1341" spans="1:5" ht="16.149999999999999" customHeight="1">
      <c r="A1341" s="115" t="s">
        <v>10</v>
      </c>
      <c r="B1341" s="116"/>
      <c r="C1341" s="63">
        <v>80</v>
      </c>
    </row>
    <row r="1342" spans="1:5" ht="31.9" customHeight="1">
      <c r="A1342" s="115" t="s">
        <v>85</v>
      </c>
      <c r="B1342" s="116"/>
      <c r="C1342" s="64">
        <f>ROUND(C1338/C1341,2)</f>
        <v>43.71</v>
      </c>
      <c r="D1342" s="26"/>
      <c r="E1342" s="12"/>
    </row>
    <row r="1345" spans="1:5">
      <c r="A1345" s="140" t="s">
        <v>0</v>
      </c>
      <c r="B1345" s="140"/>
      <c r="C1345" s="140"/>
      <c r="D1345" s="5"/>
      <c r="E1345" s="5"/>
    </row>
    <row r="1346" spans="1:5">
      <c r="A1346" s="16"/>
      <c r="B1346" s="16"/>
      <c r="C1346" s="16"/>
    </row>
    <row r="1347" spans="1:5" ht="15.6" customHeight="1">
      <c r="A1347" s="126" t="s">
        <v>12</v>
      </c>
      <c r="B1347" s="126"/>
      <c r="C1347" s="126"/>
    </row>
    <row r="1348" spans="1:5" ht="32.450000000000003" customHeight="1">
      <c r="A1348" s="126" t="s">
        <v>264</v>
      </c>
      <c r="B1348" s="126"/>
      <c r="C1348" s="126"/>
    </row>
    <row r="1349" spans="1:5" ht="15.6" customHeight="1">
      <c r="A1349" s="126" t="s">
        <v>1</v>
      </c>
      <c r="B1349" s="126"/>
      <c r="C1349" s="126"/>
    </row>
    <row r="1350" spans="1:5">
      <c r="A1350" s="141" t="s">
        <v>86</v>
      </c>
      <c r="B1350" s="141"/>
      <c r="C1350" s="16"/>
    </row>
    <row r="1351" spans="1:5">
      <c r="A1351" s="41"/>
      <c r="B1351" s="41"/>
      <c r="C1351" s="16"/>
    </row>
    <row r="1352" spans="1:5" ht="78.75">
      <c r="A1352" s="43" t="s">
        <v>2</v>
      </c>
      <c r="B1352" s="43" t="s">
        <v>3</v>
      </c>
      <c r="C1352" s="43" t="s">
        <v>4</v>
      </c>
    </row>
    <row r="1353" spans="1:5">
      <c r="A1353" s="129" t="s">
        <v>5</v>
      </c>
      <c r="B1353" s="131"/>
      <c r="C1353" s="130"/>
      <c r="E1353" s="12"/>
    </row>
    <row r="1354" spans="1:5" ht="31.5">
      <c r="A1354" s="43">
        <v>1110</v>
      </c>
      <c r="B1354" s="44" t="s">
        <v>43</v>
      </c>
      <c r="C1354" s="45">
        <f>6.4*100</f>
        <v>640</v>
      </c>
      <c r="E1354" s="13"/>
    </row>
    <row r="1355" spans="1:5" ht="31.5">
      <c r="A1355" s="43">
        <v>1110</v>
      </c>
      <c r="B1355" s="44" t="s">
        <v>44</v>
      </c>
      <c r="C1355" s="45">
        <f>(20*(8/25))*100</f>
        <v>640</v>
      </c>
      <c r="E1355" s="13"/>
    </row>
    <row r="1356" spans="1:5" ht="31.5">
      <c r="A1356" s="43">
        <v>1110</v>
      </c>
      <c r="B1356" s="44" t="s">
        <v>45</v>
      </c>
      <c r="C1356" s="45">
        <f>6.4*100</f>
        <v>640</v>
      </c>
      <c r="E1356" s="13"/>
    </row>
    <row r="1357" spans="1:5" ht="31.5">
      <c r="A1357" s="43">
        <v>1210</v>
      </c>
      <c r="B1357" s="46" t="s">
        <v>62</v>
      </c>
      <c r="C1357" s="47">
        <f>(C1354+C1355+C1356)*0.2359</f>
        <v>452.928</v>
      </c>
    </row>
    <row r="1358" spans="1:5">
      <c r="A1358" s="137" t="s">
        <v>6</v>
      </c>
      <c r="B1358" s="138"/>
      <c r="C1358" s="70">
        <f>SUM(C1354:C1357)</f>
        <v>2372.9279999999999</v>
      </c>
    </row>
    <row r="1359" spans="1:5">
      <c r="A1359" s="137" t="s">
        <v>7</v>
      </c>
      <c r="B1359" s="139"/>
      <c r="C1359" s="138"/>
    </row>
    <row r="1360" spans="1:5" ht="31.5">
      <c r="A1360" s="43">
        <v>2261</v>
      </c>
      <c r="B1360" s="44" t="s">
        <v>93</v>
      </c>
      <c r="C1360" s="76">
        <f>ROUNDUP((80/25)*100,2)+0.07</f>
        <v>320.07</v>
      </c>
      <c r="D1360" s="33"/>
      <c r="E1360" s="9"/>
    </row>
    <row r="1361" spans="1:5" ht="37.5" customHeight="1">
      <c r="A1361" s="43">
        <v>5230</v>
      </c>
      <c r="B1361" s="44" t="s">
        <v>84</v>
      </c>
      <c r="C1361" s="88">
        <f>ROUNDUP((0.2*8)*100,2)</f>
        <v>160</v>
      </c>
    </row>
    <row r="1362" spans="1:5" ht="17.45" customHeight="1">
      <c r="A1362" s="129" t="s">
        <v>8</v>
      </c>
      <c r="B1362" s="130"/>
      <c r="C1362" s="69">
        <f>SUM(C1360:C1361)</f>
        <v>480.07</v>
      </c>
    </row>
    <row r="1363" spans="1:5" ht="16.899999999999999" customHeight="1">
      <c r="A1363" s="129" t="s">
        <v>9</v>
      </c>
      <c r="B1363" s="130"/>
      <c r="C1363" s="70">
        <f>C1362+C1358</f>
        <v>2852.998</v>
      </c>
    </row>
    <row r="1364" spans="1:5" ht="8.4499999999999993" customHeight="1">
      <c r="A1364" s="16"/>
      <c r="B1364" s="16"/>
      <c r="C1364" s="17"/>
    </row>
    <row r="1365" spans="1:5" ht="9" customHeight="1">
      <c r="A1365" s="16"/>
      <c r="B1365" s="16"/>
      <c r="C1365" s="17"/>
    </row>
    <row r="1366" spans="1:5" ht="16.149999999999999" customHeight="1">
      <c r="A1366" s="135" t="s">
        <v>10</v>
      </c>
      <c r="B1366" s="136"/>
      <c r="C1366" s="87">
        <v>100</v>
      </c>
    </row>
    <row r="1367" spans="1:5" ht="34.15" customHeight="1">
      <c r="A1367" s="135" t="s">
        <v>85</v>
      </c>
      <c r="B1367" s="136"/>
      <c r="C1367" s="64">
        <f>ROUND(C1363/C1366,2)</f>
        <v>28.53</v>
      </c>
      <c r="D1367" s="2"/>
    </row>
    <row r="1370" spans="1:5">
      <c r="A1370" s="112" t="s">
        <v>0</v>
      </c>
      <c r="B1370" s="112"/>
      <c r="C1370" s="112"/>
      <c r="D1370" s="5"/>
      <c r="E1370" s="5"/>
    </row>
    <row r="1372" spans="1:5" ht="15.6" customHeight="1">
      <c r="A1372" s="113" t="s">
        <v>12</v>
      </c>
      <c r="B1372" s="113"/>
      <c r="C1372" s="113"/>
    </row>
    <row r="1373" spans="1:5" ht="30" customHeight="1">
      <c r="A1373" s="113" t="s">
        <v>265</v>
      </c>
      <c r="B1373" s="113"/>
      <c r="C1373" s="113"/>
    </row>
    <row r="1374" spans="1:5" ht="15.6" customHeight="1">
      <c r="A1374" s="113" t="s">
        <v>1</v>
      </c>
      <c r="B1374" s="113"/>
      <c r="C1374" s="113"/>
    </row>
    <row r="1375" spans="1:5">
      <c r="A1375" s="143" t="s">
        <v>19</v>
      </c>
      <c r="B1375" s="143"/>
    </row>
    <row r="1376" spans="1:5">
      <c r="A1376" s="93"/>
      <c r="B1376" s="93"/>
    </row>
    <row r="1377" spans="1:5" ht="92.25" customHeight="1">
      <c r="A1377" s="43" t="s">
        <v>2</v>
      </c>
      <c r="B1377" s="43" t="s">
        <v>3</v>
      </c>
      <c r="C1377" s="43" t="s">
        <v>4</v>
      </c>
    </row>
    <row r="1378" spans="1:5">
      <c r="A1378" s="120" t="s">
        <v>5</v>
      </c>
      <c r="B1378" s="121"/>
      <c r="C1378" s="122"/>
      <c r="D1378" s="9"/>
      <c r="E1378" s="9"/>
    </row>
    <row r="1379" spans="1:5" ht="36" customHeight="1">
      <c r="A1379" s="43">
        <v>1110</v>
      </c>
      <c r="B1379" s="44" t="s">
        <v>47</v>
      </c>
      <c r="C1379" s="55">
        <f>26.67*12</f>
        <v>320.04000000000002</v>
      </c>
      <c r="D1379" s="13"/>
      <c r="E1379" s="13"/>
    </row>
    <row r="1380" spans="1:5" ht="31.5">
      <c r="A1380" s="43">
        <v>1110</v>
      </c>
      <c r="B1380" s="44" t="s">
        <v>55</v>
      </c>
      <c r="C1380" s="55">
        <f>18.67*12</f>
        <v>224.04000000000002</v>
      </c>
      <c r="D1380" s="13"/>
      <c r="E1380" s="13"/>
    </row>
    <row r="1381" spans="1:5" ht="31.5">
      <c r="A1381" s="43">
        <v>1110</v>
      </c>
      <c r="B1381" s="44" t="s">
        <v>48</v>
      </c>
      <c r="C1381" s="55">
        <f>16.67*12</f>
        <v>200.04000000000002</v>
      </c>
      <c r="D1381" s="13"/>
      <c r="E1381" s="13"/>
    </row>
    <row r="1382" spans="1:5" ht="31.5">
      <c r="A1382" s="43">
        <v>1210</v>
      </c>
      <c r="B1382" s="46" t="s">
        <v>62</v>
      </c>
      <c r="C1382" s="76">
        <f>ROUNDUP((C1379+C1380+C1381)*0.2359,2)</f>
        <v>175.54</v>
      </c>
      <c r="D1382" s="2"/>
    </row>
    <row r="1383" spans="1:5">
      <c r="A1383" s="137" t="s">
        <v>6</v>
      </c>
      <c r="B1383" s="138"/>
      <c r="C1383" s="69">
        <f>SUM(C1379:C1382)</f>
        <v>919.66000000000008</v>
      </c>
      <c r="D1383" s="2"/>
    </row>
    <row r="1384" spans="1:5">
      <c r="A1384" s="137" t="s">
        <v>7</v>
      </c>
      <c r="B1384" s="139"/>
      <c r="C1384" s="138"/>
    </row>
    <row r="1385" spans="1:5" ht="34.5" customHeight="1">
      <c r="A1385" s="43">
        <v>2230</v>
      </c>
      <c r="B1385" s="44" t="s">
        <v>49</v>
      </c>
      <c r="C1385" s="76">
        <f>ROUNDUP((150/12)*12,2)+0.02</f>
        <v>150.02000000000001</v>
      </c>
      <c r="D1385" s="34"/>
      <c r="E1385" s="9"/>
    </row>
    <row r="1386" spans="1:5" ht="21.75" customHeight="1">
      <c r="A1386" s="43">
        <v>2261</v>
      </c>
      <c r="B1386" s="44" t="s">
        <v>40</v>
      </c>
      <c r="C1386" s="76">
        <f>ROUND((160/12)*12,2)</f>
        <v>160</v>
      </c>
    </row>
    <row r="1387" spans="1:5" ht="20.25" customHeight="1">
      <c r="A1387" s="43">
        <v>2311</v>
      </c>
      <c r="B1387" s="44" t="s">
        <v>35</v>
      </c>
      <c r="C1387" s="76">
        <f>(30/12)*12</f>
        <v>30</v>
      </c>
    </row>
    <row r="1388" spans="1:5" ht="48" customHeight="1">
      <c r="A1388" s="43">
        <v>2312</v>
      </c>
      <c r="B1388" s="44" t="s">
        <v>56</v>
      </c>
      <c r="C1388" s="76">
        <f>(122/12)*12</f>
        <v>122</v>
      </c>
      <c r="E1388" s="9"/>
    </row>
    <row r="1389" spans="1:5" ht="33.6" customHeight="1">
      <c r="A1389" s="43">
        <v>5220</v>
      </c>
      <c r="B1389" s="44" t="s">
        <v>50</v>
      </c>
      <c r="C1389" s="76">
        <f>ROUNDUP(6.67*12,2)</f>
        <v>80.040000000000006</v>
      </c>
    </row>
    <row r="1390" spans="1:5" ht="31.5">
      <c r="A1390" s="43">
        <v>5230</v>
      </c>
      <c r="B1390" s="44" t="s">
        <v>217</v>
      </c>
      <c r="C1390" s="55">
        <f>0.2*16*12</f>
        <v>38.400000000000006</v>
      </c>
    </row>
    <row r="1391" spans="1:5">
      <c r="A1391" s="106" t="s">
        <v>8</v>
      </c>
      <c r="B1391" s="108"/>
      <c r="C1391" s="56">
        <f>SUM(C1385:C1390)</f>
        <v>580.45999999999992</v>
      </c>
    </row>
    <row r="1392" spans="1:5">
      <c r="A1392" s="106" t="s">
        <v>9</v>
      </c>
      <c r="B1392" s="108"/>
      <c r="C1392" s="49">
        <f>C1391+C1383</f>
        <v>1500.12</v>
      </c>
    </row>
    <row r="1393" spans="1:5">
      <c r="B1393" s="7"/>
      <c r="C1393" s="21"/>
    </row>
    <row r="1394" spans="1:5">
      <c r="C1394" s="2"/>
    </row>
    <row r="1395" spans="1:5" ht="16.149999999999999" customHeight="1">
      <c r="A1395" s="115" t="s">
        <v>10</v>
      </c>
      <c r="B1395" s="116"/>
      <c r="C1395" s="63">
        <v>12</v>
      </c>
    </row>
    <row r="1396" spans="1:5" ht="34.9" customHeight="1">
      <c r="A1396" s="115" t="s">
        <v>11</v>
      </c>
      <c r="B1396" s="116"/>
      <c r="C1396" s="65">
        <f>ROUND(C1392/C1395,2)</f>
        <v>125.01</v>
      </c>
      <c r="E1396" s="12"/>
    </row>
    <row r="1399" spans="1:5">
      <c r="A1399" s="112" t="s">
        <v>0</v>
      </c>
      <c r="B1399" s="112"/>
      <c r="C1399" s="112"/>
      <c r="D1399" s="5"/>
      <c r="E1399" s="5"/>
    </row>
    <row r="1401" spans="1:5" ht="15.6" customHeight="1">
      <c r="A1401" s="113" t="s">
        <v>12</v>
      </c>
      <c r="B1401" s="113"/>
      <c r="C1401" s="113"/>
    </row>
    <row r="1402" spans="1:5" ht="33.6" customHeight="1">
      <c r="A1402" s="113" t="s">
        <v>266</v>
      </c>
      <c r="B1402" s="113"/>
      <c r="C1402" s="113"/>
    </row>
    <row r="1403" spans="1:5" ht="15.6" customHeight="1">
      <c r="A1403" s="113" t="s">
        <v>1</v>
      </c>
      <c r="B1403" s="113"/>
      <c r="C1403" s="113"/>
    </row>
    <row r="1404" spans="1:5">
      <c r="A1404" s="102" t="s">
        <v>23</v>
      </c>
      <c r="B1404" s="102"/>
    </row>
    <row r="1405" spans="1:5">
      <c r="A1405" s="39"/>
      <c r="B1405" s="39"/>
    </row>
    <row r="1406" spans="1:5" ht="78.75">
      <c r="A1406" s="43" t="s">
        <v>2</v>
      </c>
      <c r="B1406" s="43" t="s">
        <v>3</v>
      </c>
      <c r="C1406" s="43" t="s">
        <v>4</v>
      </c>
    </row>
    <row r="1407" spans="1:5">
      <c r="A1407" s="120" t="s">
        <v>5</v>
      </c>
      <c r="B1407" s="121"/>
      <c r="C1407" s="122"/>
      <c r="D1407" s="12"/>
    </row>
    <row r="1408" spans="1:5">
      <c r="A1408" s="43">
        <v>1110</v>
      </c>
      <c r="B1408" s="44" t="s">
        <v>94</v>
      </c>
      <c r="C1408" s="55">
        <f>600*1</f>
        <v>600</v>
      </c>
      <c r="D1408" s="13"/>
    </row>
    <row r="1409" spans="1:5" ht="31.5">
      <c r="A1409" s="43">
        <v>1210</v>
      </c>
      <c r="B1409" s="46" t="s">
        <v>62</v>
      </c>
      <c r="C1409" s="55">
        <f>C1408*0.2359</f>
        <v>141.54</v>
      </c>
      <c r="D1409" s="2"/>
    </row>
    <row r="1410" spans="1:5">
      <c r="A1410" s="129" t="s">
        <v>6</v>
      </c>
      <c r="B1410" s="130"/>
      <c r="C1410" s="69">
        <f>SUM(C1408:C1409)</f>
        <v>741.54</v>
      </c>
    </row>
    <row r="1411" spans="1:5">
      <c r="A1411" s="129" t="s">
        <v>7</v>
      </c>
      <c r="B1411" s="131"/>
      <c r="C1411" s="130"/>
    </row>
    <row r="1412" spans="1:5">
      <c r="A1412" s="48">
        <v>2261</v>
      </c>
      <c r="B1412" s="57" t="s">
        <v>95</v>
      </c>
      <c r="C1412" s="55">
        <f>10*3</f>
        <v>30</v>
      </c>
    </row>
    <row r="1413" spans="1:5" ht="27.75" customHeight="1">
      <c r="A1413" s="43">
        <v>5230</v>
      </c>
      <c r="B1413" s="44" t="s">
        <v>96</v>
      </c>
      <c r="C1413" s="55">
        <f>0.2*3</f>
        <v>0.60000000000000009</v>
      </c>
    </row>
    <row r="1414" spans="1:5">
      <c r="A1414" s="120" t="s">
        <v>8</v>
      </c>
      <c r="B1414" s="122"/>
      <c r="C1414" s="69">
        <f>SUM(C1412:C1413)</f>
        <v>30.6</v>
      </c>
    </row>
    <row r="1415" spans="1:5">
      <c r="A1415" s="120" t="s">
        <v>9</v>
      </c>
      <c r="B1415" s="122"/>
      <c r="C1415" s="69">
        <f>C1414+C1410</f>
        <v>772.14</v>
      </c>
    </row>
    <row r="1416" spans="1:5">
      <c r="C1416" s="2"/>
    </row>
    <row r="1417" spans="1:5">
      <c r="C1417" s="2"/>
    </row>
    <row r="1418" spans="1:5" ht="16.149999999999999" customHeight="1">
      <c r="A1418" s="115" t="s">
        <v>10</v>
      </c>
      <c r="B1418" s="116"/>
      <c r="C1418" s="63">
        <v>1</v>
      </c>
    </row>
    <row r="1419" spans="1:5" ht="33.6" customHeight="1">
      <c r="A1419" s="115" t="s">
        <v>11</v>
      </c>
      <c r="B1419" s="116"/>
      <c r="C1419" s="65">
        <f>ROUND(C1415/C1418,2)</f>
        <v>772.14</v>
      </c>
      <c r="D1419" s="3"/>
    </row>
    <row r="1422" spans="1:5">
      <c r="A1422" s="112" t="s">
        <v>0</v>
      </c>
      <c r="B1422" s="112"/>
      <c r="C1422" s="112"/>
      <c r="D1422" s="5"/>
      <c r="E1422" s="5"/>
    </row>
    <row r="1424" spans="1:5" ht="15.6" customHeight="1">
      <c r="A1424" s="113" t="s">
        <v>12</v>
      </c>
      <c r="B1424" s="113"/>
      <c r="C1424" s="113"/>
    </row>
    <row r="1425" spans="1:4" ht="34.5" customHeight="1">
      <c r="A1425" s="113" t="s">
        <v>267</v>
      </c>
      <c r="B1425" s="113"/>
      <c r="C1425" s="113"/>
    </row>
    <row r="1426" spans="1:4" ht="15.6" customHeight="1">
      <c r="A1426" s="113" t="s">
        <v>1</v>
      </c>
      <c r="B1426" s="113"/>
      <c r="C1426" s="113"/>
    </row>
    <row r="1427" spans="1:4">
      <c r="A1427" s="102" t="s">
        <v>23</v>
      </c>
      <c r="B1427" s="102"/>
    </row>
    <row r="1428" spans="1:4">
      <c r="A1428" s="39"/>
      <c r="B1428" s="39"/>
    </row>
    <row r="1429" spans="1:4" ht="92.25" customHeight="1">
      <c r="A1429" s="43" t="s">
        <v>2</v>
      </c>
      <c r="B1429" s="43" t="s">
        <v>3</v>
      </c>
      <c r="C1429" s="43" t="s">
        <v>4</v>
      </c>
    </row>
    <row r="1430" spans="1:4">
      <c r="A1430" s="120" t="s">
        <v>5</v>
      </c>
      <c r="B1430" s="121"/>
      <c r="C1430" s="122"/>
      <c r="D1430" s="9"/>
    </row>
    <row r="1431" spans="1:4" ht="31.9" customHeight="1">
      <c r="A1431" s="43">
        <v>1110</v>
      </c>
      <c r="B1431" s="44" t="s">
        <v>51</v>
      </c>
      <c r="C1431" s="55">
        <f>400*1</f>
        <v>400</v>
      </c>
      <c r="D1431" s="13"/>
    </row>
    <row r="1432" spans="1:4" ht="31.5">
      <c r="A1432" s="43">
        <v>1210</v>
      </c>
      <c r="B1432" s="46" t="s">
        <v>62</v>
      </c>
      <c r="C1432" s="55">
        <f>C1431*0.2359</f>
        <v>94.36</v>
      </c>
      <c r="D1432" s="2"/>
    </row>
    <row r="1433" spans="1:4">
      <c r="A1433" s="129" t="s">
        <v>6</v>
      </c>
      <c r="B1433" s="130"/>
      <c r="C1433" s="69">
        <f>SUM(C1431:C1432)</f>
        <v>494.36</v>
      </c>
    </row>
    <row r="1434" spans="1:4">
      <c r="A1434" s="129" t="s">
        <v>7</v>
      </c>
      <c r="B1434" s="131"/>
      <c r="C1434" s="130"/>
    </row>
    <row r="1435" spans="1:4">
      <c r="A1435" s="48">
        <v>2261</v>
      </c>
      <c r="B1435" s="44" t="s">
        <v>39</v>
      </c>
      <c r="C1435" s="76">
        <f>20*1</f>
        <v>20</v>
      </c>
    </row>
    <row r="1436" spans="1:4" ht="30.6" customHeight="1">
      <c r="A1436" s="43">
        <v>5230</v>
      </c>
      <c r="B1436" s="44" t="s">
        <v>97</v>
      </c>
      <c r="C1436" s="55">
        <f>0.2*2</f>
        <v>0.4</v>
      </c>
    </row>
    <row r="1437" spans="1:4">
      <c r="A1437" s="120" t="s">
        <v>8</v>
      </c>
      <c r="B1437" s="122"/>
      <c r="C1437" s="69">
        <f>SUM(C1435:C1436)</f>
        <v>20.399999999999999</v>
      </c>
    </row>
    <row r="1438" spans="1:4">
      <c r="A1438" s="120" t="s">
        <v>9</v>
      </c>
      <c r="B1438" s="122"/>
      <c r="C1438" s="69">
        <f>C1437+C1433</f>
        <v>514.76</v>
      </c>
    </row>
    <row r="1439" spans="1:4">
      <c r="C1439" s="2"/>
    </row>
    <row r="1440" spans="1:4">
      <c r="C1440" s="2"/>
    </row>
    <row r="1441" spans="1:5" ht="16.149999999999999" customHeight="1">
      <c r="A1441" s="115" t="s">
        <v>10</v>
      </c>
      <c r="B1441" s="116"/>
      <c r="C1441" s="63">
        <v>1</v>
      </c>
    </row>
    <row r="1442" spans="1:5" ht="30.6" customHeight="1">
      <c r="A1442" s="115" t="s">
        <v>11</v>
      </c>
      <c r="B1442" s="116"/>
      <c r="C1442" s="65">
        <f>ROUND(C1438/C1441,2)</f>
        <v>514.76</v>
      </c>
      <c r="D1442" s="12"/>
    </row>
    <row r="1445" spans="1:5">
      <c r="A1445" s="112" t="s">
        <v>0</v>
      </c>
      <c r="B1445" s="112"/>
      <c r="C1445" s="112"/>
      <c r="D1445" s="5"/>
      <c r="E1445" s="5"/>
    </row>
    <row r="1447" spans="1:5" ht="15.6" customHeight="1">
      <c r="A1447" s="113" t="s">
        <v>12</v>
      </c>
      <c r="B1447" s="113"/>
      <c r="C1447" s="113"/>
    </row>
    <row r="1448" spans="1:5" ht="32.450000000000003" customHeight="1">
      <c r="A1448" s="113" t="s">
        <v>268</v>
      </c>
      <c r="B1448" s="113"/>
      <c r="C1448" s="113"/>
    </row>
    <row r="1449" spans="1:5" ht="15.6" customHeight="1">
      <c r="A1449" s="113" t="s">
        <v>1</v>
      </c>
      <c r="B1449" s="113"/>
      <c r="C1449" s="113"/>
    </row>
    <row r="1450" spans="1:5">
      <c r="A1450" s="102" t="s">
        <v>24</v>
      </c>
      <c r="B1450" s="102"/>
    </row>
    <row r="1451" spans="1:5">
      <c r="A1451" s="39"/>
      <c r="B1451" s="39"/>
    </row>
    <row r="1452" spans="1:5" ht="88.5" customHeight="1">
      <c r="A1452" s="43" t="s">
        <v>2</v>
      </c>
      <c r="B1452" s="43" t="s">
        <v>3</v>
      </c>
      <c r="C1452" s="43" t="s">
        <v>4</v>
      </c>
    </row>
    <row r="1453" spans="1:5">
      <c r="A1453" s="120" t="s">
        <v>5</v>
      </c>
      <c r="B1453" s="121"/>
      <c r="C1453" s="122"/>
      <c r="D1453" s="9"/>
    </row>
    <row r="1454" spans="1:5" ht="33" customHeight="1">
      <c r="A1454" s="43">
        <v>1110</v>
      </c>
      <c r="B1454" s="44" t="s">
        <v>98</v>
      </c>
      <c r="C1454" s="45">
        <f>200*11</f>
        <v>2200</v>
      </c>
      <c r="D1454" s="13"/>
    </row>
    <row r="1455" spans="1:5" ht="39" customHeight="1">
      <c r="A1455" s="43">
        <v>1110</v>
      </c>
      <c r="B1455" s="44" t="s">
        <v>99</v>
      </c>
      <c r="C1455" s="45">
        <f>8*11</f>
        <v>88</v>
      </c>
      <c r="D1455" s="13"/>
    </row>
    <row r="1456" spans="1:5" ht="36" customHeight="1">
      <c r="A1456" s="43">
        <v>1210</v>
      </c>
      <c r="B1456" s="46" t="s">
        <v>62</v>
      </c>
      <c r="C1456" s="45">
        <f>ROUNDUP((C1454+C1455)*0.2359,2)</f>
        <v>539.74</v>
      </c>
      <c r="D1456" s="13"/>
    </row>
    <row r="1457" spans="1:4">
      <c r="A1457" s="137" t="s">
        <v>6</v>
      </c>
      <c r="B1457" s="138"/>
      <c r="C1457" s="70">
        <f>SUM(C1454:C1456)</f>
        <v>2827.74</v>
      </c>
    </row>
    <row r="1458" spans="1:4">
      <c r="A1458" s="137" t="s">
        <v>7</v>
      </c>
      <c r="B1458" s="139"/>
      <c r="C1458" s="138"/>
    </row>
    <row r="1459" spans="1:4" ht="31.5">
      <c r="A1459" s="43">
        <v>2230</v>
      </c>
      <c r="B1459" s="89" t="s">
        <v>100</v>
      </c>
      <c r="C1459" s="76">
        <f>ROUNDUP(10*11,2)+0.03</f>
        <v>110.03</v>
      </c>
      <c r="D1459" s="35"/>
    </row>
    <row r="1460" spans="1:4" ht="37.5" customHeight="1">
      <c r="A1460" s="43">
        <v>2261</v>
      </c>
      <c r="B1460" s="44" t="s">
        <v>101</v>
      </c>
      <c r="C1460" s="76">
        <f>8*11</f>
        <v>88</v>
      </c>
    </row>
    <row r="1461" spans="1:4" ht="20.25" customHeight="1">
      <c r="A1461" s="43">
        <v>2311</v>
      </c>
      <c r="B1461" s="89" t="s">
        <v>102</v>
      </c>
      <c r="C1461" s="76">
        <f>(30/10)*11</f>
        <v>33</v>
      </c>
    </row>
    <row r="1462" spans="1:4" ht="53.25" customHeight="1">
      <c r="A1462" s="43">
        <v>2312</v>
      </c>
      <c r="B1462" s="90" t="s">
        <v>103</v>
      </c>
      <c r="C1462" s="76">
        <f>(112/10)*11</f>
        <v>123.19999999999999</v>
      </c>
      <c r="D1462" s="9"/>
    </row>
    <row r="1463" spans="1:4" ht="53.25" customHeight="1">
      <c r="A1463" s="43">
        <v>5220</v>
      </c>
      <c r="B1463" s="89" t="s">
        <v>104</v>
      </c>
      <c r="C1463" s="76">
        <f>(106/10)*11</f>
        <v>116.6</v>
      </c>
    </row>
    <row r="1464" spans="1:4" ht="38.25" customHeight="1">
      <c r="A1464" s="43">
        <v>5230</v>
      </c>
      <c r="B1464" s="57" t="s">
        <v>105</v>
      </c>
      <c r="C1464" s="76">
        <f>(0.3*8)*11</f>
        <v>26.4</v>
      </c>
    </row>
    <row r="1465" spans="1:4">
      <c r="A1465" s="120" t="s">
        <v>8</v>
      </c>
      <c r="B1465" s="122"/>
      <c r="C1465" s="69">
        <f>SUM(C1459:C1464)</f>
        <v>497.23</v>
      </c>
    </row>
    <row r="1466" spans="1:4">
      <c r="A1466" s="120" t="s">
        <v>9</v>
      </c>
      <c r="B1466" s="122"/>
      <c r="C1466" s="70">
        <f>C1465+C1457</f>
        <v>3324.97</v>
      </c>
    </row>
    <row r="1467" spans="1:4">
      <c r="C1467" s="2"/>
    </row>
    <row r="1468" spans="1:4">
      <c r="C1468" s="2"/>
    </row>
    <row r="1469" spans="1:4" ht="16.149999999999999" customHeight="1">
      <c r="A1469" s="115" t="s">
        <v>10</v>
      </c>
      <c r="B1469" s="116"/>
      <c r="C1469" s="63">
        <v>11</v>
      </c>
    </row>
    <row r="1470" spans="1:4" ht="33.6" customHeight="1">
      <c r="A1470" s="115" t="s">
        <v>11</v>
      </c>
      <c r="B1470" s="116"/>
      <c r="C1470" s="65">
        <f>ROUND(C1466/C1469,2)</f>
        <v>302.27</v>
      </c>
      <c r="D1470" s="12"/>
    </row>
    <row r="1473" spans="1:5">
      <c r="A1473" s="112" t="s">
        <v>0</v>
      </c>
      <c r="B1473" s="112"/>
      <c r="C1473" s="112"/>
      <c r="D1473" s="5"/>
      <c r="E1473" s="5"/>
    </row>
    <row r="1475" spans="1:5" ht="15.6" customHeight="1">
      <c r="A1475" s="113" t="s">
        <v>12</v>
      </c>
      <c r="B1475" s="113"/>
      <c r="C1475" s="113"/>
    </row>
    <row r="1476" spans="1:5" ht="31.9" customHeight="1">
      <c r="A1476" s="113" t="s">
        <v>269</v>
      </c>
      <c r="B1476" s="113"/>
      <c r="C1476" s="113"/>
    </row>
    <row r="1477" spans="1:5" ht="15.6" customHeight="1">
      <c r="A1477" s="113" t="s">
        <v>1</v>
      </c>
      <c r="B1477" s="113"/>
      <c r="C1477" s="113"/>
    </row>
    <row r="1478" spans="1:5">
      <c r="A1478" s="102" t="s">
        <v>16</v>
      </c>
      <c r="B1478" s="102"/>
    </row>
    <row r="1479" spans="1:5">
      <c r="A1479" s="39"/>
      <c r="B1479" s="39"/>
    </row>
    <row r="1480" spans="1:5" ht="87" customHeight="1">
      <c r="A1480" s="43" t="s">
        <v>2</v>
      </c>
      <c r="B1480" s="43" t="s">
        <v>3</v>
      </c>
      <c r="C1480" s="43" t="s">
        <v>4</v>
      </c>
    </row>
    <row r="1481" spans="1:5">
      <c r="A1481" s="120" t="s">
        <v>5</v>
      </c>
      <c r="B1481" s="121"/>
      <c r="C1481" s="122"/>
      <c r="D1481" s="9"/>
    </row>
    <row r="1482" spans="1:5" ht="35.25" customHeight="1">
      <c r="A1482" s="43">
        <v>1110</v>
      </c>
      <c r="B1482" s="57" t="s">
        <v>106</v>
      </c>
      <c r="C1482" s="55">
        <f>1200/13*5</f>
        <v>461.53846153846155</v>
      </c>
      <c r="D1482" s="18"/>
    </row>
    <row r="1483" spans="1:5" ht="33" customHeight="1">
      <c r="A1483" s="43">
        <v>1210</v>
      </c>
      <c r="B1483" s="46" t="s">
        <v>62</v>
      </c>
      <c r="C1483" s="76">
        <f>ROUNDDOWN((C1482)*0.2359,2)-0.001</f>
        <v>108.869</v>
      </c>
      <c r="D1483" s="36"/>
    </row>
    <row r="1484" spans="1:5">
      <c r="A1484" s="137" t="s">
        <v>6</v>
      </c>
      <c r="B1484" s="138"/>
      <c r="C1484" s="69">
        <f>SUM(C1482:C1483)</f>
        <v>570.40746153846158</v>
      </c>
      <c r="D1484" s="13"/>
    </row>
    <row r="1485" spans="1:5">
      <c r="A1485" s="137" t="s">
        <v>7</v>
      </c>
      <c r="B1485" s="139"/>
      <c r="C1485" s="138"/>
    </row>
    <row r="1486" spans="1:5" ht="31.5">
      <c r="A1486" s="43">
        <v>2230</v>
      </c>
      <c r="B1486" s="89" t="s">
        <v>107</v>
      </c>
      <c r="C1486" s="76">
        <f>25/13*5</f>
        <v>9.615384615384615</v>
      </c>
    </row>
    <row r="1487" spans="1:5" ht="31.5">
      <c r="A1487" s="43">
        <v>2261</v>
      </c>
      <c r="B1487" s="57" t="s">
        <v>108</v>
      </c>
      <c r="C1487" s="76">
        <f>60/13*5</f>
        <v>23.076923076923073</v>
      </c>
      <c r="D1487" s="12"/>
    </row>
    <row r="1488" spans="1:5" ht="18.75" customHeight="1">
      <c r="A1488" s="43">
        <v>5230</v>
      </c>
      <c r="B1488" s="57" t="s">
        <v>84</v>
      </c>
      <c r="C1488" s="76">
        <f>0.2*4*5</f>
        <v>4</v>
      </c>
    </row>
    <row r="1489" spans="1:5">
      <c r="A1489" s="120" t="s">
        <v>8</v>
      </c>
      <c r="B1489" s="122"/>
      <c r="C1489" s="69">
        <f>SUM(C1486:C1488)</f>
        <v>36.692307692307686</v>
      </c>
    </row>
    <row r="1490" spans="1:5">
      <c r="A1490" s="120" t="s">
        <v>9</v>
      </c>
      <c r="B1490" s="122"/>
      <c r="C1490" s="69">
        <f>C1489+C1484</f>
        <v>607.09976923076931</v>
      </c>
      <c r="D1490" s="9"/>
    </row>
    <row r="1491" spans="1:5" ht="9" customHeight="1">
      <c r="C1491" s="2"/>
    </row>
    <row r="1492" spans="1:5">
      <c r="C1492" s="2"/>
    </row>
    <row r="1493" spans="1:5" ht="16.149999999999999" customHeight="1">
      <c r="A1493" s="115" t="s">
        <v>10</v>
      </c>
      <c r="B1493" s="116"/>
      <c r="C1493" s="63">
        <v>5</v>
      </c>
    </row>
    <row r="1494" spans="1:5" ht="31.9" customHeight="1">
      <c r="A1494" s="115" t="s">
        <v>11</v>
      </c>
      <c r="B1494" s="116"/>
      <c r="C1494" s="65">
        <f>ROUND(C1490/C1493,2)</f>
        <v>121.42</v>
      </c>
      <c r="D1494" s="26"/>
    </row>
    <row r="1497" spans="1:5">
      <c r="A1497" s="140" t="s">
        <v>0</v>
      </c>
      <c r="B1497" s="140"/>
      <c r="C1497" s="140"/>
      <c r="D1497" s="5"/>
      <c r="E1497" s="5"/>
    </row>
    <row r="1498" spans="1:5">
      <c r="A1498" s="16"/>
      <c r="B1498" s="16"/>
      <c r="C1498" s="16"/>
    </row>
    <row r="1499" spans="1:5" ht="15.6" customHeight="1">
      <c r="A1499" s="126" t="s">
        <v>12</v>
      </c>
      <c r="B1499" s="126"/>
      <c r="C1499" s="126"/>
    </row>
    <row r="1500" spans="1:5" ht="15.6" customHeight="1">
      <c r="A1500" s="145" t="s">
        <v>270</v>
      </c>
      <c r="B1500" s="146"/>
      <c r="C1500" s="146"/>
    </row>
    <row r="1501" spans="1:5" ht="15.6" customHeight="1">
      <c r="A1501" s="126" t="s">
        <v>1</v>
      </c>
      <c r="B1501" s="126"/>
      <c r="C1501" s="126"/>
    </row>
    <row r="1502" spans="1:5">
      <c r="A1502" s="147" t="s">
        <v>109</v>
      </c>
      <c r="B1502" s="147"/>
      <c r="C1502" s="16"/>
    </row>
    <row r="1503" spans="1:5">
      <c r="A1503" s="42"/>
      <c r="B1503" s="42"/>
      <c r="C1503" s="16"/>
    </row>
    <row r="1504" spans="1:5" ht="87" customHeight="1">
      <c r="A1504" s="43" t="s">
        <v>2</v>
      </c>
      <c r="B1504" s="43" t="s">
        <v>3</v>
      </c>
      <c r="C1504" s="79" t="s">
        <v>4</v>
      </c>
    </row>
    <row r="1505" spans="1:4">
      <c r="A1505" s="144" t="s">
        <v>5</v>
      </c>
      <c r="B1505" s="144"/>
      <c r="C1505" s="144"/>
      <c r="D1505" s="9"/>
    </row>
    <row r="1506" spans="1:4" ht="35.25" customHeight="1">
      <c r="A1506" s="43">
        <v>1110</v>
      </c>
      <c r="B1506" s="57" t="s">
        <v>110</v>
      </c>
      <c r="C1506" s="55">
        <f>800/5*2</f>
        <v>320</v>
      </c>
      <c r="D1506" s="13"/>
    </row>
    <row r="1507" spans="1:4" ht="33" customHeight="1">
      <c r="A1507" s="43">
        <v>1210</v>
      </c>
      <c r="B1507" s="46" t="s">
        <v>111</v>
      </c>
      <c r="C1507" s="76">
        <f>ROUNDUP((C1506)*0.2359,1)</f>
        <v>75.5</v>
      </c>
      <c r="D1507" s="13"/>
    </row>
    <row r="1508" spans="1:4">
      <c r="A1508" s="137" t="s">
        <v>6</v>
      </c>
      <c r="B1508" s="138"/>
      <c r="C1508" s="82">
        <f>SUM(C1506:C1507)</f>
        <v>395.5</v>
      </c>
      <c r="D1508" s="13"/>
    </row>
    <row r="1509" spans="1:4">
      <c r="A1509" s="137" t="s">
        <v>7</v>
      </c>
      <c r="B1509" s="139"/>
      <c r="C1509" s="138"/>
    </row>
    <row r="1510" spans="1:4" ht="31.5">
      <c r="A1510" s="43">
        <v>2230</v>
      </c>
      <c r="B1510" s="90" t="s">
        <v>112</v>
      </c>
      <c r="C1510" s="55">
        <f>37.5/5*2</f>
        <v>15</v>
      </c>
    </row>
    <row r="1511" spans="1:4" ht="19.899999999999999" customHeight="1">
      <c r="A1511" s="43">
        <v>2261</v>
      </c>
      <c r="B1511" s="57" t="s">
        <v>113</v>
      </c>
      <c r="C1511" s="80">
        <f>40/5*2</f>
        <v>16</v>
      </c>
      <c r="D1511" s="12"/>
    </row>
    <row r="1512" spans="1:4" ht="19.899999999999999" customHeight="1">
      <c r="A1512" s="43">
        <v>5230</v>
      </c>
      <c r="B1512" s="57" t="s">
        <v>84</v>
      </c>
      <c r="C1512" s="81">
        <f>0.2*4*2</f>
        <v>1.6</v>
      </c>
    </row>
    <row r="1513" spans="1:4" ht="19.899999999999999" customHeight="1">
      <c r="A1513" s="129" t="s">
        <v>8</v>
      </c>
      <c r="B1513" s="130"/>
      <c r="C1513" s="82">
        <f>SUM(C1510:C1512)</f>
        <v>32.6</v>
      </c>
    </row>
    <row r="1514" spans="1:4" ht="19.899999999999999" customHeight="1">
      <c r="A1514" s="129" t="s">
        <v>9</v>
      </c>
      <c r="B1514" s="130"/>
      <c r="C1514" s="82">
        <f>C1513+C1508</f>
        <v>428.1</v>
      </c>
      <c r="D1514" s="9"/>
    </row>
    <row r="1515" spans="1:4" ht="6.6" customHeight="1">
      <c r="A1515" s="16"/>
      <c r="B1515" s="16"/>
      <c r="C1515" s="17"/>
    </row>
    <row r="1516" spans="1:4">
      <c r="A1516" s="16"/>
      <c r="B1516" s="16"/>
      <c r="C1516" s="17"/>
    </row>
    <row r="1517" spans="1:4" ht="16.149999999999999" customHeight="1">
      <c r="A1517" s="135" t="s">
        <v>10</v>
      </c>
      <c r="B1517" s="136"/>
      <c r="C1517" s="87">
        <v>2</v>
      </c>
    </row>
    <row r="1518" spans="1:4" ht="30.6" customHeight="1">
      <c r="A1518" s="135" t="s">
        <v>11</v>
      </c>
      <c r="B1518" s="136"/>
      <c r="C1518" s="91">
        <f>ROUND(C1514/C1517,2)</f>
        <v>214.05</v>
      </c>
      <c r="D1518" s="2"/>
    </row>
    <row r="1521" spans="1:5">
      <c r="A1521" s="112" t="s">
        <v>0</v>
      </c>
      <c r="B1521" s="112"/>
      <c r="C1521" s="112"/>
      <c r="D1521" s="5"/>
      <c r="E1521" s="5"/>
    </row>
    <row r="1523" spans="1:5" ht="15.6" customHeight="1">
      <c r="A1523" s="113" t="s">
        <v>12</v>
      </c>
      <c r="B1523" s="113"/>
      <c r="C1523" s="113"/>
    </row>
    <row r="1524" spans="1:5" ht="33" customHeight="1">
      <c r="A1524" s="113" t="s">
        <v>271</v>
      </c>
      <c r="B1524" s="113"/>
      <c r="C1524" s="113"/>
    </row>
    <row r="1525" spans="1:5" ht="15.6" customHeight="1">
      <c r="A1525" s="113" t="s">
        <v>1</v>
      </c>
      <c r="B1525" s="113"/>
      <c r="C1525" s="113"/>
    </row>
    <row r="1526" spans="1:5">
      <c r="A1526" s="102" t="s">
        <v>114</v>
      </c>
      <c r="B1526" s="102"/>
    </row>
    <row r="1527" spans="1:5">
      <c r="A1527" s="39"/>
      <c r="B1527" s="39"/>
    </row>
    <row r="1528" spans="1:5" ht="90.75" customHeight="1">
      <c r="A1528" s="43" t="s">
        <v>2</v>
      </c>
      <c r="B1528" s="43" t="s">
        <v>3</v>
      </c>
      <c r="C1528" s="43" t="s">
        <v>4</v>
      </c>
    </row>
    <row r="1529" spans="1:5">
      <c r="A1529" s="120" t="s">
        <v>5</v>
      </c>
      <c r="B1529" s="121"/>
      <c r="C1529" s="122"/>
    </row>
    <row r="1530" spans="1:5" ht="31.5">
      <c r="A1530" s="43">
        <v>2230</v>
      </c>
      <c r="B1530" s="57" t="s">
        <v>58</v>
      </c>
      <c r="C1530" s="45">
        <f>1.15*40000</f>
        <v>46000</v>
      </c>
      <c r="D1530" s="2"/>
    </row>
    <row r="1531" spans="1:5">
      <c r="A1531" s="129" t="s">
        <v>6</v>
      </c>
      <c r="B1531" s="130"/>
      <c r="C1531" s="70">
        <f>SUM(C1530:C1530)</f>
        <v>46000</v>
      </c>
    </row>
    <row r="1532" spans="1:5" ht="15.6" customHeight="1">
      <c r="A1532" s="129" t="s">
        <v>7</v>
      </c>
      <c r="B1532" s="131"/>
      <c r="C1532" s="130"/>
    </row>
    <row r="1533" spans="1:5">
      <c r="A1533" s="43"/>
      <c r="B1533" s="57" t="s">
        <v>14</v>
      </c>
      <c r="C1533" s="76">
        <v>0</v>
      </c>
    </row>
    <row r="1534" spans="1:5">
      <c r="A1534" s="120" t="s">
        <v>8</v>
      </c>
      <c r="B1534" s="122"/>
      <c r="C1534" s="69">
        <v>0</v>
      </c>
    </row>
    <row r="1535" spans="1:5">
      <c r="A1535" s="120" t="s">
        <v>9</v>
      </c>
      <c r="B1535" s="122"/>
      <c r="C1535" s="70">
        <f>C1534+C1531</f>
        <v>46000</v>
      </c>
    </row>
    <row r="1536" spans="1:5">
      <c r="C1536" s="2"/>
    </row>
    <row r="1537" spans="1:4">
      <c r="C1537" s="2"/>
    </row>
    <row r="1538" spans="1:4" ht="16.149999999999999" customHeight="1">
      <c r="A1538" s="115" t="s">
        <v>10</v>
      </c>
      <c r="B1538" s="116"/>
      <c r="C1538" s="92">
        <v>40000</v>
      </c>
    </row>
    <row r="1539" spans="1:4" ht="31.9" customHeight="1">
      <c r="A1539" s="115" t="s">
        <v>11</v>
      </c>
      <c r="B1539" s="116"/>
      <c r="C1539" s="65">
        <f>ROUND(C1535/C1538,2)</f>
        <v>1.1499999999999999</v>
      </c>
      <c r="D1539" s="26"/>
    </row>
  </sheetData>
  <mergeCells count="583">
    <mergeCell ref="A1538:B1538"/>
    <mergeCell ref="A1539:B1539"/>
    <mergeCell ref="A1529:C1529"/>
    <mergeCell ref="A1531:B1531"/>
    <mergeCell ref="A1534:B1534"/>
    <mergeCell ref="A1532:C1532"/>
    <mergeCell ref="A1535:B1535"/>
    <mergeCell ref="A1521:C1521"/>
    <mergeCell ref="A1523:C1523"/>
    <mergeCell ref="A1524:C1524"/>
    <mergeCell ref="A1525:C1525"/>
    <mergeCell ref="A1526:B1526"/>
    <mergeCell ref="A1517:B1517"/>
    <mergeCell ref="A1518:B1518"/>
    <mergeCell ref="A1505:C1505"/>
    <mergeCell ref="A1508:B1508"/>
    <mergeCell ref="A1509:C1509"/>
    <mergeCell ref="A1513:B1513"/>
    <mergeCell ref="A1514:B1514"/>
    <mergeCell ref="A1497:C1497"/>
    <mergeCell ref="A1499:C1499"/>
    <mergeCell ref="A1500:C1500"/>
    <mergeCell ref="A1501:C1501"/>
    <mergeCell ref="A1502:B1502"/>
    <mergeCell ref="A1493:B1493"/>
    <mergeCell ref="A1494:B1494"/>
    <mergeCell ref="A1481:C1481"/>
    <mergeCell ref="A1484:B1484"/>
    <mergeCell ref="A1485:C1485"/>
    <mergeCell ref="A1489:B1489"/>
    <mergeCell ref="A1490:B1490"/>
    <mergeCell ref="A1473:C1473"/>
    <mergeCell ref="A1475:C1475"/>
    <mergeCell ref="A1476:C1476"/>
    <mergeCell ref="A1477:C1477"/>
    <mergeCell ref="A1478:B1478"/>
    <mergeCell ref="A1469:B1469"/>
    <mergeCell ref="A1470:B1470"/>
    <mergeCell ref="A1453:C1453"/>
    <mergeCell ref="A1457:B1457"/>
    <mergeCell ref="A1458:C1458"/>
    <mergeCell ref="A1465:B1465"/>
    <mergeCell ref="A1466:B1466"/>
    <mergeCell ref="A1445:C1445"/>
    <mergeCell ref="A1447:C1447"/>
    <mergeCell ref="A1448:C1448"/>
    <mergeCell ref="A1449:C1449"/>
    <mergeCell ref="A1450:B1450"/>
    <mergeCell ref="A1441:B1441"/>
    <mergeCell ref="A1442:B1442"/>
    <mergeCell ref="A1430:C1430"/>
    <mergeCell ref="A1433:B1433"/>
    <mergeCell ref="A1434:C1434"/>
    <mergeCell ref="A1437:B1437"/>
    <mergeCell ref="A1438:B1438"/>
    <mergeCell ref="A1422:C1422"/>
    <mergeCell ref="A1424:C1424"/>
    <mergeCell ref="A1425:C1425"/>
    <mergeCell ref="A1426:C1426"/>
    <mergeCell ref="A1427:B1427"/>
    <mergeCell ref="A1418:B1418"/>
    <mergeCell ref="A1419:B1419"/>
    <mergeCell ref="A1407:C1407"/>
    <mergeCell ref="A1410:B1410"/>
    <mergeCell ref="A1411:C1411"/>
    <mergeCell ref="A1414:B1414"/>
    <mergeCell ref="A1415:B1415"/>
    <mergeCell ref="A1399:C1399"/>
    <mergeCell ref="A1401:C1401"/>
    <mergeCell ref="A1402:C1402"/>
    <mergeCell ref="A1403:C1403"/>
    <mergeCell ref="A1404:B1404"/>
    <mergeCell ref="A1395:B1395"/>
    <mergeCell ref="A1396:B1396"/>
    <mergeCell ref="A1378:C1378"/>
    <mergeCell ref="A1383:B1383"/>
    <mergeCell ref="A1384:C1384"/>
    <mergeCell ref="A1391:B1391"/>
    <mergeCell ref="A1392:B1392"/>
    <mergeCell ref="A1370:C1370"/>
    <mergeCell ref="A1372:C1372"/>
    <mergeCell ref="A1373:C1373"/>
    <mergeCell ref="A1374:C1374"/>
    <mergeCell ref="A1375:B1375"/>
    <mergeCell ref="A1366:B1366"/>
    <mergeCell ref="A1367:B1367"/>
    <mergeCell ref="A1353:C1353"/>
    <mergeCell ref="A1358:B1358"/>
    <mergeCell ref="A1359:C1359"/>
    <mergeCell ref="A1362:B1362"/>
    <mergeCell ref="A1363:B1363"/>
    <mergeCell ref="A1345:C1345"/>
    <mergeCell ref="A1347:C1347"/>
    <mergeCell ref="A1348:C1348"/>
    <mergeCell ref="A1349:C1349"/>
    <mergeCell ref="A1350:B1350"/>
    <mergeCell ref="A1341:B1341"/>
    <mergeCell ref="A1342:B1342"/>
    <mergeCell ref="A1324:C1324"/>
    <mergeCell ref="A1329:B1329"/>
    <mergeCell ref="A1330:C1330"/>
    <mergeCell ref="A1337:B1337"/>
    <mergeCell ref="A1338:B1338"/>
    <mergeCell ref="A1316:C1316"/>
    <mergeCell ref="A1318:C1318"/>
    <mergeCell ref="A1319:C1319"/>
    <mergeCell ref="A1320:C1320"/>
    <mergeCell ref="A1321:B1321"/>
    <mergeCell ref="A1312:B1312"/>
    <mergeCell ref="A1313:B1313"/>
    <mergeCell ref="A1299:C1299"/>
    <mergeCell ref="A1304:B1304"/>
    <mergeCell ref="A1305:C1305"/>
    <mergeCell ref="A1308:B1308"/>
    <mergeCell ref="A1309:B1309"/>
    <mergeCell ref="A1291:C1291"/>
    <mergeCell ref="A1293:C1293"/>
    <mergeCell ref="A1294:C1294"/>
    <mergeCell ref="A1295:C1295"/>
    <mergeCell ref="A1296:B1296"/>
    <mergeCell ref="A1287:B1287"/>
    <mergeCell ref="A1288:B1288"/>
    <mergeCell ref="A1270:C1270"/>
    <mergeCell ref="A1275:B1275"/>
    <mergeCell ref="A1276:C1276"/>
    <mergeCell ref="A1283:B1283"/>
    <mergeCell ref="A1284:B1284"/>
    <mergeCell ref="A1262:C1262"/>
    <mergeCell ref="A1264:C1264"/>
    <mergeCell ref="A1265:C1265"/>
    <mergeCell ref="A1266:C1266"/>
    <mergeCell ref="A1267:B1267"/>
    <mergeCell ref="A1258:B1258"/>
    <mergeCell ref="A1259:B1259"/>
    <mergeCell ref="A1241:C1241"/>
    <mergeCell ref="A1246:B1246"/>
    <mergeCell ref="A1247:C1247"/>
    <mergeCell ref="A1254:B1254"/>
    <mergeCell ref="A1255:B1255"/>
    <mergeCell ref="A1233:C1233"/>
    <mergeCell ref="A1235:C1235"/>
    <mergeCell ref="A1236:C1236"/>
    <mergeCell ref="A1237:C1237"/>
    <mergeCell ref="A1238:B1238"/>
    <mergeCell ref="A1229:B1229"/>
    <mergeCell ref="A1230:B1230"/>
    <mergeCell ref="A1219:C1219"/>
    <mergeCell ref="A1223:B1223"/>
    <mergeCell ref="A1224:C1224"/>
    <mergeCell ref="A1225:B1225"/>
    <mergeCell ref="A1226:B1226"/>
    <mergeCell ref="A1211:C1211"/>
    <mergeCell ref="A1213:C1213"/>
    <mergeCell ref="A1214:C1214"/>
    <mergeCell ref="A1215:C1215"/>
    <mergeCell ref="A1216:B1216"/>
    <mergeCell ref="A1207:B1207"/>
    <mergeCell ref="A1208:B1208"/>
    <mergeCell ref="A1197:C1197"/>
    <mergeCell ref="A1200:B1200"/>
    <mergeCell ref="A1201:C1201"/>
    <mergeCell ref="A1203:B1203"/>
    <mergeCell ref="A1204:B1204"/>
    <mergeCell ref="A1189:C1189"/>
    <mergeCell ref="A1191:C1191"/>
    <mergeCell ref="A1192:C1192"/>
    <mergeCell ref="A1193:C1193"/>
    <mergeCell ref="A1194:B1194"/>
    <mergeCell ref="A1185:B1185"/>
    <mergeCell ref="A1186:B1186"/>
    <mergeCell ref="A1175:C1175"/>
    <mergeCell ref="A1178:B1178"/>
    <mergeCell ref="A1179:C1179"/>
    <mergeCell ref="A1181:B1181"/>
    <mergeCell ref="A1182:B1182"/>
    <mergeCell ref="A1167:C1167"/>
    <mergeCell ref="A1169:C1169"/>
    <mergeCell ref="A1170:C1170"/>
    <mergeCell ref="A1171:C1171"/>
    <mergeCell ref="A1172:B1172"/>
    <mergeCell ref="A1163:B1163"/>
    <mergeCell ref="A1164:B1164"/>
    <mergeCell ref="A1153:C1153"/>
    <mergeCell ref="A1156:B1156"/>
    <mergeCell ref="A1157:C1157"/>
    <mergeCell ref="A1159:B1159"/>
    <mergeCell ref="A1160:B1160"/>
    <mergeCell ref="A1145:C1145"/>
    <mergeCell ref="A1147:C1147"/>
    <mergeCell ref="A1148:C1148"/>
    <mergeCell ref="A1149:C1149"/>
    <mergeCell ref="A1150:B1150"/>
    <mergeCell ref="A1141:B1141"/>
    <mergeCell ref="A1142:B1142"/>
    <mergeCell ref="A1131:C1131"/>
    <mergeCell ref="A1135:B1135"/>
    <mergeCell ref="A1136:C1136"/>
    <mergeCell ref="A1137:B1137"/>
    <mergeCell ref="A1138:B1138"/>
    <mergeCell ref="A1123:C1123"/>
    <mergeCell ref="A1125:C1125"/>
    <mergeCell ref="A1126:C1126"/>
    <mergeCell ref="A1127:C1127"/>
    <mergeCell ref="A1128:B1128"/>
    <mergeCell ref="A1091:A1093"/>
    <mergeCell ref="A1119:B1119"/>
    <mergeCell ref="A1120:B1120"/>
    <mergeCell ref="A1090:C1090"/>
    <mergeCell ref="A1101:B1101"/>
    <mergeCell ref="A1102:C1102"/>
    <mergeCell ref="A1115:B1115"/>
    <mergeCell ref="A1116:B1116"/>
    <mergeCell ref="A1082:C1082"/>
    <mergeCell ref="A1084:C1084"/>
    <mergeCell ref="A1085:C1085"/>
    <mergeCell ref="A1086:C1086"/>
    <mergeCell ref="A1087:B1087"/>
    <mergeCell ref="A1078:B1078"/>
    <mergeCell ref="A1079:B1079"/>
    <mergeCell ref="A1054:C1054"/>
    <mergeCell ref="A1060:B1060"/>
    <mergeCell ref="A1061:C1061"/>
    <mergeCell ref="A1074:B1074"/>
    <mergeCell ref="A1075:B1075"/>
    <mergeCell ref="A1046:C1046"/>
    <mergeCell ref="A1048:C1048"/>
    <mergeCell ref="A1049:C1049"/>
    <mergeCell ref="A1050:C1050"/>
    <mergeCell ref="A1051:B1051"/>
    <mergeCell ref="A1015:A1016"/>
    <mergeCell ref="A1042:B1042"/>
    <mergeCell ref="A1043:B1043"/>
    <mergeCell ref="A1014:C1014"/>
    <mergeCell ref="A1024:B1024"/>
    <mergeCell ref="A1025:C1025"/>
    <mergeCell ref="A1038:B1038"/>
    <mergeCell ref="A1006:C1006"/>
    <mergeCell ref="A1008:C1008"/>
    <mergeCell ref="A1009:C1009"/>
    <mergeCell ref="A1010:C1010"/>
    <mergeCell ref="A1011:B1011"/>
    <mergeCell ref="A974:A976"/>
    <mergeCell ref="A1002:B1002"/>
    <mergeCell ref="A1003:B1003"/>
    <mergeCell ref="A973:C973"/>
    <mergeCell ref="A984:B984"/>
    <mergeCell ref="A985:C985"/>
    <mergeCell ref="A998:B998"/>
    <mergeCell ref="A999:B999"/>
    <mergeCell ref="A965:C965"/>
    <mergeCell ref="A967:C967"/>
    <mergeCell ref="A968:C968"/>
    <mergeCell ref="A969:C969"/>
    <mergeCell ref="A970:B970"/>
    <mergeCell ref="A961:B961"/>
    <mergeCell ref="A962:B962"/>
    <mergeCell ref="A952:C952"/>
    <mergeCell ref="A955:B955"/>
    <mergeCell ref="A956:C956"/>
    <mergeCell ref="A957:B957"/>
    <mergeCell ref="A958:B958"/>
    <mergeCell ref="A944:C944"/>
    <mergeCell ref="A946:C946"/>
    <mergeCell ref="A947:C947"/>
    <mergeCell ref="A948:C948"/>
    <mergeCell ref="A949:B949"/>
    <mergeCell ref="A911:A914"/>
    <mergeCell ref="A940:B940"/>
    <mergeCell ref="A941:B941"/>
    <mergeCell ref="A910:C910"/>
    <mergeCell ref="A922:B922"/>
    <mergeCell ref="A923:C923"/>
    <mergeCell ref="A936:B936"/>
    <mergeCell ref="A937:B937"/>
    <mergeCell ref="A902:C902"/>
    <mergeCell ref="A904:C904"/>
    <mergeCell ref="A905:C905"/>
    <mergeCell ref="A906:C906"/>
    <mergeCell ref="A907:B907"/>
    <mergeCell ref="A898:B898"/>
    <mergeCell ref="A899:B899"/>
    <mergeCell ref="A885:C885"/>
    <mergeCell ref="A888:B888"/>
    <mergeCell ref="A889:C889"/>
    <mergeCell ref="A894:B894"/>
    <mergeCell ref="A895:B895"/>
    <mergeCell ref="A877:C877"/>
    <mergeCell ref="A879:C879"/>
    <mergeCell ref="A880:C880"/>
    <mergeCell ref="A881:C881"/>
    <mergeCell ref="A882:B882"/>
    <mergeCell ref="A873:B873"/>
    <mergeCell ref="A874:B874"/>
    <mergeCell ref="A859:C859"/>
    <mergeCell ref="A862:B862"/>
    <mergeCell ref="A863:C863"/>
    <mergeCell ref="A869:B869"/>
    <mergeCell ref="A870:B870"/>
    <mergeCell ref="A851:C851"/>
    <mergeCell ref="A853:C853"/>
    <mergeCell ref="A854:C854"/>
    <mergeCell ref="A855:C855"/>
    <mergeCell ref="A856:B856"/>
    <mergeCell ref="A847:B847"/>
    <mergeCell ref="A848:B848"/>
    <mergeCell ref="A833:C833"/>
    <mergeCell ref="A836:B836"/>
    <mergeCell ref="A837:C837"/>
    <mergeCell ref="A843:B843"/>
    <mergeCell ref="A844:B844"/>
    <mergeCell ref="A825:C825"/>
    <mergeCell ref="A827:C827"/>
    <mergeCell ref="A828:C828"/>
    <mergeCell ref="A829:C829"/>
    <mergeCell ref="A830:B830"/>
    <mergeCell ref="A821:B821"/>
    <mergeCell ref="A822:B822"/>
    <mergeCell ref="A807:C807"/>
    <mergeCell ref="A810:B810"/>
    <mergeCell ref="A811:C811"/>
    <mergeCell ref="A817:B817"/>
    <mergeCell ref="A818:B818"/>
    <mergeCell ref="A799:C799"/>
    <mergeCell ref="A801:C801"/>
    <mergeCell ref="A802:C802"/>
    <mergeCell ref="A803:C803"/>
    <mergeCell ref="A804:B804"/>
    <mergeCell ref="A795:B795"/>
    <mergeCell ref="A796:B796"/>
    <mergeCell ref="A770:C770"/>
    <mergeCell ref="A777:B777"/>
    <mergeCell ref="A778:C778"/>
    <mergeCell ref="A791:B791"/>
    <mergeCell ref="A792:B792"/>
    <mergeCell ref="A762:C762"/>
    <mergeCell ref="A764:C764"/>
    <mergeCell ref="A765:C765"/>
    <mergeCell ref="A766:C766"/>
    <mergeCell ref="A767:B767"/>
    <mergeCell ref="A758:B758"/>
    <mergeCell ref="A759:B759"/>
    <mergeCell ref="A734:C734"/>
    <mergeCell ref="A740:B740"/>
    <mergeCell ref="A741:C741"/>
    <mergeCell ref="A754:B754"/>
    <mergeCell ref="A755:B755"/>
    <mergeCell ref="A726:C726"/>
    <mergeCell ref="A728:C728"/>
    <mergeCell ref="A729:C729"/>
    <mergeCell ref="A730:C730"/>
    <mergeCell ref="A731:B731"/>
    <mergeCell ref="A722:B722"/>
    <mergeCell ref="A723:B723"/>
    <mergeCell ref="A698:C698"/>
    <mergeCell ref="A704:B704"/>
    <mergeCell ref="A705:C705"/>
    <mergeCell ref="A718:B718"/>
    <mergeCell ref="A719:B719"/>
    <mergeCell ref="A690:C690"/>
    <mergeCell ref="A692:C692"/>
    <mergeCell ref="A693:C693"/>
    <mergeCell ref="A694:C694"/>
    <mergeCell ref="A695:B695"/>
    <mergeCell ref="A686:B686"/>
    <mergeCell ref="A687:B687"/>
    <mergeCell ref="A662:C662"/>
    <mergeCell ref="A668:B668"/>
    <mergeCell ref="A669:C669"/>
    <mergeCell ref="A682:B682"/>
    <mergeCell ref="A683:B683"/>
    <mergeCell ref="A654:C654"/>
    <mergeCell ref="A656:C656"/>
    <mergeCell ref="A657:C657"/>
    <mergeCell ref="A658:C658"/>
    <mergeCell ref="A659:B659"/>
    <mergeCell ref="A650:B650"/>
    <mergeCell ref="A651:B651"/>
    <mergeCell ref="A626:C626"/>
    <mergeCell ref="A632:B632"/>
    <mergeCell ref="A633:C633"/>
    <mergeCell ref="A646:B646"/>
    <mergeCell ref="A647:B647"/>
    <mergeCell ref="A618:C618"/>
    <mergeCell ref="A620:C620"/>
    <mergeCell ref="A621:C621"/>
    <mergeCell ref="A622:C622"/>
    <mergeCell ref="A623:B623"/>
    <mergeCell ref="A585:A588"/>
    <mergeCell ref="A614:B614"/>
    <mergeCell ref="A615:B615"/>
    <mergeCell ref="A584:C584"/>
    <mergeCell ref="A596:B596"/>
    <mergeCell ref="A597:C597"/>
    <mergeCell ref="A610:B610"/>
    <mergeCell ref="A611:B611"/>
    <mergeCell ref="A576:C576"/>
    <mergeCell ref="A578:C578"/>
    <mergeCell ref="A579:C579"/>
    <mergeCell ref="A580:C580"/>
    <mergeCell ref="A581:B581"/>
    <mergeCell ref="A544:A546"/>
    <mergeCell ref="A572:B572"/>
    <mergeCell ref="A573:B573"/>
    <mergeCell ref="A543:C543"/>
    <mergeCell ref="A554:B554"/>
    <mergeCell ref="A555:C555"/>
    <mergeCell ref="A568:B568"/>
    <mergeCell ref="A569:B569"/>
    <mergeCell ref="A535:C535"/>
    <mergeCell ref="A537:C537"/>
    <mergeCell ref="A538:C538"/>
    <mergeCell ref="A539:C539"/>
    <mergeCell ref="A540:B540"/>
    <mergeCell ref="A503:A505"/>
    <mergeCell ref="A531:B531"/>
    <mergeCell ref="A532:B532"/>
    <mergeCell ref="A502:C502"/>
    <mergeCell ref="A513:B513"/>
    <mergeCell ref="A514:C514"/>
    <mergeCell ref="A527:B527"/>
    <mergeCell ref="A528:B528"/>
    <mergeCell ref="A494:C494"/>
    <mergeCell ref="A496:C496"/>
    <mergeCell ref="A497:C497"/>
    <mergeCell ref="A498:C498"/>
    <mergeCell ref="A499:B499"/>
    <mergeCell ref="A462:A464"/>
    <mergeCell ref="A490:B490"/>
    <mergeCell ref="A491:B491"/>
    <mergeCell ref="A461:C461"/>
    <mergeCell ref="A472:B472"/>
    <mergeCell ref="A473:C473"/>
    <mergeCell ref="A486:B486"/>
    <mergeCell ref="A487:B487"/>
    <mergeCell ref="A453:C453"/>
    <mergeCell ref="A455:C455"/>
    <mergeCell ref="A456:C456"/>
    <mergeCell ref="A457:C457"/>
    <mergeCell ref="A458:B458"/>
    <mergeCell ref="A421:A423"/>
    <mergeCell ref="A449:B449"/>
    <mergeCell ref="A450:B450"/>
    <mergeCell ref="A420:C420"/>
    <mergeCell ref="A431:B431"/>
    <mergeCell ref="A432:C432"/>
    <mergeCell ref="A445:B445"/>
    <mergeCell ref="A446:B446"/>
    <mergeCell ref="A412:C412"/>
    <mergeCell ref="A414:C414"/>
    <mergeCell ref="A415:C415"/>
    <mergeCell ref="A416:C416"/>
    <mergeCell ref="A417:B417"/>
    <mergeCell ref="A380:A382"/>
    <mergeCell ref="A408:B408"/>
    <mergeCell ref="A409:B409"/>
    <mergeCell ref="A379:C379"/>
    <mergeCell ref="A390:B390"/>
    <mergeCell ref="A391:C391"/>
    <mergeCell ref="A404:B404"/>
    <mergeCell ref="A405:B405"/>
    <mergeCell ref="A371:C371"/>
    <mergeCell ref="A373:C373"/>
    <mergeCell ref="A374:C374"/>
    <mergeCell ref="A375:C375"/>
    <mergeCell ref="A376:B376"/>
    <mergeCell ref="A339:A341"/>
    <mergeCell ref="A367:B367"/>
    <mergeCell ref="A368:B368"/>
    <mergeCell ref="A338:C338"/>
    <mergeCell ref="A349:B349"/>
    <mergeCell ref="A350:C350"/>
    <mergeCell ref="A363:B363"/>
    <mergeCell ref="A364:B364"/>
    <mergeCell ref="A330:C330"/>
    <mergeCell ref="A332:C332"/>
    <mergeCell ref="A333:C333"/>
    <mergeCell ref="A334:C334"/>
    <mergeCell ref="A335:B335"/>
    <mergeCell ref="A298:A300"/>
    <mergeCell ref="A326:B326"/>
    <mergeCell ref="A327:B327"/>
    <mergeCell ref="A297:C297"/>
    <mergeCell ref="A308:B308"/>
    <mergeCell ref="A309:C309"/>
    <mergeCell ref="A322:B322"/>
    <mergeCell ref="A323:B323"/>
    <mergeCell ref="A289:C289"/>
    <mergeCell ref="A291:C291"/>
    <mergeCell ref="A292:C292"/>
    <mergeCell ref="A293:C293"/>
    <mergeCell ref="A294:B294"/>
    <mergeCell ref="A257:A259"/>
    <mergeCell ref="A285:B285"/>
    <mergeCell ref="A286:B286"/>
    <mergeCell ref="A256:C256"/>
    <mergeCell ref="A267:B267"/>
    <mergeCell ref="A268:C268"/>
    <mergeCell ref="A281:B281"/>
    <mergeCell ref="A282:B282"/>
    <mergeCell ref="A248:C248"/>
    <mergeCell ref="A250:C250"/>
    <mergeCell ref="A251:C251"/>
    <mergeCell ref="A252:C252"/>
    <mergeCell ref="A253:B253"/>
    <mergeCell ref="A216:A218"/>
    <mergeCell ref="A244:B244"/>
    <mergeCell ref="A245:B245"/>
    <mergeCell ref="A215:C215"/>
    <mergeCell ref="A226:B226"/>
    <mergeCell ref="A227:C227"/>
    <mergeCell ref="A240:B240"/>
    <mergeCell ref="A241:B241"/>
    <mergeCell ref="A207:C207"/>
    <mergeCell ref="A209:C209"/>
    <mergeCell ref="A210:C210"/>
    <mergeCell ref="A211:C211"/>
    <mergeCell ref="A212:B212"/>
    <mergeCell ref="A175:A177"/>
    <mergeCell ref="A203:B203"/>
    <mergeCell ref="A204:B204"/>
    <mergeCell ref="A174:C174"/>
    <mergeCell ref="A185:B185"/>
    <mergeCell ref="A186:C186"/>
    <mergeCell ref="A199:B199"/>
    <mergeCell ref="A200:B200"/>
    <mergeCell ref="A166:C166"/>
    <mergeCell ref="A168:C168"/>
    <mergeCell ref="A169:C169"/>
    <mergeCell ref="A170:C170"/>
    <mergeCell ref="A171:B171"/>
    <mergeCell ref="A134:A136"/>
    <mergeCell ref="A162:B162"/>
    <mergeCell ref="A163:B163"/>
    <mergeCell ref="A133:C133"/>
    <mergeCell ref="A144:B144"/>
    <mergeCell ref="A145:C145"/>
    <mergeCell ref="A158:B158"/>
    <mergeCell ref="A159:B159"/>
    <mergeCell ref="A125:C125"/>
    <mergeCell ref="A127:C127"/>
    <mergeCell ref="A128:C128"/>
    <mergeCell ref="A129:C129"/>
    <mergeCell ref="A130:B130"/>
    <mergeCell ref="A94:A96"/>
    <mergeCell ref="A121:B121"/>
    <mergeCell ref="A122:B122"/>
    <mergeCell ref="A93:C93"/>
    <mergeCell ref="A103:B103"/>
    <mergeCell ref="A104:C104"/>
    <mergeCell ref="A117:B117"/>
    <mergeCell ref="A118:B118"/>
    <mergeCell ref="A85:C85"/>
    <mergeCell ref="A87:C87"/>
    <mergeCell ref="A88:C88"/>
    <mergeCell ref="A89:C89"/>
    <mergeCell ref="A90:B90"/>
    <mergeCell ref="A52:A54"/>
    <mergeCell ref="A81:B81"/>
    <mergeCell ref="A82:B82"/>
    <mergeCell ref="A51:C51"/>
    <mergeCell ref="A62:B62"/>
    <mergeCell ref="A63:C63"/>
    <mergeCell ref="A77:B77"/>
    <mergeCell ref="A78:B78"/>
    <mergeCell ref="A43:C43"/>
    <mergeCell ref="A45:C45"/>
    <mergeCell ref="A46:C46"/>
    <mergeCell ref="A47:C47"/>
    <mergeCell ref="A48:B48"/>
    <mergeCell ref="B1:C1"/>
    <mergeCell ref="A11:C11"/>
    <mergeCell ref="A22:B22"/>
    <mergeCell ref="A23:C23"/>
    <mergeCell ref="A40:B40"/>
    <mergeCell ref="A3:C3"/>
    <mergeCell ref="A5:C5"/>
    <mergeCell ref="A6:C6"/>
    <mergeCell ref="A7:C7"/>
    <mergeCell ref="A8:B8"/>
    <mergeCell ref="A39:B39"/>
    <mergeCell ref="A12:A14"/>
    <mergeCell ref="A36:B36"/>
    <mergeCell ref="A37:B37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45" manualBreakCount="45">
    <brk id="41" max="2" man="1"/>
    <brk id="84" max="2" man="1"/>
    <brk id="123" max="2" man="1"/>
    <brk id="164" max="16383" man="1"/>
    <brk id="205" max="2" man="1"/>
    <brk id="246" max="2" man="1"/>
    <brk id="287" max="2" man="1"/>
    <brk id="328" max="2" man="1"/>
    <brk id="369" max="2" man="1"/>
    <brk id="410" max="2" man="1"/>
    <brk id="451" max="2" man="1"/>
    <brk id="492" max="2" man="1"/>
    <brk id="533" max="2" man="1"/>
    <brk id="574" max="2" man="1"/>
    <brk id="616" max="2" man="1"/>
    <brk id="652" max="2" man="1"/>
    <brk id="688" max="2" man="1"/>
    <brk id="724" max="2" man="1"/>
    <brk id="760" max="2" man="1"/>
    <brk id="797" max="2" man="1"/>
    <brk id="823" max="2" man="1"/>
    <brk id="849" max="2" man="1"/>
    <brk id="875" max="16383" man="1"/>
    <brk id="942" max="16383" man="1"/>
    <brk id="963" max="16383" man="1"/>
    <brk id="1004" max="16383" man="1"/>
    <brk id="1044" max="16383" man="1"/>
    <brk id="1080" max="16383" man="1"/>
    <brk id="1121" max="16383" man="1"/>
    <brk id="1143" max="16383" man="1"/>
    <brk id="1165" max="16383" man="1"/>
    <brk id="1187" max="16383" man="1"/>
    <brk id="1209" max="16383" man="1"/>
    <brk id="1231" max="16383" man="1"/>
    <brk id="1260" max="16383" man="1"/>
    <brk id="1289" max="16383" man="1"/>
    <brk id="1314" max="16383" man="1"/>
    <brk id="1343" max="16383" man="1"/>
    <brk id="1368" max="16383" man="1"/>
    <brk id="1397" max="16383" man="1"/>
    <brk id="1420" max="16383" man="1"/>
    <brk id="1443" max="16383" man="1"/>
    <brk id="1471" max="16383" man="1"/>
    <brk id="1495" max="16383" man="1"/>
    <brk id="1519" max="16383" man="1"/>
  </rowBreaks>
  <colBreaks count="1" manualBreakCount="1">
    <brk id="3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pielikums</vt:lpstr>
      <vt:lpstr>pielikums!Print_Area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Rutkis</dc:creator>
  <cp:lastModifiedBy>Lāsma Zandberga</cp:lastModifiedBy>
  <cp:lastPrinted>2022-04-26T08:47:16Z</cp:lastPrinted>
  <dcterms:created xsi:type="dcterms:W3CDTF">2017-11-23T10:59:22Z</dcterms:created>
  <dcterms:modified xsi:type="dcterms:W3CDTF">2022-04-26T08:47:19Z</dcterms:modified>
</cp:coreProperties>
</file>