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rīkojuma_projekti\2023\ZVA\ZVA_budzeta_groz_2\"/>
    </mc:Choice>
  </mc:AlternateContent>
  <xr:revisionPtr revIDLastSave="0" documentId="13_ncr:1_{C08A211A-93A1-41F3-8950-91D1DD2A8BCF}" xr6:coauthVersionLast="47" xr6:coauthVersionMax="47" xr10:uidLastSave="{00000000-0000-0000-0000-000000000000}"/>
  <bookViews>
    <workbookView xWindow="-120" yWindow="-120" windowWidth="29040" windowHeight="15840" tabRatio="901" activeTab="3" xr2:uid="{00000000-000D-0000-FFFF-FFFF00000000}"/>
  </bookViews>
  <sheets>
    <sheet name="Kopsavilkums" sheetId="25" r:id="rId1"/>
    <sheet name="Neatliekami_pasākumi_pfjas_izp." sheetId="26" r:id="rId2"/>
    <sheet name="Izdevumi_pfjas_nodrošināšanai" sheetId="24" r:id="rId3"/>
    <sheet name="PSMVM_Izmaksu pozicijas" sheetId="27" r:id="rId4"/>
  </sheets>
  <definedNames>
    <definedName name="_xlnm.Print_Titles" localSheetId="2">Izdevumi_pfjas_nodrošināšanai!$3:$5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7" i="27" l="1"/>
  <c r="F37" i="27"/>
  <c r="H36" i="27"/>
  <c r="F36" i="27"/>
  <c r="H35" i="27"/>
  <c r="H34" i="27"/>
  <c r="F34" i="27"/>
  <c r="H33" i="27"/>
  <c r="F33" i="27"/>
  <c r="H32" i="27"/>
  <c r="F32" i="27"/>
  <c r="F31" i="27"/>
  <c r="H31" i="27" s="1"/>
  <c r="H30" i="27" s="1"/>
  <c r="F30" i="27"/>
  <c r="H28" i="27"/>
  <c r="F28" i="27"/>
  <c r="F27" i="27"/>
  <c r="H27" i="27" s="1"/>
  <c r="F26" i="27"/>
  <c r="H26" i="27" s="1"/>
  <c r="H25" i="27"/>
  <c r="F25" i="27"/>
  <c r="H24" i="27"/>
  <c r="F24" i="27"/>
  <c r="F23" i="27"/>
  <c r="F22" i="27"/>
  <c r="H22" i="27" s="1"/>
  <c r="H21" i="27"/>
  <c r="F21" i="27"/>
  <c r="H20" i="27"/>
  <c r="F20" i="27"/>
  <c r="F19" i="27"/>
  <c r="H19" i="27" s="1"/>
  <c r="F18" i="27"/>
  <c r="H18" i="27" s="1"/>
  <c r="H17" i="27"/>
  <c r="F17" i="27"/>
  <c r="H16" i="27"/>
  <c r="F16" i="27"/>
  <c r="F15" i="27"/>
  <c r="H15" i="27" s="1"/>
  <c r="F14" i="27"/>
  <c r="H14" i="27" s="1"/>
  <c r="H13" i="27"/>
  <c r="F13" i="27"/>
  <c r="H12" i="27"/>
  <c r="F12" i="27"/>
  <c r="F11" i="27"/>
  <c r="H11" i="27" s="1"/>
  <c r="H10" i="27" s="1"/>
  <c r="F10" i="27"/>
  <c r="H8" i="27"/>
  <c r="F8" i="27"/>
  <c r="H7" i="27"/>
  <c r="F7" i="27"/>
  <c r="F6" i="27"/>
  <c r="H6" i="27" s="1"/>
  <c r="F5" i="27"/>
  <c r="H5" i="27" s="1"/>
  <c r="H4" i="27" s="1"/>
  <c r="C15" i="25"/>
  <c r="C14" i="25"/>
  <c r="D27" i="26"/>
  <c r="E27" i="26"/>
  <c r="C27" i="26"/>
  <c r="D26" i="26"/>
  <c r="E26" i="26"/>
  <c r="C26" i="26"/>
  <c r="C10" i="25"/>
  <c r="C24" i="26"/>
  <c r="D23" i="26"/>
  <c r="E23" i="26" s="1"/>
  <c r="D22" i="26"/>
  <c r="E22" i="26" s="1"/>
  <c r="D21" i="26"/>
  <c r="E21" i="26" s="1"/>
  <c r="D20" i="26"/>
  <c r="E20" i="26" s="1"/>
  <c r="D19" i="26"/>
  <c r="E19" i="26" s="1"/>
  <c r="D18" i="26"/>
  <c r="E18" i="26" s="1"/>
  <c r="C14" i="26"/>
  <c r="C25" i="26" s="1"/>
  <c r="D13" i="26"/>
  <c r="E13" i="26" s="1"/>
  <c r="D12" i="26"/>
  <c r="E12" i="26" s="1"/>
  <c r="D11" i="26"/>
  <c r="E11" i="26" s="1"/>
  <c r="D10" i="26"/>
  <c r="E10" i="26" s="1"/>
  <c r="D9" i="26"/>
  <c r="E9" i="26" s="1"/>
  <c r="D8" i="26"/>
  <c r="E8" i="26" s="1"/>
  <c r="D7" i="26"/>
  <c r="E7" i="26" s="1"/>
  <c r="D6" i="26"/>
  <c r="E6" i="26" s="1"/>
  <c r="H38" i="27" l="1"/>
  <c r="H23" i="27"/>
  <c r="D14" i="26"/>
  <c r="D25" i="26" s="1"/>
  <c r="D24" i="26"/>
  <c r="E14" i="26"/>
  <c r="E24" i="26"/>
  <c r="E25" i="26" l="1"/>
  <c r="C12" i="25" s="1"/>
  <c r="C45" i="24" l="1"/>
  <c r="Q112" i="24"/>
  <c r="L106" i="24" l="1"/>
  <c r="L80" i="24"/>
  <c r="L61" i="24"/>
  <c r="S61" i="24" s="1"/>
  <c r="L46" i="24"/>
  <c r="S46" i="24" s="1"/>
  <c r="L37" i="24"/>
  <c r="L38" i="24"/>
  <c r="L39" i="24"/>
  <c r="L34" i="24"/>
  <c r="L32" i="24"/>
  <c r="L33" i="24"/>
  <c r="L27" i="24"/>
  <c r="L20" i="24"/>
  <c r="L21" i="24"/>
  <c r="S149" i="24"/>
  <c r="F149" i="24"/>
  <c r="K106" i="24"/>
  <c r="K76" i="24"/>
  <c r="K80" i="24"/>
  <c r="K77" i="24"/>
  <c r="S77" i="24" s="1"/>
  <c r="K72" i="24"/>
  <c r="S72" i="24" s="1"/>
  <c r="K73" i="24"/>
  <c r="S73" i="24" s="1"/>
  <c r="K37" i="24"/>
  <c r="K39" i="24"/>
  <c r="K34" i="24"/>
  <c r="K33" i="24"/>
  <c r="K32" i="24"/>
  <c r="K27" i="24"/>
  <c r="K20" i="24"/>
  <c r="K21" i="24"/>
  <c r="J13" i="24"/>
  <c r="J106" i="24"/>
  <c r="J78" i="24"/>
  <c r="S78" i="24" s="1"/>
  <c r="J39" i="24"/>
  <c r="J38" i="24"/>
  <c r="J37" i="24"/>
  <c r="J32" i="24"/>
  <c r="J34" i="24"/>
  <c r="J27" i="24"/>
  <c r="J20" i="24"/>
  <c r="J21" i="24"/>
  <c r="C131" i="24"/>
  <c r="S8" i="24"/>
  <c r="S11" i="24"/>
  <c r="S12" i="24"/>
  <c r="S14" i="24"/>
  <c r="S15" i="24"/>
  <c r="S16" i="24"/>
  <c r="S19" i="24"/>
  <c r="S22" i="24"/>
  <c r="S24" i="24"/>
  <c r="S25" i="24"/>
  <c r="S26" i="24"/>
  <c r="S28" i="24"/>
  <c r="S30" i="24"/>
  <c r="S36" i="24"/>
  <c r="S40" i="24"/>
  <c r="S41" i="24"/>
  <c r="S43" i="24"/>
  <c r="S48" i="24"/>
  <c r="S50" i="24"/>
  <c r="S52" i="24"/>
  <c r="S54" i="24"/>
  <c r="S56" i="24"/>
  <c r="S57" i="24"/>
  <c r="S58" i="24"/>
  <c r="S59" i="24"/>
  <c r="S60" i="24"/>
  <c r="S64" i="24"/>
  <c r="S66" i="24"/>
  <c r="S67" i="24"/>
  <c r="S69" i="24"/>
  <c r="S70" i="24"/>
  <c r="S74" i="24"/>
  <c r="S79" i="24"/>
  <c r="S81" i="24"/>
  <c r="S83" i="24"/>
  <c r="S85" i="24"/>
  <c r="S87" i="24"/>
  <c r="S88" i="24"/>
  <c r="S89" i="24"/>
  <c r="S90" i="24"/>
  <c r="S91" i="24"/>
  <c r="S92" i="24"/>
  <c r="S93" i="24"/>
  <c r="S94" i="24"/>
  <c r="S95" i="24"/>
  <c r="S98" i="24"/>
  <c r="S99" i="24"/>
  <c r="S100" i="24"/>
  <c r="S101" i="24"/>
  <c r="S103" i="24"/>
  <c r="S104" i="24"/>
  <c r="S107" i="24"/>
  <c r="S108" i="24"/>
  <c r="S111" i="24"/>
  <c r="S113" i="24"/>
  <c r="S115" i="24"/>
  <c r="S116" i="24"/>
  <c r="S119" i="24"/>
  <c r="S122" i="24"/>
  <c r="S123" i="24"/>
  <c r="S125" i="24"/>
  <c r="S127" i="24"/>
  <c r="S130" i="24"/>
  <c r="S131" i="24"/>
  <c r="S132" i="24"/>
  <c r="S136" i="24"/>
  <c r="S139" i="24"/>
  <c r="S140" i="24"/>
  <c r="S143" i="24"/>
  <c r="S145" i="24"/>
  <c r="S147" i="24"/>
  <c r="S148" i="24"/>
  <c r="S38" i="24" l="1"/>
  <c r="T149" i="24"/>
  <c r="I106" i="24"/>
  <c r="I105" i="24" s="1"/>
  <c r="I76" i="24"/>
  <c r="I80" i="24"/>
  <c r="I37" i="24"/>
  <c r="I39" i="24"/>
  <c r="I34" i="24"/>
  <c r="I31" i="24"/>
  <c r="S31" i="24" s="1"/>
  <c r="I32" i="24"/>
  <c r="I33" i="24"/>
  <c r="I27" i="24"/>
  <c r="I23" i="24" s="1"/>
  <c r="I21" i="24"/>
  <c r="I20" i="24"/>
  <c r="I146" i="24"/>
  <c r="I144" i="24"/>
  <c r="I142" i="24"/>
  <c r="I138" i="24"/>
  <c r="I135" i="24"/>
  <c r="I134" i="24" s="1"/>
  <c r="I129" i="24"/>
  <c r="I128" i="24" s="1"/>
  <c r="I124" i="24"/>
  <c r="I121" i="24"/>
  <c r="I120" i="24" s="1"/>
  <c r="I118" i="24"/>
  <c r="I117" i="24" s="1"/>
  <c r="I114" i="24"/>
  <c r="I112" i="24"/>
  <c r="I102" i="24"/>
  <c r="I97" i="24"/>
  <c r="I86" i="24"/>
  <c r="I84" i="24"/>
  <c r="I82" i="24"/>
  <c r="I68" i="24"/>
  <c r="I65" i="24"/>
  <c r="I63" i="24"/>
  <c r="I55" i="24"/>
  <c r="I53" i="24"/>
  <c r="I51" i="24"/>
  <c r="I49" i="24"/>
  <c r="I47" i="24"/>
  <c r="I45" i="24"/>
  <c r="I42" i="24"/>
  <c r="I10" i="24"/>
  <c r="F139" i="24"/>
  <c r="H138" i="24"/>
  <c r="J138" i="24"/>
  <c r="K138" i="24"/>
  <c r="L138" i="24"/>
  <c r="M138" i="24"/>
  <c r="N138" i="24"/>
  <c r="O138" i="24"/>
  <c r="P138" i="24"/>
  <c r="Q138" i="24"/>
  <c r="R138" i="24"/>
  <c r="G138" i="24"/>
  <c r="D138" i="24"/>
  <c r="E138" i="24"/>
  <c r="C138" i="24"/>
  <c r="H121" i="24"/>
  <c r="H120" i="24" s="1"/>
  <c r="J121" i="24"/>
  <c r="J120" i="24" s="1"/>
  <c r="K121" i="24"/>
  <c r="K120" i="24" s="1"/>
  <c r="L121" i="24"/>
  <c r="L120" i="24" s="1"/>
  <c r="M121" i="24"/>
  <c r="M120" i="24" s="1"/>
  <c r="N121" i="24"/>
  <c r="N120" i="24" s="1"/>
  <c r="O121" i="24"/>
  <c r="O120" i="24" s="1"/>
  <c r="P121" i="24"/>
  <c r="P120" i="24" s="1"/>
  <c r="Q121" i="24"/>
  <c r="Q120" i="24" s="1"/>
  <c r="R121" i="24"/>
  <c r="R120" i="24" s="1"/>
  <c r="G121" i="24"/>
  <c r="G120" i="24" s="1"/>
  <c r="C129" i="24"/>
  <c r="C128" i="24" s="1"/>
  <c r="H106" i="24"/>
  <c r="C53" i="24"/>
  <c r="H76" i="24"/>
  <c r="H80" i="24"/>
  <c r="C68" i="24"/>
  <c r="H71" i="24"/>
  <c r="S71" i="24" s="1"/>
  <c r="G76" i="24"/>
  <c r="H37" i="24"/>
  <c r="H34" i="24"/>
  <c r="H32" i="24"/>
  <c r="H33" i="24"/>
  <c r="H27" i="24"/>
  <c r="H20" i="24"/>
  <c r="H21" i="24"/>
  <c r="H13" i="24"/>
  <c r="S13" i="24" s="1"/>
  <c r="R146" i="24"/>
  <c r="R144" i="24"/>
  <c r="R142" i="24"/>
  <c r="R135" i="24"/>
  <c r="R134" i="24" s="1"/>
  <c r="R129" i="24"/>
  <c r="R124" i="24"/>
  <c r="R118" i="24"/>
  <c r="R114" i="24"/>
  <c r="R112" i="24"/>
  <c r="R105" i="24"/>
  <c r="R102" i="24"/>
  <c r="R97" i="24"/>
  <c r="R86" i="24"/>
  <c r="R84" i="24"/>
  <c r="R82" i="24"/>
  <c r="R75" i="24"/>
  <c r="R68" i="24"/>
  <c r="R65" i="24"/>
  <c r="R63" i="24"/>
  <c r="R55" i="24"/>
  <c r="R53" i="24"/>
  <c r="R51" i="24"/>
  <c r="R49" i="24"/>
  <c r="R47" i="24"/>
  <c r="R45" i="24"/>
  <c r="R42" i="24"/>
  <c r="R35" i="24"/>
  <c r="R29" i="24"/>
  <c r="R23" i="24"/>
  <c r="R18" i="24"/>
  <c r="R10" i="24"/>
  <c r="Q146" i="24"/>
  <c r="Q144" i="24"/>
  <c r="Q142" i="24"/>
  <c r="Q135" i="24"/>
  <c r="Q134" i="24" s="1"/>
  <c r="Q129" i="24"/>
  <c r="Q128" i="24" s="1"/>
  <c r="Q124" i="24"/>
  <c r="Q118" i="24"/>
  <c r="Q117" i="24" s="1"/>
  <c r="Q114" i="24"/>
  <c r="Q105" i="24"/>
  <c r="Q102" i="24"/>
  <c r="Q97" i="24"/>
  <c r="Q86" i="24"/>
  <c r="Q84" i="24"/>
  <c r="Q82" i="24"/>
  <c r="Q75" i="24"/>
  <c r="Q68" i="24"/>
  <c r="Q65" i="24"/>
  <c r="Q63" i="24"/>
  <c r="Q55" i="24"/>
  <c r="Q53" i="24"/>
  <c r="Q51" i="24"/>
  <c r="Q49" i="24"/>
  <c r="Q47" i="24"/>
  <c r="Q45" i="24"/>
  <c r="Q42" i="24"/>
  <c r="Q35" i="24"/>
  <c r="Q29" i="24"/>
  <c r="Q23" i="24"/>
  <c r="Q18" i="24"/>
  <c r="Q10" i="24"/>
  <c r="P146" i="24"/>
  <c r="P144" i="24"/>
  <c r="P142" i="24"/>
  <c r="P135" i="24"/>
  <c r="P134" i="24" s="1"/>
  <c r="P129" i="24"/>
  <c r="P128" i="24" s="1"/>
  <c r="P124" i="24"/>
  <c r="P118" i="24"/>
  <c r="P117" i="24" s="1"/>
  <c r="P114" i="24"/>
  <c r="P112" i="24"/>
  <c r="P105" i="24"/>
  <c r="P102" i="24"/>
  <c r="P97" i="24"/>
  <c r="P86" i="24"/>
  <c r="P84" i="24"/>
  <c r="P82" i="24"/>
  <c r="P75" i="24"/>
  <c r="P68" i="24"/>
  <c r="P65" i="24"/>
  <c r="P63" i="24"/>
  <c r="P55" i="24"/>
  <c r="P53" i="24"/>
  <c r="P51" i="24"/>
  <c r="P49" i="24"/>
  <c r="P47" i="24"/>
  <c r="P45" i="24"/>
  <c r="P42" i="24"/>
  <c r="P35" i="24"/>
  <c r="P29" i="24"/>
  <c r="P23" i="24"/>
  <c r="P18" i="24"/>
  <c r="P10" i="24"/>
  <c r="O146" i="24"/>
  <c r="O144" i="24"/>
  <c r="O142" i="24"/>
  <c r="O135" i="24"/>
  <c r="O134" i="24" s="1"/>
  <c r="O129" i="24"/>
  <c r="O128" i="24" s="1"/>
  <c r="O124" i="24"/>
  <c r="O118" i="24"/>
  <c r="O117" i="24" s="1"/>
  <c r="O114" i="24"/>
  <c r="O112" i="24"/>
  <c r="O105" i="24"/>
  <c r="O102" i="24"/>
  <c r="O97" i="24"/>
  <c r="O86" i="24"/>
  <c r="O84" i="24"/>
  <c r="O82" i="24"/>
  <c r="O75" i="24"/>
  <c r="O68" i="24"/>
  <c r="O65" i="24"/>
  <c r="O63" i="24"/>
  <c r="O55" i="24"/>
  <c r="O53" i="24"/>
  <c r="O51" i="24"/>
  <c r="O49" i="24"/>
  <c r="O47" i="24"/>
  <c r="O45" i="24"/>
  <c r="O42" i="24"/>
  <c r="O35" i="24"/>
  <c r="O29" i="24"/>
  <c r="O23" i="24"/>
  <c r="O18" i="24"/>
  <c r="O10" i="24"/>
  <c r="N146" i="24"/>
  <c r="N144" i="24"/>
  <c r="N142" i="24"/>
  <c r="N135" i="24"/>
  <c r="N134" i="24" s="1"/>
  <c r="N129" i="24"/>
  <c r="N128" i="24" s="1"/>
  <c r="N124" i="24"/>
  <c r="N118" i="24"/>
  <c r="N117" i="24" s="1"/>
  <c r="N114" i="24"/>
  <c r="N112" i="24"/>
  <c r="N105" i="24"/>
  <c r="N102" i="24"/>
  <c r="N97" i="24"/>
  <c r="N86" i="24"/>
  <c r="N84" i="24"/>
  <c r="N82" i="24"/>
  <c r="N75" i="24"/>
  <c r="N68" i="24"/>
  <c r="N65" i="24"/>
  <c r="N63" i="24"/>
  <c r="N55" i="24"/>
  <c r="N53" i="24"/>
  <c r="N51" i="24"/>
  <c r="N49" i="24"/>
  <c r="N47" i="24"/>
  <c r="N45" i="24"/>
  <c r="N42" i="24"/>
  <c r="N35" i="24"/>
  <c r="N29" i="24"/>
  <c r="N23" i="24"/>
  <c r="N18" i="24"/>
  <c r="N10" i="24"/>
  <c r="M146" i="24"/>
  <c r="M144" i="24"/>
  <c r="M142" i="24"/>
  <c r="M135" i="24"/>
  <c r="M134" i="24" s="1"/>
  <c r="M129" i="24"/>
  <c r="M128" i="24" s="1"/>
  <c r="M124" i="24"/>
  <c r="M118" i="24"/>
  <c r="M117" i="24" s="1"/>
  <c r="M114" i="24"/>
  <c r="M112" i="24"/>
  <c r="M105" i="24"/>
  <c r="M102" i="24"/>
  <c r="M97" i="24"/>
  <c r="M86" i="24"/>
  <c r="M84" i="24"/>
  <c r="M82" i="24"/>
  <c r="M75" i="24"/>
  <c r="M68" i="24"/>
  <c r="M65" i="24"/>
  <c r="M63" i="24"/>
  <c r="M55" i="24"/>
  <c r="M53" i="24"/>
  <c r="M51" i="24"/>
  <c r="M49" i="24"/>
  <c r="M47" i="24"/>
  <c r="M45" i="24"/>
  <c r="M42" i="24"/>
  <c r="M35" i="24"/>
  <c r="M29" i="24"/>
  <c r="M23" i="24"/>
  <c r="M18" i="24"/>
  <c r="M10" i="24"/>
  <c r="L146" i="24"/>
  <c r="L144" i="24"/>
  <c r="L142" i="24"/>
  <c r="L135" i="24"/>
  <c r="L134" i="24" s="1"/>
  <c r="L129" i="24"/>
  <c r="L128" i="24" s="1"/>
  <c r="L124" i="24"/>
  <c r="L118" i="24"/>
  <c r="L117" i="24" s="1"/>
  <c r="L114" i="24"/>
  <c r="L112" i="24"/>
  <c r="L105" i="24"/>
  <c r="L102" i="24"/>
  <c r="L97" i="24"/>
  <c r="L86" i="24"/>
  <c r="L84" i="24"/>
  <c r="L82" i="24"/>
  <c r="L75" i="24"/>
  <c r="L68" i="24"/>
  <c r="L65" i="24"/>
  <c r="L63" i="24"/>
  <c r="L55" i="24"/>
  <c r="L53" i="24"/>
  <c r="L51" i="24"/>
  <c r="L49" i="24"/>
  <c r="L47" i="24"/>
  <c r="L45" i="24"/>
  <c r="L42" i="24"/>
  <c r="L35" i="24"/>
  <c r="L29" i="24"/>
  <c r="L23" i="24"/>
  <c r="L18" i="24"/>
  <c r="L10" i="24"/>
  <c r="K146" i="24"/>
  <c r="K144" i="24"/>
  <c r="K142" i="24"/>
  <c r="K135" i="24"/>
  <c r="K134" i="24" s="1"/>
  <c r="K129" i="24"/>
  <c r="K128" i="24" s="1"/>
  <c r="K124" i="24"/>
  <c r="K118" i="24"/>
  <c r="K117" i="24" s="1"/>
  <c r="K114" i="24"/>
  <c r="K112" i="24"/>
  <c r="K105" i="24"/>
  <c r="K102" i="24"/>
  <c r="K97" i="24"/>
  <c r="K86" i="24"/>
  <c r="K84" i="24"/>
  <c r="K82" i="24"/>
  <c r="K75" i="24"/>
  <c r="K68" i="24"/>
  <c r="K65" i="24"/>
  <c r="K63" i="24"/>
  <c r="K55" i="24"/>
  <c r="K53" i="24"/>
  <c r="K51" i="24"/>
  <c r="K49" i="24"/>
  <c r="K47" i="24"/>
  <c r="K45" i="24"/>
  <c r="K42" i="24"/>
  <c r="K35" i="24"/>
  <c r="K29" i="24"/>
  <c r="K23" i="24"/>
  <c r="K18" i="24"/>
  <c r="K10" i="24"/>
  <c r="J146" i="24"/>
  <c r="J144" i="24"/>
  <c r="J142" i="24"/>
  <c r="J135" i="24"/>
  <c r="J134" i="24" s="1"/>
  <c r="J129" i="24"/>
  <c r="J128" i="24" s="1"/>
  <c r="J124" i="24"/>
  <c r="J118" i="24"/>
  <c r="J117" i="24" s="1"/>
  <c r="J114" i="24"/>
  <c r="J112" i="24"/>
  <c r="J105" i="24"/>
  <c r="J102" i="24"/>
  <c r="J97" i="24"/>
  <c r="J86" i="24"/>
  <c r="J84" i="24"/>
  <c r="J82" i="24"/>
  <c r="J75" i="24"/>
  <c r="J68" i="24"/>
  <c r="J65" i="24"/>
  <c r="J63" i="24"/>
  <c r="J55" i="24"/>
  <c r="J53" i="24"/>
  <c r="J51" i="24"/>
  <c r="J49" i="24"/>
  <c r="J47" i="24"/>
  <c r="J45" i="24"/>
  <c r="J42" i="24"/>
  <c r="J35" i="24"/>
  <c r="J29" i="24"/>
  <c r="J23" i="24"/>
  <c r="J18" i="24"/>
  <c r="J10" i="24"/>
  <c r="R117" i="24" l="1"/>
  <c r="I18" i="24"/>
  <c r="S76" i="24"/>
  <c r="I110" i="24"/>
  <c r="I109" i="24" s="1"/>
  <c r="I141" i="24"/>
  <c r="I137" i="24" s="1"/>
  <c r="I133" i="24" s="1"/>
  <c r="I75" i="24"/>
  <c r="I62" i="24" s="1"/>
  <c r="S138" i="24"/>
  <c r="Q110" i="24"/>
  <c r="Q109" i="24" s="1"/>
  <c r="I35" i="24"/>
  <c r="S120" i="24"/>
  <c r="S121" i="24"/>
  <c r="R128" i="24"/>
  <c r="I96" i="24"/>
  <c r="I29" i="24"/>
  <c r="I44" i="24"/>
  <c r="Q141" i="24"/>
  <c r="Q137" i="24" s="1"/>
  <c r="T139" i="24"/>
  <c r="N141" i="24"/>
  <c r="N137" i="24" s="1"/>
  <c r="P110" i="24"/>
  <c r="L141" i="24"/>
  <c r="L137" i="24" s="1"/>
  <c r="K141" i="24"/>
  <c r="K137" i="24" s="1"/>
  <c r="J141" i="24"/>
  <c r="J137" i="24" s="1"/>
  <c r="L110" i="24"/>
  <c r="L109" i="24" s="1"/>
  <c r="P141" i="24"/>
  <c r="P137" i="24" s="1"/>
  <c r="M110" i="24"/>
  <c r="M109" i="24" s="1"/>
  <c r="M141" i="24"/>
  <c r="N110" i="24"/>
  <c r="O141" i="24"/>
  <c r="L44" i="24"/>
  <c r="O110" i="24"/>
  <c r="O109" i="24" s="1"/>
  <c r="R141" i="24"/>
  <c r="R137" i="24" s="1"/>
  <c r="J110" i="24"/>
  <c r="O44" i="24"/>
  <c r="R110" i="24"/>
  <c r="K110" i="24"/>
  <c r="M44" i="24"/>
  <c r="N96" i="24"/>
  <c r="J96" i="24"/>
  <c r="R96" i="24"/>
  <c r="M96" i="24"/>
  <c r="K96" i="24"/>
  <c r="P96" i="24"/>
  <c r="Q96" i="24"/>
  <c r="O96" i="24"/>
  <c r="L96" i="24"/>
  <c r="Q62" i="24"/>
  <c r="J62" i="24"/>
  <c r="K62" i="24"/>
  <c r="N62" i="24"/>
  <c r="P62" i="24"/>
  <c r="R62" i="24"/>
  <c r="L62" i="24"/>
  <c r="O62" i="24"/>
  <c r="M62" i="24"/>
  <c r="N44" i="24"/>
  <c r="Q44" i="24"/>
  <c r="R44" i="24"/>
  <c r="J44" i="24"/>
  <c r="P44" i="24"/>
  <c r="K44" i="24"/>
  <c r="R17" i="24"/>
  <c r="O17" i="24"/>
  <c r="K17" i="24"/>
  <c r="M17" i="24"/>
  <c r="P17" i="24"/>
  <c r="J17" i="24"/>
  <c r="L17" i="24"/>
  <c r="N17" i="24"/>
  <c r="Q17" i="24"/>
  <c r="R109" i="24" l="1"/>
  <c r="P109" i="24"/>
  <c r="K109" i="24"/>
  <c r="N133" i="24"/>
  <c r="K133" i="24"/>
  <c r="O137" i="24"/>
  <c r="O133" i="24" s="1"/>
  <c r="R133" i="24"/>
  <c r="P133" i="24"/>
  <c r="L133" i="24"/>
  <c r="Q133" i="24"/>
  <c r="M137" i="24"/>
  <c r="M133" i="24" s="1"/>
  <c r="I17" i="24"/>
  <c r="I9" i="24" s="1"/>
  <c r="I7" i="24" s="1"/>
  <c r="I6" i="24" s="1"/>
  <c r="N109" i="24"/>
  <c r="J109" i="24"/>
  <c r="J133" i="24"/>
  <c r="O9" i="24"/>
  <c r="O7" i="24" s="1"/>
  <c r="J9" i="24"/>
  <c r="Q9" i="24"/>
  <c r="Q7" i="24" s="1"/>
  <c r="Q6" i="24" s="1"/>
  <c r="L9" i="24"/>
  <c r="L7" i="24" s="1"/>
  <c r="N9" i="24"/>
  <c r="M9" i="24"/>
  <c r="M7" i="24" s="1"/>
  <c r="R9" i="24"/>
  <c r="R7" i="24" s="1"/>
  <c r="K9" i="24"/>
  <c r="K7" i="24" s="1"/>
  <c r="P9" i="24"/>
  <c r="P7" i="24" l="1"/>
  <c r="P6" i="24" s="1"/>
  <c r="K6" i="24"/>
  <c r="L6" i="24"/>
  <c r="R6" i="24"/>
  <c r="M6" i="24"/>
  <c r="O6" i="24"/>
  <c r="N7" i="24"/>
  <c r="N6" i="24" s="1"/>
  <c r="J7" i="24"/>
  <c r="J6" i="24" l="1"/>
  <c r="F8" i="24"/>
  <c r="T8" i="24" s="1"/>
  <c r="F11" i="24"/>
  <c r="T11" i="24" s="1"/>
  <c r="F12" i="24"/>
  <c r="T12" i="24" s="1"/>
  <c r="F13" i="24"/>
  <c r="T13" i="24" s="1"/>
  <c r="F14" i="24"/>
  <c r="T14" i="24" s="1"/>
  <c r="F15" i="24"/>
  <c r="T15" i="24" s="1"/>
  <c r="F16" i="24"/>
  <c r="T16" i="24" s="1"/>
  <c r="F19" i="24"/>
  <c r="T19" i="24" s="1"/>
  <c r="F20" i="24"/>
  <c r="F21" i="24"/>
  <c r="F22" i="24"/>
  <c r="T22" i="24" s="1"/>
  <c r="F24" i="24"/>
  <c r="T24" i="24" s="1"/>
  <c r="F25" i="24"/>
  <c r="T25" i="24" s="1"/>
  <c r="F26" i="24"/>
  <c r="T26" i="24" s="1"/>
  <c r="F27" i="24"/>
  <c r="F28" i="24"/>
  <c r="T28" i="24" s="1"/>
  <c r="F30" i="24"/>
  <c r="T30" i="24" s="1"/>
  <c r="F31" i="24"/>
  <c r="T31" i="24" s="1"/>
  <c r="F32" i="24"/>
  <c r="F33" i="24"/>
  <c r="F34" i="24"/>
  <c r="F36" i="24"/>
  <c r="T36" i="24" s="1"/>
  <c r="F37" i="24"/>
  <c r="F38" i="24"/>
  <c r="T38" i="24" s="1"/>
  <c r="F39" i="24"/>
  <c r="F40" i="24"/>
  <c r="T40" i="24" s="1"/>
  <c r="F41" i="24"/>
  <c r="T41" i="24" s="1"/>
  <c r="F43" i="24"/>
  <c r="T43" i="24" s="1"/>
  <c r="F46" i="24"/>
  <c r="T46" i="24" s="1"/>
  <c r="F48" i="24"/>
  <c r="T48" i="24" s="1"/>
  <c r="F50" i="24"/>
  <c r="T50" i="24" s="1"/>
  <c r="F52" i="24"/>
  <c r="T52" i="24" s="1"/>
  <c r="F54" i="24"/>
  <c r="T54" i="24" s="1"/>
  <c r="F56" i="24"/>
  <c r="T56" i="24" s="1"/>
  <c r="F57" i="24"/>
  <c r="T57" i="24" s="1"/>
  <c r="F58" i="24"/>
  <c r="T58" i="24" s="1"/>
  <c r="F59" i="24"/>
  <c r="T59" i="24" s="1"/>
  <c r="F60" i="24"/>
  <c r="T60" i="24" s="1"/>
  <c r="F61" i="24"/>
  <c r="T61" i="24" s="1"/>
  <c r="F64" i="24"/>
  <c r="T64" i="24" s="1"/>
  <c r="F66" i="24"/>
  <c r="T66" i="24" s="1"/>
  <c r="F67" i="24"/>
  <c r="T67" i="24" s="1"/>
  <c r="F69" i="24"/>
  <c r="T69" i="24" s="1"/>
  <c r="F70" i="24"/>
  <c r="T70" i="24" s="1"/>
  <c r="F71" i="24"/>
  <c r="T71" i="24" s="1"/>
  <c r="F72" i="24"/>
  <c r="T72" i="24" s="1"/>
  <c r="F73" i="24"/>
  <c r="T73" i="24" s="1"/>
  <c r="F74" i="24"/>
  <c r="T74" i="24" s="1"/>
  <c r="F77" i="24"/>
  <c r="T77" i="24" s="1"/>
  <c r="F78" i="24"/>
  <c r="T78" i="24" s="1"/>
  <c r="F79" i="24"/>
  <c r="T79" i="24" s="1"/>
  <c r="F80" i="24"/>
  <c r="F81" i="24"/>
  <c r="T81" i="24" s="1"/>
  <c r="F83" i="24"/>
  <c r="T83" i="24" s="1"/>
  <c r="F85" i="24"/>
  <c r="T85" i="24" s="1"/>
  <c r="F87" i="24"/>
  <c r="T87" i="24" s="1"/>
  <c r="F88" i="24"/>
  <c r="T88" i="24" s="1"/>
  <c r="F89" i="24"/>
  <c r="T89" i="24" s="1"/>
  <c r="F90" i="24"/>
  <c r="T90" i="24" s="1"/>
  <c r="F91" i="24"/>
  <c r="T91" i="24" s="1"/>
  <c r="F92" i="24"/>
  <c r="T92" i="24" s="1"/>
  <c r="F93" i="24"/>
  <c r="T93" i="24" s="1"/>
  <c r="F94" i="24"/>
  <c r="T94" i="24" s="1"/>
  <c r="F95" i="24"/>
  <c r="T95" i="24" s="1"/>
  <c r="F98" i="24"/>
  <c r="T98" i="24" s="1"/>
  <c r="F99" i="24"/>
  <c r="T99" i="24" s="1"/>
  <c r="F100" i="24"/>
  <c r="T100" i="24" s="1"/>
  <c r="F101" i="24"/>
  <c r="T101" i="24" s="1"/>
  <c r="F103" i="24"/>
  <c r="T103" i="24" s="1"/>
  <c r="F104" i="24"/>
  <c r="T104" i="24" s="1"/>
  <c r="F106" i="24"/>
  <c r="F107" i="24"/>
  <c r="T107" i="24" s="1"/>
  <c r="F108" i="24"/>
  <c r="T108" i="24" s="1"/>
  <c r="F111" i="24"/>
  <c r="T111" i="24" s="1"/>
  <c r="F113" i="24"/>
  <c r="T113" i="24" s="1"/>
  <c r="F115" i="24"/>
  <c r="T115" i="24" s="1"/>
  <c r="F116" i="24"/>
  <c r="T116" i="24" s="1"/>
  <c r="F119" i="24"/>
  <c r="T119" i="24" s="1"/>
  <c r="F122" i="24"/>
  <c r="T122" i="24" s="1"/>
  <c r="F123" i="24"/>
  <c r="T123" i="24" s="1"/>
  <c r="F125" i="24"/>
  <c r="T125" i="24" s="1"/>
  <c r="F126" i="24"/>
  <c r="F127" i="24"/>
  <c r="T127" i="24" s="1"/>
  <c r="F130" i="24"/>
  <c r="T130" i="24" s="1"/>
  <c r="F131" i="24"/>
  <c r="T131" i="24" s="1"/>
  <c r="F132" i="24"/>
  <c r="T132" i="24" s="1"/>
  <c r="F136" i="24"/>
  <c r="T136" i="24" s="1"/>
  <c r="F140" i="24"/>
  <c r="T140" i="24" s="1"/>
  <c r="F143" i="24"/>
  <c r="T143" i="24" s="1"/>
  <c r="F145" i="24"/>
  <c r="T145" i="24" s="1"/>
  <c r="F147" i="24"/>
  <c r="T147" i="24" s="1"/>
  <c r="F148" i="24"/>
  <c r="D146" i="24"/>
  <c r="D144" i="24"/>
  <c r="D142" i="24"/>
  <c r="D141" i="24" s="1"/>
  <c r="D135" i="24"/>
  <c r="D134" i="24" s="1"/>
  <c r="D129" i="24"/>
  <c r="D128" i="24" s="1"/>
  <c r="D124" i="24"/>
  <c r="D121" i="24"/>
  <c r="D120" i="24" s="1"/>
  <c r="D118" i="24"/>
  <c r="D117" i="24" s="1"/>
  <c r="D114" i="24"/>
  <c r="D112" i="24"/>
  <c r="D105" i="24"/>
  <c r="D102" i="24"/>
  <c r="D97" i="24"/>
  <c r="D86" i="24"/>
  <c r="D84" i="24"/>
  <c r="D82" i="24"/>
  <c r="D75" i="24"/>
  <c r="D68" i="24"/>
  <c r="D65" i="24"/>
  <c r="D63" i="24"/>
  <c r="D55" i="24"/>
  <c r="D53" i="24"/>
  <c r="D51" i="24"/>
  <c r="D49" i="24"/>
  <c r="D47" i="24"/>
  <c r="D45" i="24"/>
  <c r="D42" i="24"/>
  <c r="D35" i="24"/>
  <c r="D29" i="24"/>
  <c r="D23" i="24"/>
  <c r="D18" i="24"/>
  <c r="D10" i="24"/>
  <c r="G126" i="24"/>
  <c r="S126" i="24" s="1"/>
  <c r="G106" i="24"/>
  <c r="S106" i="24" s="1"/>
  <c r="G80" i="24"/>
  <c r="S80" i="24" s="1"/>
  <c r="H53" i="24"/>
  <c r="G53" i="24"/>
  <c r="E53" i="24"/>
  <c r="G37" i="24"/>
  <c r="S37" i="24" s="1"/>
  <c r="G39" i="24"/>
  <c r="S39" i="24" s="1"/>
  <c r="G34" i="24"/>
  <c r="S34" i="24" s="1"/>
  <c r="G33" i="24"/>
  <c r="S33" i="24" s="1"/>
  <c r="G32" i="24"/>
  <c r="S32" i="24" s="1"/>
  <c r="H146" i="24"/>
  <c r="H144" i="24"/>
  <c r="H142" i="24"/>
  <c r="H135" i="24"/>
  <c r="H134" i="24" s="1"/>
  <c r="H129" i="24"/>
  <c r="H128" i="24" s="1"/>
  <c r="H124" i="24"/>
  <c r="H118" i="24"/>
  <c r="H114" i="24"/>
  <c r="H112" i="24"/>
  <c r="H105" i="24"/>
  <c r="H102" i="24"/>
  <c r="H97" i="24"/>
  <c r="H86" i="24"/>
  <c r="H84" i="24"/>
  <c r="H82" i="24"/>
  <c r="H68" i="24"/>
  <c r="H65" i="24"/>
  <c r="H63" i="24"/>
  <c r="H55" i="24"/>
  <c r="H51" i="24"/>
  <c r="H49" i="24"/>
  <c r="H47" i="24"/>
  <c r="H45" i="24"/>
  <c r="H42" i="24"/>
  <c r="H35" i="24"/>
  <c r="H29" i="24"/>
  <c r="H23" i="24"/>
  <c r="H18" i="24"/>
  <c r="H10" i="24"/>
  <c r="G27" i="24"/>
  <c r="S27" i="24" s="1"/>
  <c r="G20" i="24"/>
  <c r="G21" i="24"/>
  <c r="G146" i="24"/>
  <c r="S146" i="24" s="1"/>
  <c r="G144" i="24"/>
  <c r="S144" i="24" s="1"/>
  <c r="G142" i="24"/>
  <c r="S142" i="24" s="1"/>
  <c r="G135" i="24"/>
  <c r="S135" i="24" s="1"/>
  <c r="G129" i="24"/>
  <c r="G128" i="24" s="1"/>
  <c r="G118" i="24"/>
  <c r="G114" i="24"/>
  <c r="G112" i="24"/>
  <c r="G102" i="24"/>
  <c r="G97" i="24"/>
  <c r="G86" i="24"/>
  <c r="G84" i="24"/>
  <c r="G82" i="24"/>
  <c r="G68" i="24"/>
  <c r="G65" i="24"/>
  <c r="G63" i="24"/>
  <c r="S63" i="24" s="1"/>
  <c r="G55" i="24"/>
  <c r="G51" i="24"/>
  <c r="G49" i="24"/>
  <c r="G47" i="24"/>
  <c r="G45" i="24"/>
  <c r="G42" i="24"/>
  <c r="G10" i="24"/>
  <c r="F76" i="24"/>
  <c r="T76" i="24" s="1"/>
  <c r="E146" i="24"/>
  <c r="E144" i="24"/>
  <c r="E142" i="24"/>
  <c r="E135" i="24"/>
  <c r="E134" i="24" s="1"/>
  <c r="E129" i="24"/>
  <c r="E128" i="24" s="1"/>
  <c r="E124" i="24"/>
  <c r="E121" i="24"/>
  <c r="E120" i="24" s="1"/>
  <c r="E118" i="24"/>
  <c r="E117" i="24" s="1"/>
  <c r="E114" i="24"/>
  <c r="E112" i="24"/>
  <c r="E105" i="24"/>
  <c r="E102" i="24"/>
  <c r="E97" i="24"/>
  <c r="E86" i="24"/>
  <c r="E84" i="24"/>
  <c r="E82" i="24"/>
  <c r="E75" i="24"/>
  <c r="E68" i="24"/>
  <c r="E65" i="24"/>
  <c r="E63" i="24"/>
  <c r="E55" i="24"/>
  <c r="E51" i="24"/>
  <c r="E49" i="24"/>
  <c r="E47" i="24"/>
  <c r="E45" i="24"/>
  <c r="E42" i="24"/>
  <c r="E35" i="24"/>
  <c r="E29" i="24"/>
  <c r="E23" i="24"/>
  <c r="E18" i="24"/>
  <c r="E10" i="24"/>
  <c r="S112" i="24" l="1"/>
  <c r="D137" i="24"/>
  <c r="S65" i="24"/>
  <c r="S84" i="24"/>
  <c r="S86" i="24"/>
  <c r="S47" i="24"/>
  <c r="S68" i="24"/>
  <c r="S97" i="24"/>
  <c r="S114" i="24"/>
  <c r="T148" i="24"/>
  <c r="S45" i="24"/>
  <c r="S55" i="24"/>
  <c r="S82" i="24"/>
  <c r="S102" i="24"/>
  <c r="S10" i="24"/>
  <c r="S49" i="24"/>
  <c r="S20" i="24"/>
  <c r="T20" i="24" s="1"/>
  <c r="S42" i="24"/>
  <c r="S51" i="24"/>
  <c r="G117" i="24"/>
  <c r="S118" i="24"/>
  <c r="S53" i="24"/>
  <c r="S129" i="24"/>
  <c r="S21" i="24"/>
  <c r="T21" i="24" s="1"/>
  <c r="T33" i="24"/>
  <c r="T126" i="24"/>
  <c r="T39" i="24"/>
  <c r="D133" i="24"/>
  <c r="T32" i="24"/>
  <c r="T80" i="24"/>
  <c r="T34" i="24"/>
  <c r="D96" i="24"/>
  <c r="G75" i="24"/>
  <c r="F42" i="24"/>
  <c r="F51" i="24"/>
  <c r="G124" i="24"/>
  <c r="S124" i="24" s="1"/>
  <c r="G35" i="24"/>
  <c r="S35" i="24" s="1"/>
  <c r="T37" i="24"/>
  <c r="D62" i="24"/>
  <c r="F128" i="24"/>
  <c r="G23" i="24"/>
  <c r="S23" i="24" s="1"/>
  <c r="T27" i="24"/>
  <c r="G134" i="24"/>
  <c r="S134" i="24" s="1"/>
  <c r="G105" i="24"/>
  <c r="S105" i="24" s="1"/>
  <c r="T106" i="24"/>
  <c r="F53" i="24"/>
  <c r="F68" i="24"/>
  <c r="T68" i="24" s="1"/>
  <c r="S128" i="24"/>
  <c r="H117" i="24"/>
  <c r="D17" i="24"/>
  <c r="D44" i="24"/>
  <c r="F129" i="24"/>
  <c r="F45" i="24"/>
  <c r="D110" i="24"/>
  <c r="D109" i="24" s="1"/>
  <c r="H141" i="24"/>
  <c r="H137" i="24" s="1"/>
  <c r="G141" i="24"/>
  <c r="G137" i="24" s="1"/>
  <c r="H96" i="24"/>
  <c r="H75" i="24"/>
  <c r="H62" i="24" s="1"/>
  <c r="H44" i="24"/>
  <c r="H110" i="24"/>
  <c r="E44" i="24"/>
  <c r="G44" i="24"/>
  <c r="G110" i="24"/>
  <c r="G29" i="24"/>
  <c r="S29" i="24" s="1"/>
  <c r="H17" i="24"/>
  <c r="G18" i="24"/>
  <c r="S18" i="24" s="1"/>
  <c r="E62" i="24"/>
  <c r="E141" i="24"/>
  <c r="E110" i="24"/>
  <c r="E109" i="24" s="1"/>
  <c r="E96" i="24"/>
  <c r="E17" i="24"/>
  <c r="E137" i="24" l="1"/>
  <c r="E133" i="24" s="1"/>
  <c r="T45" i="24"/>
  <c r="S110" i="24"/>
  <c r="S44" i="24"/>
  <c r="S117" i="24"/>
  <c r="G133" i="24"/>
  <c r="S141" i="24"/>
  <c r="G62" i="24"/>
  <c r="S62" i="24" s="1"/>
  <c r="S75" i="24"/>
  <c r="T128" i="24"/>
  <c r="T53" i="24"/>
  <c r="T129" i="24"/>
  <c r="T51" i="24"/>
  <c r="T42" i="24"/>
  <c r="G109" i="24"/>
  <c r="G96" i="24"/>
  <c r="S96" i="24" s="1"/>
  <c r="D9" i="24"/>
  <c r="D7" i="24" s="1"/>
  <c r="D6" i="24" s="1"/>
  <c r="H109" i="24"/>
  <c r="H9" i="24"/>
  <c r="G17" i="24"/>
  <c r="S17" i="24" s="1"/>
  <c r="E9" i="24"/>
  <c r="E7" i="24" s="1"/>
  <c r="S109" i="24" l="1"/>
  <c r="E6" i="24"/>
  <c r="S137" i="24"/>
  <c r="H133" i="24"/>
  <c r="S133" i="24" s="1"/>
  <c r="G9" i="24"/>
  <c r="H7" i="24"/>
  <c r="C146" i="24"/>
  <c r="F146" i="24" s="1"/>
  <c r="T146" i="24" s="1"/>
  <c r="G7" i="24" l="1"/>
  <c r="S9" i="24"/>
  <c r="H6" i="24"/>
  <c r="F138" i="24"/>
  <c r="C121" i="24"/>
  <c r="T138" i="24" l="1"/>
  <c r="G6" i="24"/>
  <c r="S6" i="24" s="1"/>
  <c r="S7" i="24"/>
  <c r="F121" i="24"/>
  <c r="T121" i="24" s="1"/>
  <c r="C11" i="25" s="1"/>
  <c r="C120" i="24"/>
  <c r="F120" i="24" s="1"/>
  <c r="T120" i="24" s="1"/>
  <c r="C49" i="24"/>
  <c r="F49" i="24" s="1"/>
  <c r="T49" i="24" s="1"/>
  <c r="C144" i="24" l="1"/>
  <c r="F144" i="24" s="1"/>
  <c r="T144" i="24" s="1"/>
  <c r="C142" i="24"/>
  <c r="F142" i="24" s="1"/>
  <c r="T142" i="24" s="1"/>
  <c r="C135" i="24"/>
  <c r="C124" i="24"/>
  <c r="F124" i="24" s="1"/>
  <c r="T124" i="24" s="1"/>
  <c r="C118" i="24"/>
  <c r="C114" i="24"/>
  <c r="F114" i="24" s="1"/>
  <c r="T114" i="24" s="1"/>
  <c r="C112" i="24"/>
  <c r="F112" i="24" s="1"/>
  <c r="T112" i="24" s="1"/>
  <c r="C105" i="24"/>
  <c r="F105" i="24" s="1"/>
  <c r="T105" i="24" s="1"/>
  <c r="C102" i="24"/>
  <c r="F102" i="24" s="1"/>
  <c r="T102" i="24" s="1"/>
  <c r="C97" i="24"/>
  <c r="F97" i="24" s="1"/>
  <c r="T97" i="24" s="1"/>
  <c r="C9" i="25" s="1"/>
  <c r="C86" i="24"/>
  <c r="F86" i="24" s="1"/>
  <c r="T86" i="24" s="1"/>
  <c r="C84" i="24"/>
  <c r="F84" i="24" s="1"/>
  <c r="T84" i="24" s="1"/>
  <c r="C82" i="24"/>
  <c r="F82" i="24" s="1"/>
  <c r="T82" i="24" s="1"/>
  <c r="C75" i="24"/>
  <c r="F75" i="24" s="1"/>
  <c r="T75" i="24" s="1"/>
  <c r="C65" i="24"/>
  <c r="F65" i="24" s="1"/>
  <c r="T65" i="24" s="1"/>
  <c r="C63" i="24"/>
  <c r="F63" i="24" s="1"/>
  <c r="T63" i="24" s="1"/>
  <c r="C55" i="24"/>
  <c r="F55" i="24" s="1"/>
  <c r="T55" i="24" s="1"/>
  <c r="C47" i="24"/>
  <c r="F47" i="24" s="1"/>
  <c r="T47" i="24" s="1"/>
  <c r="C35" i="24"/>
  <c r="F35" i="24" s="1"/>
  <c r="T35" i="24" s="1"/>
  <c r="C7" i="25" s="1"/>
  <c r="C29" i="24"/>
  <c r="F29" i="24" s="1"/>
  <c r="T29" i="24" s="1"/>
  <c r="C8" i="25" s="1"/>
  <c r="C23" i="24"/>
  <c r="F23" i="24" s="1"/>
  <c r="T23" i="24" s="1"/>
  <c r="C18" i="24"/>
  <c r="F18" i="24" s="1"/>
  <c r="T18" i="24" s="1"/>
  <c r="C6" i="25" s="1"/>
  <c r="C10" i="24"/>
  <c r="F10" i="24" s="1"/>
  <c r="T10" i="24" s="1"/>
  <c r="C5" i="25" l="1"/>
  <c r="C13" i="25" s="1"/>
  <c r="C134" i="24"/>
  <c r="F135" i="24"/>
  <c r="T135" i="24" s="1"/>
  <c r="C117" i="24"/>
  <c r="F117" i="24" s="1"/>
  <c r="T117" i="24" s="1"/>
  <c r="F118" i="24"/>
  <c r="T118" i="24" s="1"/>
  <c r="C44" i="24"/>
  <c r="F44" i="24" s="1"/>
  <c r="T44" i="24" s="1"/>
  <c r="C62" i="24"/>
  <c r="F62" i="24" s="1"/>
  <c r="T62" i="24" s="1"/>
  <c r="C110" i="24"/>
  <c r="C17" i="24"/>
  <c r="F17" i="24" s="1"/>
  <c r="T17" i="24" s="1"/>
  <c r="C96" i="24"/>
  <c r="F96" i="24" s="1"/>
  <c r="T96" i="24" s="1"/>
  <c r="C141" i="24"/>
  <c r="C137" i="24" s="1"/>
  <c r="C133" i="24" s="1"/>
  <c r="F141" i="24" l="1"/>
  <c r="F134" i="24"/>
  <c r="T134" i="24" s="1"/>
  <c r="C109" i="24"/>
  <c r="F109" i="24" s="1"/>
  <c r="T109" i="24" s="1"/>
  <c r="F110" i="24"/>
  <c r="T110" i="24" s="1"/>
  <c r="C9" i="24"/>
  <c r="T141" i="24" l="1"/>
  <c r="F137" i="24"/>
  <c r="T137" i="24" s="1"/>
  <c r="F133" i="24"/>
  <c r="T133" i="24" s="1"/>
  <c r="C7" i="24"/>
  <c r="F7" i="24" s="1"/>
  <c r="T7" i="24" s="1"/>
  <c r="F9" i="24"/>
  <c r="T9" i="24" s="1"/>
  <c r="C6" i="24" l="1"/>
  <c r="F6" i="24" s="1"/>
  <c r="T6" i="24" s="1"/>
</calcChain>
</file>

<file path=xl/sharedStrings.xml><?xml version="1.0" encoding="utf-8"?>
<sst xmlns="http://schemas.openxmlformats.org/spreadsheetml/2006/main" count="372" uniqueCount="331">
  <si>
    <t>Nosaukums</t>
  </si>
  <si>
    <t>Sophos ugunsmūra uzturēšana</t>
  </si>
  <si>
    <t>ESET Endpoint Antivīruss, ESET Endpoint Proptection, Licence</t>
  </si>
  <si>
    <t>SFP (mini-GBIC) transceiver module - LC multi-mode</t>
  </si>
  <si>
    <t>Kods</t>
  </si>
  <si>
    <t>B000</t>
  </si>
  <si>
    <t>Izdevumi – kopā</t>
  </si>
  <si>
    <t>2000</t>
  </si>
  <si>
    <t>Preces un pakalpojumi</t>
  </si>
  <si>
    <t>2100</t>
  </si>
  <si>
    <t>Mācību, darba un dienesta komandējumi, darba braucieni</t>
  </si>
  <si>
    <t>2200</t>
  </si>
  <si>
    <t>Pakalpojumi</t>
  </si>
  <si>
    <t>2210</t>
  </si>
  <si>
    <t>Izdevumi par sakaru pakalpojumiem</t>
  </si>
  <si>
    <t xml:space="preserve"> Tet SIA</t>
  </si>
  <si>
    <t>Latvijas mobilais telefons SIA</t>
  </si>
  <si>
    <t>Latvijas Pasts VAS (pasta sūtījumi), Latvijas pasta izdevumi</t>
  </si>
  <si>
    <t>Posttech SIA (Frankēšanas iekārtas FP Optimail tehniskā apkope)</t>
  </si>
  <si>
    <t>iLazo SIA, Ovaho SIA (pasta pakalpojumi), Bestsender</t>
  </si>
  <si>
    <t>2220</t>
  </si>
  <si>
    <t>Izdevumi par komunālajiem pakalpojumiem</t>
  </si>
  <si>
    <t>2221</t>
  </si>
  <si>
    <t>Izdevumi par siltumenerģiju</t>
  </si>
  <si>
    <t>Vidzemes slimnīca, SIA</t>
  </si>
  <si>
    <t>Latvijas Gāze, AS</t>
  </si>
  <si>
    <t>RĪGAS SILTUMS, AS</t>
  </si>
  <si>
    <t>Pļaviņu Komunālie pakalpojumi, SIA</t>
  </si>
  <si>
    <t>2222</t>
  </si>
  <si>
    <t>Izdevumi par ūdensapgādi un kanalizāciju</t>
  </si>
  <si>
    <t>Daugavpils pilsētas dome</t>
  </si>
  <si>
    <t>Rēzeknes slimnīca SIA</t>
  </si>
  <si>
    <t>Rīgas Austrumu klīniskā universitātes slimnīca SIA</t>
  </si>
  <si>
    <t>2223</t>
  </si>
  <si>
    <t>Izdevumi par elektroenerģiju</t>
  </si>
  <si>
    <t>Sadales tīkls, AS</t>
  </si>
  <si>
    <t>Enefit, SIA</t>
  </si>
  <si>
    <t>2224</t>
  </si>
  <si>
    <t>Izdevumi par atkritumu savākšanu, izvešanu no apdzīvotām vietām un teritorijām ārpus apdzīvotām vietām un atkritumu utilizāciju</t>
  </si>
  <si>
    <t>Eco Baltia vide SIA</t>
  </si>
  <si>
    <t>Ragn Sell/Lautus SIA</t>
  </si>
  <si>
    <t>2229</t>
  </si>
  <si>
    <t>Izdevumi par pārējiem komunālajiem pakalpojumiem</t>
  </si>
  <si>
    <t>infrastrukt.izmant.Vidzemes slimnīca/Vidzemes slimnīca</t>
  </si>
  <si>
    <t>2230</t>
  </si>
  <si>
    <t>Dažādi pakalpojumi</t>
  </si>
  <si>
    <t>2232</t>
  </si>
  <si>
    <t>Izdevumi par profesionālās darbības pakalpojumiem</t>
  </si>
  <si>
    <t xml:space="preserve">Pieaicinātie eksperti </t>
  </si>
  <si>
    <t>2233</t>
  </si>
  <si>
    <t>Izdevumi par transporta pakalpojumiem</t>
  </si>
  <si>
    <t>Izdevumi transporta pakalpojumiem (dokumentu nogādāšana)</t>
  </si>
  <si>
    <t>2234</t>
  </si>
  <si>
    <t>Normatīvajos aktos noteiktie veselības un fiziskās sagatavotības pārbaudes izdevumi</t>
  </si>
  <si>
    <t>2235</t>
  </si>
  <si>
    <t>Izdevumi par saņemtajiem mācību pakalpojumiem</t>
  </si>
  <si>
    <t xml:space="preserve">Mācības kursi semināri </t>
  </si>
  <si>
    <t>2239</t>
  </si>
  <si>
    <t>Pārējie neklasificētie pakalpojumi</t>
  </si>
  <si>
    <t>Latvijas nacionālais akreditācijas birojs (uzturēšanas gada maksa, uzraudzības vizīte+apliecība)</t>
  </si>
  <si>
    <t>RAKUS izmeklējumi, t.sk.radioloģiskie</t>
  </si>
  <si>
    <t>2240</t>
  </si>
  <si>
    <t>Remontdarbi un iestāžu uzturēšanas pakalpojumi (izņemot kapitālo remontu)</t>
  </si>
  <si>
    <t>2241</t>
  </si>
  <si>
    <t>Ēku, būvju un telpu būvdarbi</t>
  </si>
  <si>
    <t>2242</t>
  </si>
  <si>
    <t>Transportlīdzekļu uzturēšana un remonts</t>
  </si>
  <si>
    <t>Automašīnu apdrošināšana (octa, kasko)</t>
  </si>
  <si>
    <t>Remonta izdevumi, t.sk.auto mazgāšana</t>
  </si>
  <si>
    <t>2243</t>
  </si>
  <si>
    <t>Iekārtas, inventāra un aparatūras remonts, tehniskā apkalpošana</t>
  </si>
  <si>
    <t>Aukstuma iekārtas apkope (Dayton Latgale SIA)</t>
  </si>
  <si>
    <t>Aukstuma iekārtas apkope (VEGA 1 Serviss SIA)</t>
  </si>
  <si>
    <t>Kalibrēšana, verificēšana</t>
  </si>
  <si>
    <t>Medicīnas ierīcū tehniskās drošības ekspertīzes</t>
  </si>
  <si>
    <t>2244</t>
  </si>
  <si>
    <t>Nekustamā īpašuma uzturēšana</t>
  </si>
  <si>
    <t>Neparedzēti izdevumi (vent.sist.apkope, kanalizācija caur.tīr.)</t>
  </si>
  <si>
    <t>Ēku apdrošināšana</t>
  </si>
  <si>
    <t>2247</t>
  </si>
  <si>
    <t>Apdrošināšanas izdevumi</t>
  </si>
  <si>
    <t>2249</t>
  </si>
  <si>
    <t>Pārējie remontdarbu un iestāžu uzturēšanas pakalpojumi</t>
  </si>
  <si>
    <t>Iren Clean (veļas mazgāšana)</t>
  </si>
  <si>
    <t>2250</t>
  </si>
  <si>
    <t>Informācijas tehnoloģiju pakalpojumi</t>
  </si>
  <si>
    <t>TMEIS izmitināšana</t>
  </si>
  <si>
    <t>SSL sertifikāts</t>
  </si>
  <si>
    <t>2260</t>
  </si>
  <si>
    <t>Īre un noma</t>
  </si>
  <si>
    <t>2261</t>
  </si>
  <si>
    <t>Ēku, telpu īre un noma</t>
  </si>
  <si>
    <t>Jelgavas pilsētas slimnīca</t>
  </si>
  <si>
    <t>Liepājas reģionālā slimnīca SIA</t>
  </si>
  <si>
    <t>2263</t>
  </si>
  <si>
    <t>Zemes noma</t>
  </si>
  <si>
    <t>2264</t>
  </si>
  <si>
    <t>Iekārtu, aparatūras un inventāra īre un noma</t>
  </si>
  <si>
    <t>Gasimpex SIA /Linde Gas SIA (Balonu noma)</t>
  </si>
  <si>
    <t>CRC SIA (printeru noma)</t>
  </si>
  <si>
    <t>2300</t>
  </si>
  <si>
    <t>Krājumi, materiāli, energoresursi, preces, biroja preces un inventārs, kurus neuzskaita kodā 5000</t>
  </si>
  <si>
    <t>2310</t>
  </si>
  <si>
    <t>Izdevumi par dažādām precēm un inventāru</t>
  </si>
  <si>
    <t>2311</t>
  </si>
  <si>
    <t>Biroja preces</t>
  </si>
  <si>
    <t>2312</t>
  </si>
  <si>
    <t>Inventārs</t>
  </si>
  <si>
    <t xml:space="preserve">Inventārs </t>
  </si>
  <si>
    <t>2313</t>
  </si>
  <si>
    <t>Darba aizsardzības līdzekļi</t>
  </si>
  <si>
    <t>2314</t>
  </si>
  <si>
    <t>Izdevumi par precēm iestādes sabiedrisko aktivitāšu īstenošanai</t>
  </si>
  <si>
    <t>2320</t>
  </si>
  <si>
    <t>Kurināmais un enerģētiskie materiāli</t>
  </si>
  <si>
    <t>2322</t>
  </si>
  <si>
    <t>Degviela</t>
  </si>
  <si>
    <t>VIADA Baltija, AS</t>
  </si>
  <si>
    <t>2340</t>
  </si>
  <si>
    <t>Zāles, ķimikālijas, laboratorijas preces, medicīniskās ierīces, laboratorijas dzīvnieki un to uzturēšana</t>
  </si>
  <si>
    <t>2341</t>
  </si>
  <si>
    <t>Zāles, ķimikālijas, laboratorijas preces</t>
  </si>
  <si>
    <t>2344</t>
  </si>
  <si>
    <t>Medicīnas instrumenti, laboratorijas dzīvnieki un to uzturēšana</t>
  </si>
  <si>
    <t>2350</t>
  </si>
  <si>
    <t>Iestāžu uzturēšanas materiāli un preces</t>
  </si>
  <si>
    <t xml:space="preserve">IKT Kārtējā remonta un iestāžu uzturēšanas materiāli </t>
  </si>
  <si>
    <t>2500</t>
  </si>
  <si>
    <t>Budžeta iestāžu nodokļu, nodevu un sankciju maksājumi</t>
  </si>
  <si>
    <t>2510</t>
  </si>
  <si>
    <t>Budžeta iestāžu nodokļu un nodevu maksājumi</t>
  </si>
  <si>
    <t>2512</t>
  </si>
  <si>
    <t>Budžeta iestāžu pievienotās vērtības nodokļa maksājumi</t>
  </si>
  <si>
    <t>2513</t>
  </si>
  <si>
    <t>Budžeta iestāžu nekustamā īpašuma nodokļa maksājumi</t>
  </si>
  <si>
    <t>2519</t>
  </si>
  <si>
    <t>B200</t>
  </si>
  <si>
    <t>Kapitālie izdevumi</t>
  </si>
  <si>
    <t>5100</t>
  </si>
  <si>
    <t>Nemateriālie ieguldījumi</t>
  </si>
  <si>
    <t>5120</t>
  </si>
  <si>
    <t>Licences, koncesijas un patenti, preču zīmes un līdzīgas tiesības</t>
  </si>
  <si>
    <t>5200</t>
  </si>
  <si>
    <t>Pamatlīdzekļi, ieguldījuma īpašumi un bioloģiskie aktīvi</t>
  </si>
  <si>
    <t>5220</t>
  </si>
  <si>
    <t>Tehnoloģiskās iekārtas un mašīnas</t>
  </si>
  <si>
    <t>5230</t>
  </si>
  <si>
    <t>Pārējie pamatlīdzekļi</t>
  </si>
  <si>
    <t>5238</t>
  </si>
  <si>
    <t>Datortehnika, sakaru un cita biroja tehnika</t>
  </si>
  <si>
    <t>5239</t>
  </si>
  <si>
    <t>Pārējie iepriekš neklasificētie pamatlīdzekļi un ieguldījuma īpašumi</t>
  </si>
  <si>
    <t>5240</t>
  </si>
  <si>
    <t>Pamatlīdzekļu un ieguldījuma īpašumu izveidošana un nepabeigtā būvniecība</t>
  </si>
  <si>
    <t>5250</t>
  </si>
  <si>
    <t>Kapitālais remonts un rekonstrukcija</t>
  </si>
  <si>
    <t>ALAAS, SIA (Rēzekne-konteineru noma )</t>
  </si>
  <si>
    <t>Dokumentu arhivēšana</t>
  </si>
  <si>
    <t>VESMANN MANAGEMENT,SIA (ugunsdrošības sistēmas apkalpošana)</t>
  </si>
  <si>
    <t xml:space="preserve"> SIA Lindstrom (Paklāju maiņa)</t>
  </si>
  <si>
    <t>apsardzes pakalpojumi(Mega sargs/Baltic security solution SIA)</t>
  </si>
  <si>
    <t>Depo DIY SIA (samniecības un uzturēšanas materiali, preces)</t>
  </si>
  <si>
    <t>Tmeis uzturēšana</t>
  </si>
  <si>
    <t>Valsts kase (nodoklis)</t>
  </si>
  <si>
    <t xml:space="preserve">14 fiziskas personas </t>
  </si>
  <si>
    <t xml:space="preserve">MindManager </t>
  </si>
  <si>
    <t>Laboratorijupreces, reaģenti, ķimikālijas</t>
  </si>
  <si>
    <t>VIGO SIA/Zaķumuiža</t>
  </si>
  <si>
    <t>licences (Veeam ONE for VMware licence u.c.)</t>
  </si>
  <si>
    <t xml:space="preserve">Datu aizsardzība </t>
  </si>
  <si>
    <t>Institute of Forensis Genetics GmbH (1 ikgadējais starptautiskais pārbaudes tests)</t>
  </si>
  <si>
    <t>Citi pakalpojumi, t.sk. Latvijas audu bankas nodaļas atbilstības novērtēšana</t>
  </si>
  <si>
    <t xml:space="preserve">Atkritumu apsaimniekošanas Dienvidlatgales starppašvaldību organizācija SIA </t>
  </si>
  <si>
    <t xml:space="preserve">Pļaviņu Komunālie pakalpojumi SIA </t>
  </si>
  <si>
    <t>Vidzemes slimnīca SIA</t>
  </si>
  <si>
    <t>ALAAS SIA (Rēzekne)</t>
  </si>
  <si>
    <t>Kārtējā remonta un iestāžu uzturēšanas materiāli (tīrīšanas,mazgāšanas līdzekļi, tualetes papīrs, rokas dvieļi, u.c. uzturēšanas materiāli)</t>
  </si>
  <si>
    <t>VMware vSphere 6 Essentials Kit programmatūra, 08.08.2022.-07.08.2023.</t>
  </si>
  <si>
    <t>6.korpusa projektēšanas un būvniecības konkursa dokumentācijas sagatavošana MZA</t>
  </si>
  <si>
    <t>Ieejas durvju nomaiņa un uzstādīšana 6. korpusa ēkai, Rīgā - Domofoni ārdurvīm, 3 ekrāni (Reģistratūra, Lietvedība, NZ) Hansab SIA</t>
  </si>
  <si>
    <t>Likums par budžetu  2023.gadam</t>
  </si>
  <si>
    <t>Janvāris</t>
  </si>
  <si>
    <t>Latvijas mobilais telefons SIA (mob.sak.)</t>
  </si>
  <si>
    <t>Februāris</t>
  </si>
  <si>
    <t>2236</t>
  </si>
  <si>
    <t>Maksājumu pakalpojumi un komisijas</t>
  </si>
  <si>
    <t>Komisija</t>
  </si>
  <si>
    <t>Apapratūras remonts</t>
  </si>
  <si>
    <t>Fakts 2023</t>
  </si>
  <si>
    <t>Izdevumu pieauguma energoresursu kompensēšanai (MK 13.01.2023. sēdes prot. Nr.2 1.§ 6.punkts)</t>
  </si>
  <si>
    <t>Aprīlis</t>
  </si>
  <si>
    <t>Maijs</t>
  </si>
  <si>
    <t>Jūnijs</t>
  </si>
  <si>
    <t>Jūlijs</t>
  </si>
  <si>
    <t>Augusts</t>
  </si>
  <si>
    <t>Septembris</t>
  </si>
  <si>
    <t>Oktobris</t>
  </si>
  <si>
    <t>Novembris</t>
  </si>
  <si>
    <t>Decembris</t>
  </si>
  <si>
    <t>Energoresursu cenu kāpuma ietekme</t>
  </si>
  <si>
    <t>Komunālo izmaksu pieaugums siltumenerģijai</t>
  </si>
  <si>
    <t>Komunālo izmaksu pieaugums elektroenerģijai</t>
  </si>
  <si>
    <t>Kopā</t>
  </si>
  <si>
    <t>Pozīcijas nosaukums</t>
  </si>
  <si>
    <t>EUR</t>
  </si>
  <si>
    <t>1.1.</t>
  </si>
  <si>
    <t>1.2.</t>
  </si>
  <si>
    <t>Nr.p.k.</t>
  </si>
  <si>
    <t>Papildus nepieciešamais finansējums 2023.gadam</t>
  </si>
  <si>
    <t>T4</t>
  </si>
  <si>
    <t>1</t>
  </si>
  <si>
    <t>6=3+4+5</t>
  </si>
  <si>
    <t>19=7+8+9+10+11+12+13+14+15+16+17+18</t>
  </si>
  <si>
    <t>20=19-6</t>
  </si>
  <si>
    <t xml:space="preserve">BUDŽETS 2023 </t>
  </si>
  <si>
    <t xml:space="preserve">Izpildes prognoze 2023 
</t>
  </si>
  <si>
    <t xml:space="preserve">Deficīts </t>
  </si>
  <si>
    <t>Papildus finansējums TMEIS uzturēšanai</t>
  </si>
  <si>
    <t>Iekārta aukstumu uzturēšanai</t>
  </si>
  <si>
    <t>Pamatfunkcijas uzturēšanai - reaģentu iegādes ekspertīžu un izpēšu nodrošināšanai</t>
  </si>
  <si>
    <t xml:space="preserve">Marts </t>
  </si>
  <si>
    <t>EVORM Apsardzes serviss SIA/Apsardzes serviss SIA (Apsardzes pakalpojumi Siguldas iela 24, Daugavpils)</t>
  </si>
  <si>
    <r>
      <t xml:space="preserve">Pārējie budžeta iestāžu pārskaitītie nodokļi un nodevas </t>
    </r>
    <r>
      <rPr>
        <i/>
        <sz val="12"/>
        <color rgb="FF0070C0"/>
        <rFont val="Times New Roman"/>
        <family val="1"/>
        <charset val="186"/>
      </rPr>
      <t>(Valsts nodeva par darbību ar jonizējošā starojuma avotiem reģistrāciju)</t>
    </r>
  </si>
  <si>
    <t>Plāns 2026</t>
  </si>
  <si>
    <t>Datorkomplekti/datu masīvs</t>
  </si>
  <si>
    <t>5270</t>
  </si>
  <si>
    <t>Teamviewer u.c.</t>
  </si>
  <si>
    <t>1.3.</t>
  </si>
  <si>
    <t>Komunālo izmaksu pieaugums atkritumu izvešanas pakalpojumiem</t>
  </si>
  <si>
    <r>
      <t>Ilgtermiņa ieguldījumi nomātajos pamatlīdzekļos</t>
    </r>
    <r>
      <rPr>
        <sz val="12"/>
        <color theme="4"/>
        <rFont val="Times New Roman"/>
        <family val="1"/>
        <charset val="186"/>
      </rPr>
      <t xml:space="preserve"> (Aukstuma iekārta Valmierā)</t>
    </r>
  </si>
  <si>
    <t xml:space="preserve">Telpu nomas izmaksu pieaugums 	</t>
  </si>
  <si>
    <t xml:space="preserve">Izmeklējuma veikšana mirušo nāves cēloņu diferenciāla diagnozes noteikšana (zīdaiņi līdz 1 gada vecumam) (RAKUS pakalpojumu izdevumu segšana) </t>
  </si>
  <si>
    <t>Nepieciešamība/aktivitāte</t>
  </si>
  <si>
    <t>Pamatojums  iegādes nepieciešamībai</t>
  </si>
  <si>
    <t>Izmaksas bez PVN</t>
  </si>
  <si>
    <t>PVN (21%)</t>
  </si>
  <si>
    <t>Izmaksas ar PVN</t>
  </si>
  <si>
    <t>Fotoaparāts JRN Bauskā</t>
  </si>
  <si>
    <t>nepieciešama miesas bojājumu fiksācijai fotoattēlu veidā dzīvo un mirušo personu ekspertīzēs un objektīvāka eksperta atzinuma sniegšanai</t>
  </si>
  <si>
    <t>Elektriska nažu asināmā iekārta ar dimanta slīpripām, pareizu asināšanas leņķi, šablonu</t>
  </si>
  <si>
    <t>Autopsijas veikšanai VaRN</t>
  </si>
  <si>
    <t>Ledusskapis</t>
  </si>
  <si>
    <t>Paraugu uzglabāšanaiVaRN</t>
  </si>
  <si>
    <t>Divi elektriskie kaulu zāģi</t>
  </si>
  <si>
    <t>Autopsijas veikšanai DRN</t>
  </si>
  <si>
    <t>Kamera binokulārajam gaismas mikroskopam</t>
  </si>
  <si>
    <t>Mikroskopisko pierādījumu apstiprinājumu fiksēšanai TMĢSL</t>
  </si>
  <si>
    <t>3 speciālās brilles zilajai lampai</t>
  </si>
  <si>
    <t>Esošajam komplektam brilles salūzušas, efektīvu darbu var nodrošināt, ja vienlaikus traipus redz gan eksperts, gan laborants. Laboratorijas darba nodrošināšanai. TMĢSL</t>
  </si>
  <si>
    <t>Kasešu grozs ar nodalījumiem audu apstrādes aparātā</t>
  </si>
  <si>
    <t>2gab., lai uzlabotu darba efektivitāti, produktivitāti, izsekojamību mikropreparātu sagatavošanas procesā THL</t>
  </si>
  <si>
    <t>Krēsls pie stereomikroskopa telpā Nr. 150</t>
  </si>
  <si>
    <t>1x krēsls - pie viena stereomikroskopa nav atbilstoša krēsla, kuram varētu mainīt augstumu un muguras leņķi, ko būtu svarīgi nodrošināt pie ilga sēdoša darba</t>
  </si>
  <si>
    <t>Pavisam kopā:</t>
  </si>
  <si>
    <t>Rezerves kopēšanas risinājums</t>
  </si>
  <si>
    <t>Programmatūra tiek abonēta uz gadu(pārsvarā visi tažotāji nepiedāvā iegādāties beztermiņa licences). Lai nodrošinātu MS Office 365 e-pasta un Centra datu ātru, vienkāršu, uzticamu un elastīgu datu rezerves kopēšanas risinājumu.</t>
  </si>
  <si>
    <t>Drošības audits TMEIS</t>
  </si>
  <si>
    <t>Paaugstinātas drošības sistēmām nepieciešams katru gadu veikt drošības auditu - MK 442 ITK noteikumi.</t>
  </si>
  <si>
    <t>Mācības</t>
  </si>
  <si>
    <t>IT personāla apmācība (Microsoft Azzur infrastruktūrta)</t>
  </si>
  <si>
    <t>Teamviewer</t>
  </si>
  <si>
    <t>Attālinātā atbalsta sniegšana</t>
  </si>
  <si>
    <t>Checkpoint 1600 Base apliance un 1535 Base apliance</t>
  </si>
  <si>
    <t>2 serveri, 1 disku masīvs, programmatūra</t>
  </si>
  <si>
    <t>VTMEC Ugunsmūris Sophos SG230 pārtrauks darboties 2024. gada 6. jūnijā (beidzas uzturēšana un licence – turpmāka pagarināšana nav iespējama), tai skaitā arī Sophos RED15, kuri nodrošina VTMEC reģionālo nodaļu  pieslēgumu centram. VTMEC pašlaik darbojas un visu nodrošina divi 2016. gadā iegādāti HP 360 G9 serveri bez garantijas.</t>
  </si>
  <si>
    <t>Kopā:</t>
  </si>
  <si>
    <t xml:space="preserve">Neatliekami pasākumi VTMEC pamatfunkciju izpildei - kritiski nepieciešamie pasākumi pamatfunkcijas uzturēšanai esošajā līmenī </t>
  </si>
  <si>
    <t>2. Informācijas tehnoloģiju pakalpojumiem, sekmējot ekspertīžu izpildes operativitāti un uzlabojot darba efektivitāti, kā arī Centra informācijas tehnoloģijas uzlabošanai</t>
  </si>
  <si>
    <t>1. Laboratoriju un nodaļu tehnoloģiju uzturēšanai un atjaunošanai, kapacitātes stirpināšanai, lai nodrošinātu pamatfunkciju nepārtrauktību un  ilgtspēju</t>
  </si>
  <si>
    <t>Valts tiesu medicīnas ekspertīzes centra kopsavilkums par budžeta apakšprogrammas 39.06. plānotu budžetu un faktiskajiem izdevumiem 2023.gadā</t>
  </si>
  <si>
    <t>Pielikums Nr.1 MK rīkojuma projekta “Par Zāļu valsts aģentūras 2023. gada budžeta apstiprināšanu”  anotācijai</t>
  </si>
  <si>
    <t>Pielikums Nr.2 MK rīkojuma projekta “Par Zāļu valsts aģentūras 2023. gada budžeta apstiprināšanu”  anotācijai</t>
  </si>
  <si>
    <t>Pielikums Nr.3 MK rīkojuma projekta “Par Zāļu valsts aģentūras 2023. gada budžeta apstiprināšanu”  anotācijai</t>
  </si>
  <si>
    <t>t.sk. EKK 2000</t>
  </si>
  <si>
    <t>t.sk. EKK 5000</t>
  </si>
  <si>
    <t>Nr.</t>
  </si>
  <si>
    <t xml:space="preserve">Pozīciju nosaukums </t>
  </si>
  <si>
    <t xml:space="preserve">Mērvienība </t>
  </si>
  <si>
    <t>Vienības</t>
  </si>
  <si>
    <t>Cena par vienību</t>
  </si>
  <si>
    <t>Izstāžu/pasākumu skaits</t>
  </si>
  <si>
    <t>Kopsumma</t>
  </si>
  <si>
    <t>Telpu iekārtojuma arhitektūra/scenogrāfija izstādēm un publsikās programmas pasākumiem</t>
  </si>
  <si>
    <t>Izstāžu dizaina izstrāde t.sk. tehniskie zīmējumi</t>
  </si>
  <si>
    <t>gab</t>
  </si>
  <si>
    <t>Izstāžu iekārtojuma (vitrīnu, stendu, podestu) ražošana/uzbūve</t>
  </si>
  <si>
    <t>m2</t>
  </si>
  <si>
    <t>Telpu scenogrāfijas izstrāde publiskās programmas pasākumiem</t>
  </si>
  <si>
    <t xml:space="preserve">Telpu iekārtošana publiskās programmas pasākumiem (skatuve, radošās darbnīcas iekārtošana) </t>
  </si>
  <si>
    <t>Vizuālās komunikācijas dizains un ražošana</t>
  </si>
  <si>
    <t>Izstādes grafiskās identitātes izstrāde</t>
  </si>
  <si>
    <t>2.2.1.</t>
  </si>
  <si>
    <t>plakāti</t>
  </si>
  <si>
    <t>2.2.2.</t>
  </si>
  <si>
    <t>flajeri</t>
  </si>
  <si>
    <t xml:space="preserve">2.2.3. </t>
  </si>
  <si>
    <t xml:space="preserve">sociālo tīklu reklāmas </t>
  </si>
  <si>
    <t>2.2.4.</t>
  </si>
  <si>
    <t>pilsētvidē</t>
  </si>
  <si>
    <t>Baneru ražošana un izvietošana uz muzeja fasādes</t>
  </si>
  <si>
    <t>Izstādes pavadošo tekstu korektūra, tulkošana</t>
  </si>
  <si>
    <t>zīmes</t>
  </si>
  <si>
    <t>Izstādes pavadošo tekstu  maketēšana, ploterēšana un izvietošana izstādē</t>
  </si>
  <si>
    <t>Video un audiomateriālu filmēšana, pēcapstrāde, montāža un izvietošana izstādē</t>
  </si>
  <si>
    <t>minūtes</t>
  </si>
  <si>
    <t>2.7.1.</t>
  </si>
  <si>
    <t>lielformāta plakāti</t>
  </si>
  <si>
    <t>2.7.2.</t>
  </si>
  <si>
    <t>2.7.3.</t>
  </si>
  <si>
    <t>sociālo tīklu publicitātes materiāli un to maksas reklāma ("būstošana")</t>
  </si>
  <si>
    <t>Tehniskais nodrošinājums</t>
  </si>
  <si>
    <t>Video un audio atskaņotāju, projektoru, ekrānu noma un apkalpošana izstādēs</t>
  </si>
  <si>
    <t>vienības</t>
  </si>
  <si>
    <t>Izstāžu apgaismojuma dizains un realizācija</t>
  </si>
  <si>
    <t>Izstāžu audiogidi</t>
  </si>
  <si>
    <t>projekts</t>
  </si>
  <si>
    <t>Publisko programmu pasākumiem-  tiešraidēm nepieciešamie pakalpojumi</t>
  </si>
  <si>
    <t>stundas</t>
  </si>
  <si>
    <t>Publisko programmu audio apskaņošana - skandas, mikrofoni</t>
  </si>
  <si>
    <t>Eksponātu deponēšana, transportēšana, apdrošināšana; autortiesību licences; izstādēm nepieciešamo jaundarbu radīšana</t>
  </si>
  <si>
    <t>Eksponātu deponēšana, apdrošināšana</t>
  </si>
  <si>
    <t>Skaits</t>
  </si>
  <si>
    <t xml:space="preserve">Eksponātu transportēšana </t>
  </si>
  <si>
    <t>Autortiesību licences</t>
  </si>
  <si>
    <t>Jaundarbu radīšana</t>
  </si>
  <si>
    <t>Ar pasākumu norisi saistītais materiāli tehniskais nodrošinājums</t>
  </si>
  <si>
    <t>Radošo darbnīcu materiāli (plastelīns, aplikāciju papīrs, karstā līme un citi materiāli atbilstoši pasākumu programmai);</t>
  </si>
  <si>
    <t>pasākumu skaits, katrā 20 dalībnieki</t>
  </si>
  <si>
    <t xml:space="preserve"> Laboratorijas piederumi muzejpedagoģiskajām nodarbībām (mikroskopu aprīkojums, petri trauciņi, testeri, mēģenes, aizsargapģērbs); datorprogrammu licences interaktivajam saturam digitālajā klasē</t>
  </si>
  <si>
    <t>KOPĀ:</t>
  </si>
  <si>
    <t>Pielikums Nr.4 MK rīkojuma projekta “Par Zāļu valsts aģentūras 2023. gada budžeta apstiprināšanu”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</si>
</sst>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2">
    <font>
      <sz val="11"/>
      <color rgb="FF000000"/>
      <name val="Calibri"/>
      <family val="2"/>
      <charset val="186"/>
    </font>
    <font>
      <sz val="11"/>
      <color theme="1"/>
      <name val="Calibri"/>
      <family val="2"/>
      <charset val="186"/>
      <scheme val="minor"/>
    </font>
    <font>
      <sz val="12"/>
      <name val="Times New Roman"/>
      <family val="1"/>
      <charset val="186"/>
    </font>
    <font>
      <sz val="10"/>
      <name val="Arial"/>
      <family val="2"/>
      <charset val="186"/>
    </font>
    <font>
      <sz val="11"/>
      <color indexed="8"/>
      <name val="Calibri"/>
      <family val="2"/>
      <charset val="186"/>
    </font>
    <font>
      <b/>
      <sz val="12"/>
      <name val="Times New Roman"/>
      <family val="1"/>
      <charset val="186"/>
    </font>
    <font>
      <i/>
      <sz val="12"/>
      <name val="Times New Roman"/>
      <family val="1"/>
      <charset val="186"/>
    </font>
    <font>
      <b/>
      <i/>
      <sz val="12"/>
      <name val="Times New Roman"/>
      <family val="1"/>
      <charset val="186"/>
    </font>
    <font>
      <sz val="11"/>
      <color rgb="FF000000"/>
      <name val="Calibri"/>
      <family val="2"/>
      <charset val="186"/>
    </font>
    <font>
      <sz val="10"/>
      <name val="BaltHelvetica"/>
    </font>
    <font>
      <sz val="12"/>
      <name val="Times New Roman Baltic"/>
      <charset val="186"/>
    </font>
    <font>
      <sz val="12"/>
      <color rgb="FF0070C0"/>
      <name val="Times New Roman"/>
      <family val="1"/>
      <charset val="186"/>
    </font>
    <font>
      <i/>
      <sz val="12"/>
      <color rgb="FF0070C0"/>
      <name val="Times New Roman"/>
      <family val="1"/>
      <charset val="186"/>
    </font>
    <font>
      <i/>
      <sz val="12"/>
      <color theme="4"/>
      <name val="Times New Roman"/>
      <family val="1"/>
      <charset val="186"/>
    </font>
    <font>
      <i/>
      <sz val="12"/>
      <color rgb="FFFF0000"/>
      <name val="Times New Roman"/>
      <family val="1"/>
      <charset val="186"/>
    </font>
    <font>
      <sz val="8"/>
      <name val="Calibri"/>
      <family val="2"/>
      <charset val="186"/>
    </font>
    <font>
      <b/>
      <sz val="12"/>
      <color rgb="FFFF0000"/>
      <name val="Times New Roman"/>
      <family val="1"/>
      <charset val="186"/>
    </font>
    <font>
      <sz val="11"/>
      <color rgb="FF000000"/>
      <name val="Times New Roman"/>
      <family val="1"/>
      <charset val="186"/>
    </font>
    <font>
      <i/>
      <sz val="11"/>
      <color rgb="FF000000"/>
      <name val="Times New Roman"/>
      <family val="1"/>
      <charset val="186"/>
    </font>
    <font>
      <b/>
      <sz val="11"/>
      <color rgb="FF000000"/>
      <name val="Times New Roman"/>
      <family val="1"/>
      <charset val="186"/>
    </font>
    <font>
      <sz val="11"/>
      <name val="Times New Roman"/>
      <family val="1"/>
      <charset val="186"/>
    </font>
    <font>
      <sz val="12"/>
      <color theme="4"/>
      <name val="Times New Roman"/>
      <family val="1"/>
      <charset val="186"/>
    </font>
    <font>
      <sz val="12"/>
      <color rgb="FF000000"/>
      <name val="Times New Roman"/>
      <family val="1"/>
      <charset val="186"/>
    </font>
    <font>
      <b/>
      <sz val="12"/>
      <color rgb="FF000000"/>
      <name val="Times New Roman"/>
      <family val="1"/>
      <charset val="186"/>
    </font>
    <font>
      <b/>
      <sz val="22"/>
      <name val="Times New Roman"/>
      <family val="1"/>
      <charset val="186"/>
    </font>
    <font>
      <sz val="10"/>
      <color rgb="FF000000"/>
      <name val="Times New Roman"/>
      <family val="1"/>
      <charset val="186"/>
    </font>
    <font>
      <sz val="10"/>
      <color rgb="FF000000"/>
      <name val="Calibri"/>
      <family val="2"/>
      <charset val="186"/>
    </font>
    <font>
      <sz val="10"/>
      <color rgb="FF000000"/>
      <name val="Calibri"/>
      <family val="2"/>
      <scheme val="minor"/>
    </font>
    <font>
      <b/>
      <sz val="10"/>
      <color rgb="FF000000"/>
      <name val="Calibri"/>
      <family val="2"/>
      <scheme val="minor"/>
    </font>
    <font>
      <sz val="10"/>
      <name val="Calibri"/>
      <family val="2"/>
      <scheme val="minor"/>
    </font>
    <font>
      <sz val="8"/>
      <color rgb="FF000000"/>
      <name val="Calibri"/>
      <family val="2"/>
      <scheme val="minor"/>
    </font>
    <font>
      <b/>
      <sz val="11"/>
      <color rgb="FF000000"/>
      <name val="Calibri"/>
      <family val="2"/>
    </font>
  </fonts>
  <fills count="1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4"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9">
    <xf numFmtId="0" fontId="0" fillId="0" borderId="0"/>
    <xf numFmtId="0" fontId="3" fillId="0" borderId="0"/>
    <xf numFmtId="0" fontId="4" fillId="0" borderId="0"/>
    <xf numFmtId="0" fontId="3" fillId="0" borderId="0"/>
    <xf numFmtId="0" fontId="1" fillId="0" borderId="0"/>
    <xf numFmtId="0" fontId="8" fillId="0" borderId="0"/>
    <xf numFmtId="9" fontId="8" fillId="0" borderId="0" applyFont="0" applyFill="0" applyBorder="0" applyAlignment="0" applyProtection="0"/>
    <xf numFmtId="0" fontId="9" fillId="0" borderId="0"/>
    <xf numFmtId="0" fontId="27" fillId="0" borderId="0"/>
  </cellStyleXfs>
  <cellXfs count="180">
    <xf numFmtId="0" fontId="0" fillId="0" borderId="0" xfId="0"/>
    <xf numFmtId="0" fontId="2" fillId="0" borderId="0" xfId="0" applyFont="1"/>
    <xf numFmtId="0" fontId="10" fillId="0" borderId="0" xfId="0" applyFont="1"/>
    <xf numFmtId="49" fontId="2" fillId="0" borderId="0" xfId="0" applyNumberFormat="1" applyFont="1" applyProtection="1">
      <protection locked="0"/>
    </xf>
    <xf numFmtId="49" fontId="5" fillId="2" borderId="2" xfId="0" applyNumberFormat="1" applyFont="1" applyFill="1" applyBorder="1" applyAlignment="1">
      <alignment vertical="top" wrapText="1"/>
    </xf>
    <xf numFmtId="0" fontId="5" fillId="2" borderId="2" xfId="0" applyFont="1" applyFill="1" applyBorder="1" applyAlignment="1">
      <alignment vertical="top" wrapText="1"/>
    </xf>
    <xf numFmtId="3" fontId="5" fillId="2" borderId="2" xfId="0" applyNumberFormat="1" applyFont="1" applyFill="1" applyBorder="1" applyAlignment="1">
      <alignment horizontal="right" vertical="top"/>
    </xf>
    <xf numFmtId="4" fontId="5" fillId="2" borderId="4" xfId="0" applyNumberFormat="1" applyFont="1" applyFill="1" applyBorder="1" applyAlignment="1">
      <alignment horizontal="right" vertical="top"/>
    </xf>
    <xf numFmtId="49" fontId="5" fillId="4" borderId="2" xfId="0" applyNumberFormat="1" applyFont="1" applyFill="1" applyBorder="1" applyAlignment="1">
      <alignment horizontal="left" vertical="top" wrapText="1" indent="3"/>
    </xf>
    <xf numFmtId="0" fontId="5" fillId="4" borderId="2" xfId="0" applyFont="1" applyFill="1" applyBorder="1" applyAlignment="1">
      <alignment vertical="top" wrapText="1"/>
    </xf>
    <xf numFmtId="4" fontId="5" fillId="4" borderId="2" xfId="0" applyNumberFormat="1" applyFont="1" applyFill="1" applyBorder="1" applyAlignment="1">
      <alignment horizontal="right" vertical="top"/>
    </xf>
    <xf numFmtId="49" fontId="5" fillId="5" borderId="2" xfId="0" applyNumberFormat="1" applyFont="1" applyFill="1" applyBorder="1" applyAlignment="1">
      <alignment horizontal="left" vertical="top" wrapText="1" indent="4"/>
    </xf>
    <xf numFmtId="0" fontId="5" fillId="5" borderId="2" xfId="0" applyFont="1" applyFill="1" applyBorder="1" applyAlignment="1">
      <alignment vertical="top" wrapText="1"/>
    </xf>
    <xf numFmtId="3" fontId="5" fillId="5" borderId="2" xfId="0" applyNumberFormat="1" applyFont="1" applyFill="1" applyBorder="1" applyAlignment="1">
      <alignment horizontal="right" vertical="top"/>
    </xf>
    <xf numFmtId="4" fontId="5" fillId="5" borderId="2" xfId="0" applyNumberFormat="1" applyFont="1" applyFill="1" applyBorder="1" applyAlignment="1">
      <alignment horizontal="right" vertical="top"/>
    </xf>
    <xf numFmtId="49" fontId="5" fillId="3" borderId="2" xfId="0" applyNumberFormat="1" applyFont="1" applyFill="1" applyBorder="1" applyAlignment="1">
      <alignment horizontal="left" vertical="top" wrapText="1" indent="5"/>
    </xf>
    <xf numFmtId="0" fontId="5" fillId="3" borderId="2" xfId="0" applyFont="1" applyFill="1" applyBorder="1" applyAlignment="1">
      <alignment vertical="top" wrapText="1"/>
    </xf>
    <xf numFmtId="3" fontId="5" fillId="3" borderId="2" xfId="0" applyNumberFormat="1" applyFont="1" applyFill="1" applyBorder="1" applyAlignment="1">
      <alignment horizontal="right" vertical="top"/>
    </xf>
    <xf numFmtId="4" fontId="5" fillId="3" borderId="2" xfId="0" applyNumberFormat="1" applyFont="1" applyFill="1" applyBorder="1" applyAlignment="1">
      <alignment horizontal="right" vertical="top"/>
    </xf>
    <xf numFmtId="49" fontId="11" fillId="0" borderId="2" xfId="0" applyNumberFormat="1" applyFont="1" applyBorder="1" applyAlignment="1">
      <alignment horizontal="left" vertical="top" wrapText="1" indent="5"/>
    </xf>
    <xf numFmtId="0" fontId="12" fillId="2" borderId="2" xfId="0" applyFont="1" applyFill="1" applyBorder="1" applyAlignment="1">
      <alignment horizontal="right" vertical="top" wrapText="1"/>
    </xf>
    <xf numFmtId="3" fontId="11" fillId="2" borderId="2" xfId="0" applyNumberFormat="1" applyFont="1" applyFill="1" applyBorder="1" applyAlignment="1">
      <alignment horizontal="right" vertical="top"/>
    </xf>
    <xf numFmtId="4" fontId="12" fillId="2" borderId="2" xfId="0" applyNumberFormat="1" applyFont="1" applyFill="1" applyBorder="1" applyAlignment="1" applyProtection="1">
      <alignment horizontal="right" wrapText="1"/>
      <protection locked="0"/>
    </xf>
    <xf numFmtId="3" fontId="11" fillId="2" borderId="2" xfId="0" applyNumberFormat="1" applyFont="1" applyFill="1" applyBorder="1" applyAlignment="1">
      <alignment horizontal="right" vertical="center"/>
    </xf>
    <xf numFmtId="4" fontId="12" fillId="2" borderId="2" xfId="0" applyNumberFormat="1" applyFont="1" applyFill="1" applyBorder="1" applyAlignment="1" applyProtection="1">
      <alignment horizontal="right" vertical="center" wrapText="1"/>
      <protection locked="0"/>
    </xf>
    <xf numFmtId="3" fontId="12" fillId="2" borderId="2" xfId="0" applyNumberFormat="1" applyFont="1" applyFill="1" applyBorder="1" applyAlignment="1" applyProtection="1">
      <alignment horizontal="right" vertical="center" wrapText="1"/>
      <protection locked="0"/>
    </xf>
    <xf numFmtId="49" fontId="5" fillId="0" borderId="0" xfId="0" applyNumberFormat="1" applyFont="1" applyProtection="1">
      <protection locked="0"/>
    </xf>
    <xf numFmtId="49" fontId="5" fillId="0" borderId="2" xfId="0" applyNumberFormat="1" applyFont="1" applyBorder="1" applyAlignment="1">
      <alignment horizontal="left" vertical="top" wrapText="1" indent="6"/>
    </xf>
    <xf numFmtId="0" fontId="5" fillId="0" borderId="2" xfId="0" applyFont="1" applyBorder="1" applyAlignment="1">
      <alignment vertical="top" wrapText="1"/>
    </xf>
    <xf numFmtId="3" fontId="5" fillId="0" borderId="2" xfId="0" applyNumberFormat="1" applyFont="1" applyBorder="1" applyAlignment="1">
      <alignment horizontal="right" vertical="top"/>
    </xf>
    <xf numFmtId="4" fontId="5" fillId="0" borderId="2" xfId="0" applyNumberFormat="1" applyFont="1" applyBorder="1" applyAlignment="1">
      <alignment horizontal="right" vertical="top"/>
    </xf>
    <xf numFmtId="4" fontId="5" fillId="0" borderId="2" xfId="0" applyNumberFormat="1" applyFont="1" applyBorder="1" applyAlignment="1">
      <alignment horizontal="right" vertical="center"/>
    </xf>
    <xf numFmtId="0" fontId="13" fillId="2" borderId="2" xfId="0" applyFont="1" applyFill="1" applyBorder="1" applyAlignment="1">
      <alignment horizontal="right" vertical="top" wrapText="1"/>
    </xf>
    <xf numFmtId="49" fontId="11" fillId="0" borderId="0" xfId="0" applyNumberFormat="1" applyFont="1" applyProtection="1">
      <protection locked="0"/>
    </xf>
    <xf numFmtId="0" fontId="12" fillId="6" borderId="2" xfId="0" applyFont="1" applyFill="1" applyBorder="1" applyAlignment="1">
      <alignment horizontal="right" vertical="top" wrapText="1"/>
    </xf>
    <xf numFmtId="3" fontId="11" fillId="0" borderId="2" xfId="0" applyNumberFormat="1" applyFont="1" applyBorder="1" applyAlignment="1">
      <alignment vertical="center"/>
    </xf>
    <xf numFmtId="0" fontId="14" fillId="2" borderId="2" xfId="0" applyFont="1" applyFill="1" applyBorder="1" applyAlignment="1">
      <alignment horizontal="right" vertical="top" wrapText="1"/>
    </xf>
    <xf numFmtId="49" fontId="12" fillId="0" borderId="2" xfId="0" applyNumberFormat="1" applyFont="1" applyBorder="1" applyAlignment="1">
      <alignment horizontal="left" vertical="top" wrapText="1" indent="5"/>
    </xf>
    <xf numFmtId="3" fontId="12" fillId="2" borderId="2" xfId="0" applyNumberFormat="1" applyFont="1" applyFill="1" applyBorder="1" applyAlignment="1">
      <alignment horizontal="right" vertical="top"/>
    </xf>
    <xf numFmtId="49" fontId="6" fillId="0" borderId="0" xfId="0" applyNumberFormat="1" applyFont="1" applyProtection="1">
      <protection locked="0"/>
    </xf>
    <xf numFmtId="3" fontId="12" fillId="6" borderId="2" xfId="0" applyNumberFormat="1" applyFont="1" applyFill="1" applyBorder="1" applyAlignment="1">
      <alignment horizontal="right" vertical="top"/>
    </xf>
    <xf numFmtId="4" fontId="12" fillId="2" borderId="2" xfId="0" applyNumberFormat="1" applyFont="1" applyFill="1" applyBorder="1" applyAlignment="1">
      <alignment horizontal="right" vertical="top"/>
    </xf>
    <xf numFmtId="4" fontId="12" fillId="6" borderId="2" xfId="0" applyNumberFormat="1" applyFont="1" applyFill="1" applyBorder="1" applyAlignment="1">
      <alignment horizontal="right" vertical="top"/>
    </xf>
    <xf numFmtId="49" fontId="2" fillId="0" borderId="2" xfId="0" applyNumberFormat="1" applyFont="1" applyBorder="1" applyAlignment="1">
      <alignment horizontal="left" vertical="top" wrapText="1" indent="6"/>
    </xf>
    <xf numFmtId="0" fontId="2" fillId="0" borderId="2" xfId="0" applyFont="1" applyBorder="1" applyAlignment="1">
      <alignment vertical="top" wrapText="1"/>
    </xf>
    <xf numFmtId="3" fontId="2" fillId="0" borderId="2" xfId="0" applyNumberFormat="1" applyFont="1" applyBorder="1" applyAlignment="1">
      <alignment horizontal="right" vertical="top"/>
    </xf>
    <xf numFmtId="4" fontId="2" fillId="0" borderId="2" xfId="0" applyNumberFormat="1" applyFont="1" applyBorder="1" applyAlignment="1">
      <alignment horizontal="right" vertical="top"/>
    </xf>
    <xf numFmtId="49" fontId="5" fillId="4" borderId="2" xfId="0" applyNumberFormat="1" applyFont="1" applyFill="1" applyBorder="1" applyAlignment="1">
      <alignment horizontal="left" vertical="top" wrapText="1" indent="1"/>
    </xf>
    <xf numFmtId="49" fontId="7" fillId="0" borderId="2" xfId="0" applyNumberFormat="1" applyFont="1" applyBorder="1" applyAlignment="1">
      <alignment horizontal="left" vertical="top" wrapText="1" indent="6"/>
    </xf>
    <xf numFmtId="49" fontId="7" fillId="0" borderId="0" xfId="0" applyNumberFormat="1" applyFont="1" applyProtection="1">
      <protection locked="0"/>
    </xf>
    <xf numFmtId="0" fontId="2" fillId="0" borderId="0" xfId="0" applyFont="1" applyAlignment="1">
      <alignment wrapText="1"/>
    </xf>
    <xf numFmtId="4" fontId="2" fillId="0" borderId="0" xfId="0" applyNumberFormat="1" applyFont="1"/>
    <xf numFmtId="2" fontId="12" fillId="2" borderId="2" xfId="0" applyNumberFormat="1" applyFont="1" applyFill="1" applyBorder="1" applyAlignment="1">
      <alignment horizontal="right" vertical="top" wrapText="1"/>
    </xf>
    <xf numFmtId="4" fontId="5" fillId="2" borderId="2" xfId="0" applyNumberFormat="1" applyFont="1" applyFill="1" applyBorder="1" applyAlignment="1">
      <alignment horizontal="right" vertical="top"/>
    </xf>
    <xf numFmtId="0" fontId="5" fillId="0" borderId="2" xfId="0" applyFont="1" applyBorder="1" applyAlignment="1">
      <alignment horizontal="center" vertical="center" textRotation="90" wrapText="1"/>
    </xf>
    <xf numFmtId="4" fontId="16" fillId="0" borderId="2" xfId="0" applyNumberFormat="1" applyFont="1" applyBorder="1" applyAlignment="1">
      <alignment horizontal="right" vertical="top"/>
    </xf>
    <xf numFmtId="4" fontId="16" fillId="3" borderId="2" xfId="0" applyNumberFormat="1" applyFont="1" applyFill="1" applyBorder="1" applyAlignment="1">
      <alignment horizontal="right" vertical="top"/>
    </xf>
    <xf numFmtId="0" fontId="17" fillId="0" borderId="0" xfId="0" applyFont="1" applyAlignment="1">
      <alignment wrapText="1"/>
    </xf>
    <xf numFmtId="0" fontId="17" fillId="0" borderId="0" xfId="0" applyFont="1" applyAlignment="1">
      <alignment horizontal="center" wrapText="1"/>
    </xf>
    <xf numFmtId="0" fontId="19" fillId="0" borderId="2" xfId="0" applyFont="1" applyBorder="1" applyAlignment="1">
      <alignment horizontal="center" wrapText="1"/>
    </xf>
    <xf numFmtId="0" fontId="19" fillId="0" borderId="0" xfId="0" applyFont="1" applyAlignment="1">
      <alignment wrapText="1"/>
    </xf>
    <xf numFmtId="0" fontId="5" fillId="2" borderId="2" xfId="0" applyFont="1" applyFill="1" applyBorder="1" applyAlignment="1">
      <alignment horizontal="left" vertical="center" wrapText="1"/>
    </xf>
    <xf numFmtId="0" fontId="17" fillId="2" borderId="2" xfId="0" applyFont="1" applyFill="1" applyBorder="1" applyAlignment="1">
      <alignment horizontal="right" vertical="center" wrapText="1"/>
    </xf>
    <xf numFmtId="0" fontId="18" fillId="2" borderId="2" xfId="0" applyFont="1" applyFill="1" applyBorder="1" applyAlignment="1">
      <alignment horizontal="right" vertical="center" wrapText="1"/>
    </xf>
    <xf numFmtId="0" fontId="19" fillId="2" borderId="2" xfId="0" applyFont="1" applyFill="1" applyBorder="1" applyAlignment="1">
      <alignment horizontal="center" vertical="center" wrapText="1"/>
    </xf>
    <xf numFmtId="3" fontId="5" fillId="2" borderId="2" xfId="0" applyNumberFormat="1" applyFont="1" applyFill="1" applyBorder="1" applyAlignment="1">
      <alignment horizontal="left" vertical="center" wrapText="1"/>
    </xf>
    <xf numFmtId="3" fontId="18" fillId="2" borderId="2" xfId="0" applyNumberFormat="1" applyFont="1" applyFill="1" applyBorder="1" applyAlignment="1">
      <alignment horizontal="right" vertical="center" wrapText="1"/>
    </xf>
    <xf numFmtId="3" fontId="19" fillId="3" borderId="2" xfId="0" applyNumberFormat="1" applyFont="1" applyFill="1" applyBorder="1" applyAlignment="1">
      <alignment vertical="center" wrapText="1"/>
    </xf>
    <xf numFmtId="3" fontId="16" fillId="0" borderId="2" xfId="0" applyNumberFormat="1" applyFont="1" applyBorder="1" applyAlignment="1">
      <alignment horizontal="right" vertical="top"/>
    </xf>
    <xf numFmtId="4" fontId="16" fillId="2" borderId="4" xfId="0" applyNumberFormat="1" applyFont="1" applyFill="1" applyBorder="1" applyAlignment="1">
      <alignment horizontal="right" vertical="top"/>
    </xf>
    <xf numFmtId="4" fontId="16" fillId="4" borderId="2" xfId="0" applyNumberFormat="1" applyFont="1" applyFill="1" applyBorder="1" applyAlignment="1">
      <alignment horizontal="right" vertical="top"/>
    </xf>
    <xf numFmtId="4" fontId="16" fillId="5" borderId="2" xfId="0" applyNumberFormat="1" applyFont="1" applyFill="1" applyBorder="1" applyAlignment="1">
      <alignment horizontal="right" vertical="top"/>
    </xf>
    <xf numFmtId="49" fontId="20" fillId="0" borderId="2" xfId="0" applyNumberFormat="1" applyFont="1" applyBorder="1" applyAlignment="1" applyProtection="1">
      <alignment horizontal="center" vertical="center" wrapText="1"/>
      <protection locked="0"/>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3" borderId="4" xfId="0" applyFont="1" applyFill="1" applyBorder="1" applyAlignment="1">
      <alignment horizontal="center" vertical="center" wrapText="1"/>
    </xf>
    <xf numFmtId="49" fontId="20" fillId="0" borderId="0" xfId="0" applyNumberFormat="1" applyFont="1" applyProtection="1">
      <protection locked="0"/>
    </xf>
    <xf numFmtId="0" fontId="2" fillId="2" borderId="2" xfId="0" applyFont="1" applyFill="1" applyBorder="1" applyAlignment="1">
      <alignment horizontal="left" vertical="center" wrapText="1"/>
    </xf>
    <xf numFmtId="4" fontId="2" fillId="2" borderId="2" xfId="0" applyNumberFormat="1" applyFont="1" applyFill="1" applyBorder="1" applyAlignment="1">
      <alignment horizontal="center" vertical="center" wrapText="1"/>
    </xf>
    <xf numFmtId="4" fontId="2" fillId="2" borderId="2" xfId="0" applyNumberFormat="1" applyFont="1" applyFill="1" applyBorder="1" applyAlignment="1">
      <alignment horizontal="center" vertical="center"/>
    </xf>
    <xf numFmtId="0" fontId="0" fillId="0" borderId="2" xfId="0" applyBorder="1" applyAlignment="1">
      <alignment horizontal="center" vertical="center"/>
    </xf>
    <xf numFmtId="0" fontId="2" fillId="0" borderId="2" xfId="0" applyFont="1" applyBorder="1" applyAlignment="1">
      <alignment vertical="center" wrapText="1"/>
    </xf>
    <xf numFmtId="4" fontId="0" fillId="0" borderId="2" xfId="0" applyNumberFormat="1" applyBorder="1" applyAlignment="1">
      <alignment horizontal="center" vertical="center" wrapText="1"/>
    </xf>
    <xf numFmtId="0" fontId="2" fillId="2" borderId="2" xfId="0" applyFont="1" applyFill="1" applyBorder="1" applyAlignment="1">
      <alignment vertical="center" wrapText="1"/>
    </xf>
    <xf numFmtId="0" fontId="0" fillId="2" borderId="2" xfId="0" applyFill="1" applyBorder="1" applyAlignment="1">
      <alignment horizontal="center" vertical="center"/>
    </xf>
    <xf numFmtId="4" fontId="0" fillId="2" borderId="2" xfId="0" applyNumberFormat="1" applyFill="1" applyBorder="1" applyAlignment="1">
      <alignment horizontal="center" vertical="center" wrapText="1"/>
    </xf>
    <xf numFmtId="0" fontId="2" fillId="2" borderId="2" xfId="0" applyFont="1" applyFill="1" applyBorder="1" applyAlignment="1">
      <alignment horizontal="center" vertical="center"/>
    </xf>
    <xf numFmtId="4" fontId="23" fillId="8" borderId="2" xfId="0" applyNumberFormat="1" applyFont="1" applyFill="1" applyBorder="1" applyAlignment="1">
      <alignment horizontal="center" vertical="center"/>
    </xf>
    <xf numFmtId="4" fontId="23" fillId="8" borderId="2" xfId="0" applyNumberFormat="1" applyFont="1" applyFill="1" applyBorder="1" applyAlignment="1">
      <alignment horizontal="right" vertical="center" wrapText="1"/>
    </xf>
    <xf numFmtId="4" fontId="23" fillId="7" borderId="2" xfId="0" applyNumberFormat="1" applyFont="1" applyFill="1" applyBorder="1" applyAlignment="1">
      <alignment horizontal="right" vertical="center" wrapText="1"/>
    </xf>
    <xf numFmtId="4" fontId="0" fillId="0" borderId="0" xfId="0" applyNumberFormat="1"/>
    <xf numFmtId="4" fontId="17" fillId="0" borderId="0" xfId="0" applyNumberFormat="1" applyFont="1" applyAlignment="1">
      <alignment wrapText="1"/>
    </xf>
    <xf numFmtId="0" fontId="27" fillId="0" borderId="0" xfId="8"/>
    <xf numFmtId="0" fontId="28" fillId="9" borderId="2" xfId="8" applyFont="1" applyFill="1" applyBorder="1" applyAlignment="1">
      <alignment horizontal="center" vertical="center"/>
    </xf>
    <xf numFmtId="0" fontId="28" fillId="9" borderId="2" xfId="8" applyFont="1" applyFill="1" applyBorder="1" applyAlignment="1">
      <alignment horizontal="center" vertical="center" wrapText="1"/>
    </xf>
    <xf numFmtId="0" fontId="27" fillId="0" borderId="0" xfId="8" applyAlignment="1">
      <alignment vertical="top"/>
    </xf>
    <xf numFmtId="0" fontId="28" fillId="10" borderId="2" xfId="8" applyFont="1" applyFill="1" applyBorder="1" applyAlignment="1">
      <alignment vertical="top"/>
    </xf>
    <xf numFmtId="3" fontId="28" fillId="10" borderId="2" xfId="8" applyNumberFormat="1" applyFont="1" applyFill="1" applyBorder="1" applyAlignment="1">
      <alignment vertical="top"/>
    </xf>
    <xf numFmtId="0" fontId="27" fillId="0" borderId="2" xfId="8" applyBorder="1"/>
    <xf numFmtId="3" fontId="27" fillId="0" borderId="2" xfId="8" applyNumberFormat="1" applyBorder="1"/>
    <xf numFmtId="0" fontId="29" fillId="2" borderId="2" xfId="8" applyFont="1" applyFill="1" applyBorder="1"/>
    <xf numFmtId="0" fontId="28" fillId="10" borderId="15" xfId="8" applyFont="1" applyFill="1" applyBorder="1" applyAlignment="1">
      <alignment vertical="top"/>
    </xf>
    <xf numFmtId="0" fontId="27" fillId="2" borderId="2" xfId="8" applyFill="1" applyBorder="1"/>
    <xf numFmtId="14" fontId="30" fillId="0" borderId="2" xfId="8" applyNumberFormat="1" applyFont="1" applyBorder="1" applyAlignment="1">
      <alignment horizontal="right"/>
    </xf>
    <xf numFmtId="0" fontId="27" fillId="2" borderId="2" xfId="8" applyFill="1" applyBorder="1" applyAlignment="1">
      <alignment horizontal="left" indent="1"/>
    </xf>
    <xf numFmtId="0" fontId="30" fillId="0" borderId="2" xfId="8" applyFont="1" applyBorder="1" applyAlignment="1">
      <alignment horizontal="right"/>
    </xf>
    <xf numFmtId="164" fontId="27" fillId="2" borderId="2" xfId="8" applyNumberFormat="1" applyFill="1" applyBorder="1"/>
    <xf numFmtId="0" fontId="27" fillId="0" borderId="2" xfId="8" applyBorder="1" applyAlignment="1">
      <alignment horizontal="left" indent="1"/>
    </xf>
    <xf numFmtId="3" fontId="28" fillId="10" borderId="2" xfId="8" applyNumberFormat="1" applyFont="1" applyFill="1" applyBorder="1"/>
    <xf numFmtId="0" fontId="28" fillId="10" borderId="0" xfId="8" applyFont="1" applyFill="1" applyAlignment="1">
      <alignment vertical="top"/>
    </xf>
    <xf numFmtId="3" fontId="28" fillId="10" borderId="4" xfId="8" applyNumberFormat="1" applyFont="1" applyFill="1" applyBorder="1"/>
    <xf numFmtId="0" fontId="27" fillId="0" borderId="2" xfId="8" applyBorder="1" applyAlignment="1">
      <alignment wrapText="1"/>
    </xf>
    <xf numFmtId="0" fontId="27" fillId="11" borderId="2" xfId="8" applyFill="1" applyBorder="1"/>
    <xf numFmtId="3" fontId="28" fillId="11" borderId="2" xfId="8" applyNumberFormat="1" applyFont="1" applyFill="1" applyBorder="1"/>
    <xf numFmtId="0" fontId="19" fillId="3" borderId="2" xfId="0" applyFont="1" applyFill="1" applyBorder="1" applyAlignment="1">
      <alignment horizontal="center" vertical="center" wrapText="1"/>
    </xf>
    <xf numFmtId="0" fontId="19" fillId="0" borderId="1" xfId="0" applyFont="1" applyBorder="1" applyAlignment="1">
      <alignment horizontal="center" wrapText="1"/>
    </xf>
    <xf numFmtId="0" fontId="25" fillId="0" borderId="0" xfId="0" applyFont="1" applyAlignment="1">
      <alignment horizontal="right" wrapText="1"/>
    </xf>
    <xf numFmtId="0" fontId="23" fillId="2" borderId="3"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3" fillId="7" borderId="2" xfId="0" applyFont="1" applyFill="1" applyBorder="1" applyAlignment="1">
      <alignment horizontal="right" vertical="center" wrapText="1"/>
    </xf>
    <xf numFmtId="0" fontId="23" fillId="7" borderId="5" xfId="0" applyFont="1" applyFill="1" applyBorder="1" applyAlignment="1">
      <alignment horizontal="center" vertical="center" wrapText="1"/>
    </xf>
    <xf numFmtId="0" fontId="23" fillId="7" borderId="6" xfId="0" applyFont="1" applyFill="1" applyBorder="1" applyAlignment="1">
      <alignment horizontal="center" vertical="center" wrapText="1"/>
    </xf>
    <xf numFmtId="0" fontId="23" fillId="7" borderId="7"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3" fillId="8" borderId="2" xfId="0" applyFont="1" applyFill="1" applyBorder="1" applyAlignment="1">
      <alignment horizontal="right"/>
    </xf>
    <xf numFmtId="0" fontId="22" fillId="8" borderId="2" xfId="0" applyFont="1" applyFill="1" applyBorder="1" applyAlignment="1">
      <alignment horizontal="center"/>
    </xf>
    <xf numFmtId="0" fontId="23" fillId="8" borderId="2" xfId="0" applyFont="1" applyFill="1" applyBorder="1" applyAlignment="1">
      <alignment horizontal="right" vertical="center" wrapText="1"/>
    </xf>
    <xf numFmtId="0" fontId="23" fillId="8" borderId="5" xfId="0" applyFont="1" applyFill="1" applyBorder="1" applyAlignment="1">
      <alignment horizontal="center" vertical="center" wrapText="1"/>
    </xf>
    <xf numFmtId="0" fontId="23" fillId="8" borderId="6" xfId="0" applyFont="1" applyFill="1" applyBorder="1" applyAlignment="1">
      <alignment horizontal="center" vertical="center" wrapText="1"/>
    </xf>
    <xf numFmtId="0" fontId="23" fillId="8" borderId="7" xfId="0" applyFont="1" applyFill="1" applyBorder="1" applyAlignment="1">
      <alignment horizontal="center" vertical="center" wrapText="1"/>
    </xf>
    <xf numFmtId="0" fontId="2" fillId="2" borderId="10"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14" xfId="0" applyFont="1" applyFill="1" applyBorder="1" applyAlignment="1">
      <alignment horizontal="left" vertical="center" wrapText="1"/>
    </xf>
    <xf numFmtId="2" fontId="23" fillId="2" borderId="3" xfId="0" applyNumberFormat="1" applyFont="1" applyFill="1" applyBorder="1" applyAlignment="1">
      <alignment horizontal="center" vertical="center" wrapText="1"/>
    </xf>
    <xf numFmtId="2" fontId="23" fillId="2" borderId="4" xfId="0" applyNumberFormat="1" applyFont="1" applyFill="1" applyBorder="1" applyAlignment="1">
      <alignment horizontal="center" vertical="center" wrapText="1"/>
    </xf>
    <xf numFmtId="0" fontId="2" fillId="2" borderId="2" xfId="0" applyFont="1" applyFill="1" applyBorder="1" applyAlignment="1">
      <alignment vertical="center" wrapText="1"/>
    </xf>
    <xf numFmtId="0" fontId="5" fillId="3" borderId="9" xfId="0" applyFont="1" applyFill="1" applyBorder="1" applyAlignment="1">
      <alignment horizontal="left" vertical="center" wrapText="1"/>
    </xf>
    <xf numFmtId="0" fontId="5" fillId="3" borderId="0" xfId="0" applyFont="1" applyFill="1" applyAlignment="1">
      <alignment horizontal="left" vertical="center" wrapText="1"/>
    </xf>
    <xf numFmtId="0" fontId="23" fillId="2" borderId="2" xfId="0" applyFont="1" applyFill="1" applyBorder="1" applyAlignment="1">
      <alignment horizontal="center" vertical="center"/>
    </xf>
    <xf numFmtId="0" fontId="26" fillId="0" borderId="0" xfId="0" applyFont="1" applyAlignment="1">
      <alignment horizontal="right" wrapText="1"/>
    </xf>
    <xf numFmtId="0" fontId="23" fillId="2" borderId="10" xfId="0" applyFont="1" applyFill="1" applyBorder="1" applyAlignment="1">
      <alignment horizontal="center" vertical="center"/>
    </xf>
    <xf numFmtId="0" fontId="23" fillId="2" borderId="11" xfId="0" applyFont="1" applyFill="1" applyBorder="1" applyAlignment="1">
      <alignment horizontal="center" vertical="center"/>
    </xf>
    <xf numFmtId="0" fontId="23" fillId="2" borderId="12"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 xfId="0" applyFont="1" applyFill="1" applyBorder="1" applyAlignment="1">
      <alignment horizontal="center" vertical="center"/>
    </xf>
    <xf numFmtId="0" fontId="23" fillId="2" borderId="14" xfId="0" applyFont="1" applyFill="1" applyBorder="1" applyAlignment="1">
      <alignment horizontal="center" vertical="center"/>
    </xf>
    <xf numFmtId="0" fontId="5" fillId="7" borderId="8" xfId="0" applyFont="1" applyFill="1" applyBorder="1" applyAlignment="1">
      <alignment horizontal="left" vertical="center" wrapText="1"/>
    </xf>
    <xf numFmtId="0" fontId="5" fillId="7" borderId="0" xfId="0" applyFont="1" applyFill="1" applyAlignment="1">
      <alignment horizontal="left" vertical="center" wrapText="1"/>
    </xf>
    <xf numFmtId="0" fontId="23" fillId="2" borderId="2" xfId="0" applyFont="1" applyFill="1" applyBorder="1" applyAlignment="1">
      <alignment horizontal="left" vertical="center" wrapText="1"/>
    </xf>
    <xf numFmtId="0" fontId="2" fillId="0" borderId="0" xfId="0" applyFont="1" applyAlignment="1">
      <alignment horizontal="center" wrapText="1"/>
    </xf>
    <xf numFmtId="0" fontId="24" fillId="0" borderId="1" xfId="0" applyFont="1" applyBorder="1" applyAlignment="1">
      <alignment horizontal="center" vertical="center" wrapText="1"/>
    </xf>
    <xf numFmtId="49" fontId="5" fillId="0" borderId="2" xfId="0" applyNumberFormat="1"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27" fillId="0" borderId="0" xfId="8" applyAlignment="1">
      <alignment horizontal="center" wrapText="1"/>
    </xf>
    <xf numFmtId="0" fontId="31" fillId="0" borderId="11" xfId="0" applyFont="1" applyBorder="1" applyAlignment="1">
      <alignment horizontal="right"/>
    </xf>
    <xf numFmtId="0" fontId="31" fillId="0" borderId="0" xfId="0" applyFont="1" applyAlignment="1">
      <alignment horizontal="right"/>
    </xf>
    <xf numFmtId="0" fontId="28" fillId="10" borderId="5" xfId="8" applyFont="1" applyFill="1" applyBorder="1" applyAlignment="1">
      <alignment vertical="top"/>
    </xf>
    <xf numFmtId="0" fontId="27" fillId="10" borderId="6" xfId="8" applyFill="1" applyBorder="1" applyAlignment="1">
      <alignment vertical="top"/>
    </xf>
    <xf numFmtId="0" fontId="28" fillId="10" borderId="6" xfId="8" applyFont="1" applyFill="1" applyBorder="1" applyAlignment="1">
      <alignment vertical="top"/>
    </xf>
    <xf numFmtId="0" fontId="28" fillId="10" borderId="13" xfId="8" applyFont="1" applyFill="1" applyBorder="1" applyAlignment="1">
      <alignment vertical="top"/>
    </xf>
    <xf numFmtId="0" fontId="27" fillId="10" borderId="1" xfId="8" applyFill="1" applyBorder="1" applyAlignment="1">
      <alignment vertical="top"/>
    </xf>
    <xf numFmtId="0" fontId="28" fillId="10" borderId="2" xfId="8" applyFont="1" applyFill="1" applyBorder="1" applyAlignment="1">
      <alignment vertical="top"/>
    </xf>
    <xf numFmtId="0" fontId="27" fillId="10" borderId="2" xfId="8" applyFill="1" applyBorder="1" applyAlignment="1">
      <alignment vertical="top"/>
    </xf>
    <xf numFmtId="0" fontId="28" fillId="11" borderId="5" xfId="8" applyFont="1" applyFill="1" applyBorder="1" applyAlignment="1">
      <alignment horizontal="right"/>
    </xf>
    <xf numFmtId="0" fontId="28" fillId="11" borderId="6" xfId="8" applyFont="1" applyFill="1" applyBorder="1" applyAlignment="1">
      <alignment horizontal="right"/>
    </xf>
    <xf numFmtId="0" fontId="28" fillId="11" borderId="7" xfId="8" applyFont="1" applyFill="1" applyBorder="1" applyAlignment="1">
      <alignment horizontal="right"/>
    </xf>
    <xf numFmtId="3" fontId="27" fillId="0" borderId="0" xfId="8" applyNumberFormat="1"/>
  </cellXfs>
  <cellStyles count="9">
    <cellStyle name="Normal" xfId="0" builtinId="0"/>
    <cellStyle name="Normal 2" xfId="5" xr:uid="{00000000-0005-0000-0000-000001000000}"/>
    <cellStyle name="Normal 3" xfId="1" xr:uid="{00000000-0005-0000-0000-000002000000}"/>
    <cellStyle name="Normal 3 10" xfId="2" xr:uid="{00000000-0005-0000-0000-000003000000}"/>
    <cellStyle name="Normal 4" xfId="4" xr:uid="{00000000-0005-0000-0000-000004000000}"/>
    <cellStyle name="Normal 5" xfId="8" xr:uid="{7DEEF822-3B76-4507-83AC-C6C80A9F76DA}"/>
    <cellStyle name="Parastais_FMLikp01_p05_221205_pap_afp_makp" xfId="7" xr:uid="{00000000-0005-0000-0000-000005000000}"/>
    <cellStyle name="Percent 2" xfId="6" xr:uid="{00000000-0005-0000-0000-000006000000}"/>
    <cellStyle name="Style 1 2" xfId="3" xr:uid="{00000000-0005-0000-0000-000007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C55A11"/>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66FF"/>
      <color rgb="FFFFFE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77483-8462-42BF-BF4A-456E626BFEB4}">
  <dimension ref="A1:F15"/>
  <sheetViews>
    <sheetView view="pageBreakPreview" zoomScaleNormal="100" zoomScaleSheetLayoutView="100" workbookViewId="0">
      <selection activeCell="C17" sqref="C17"/>
    </sheetView>
  </sheetViews>
  <sheetFormatPr defaultColWidth="8.85546875" defaultRowHeight="15"/>
  <cols>
    <col min="1" max="1" width="8.85546875" style="58"/>
    <col min="2" max="2" width="37.7109375" style="57" customWidth="1"/>
    <col min="3" max="3" width="10.140625" style="57" bestFit="1" customWidth="1"/>
    <col min="4" max="16384" width="8.85546875" style="57"/>
  </cols>
  <sheetData>
    <row r="1" spans="1:6" ht="45" customHeight="1">
      <c r="C1" s="116" t="s">
        <v>270</v>
      </c>
      <c r="D1" s="116"/>
      <c r="E1" s="116"/>
      <c r="F1" s="116"/>
    </row>
    <row r="3" spans="1:6">
      <c r="A3" s="115" t="s">
        <v>208</v>
      </c>
      <c r="B3" s="115"/>
      <c r="C3" s="115"/>
    </row>
    <row r="4" spans="1:6" s="60" customFormat="1" ht="14.25">
      <c r="A4" s="59" t="s">
        <v>207</v>
      </c>
      <c r="B4" s="59" t="s">
        <v>203</v>
      </c>
      <c r="C4" s="59" t="s">
        <v>204</v>
      </c>
    </row>
    <row r="5" spans="1:6" ht="15.75">
      <c r="A5" s="64">
        <v>1</v>
      </c>
      <c r="B5" s="61" t="s">
        <v>199</v>
      </c>
      <c r="C5" s="65">
        <f>C6+C8+C7</f>
        <v>24221.38999999997</v>
      </c>
    </row>
    <row r="6" spans="1:6" ht="30">
      <c r="A6" s="62" t="s">
        <v>205</v>
      </c>
      <c r="B6" s="63" t="s">
        <v>200</v>
      </c>
      <c r="C6" s="66">
        <f>Izdevumi_pfjas_nodrošināšanai!T18</f>
        <v>20207.069999999978</v>
      </c>
    </row>
    <row r="7" spans="1:6" ht="30">
      <c r="A7" s="62" t="s">
        <v>206</v>
      </c>
      <c r="B7" s="63" t="s">
        <v>228</v>
      </c>
      <c r="C7" s="66">
        <f>Izdevumi_pfjas_nodrošināšanai!T35</f>
        <v>1318.3200000000015</v>
      </c>
    </row>
    <row r="8" spans="1:6" ht="30">
      <c r="A8" s="62" t="s">
        <v>227</v>
      </c>
      <c r="B8" s="63" t="s">
        <v>201</v>
      </c>
      <c r="C8" s="66">
        <f>Izdevumi_pfjas_nodrošināšanai!T29</f>
        <v>2695.9999999999927</v>
      </c>
    </row>
    <row r="9" spans="1:6" ht="15.75">
      <c r="A9" s="64">
        <v>2</v>
      </c>
      <c r="B9" s="61" t="s">
        <v>230</v>
      </c>
      <c r="C9" s="65">
        <f>Izdevumi_pfjas_nodrošināšanai!T97</f>
        <v>964.91999999999825</v>
      </c>
    </row>
    <row r="10" spans="1:6" ht="78.75">
      <c r="A10" s="64">
        <v>3</v>
      </c>
      <c r="B10" s="61" t="s">
        <v>231</v>
      </c>
      <c r="C10" s="65">
        <f>Izdevumi_pfjas_nodrošināšanai!T60</f>
        <v>396.28</v>
      </c>
    </row>
    <row r="11" spans="1:6" ht="47.25">
      <c r="A11" s="64">
        <v>4</v>
      </c>
      <c r="B11" s="61" t="s">
        <v>219</v>
      </c>
      <c r="C11" s="65">
        <f>Izdevumi_pfjas_nodrošināšanai!T121</f>
        <v>10191.350000000006</v>
      </c>
    </row>
    <row r="12" spans="1:6" ht="78.75">
      <c r="A12" s="64">
        <v>5</v>
      </c>
      <c r="B12" s="61" t="s">
        <v>266</v>
      </c>
      <c r="C12" s="65">
        <f>Neatliekami_pasākumi_pfjas_izp.!E25</f>
        <v>121764.77</v>
      </c>
    </row>
    <row r="13" spans="1:6">
      <c r="A13" s="114" t="s">
        <v>202</v>
      </c>
      <c r="B13" s="114"/>
      <c r="C13" s="67">
        <f>C5+C9+C10+C11+C12</f>
        <v>157538.70999999996</v>
      </c>
    </row>
    <row r="14" spans="1:6">
      <c r="B14" s="57" t="s">
        <v>273</v>
      </c>
      <c r="C14" s="91">
        <f>Neatliekami_pasākumi_pfjas_izp.!E26+Kopsavilkums!C5+Kopsavilkums!C9+Kopsavilkums!C10+Kopsavilkums!C11</f>
        <v>53056.449999999975</v>
      </c>
    </row>
    <row r="15" spans="1:6">
      <c r="B15" s="57" t="s">
        <v>274</v>
      </c>
      <c r="C15" s="91">
        <f>Neatliekami_pasākumi_pfjas_izp.!E27</f>
        <v>104482.26000000001</v>
      </c>
    </row>
  </sheetData>
  <mergeCells count="3">
    <mergeCell ref="A13:B13"/>
    <mergeCell ref="A3:C3"/>
    <mergeCell ref="C1:F1"/>
  </mergeCells>
  <phoneticPr fontId="15" type="noConversion"/>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CA3A8-F2CB-4A8D-8085-9557AE26399D}">
  <dimension ref="A1:K27"/>
  <sheetViews>
    <sheetView view="pageBreakPreview" topLeftCell="A11" zoomScale="85" zoomScaleNormal="100" zoomScaleSheetLayoutView="85" workbookViewId="0">
      <selection activeCell="B26" sqref="B26:B27"/>
    </sheetView>
  </sheetViews>
  <sheetFormatPr defaultRowHeight="15"/>
  <cols>
    <col min="2" max="2" width="48.140625" customWidth="1"/>
    <col min="3" max="3" width="11.85546875" customWidth="1"/>
    <col min="4" max="4" width="10.85546875" customWidth="1"/>
    <col min="5" max="5" width="13.5703125" customWidth="1"/>
  </cols>
  <sheetData>
    <row r="1" spans="1:11" ht="47.25" customHeight="1">
      <c r="H1" s="144" t="s">
        <v>271</v>
      </c>
      <c r="I1" s="144"/>
      <c r="J1" s="144"/>
      <c r="K1" s="144"/>
    </row>
    <row r="2" spans="1:11" ht="15.75">
      <c r="A2" s="151" t="s">
        <v>266</v>
      </c>
      <c r="B2" s="152"/>
      <c r="C2" s="152"/>
      <c r="D2" s="152"/>
      <c r="E2" s="152"/>
      <c r="F2" s="152"/>
      <c r="G2" s="152"/>
      <c r="H2" s="152"/>
      <c r="I2" s="152"/>
      <c r="J2" s="152"/>
      <c r="K2" s="152"/>
    </row>
    <row r="3" spans="1:11" ht="15.75">
      <c r="A3" s="141" t="s">
        <v>268</v>
      </c>
      <c r="B3" s="142"/>
      <c r="C3" s="142"/>
      <c r="D3" s="142"/>
      <c r="E3" s="142"/>
      <c r="F3" s="142"/>
      <c r="G3" s="142"/>
      <c r="H3" s="142"/>
      <c r="I3" s="142"/>
      <c r="J3" s="142"/>
      <c r="K3" s="142"/>
    </row>
    <row r="4" spans="1:11" ht="15.6" customHeight="1">
      <c r="A4" s="143" t="s">
        <v>207</v>
      </c>
      <c r="B4" s="143" t="s">
        <v>232</v>
      </c>
      <c r="C4" s="117" t="s">
        <v>234</v>
      </c>
      <c r="D4" s="138" t="s">
        <v>235</v>
      </c>
      <c r="E4" s="117" t="s">
        <v>236</v>
      </c>
      <c r="F4" s="153" t="s">
        <v>233</v>
      </c>
      <c r="G4" s="153"/>
      <c r="H4" s="153"/>
      <c r="I4" s="153"/>
      <c r="J4" s="153"/>
      <c r="K4" s="153"/>
    </row>
    <row r="5" spans="1:11" ht="46.9" customHeight="1">
      <c r="A5" s="143"/>
      <c r="B5" s="143"/>
      <c r="C5" s="118"/>
      <c r="D5" s="139"/>
      <c r="E5" s="118"/>
      <c r="F5" s="153"/>
      <c r="G5" s="153"/>
      <c r="H5" s="153"/>
      <c r="I5" s="153"/>
      <c r="J5" s="153"/>
      <c r="K5" s="153"/>
    </row>
    <row r="6" spans="1:11" ht="61.15" customHeight="1">
      <c r="A6" s="86">
        <v>1</v>
      </c>
      <c r="B6" s="77" t="s">
        <v>237</v>
      </c>
      <c r="C6" s="78">
        <v>413.22</v>
      </c>
      <c r="D6" s="78">
        <f t="shared" ref="D6:D13" si="0">ROUND(C6*0.21,2)</f>
        <v>86.78</v>
      </c>
      <c r="E6" s="79">
        <f t="shared" ref="E6:E13" si="1">C6+D6</f>
        <v>500</v>
      </c>
      <c r="F6" s="123" t="s">
        <v>238</v>
      </c>
      <c r="G6" s="124"/>
      <c r="H6" s="124"/>
      <c r="I6" s="124"/>
      <c r="J6" s="124"/>
      <c r="K6" s="125"/>
    </row>
    <row r="7" spans="1:11" ht="31.5">
      <c r="A7" s="86">
        <v>2</v>
      </c>
      <c r="B7" s="77" t="s">
        <v>239</v>
      </c>
      <c r="C7" s="78">
        <v>400</v>
      </c>
      <c r="D7" s="78">
        <f t="shared" si="0"/>
        <v>84</v>
      </c>
      <c r="E7" s="79">
        <f t="shared" si="1"/>
        <v>484</v>
      </c>
      <c r="F7" s="123" t="s">
        <v>240</v>
      </c>
      <c r="G7" s="124"/>
      <c r="H7" s="124"/>
      <c r="I7" s="124"/>
      <c r="J7" s="124"/>
      <c r="K7" s="125"/>
    </row>
    <row r="8" spans="1:11" ht="15.75">
      <c r="A8" s="86">
        <v>3</v>
      </c>
      <c r="B8" s="77" t="s">
        <v>241</v>
      </c>
      <c r="C8" s="78">
        <v>410</v>
      </c>
      <c r="D8" s="78">
        <f t="shared" si="0"/>
        <v>86.1</v>
      </c>
      <c r="E8" s="79">
        <f t="shared" si="1"/>
        <v>496.1</v>
      </c>
      <c r="F8" s="123" t="s">
        <v>242</v>
      </c>
      <c r="G8" s="124"/>
      <c r="H8" s="124"/>
      <c r="I8" s="124"/>
      <c r="J8" s="124"/>
      <c r="K8" s="125"/>
    </row>
    <row r="9" spans="1:11" ht="15.75">
      <c r="A9" s="86">
        <v>4</v>
      </c>
      <c r="B9" s="77" t="s">
        <v>243</v>
      </c>
      <c r="C9" s="78">
        <v>2352</v>
      </c>
      <c r="D9" s="78">
        <f t="shared" si="0"/>
        <v>493.92</v>
      </c>
      <c r="E9" s="79">
        <f t="shared" si="1"/>
        <v>2845.92</v>
      </c>
      <c r="F9" s="123" t="s">
        <v>244</v>
      </c>
      <c r="G9" s="124"/>
      <c r="H9" s="124"/>
      <c r="I9" s="124"/>
      <c r="J9" s="124"/>
      <c r="K9" s="125"/>
    </row>
    <row r="10" spans="1:11" ht="32.450000000000003" customHeight="1">
      <c r="A10" s="86">
        <v>5</v>
      </c>
      <c r="B10" s="77" t="s">
        <v>245</v>
      </c>
      <c r="C10" s="78">
        <v>2400</v>
      </c>
      <c r="D10" s="78">
        <f t="shared" si="0"/>
        <v>504</v>
      </c>
      <c r="E10" s="79">
        <f t="shared" si="1"/>
        <v>2904</v>
      </c>
      <c r="F10" s="123" t="s">
        <v>246</v>
      </c>
      <c r="G10" s="124"/>
      <c r="H10" s="124"/>
      <c r="I10" s="124"/>
      <c r="J10" s="124"/>
      <c r="K10" s="125"/>
    </row>
    <row r="11" spans="1:11" ht="55.15" customHeight="1">
      <c r="A11" s="86">
        <v>6</v>
      </c>
      <c r="B11" s="77" t="s">
        <v>247</v>
      </c>
      <c r="C11" s="78">
        <v>90</v>
      </c>
      <c r="D11" s="78">
        <f t="shared" si="0"/>
        <v>18.899999999999999</v>
      </c>
      <c r="E11" s="79">
        <f t="shared" si="1"/>
        <v>108.9</v>
      </c>
      <c r="F11" s="123" t="s">
        <v>248</v>
      </c>
      <c r="G11" s="124"/>
      <c r="H11" s="124"/>
      <c r="I11" s="124"/>
      <c r="J11" s="124"/>
      <c r="K11" s="125"/>
    </row>
    <row r="12" spans="1:11" ht="40.9" customHeight="1">
      <c r="A12" s="86">
        <v>7</v>
      </c>
      <c r="B12" s="77" t="s">
        <v>249</v>
      </c>
      <c r="C12" s="78">
        <v>250</v>
      </c>
      <c r="D12" s="78">
        <f t="shared" si="0"/>
        <v>52.5</v>
      </c>
      <c r="E12" s="79">
        <f t="shared" si="1"/>
        <v>302.5</v>
      </c>
      <c r="F12" s="123" t="s">
        <v>250</v>
      </c>
      <c r="G12" s="124"/>
      <c r="H12" s="124"/>
      <c r="I12" s="124"/>
      <c r="J12" s="124"/>
      <c r="K12" s="125"/>
    </row>
    <row r="13" spans="1:11" ht="55.15" customHeight="1">
      <c r="A13" s="86">
        <v>8</v>
      </c>
      <c r="B13" s="77" t="s">
        <v>251</v>
      </c>
      <c r="C13" s="78">
        <v>100</v>
      </c>
      <c r="D13" s="78">
        <f t="shared" si="0"/>
        <v>21</v>
      </c>
      <c r="E13" s="79">
        <f t="shared" si="1"/>
        <v>121</v>
      </c>
      <c r="F13" s="123" t="s">
        <v>252</v>
      </c>
      <c r="G13" s="124"/>
      <c r="H13" s="124"/>
      <c r="I13" s="124"/>
      <c r="J13" s="124"/>
      <c r="K13" s="125"/>
    </row>
    <row r="14" spans="1:11" ht="15.75">
      <c r="A14" s="126" t="s">
        <v>265</v>
      </c>
      <c r="B14" s="126"/>
      <c r="C14" s="87">
        <f>SUM(C6:C13)</f>
        <v>6415.22</v>
      </c>
      <c r="D14" s="87">
        <f>SUM(D6:D13)</f>
        <v>1347.2</v>
      </c>
      <c r="E14" s="87">
        <f>SUM(E6:E13)</f>
        <v>7762.42</v>
      </c>
      <c r="F14" s="127"/>
      <c r="G14" s="127"/>
      <c r="H14" s="127"/>
      <c r="I14" s="127"/>
      <c r="J14" s="127"/>
      <c r="K14" s="127"/>
    </row>
    <row r="15" spans="1:11" ht="34.15" customHeight="1">
      <c r="A15" s="141" t="s">
        <v>267</v>
      </c>
      <c r="B15" s="142"/>
      <c r="C15" s="142"/>
      <c r="D15" s="142"/>
      <c r="E15" s="142"/>
      <c r="F15" s="142"/>
      <c r="G15" s="142"/>
      <c r="H15" s="142"/>
      <c r="I15" s="142"/>
      <c r="J15" s="142"/>
      <c r="K15" s="142"/>
    </row>
    <row r="16" spans="1:11" ht="15.6" customHeight="1">
      <c r="A16" s="143" t="s">
        <v>207</v>
      </c>
      <c r="B16" s="143" t="s">
        <v>232</v>
      </c>
      <c r="C16" s="117" t="s">
        <v>234</v>
      </c>
      <c r="D16" s="138" t="s">
        <v>235</v>
      </c>
      <c r="E16" s="117" t="s">
        <v>236</v>
      </c>
      <c r="F16" s="145" t="s">
        <v>233</v>
      </c>
      <c r="G16" s="146"/>
      <c r="H16" s="146"/>
      <c r="I16" s="146"/>
      <c r="J16" s="146"/>
      <c r="K16" s="147"/>
    </row>
    <row r="17" spans="1:11" ht="46.9" customHeight="1">
      <c r="A17" s="143"/>
      <c r="B17" s="143"/>
      <c r="C17" s="118"/>
      <c r="D17" s="139"/>
      <c r="E17" s="118"/>
      <c r="F17" s="148"/>
      <c r="G17" s="149"/>
      <c r="H17" s="149"/>
      <c r="I17" s="149"/>
      <c r="J17" s="149"/>
      <c r="K17" s="150"/>
    </row>
    <row r="18" spans="1:11" ht="79.900000000000006" customHeight="1">
      <c r="A18" s="84">
        <v>1</v>
      </c>
      <c r="B18" s="83" t="s">
        <v>254</v>
      </c>
      <c r="C18" s="84">
        <v>3305.79</v>
      </c>
      <c r="D18" s="85">
        <f t="shared" ref="D18:D23" si="2">ROUND(C18*0.21,2)</f>
        <v>694.22</v>
      </c>
      <c r="E18" s="85">
        <f t="shared" ref="E18:E23" si="3">C18+D18</f>
        <v>4000.01</v>
      </c>
      <c r="F18" s="140" t="s">
        <v>255</v>
      </c>
      <c r="G18" s="140"/>
      <c r="H18" s="140"/>
      <c r="I18" s="140"/>
      <c r="J18" s="140"/>
      <c r="K18" s="140"/>
    </row>
    <row r="19" spans="1:11" ht="35.450000000000003" customHeight="1">
      <c r="A19" s="84">
        <v>2</v>
      </c>
      <c r="B19" s="83" t="s">
        <v>256</v>
      </c>
      <c r="C19" s="84">
        <v>7000</v>
      </c>
      <c r="D19" s="85">
        <f t="shared" si="2"/>
        <v>1470</v>
      </c>
      <c r="E19" s="85">
        <f t="shared" si="3"/>
        <v>8470</v>
      </c>
      <c r="F19" s="140" t="s">
        <v>257</v>
      </c>
      <c r="G19" s="140"/>
      <c r="H19" s="140"/>
      <c r="I19" s="140"/>
      <c r="J19" s="140"/>
      <c r="K19" s="140"/>
    </row>
    <row r="20" spans="1:11" ht="15.75">
      <c r="A20" s="84">
        <v>3</v>
      </c>
      <c r="B20" s="83" t="s">
        <v>258</v>
      </c>
      <c r="C20" s="84">
        <v>1652.89</v>
      </c>
      <c r="D20" s="85">
        <f t="shared" si="2"/>
        <v>347.11</v>
      </c>
      <c r="E20" s="85">
        <f t="shared" si="3"/>
        <v>2000</v>
      </c>
      <c r="F20" s="140" t="s">
        <v>259</v>
      </c>
      <c r="G20" s="140"/>
      <c r="H20" s="140"/>
      <c r="I20" s="140"/>
      <c r="J20" s="140"/>
      <c r="K20" s="140"/>
    </row>
    <row r="21" spans="1:11" ht="15.75">
      <c r="A21" s="84">
        <v>4</v>
      </c>
      <c r="B21" s="83" t="s">
        <v>260</v>
      </c>
      <c r="C21" s="84">
        <v>661.16</v>
      </c>
      <c r="D21" s="85">
        <f t="shared" si="2"/>
        <v>138.84</v>
      </c>
      <c r="E21" s="85">
        <f t="shared" si="3"/>
        <v>800</v>
      </c>
      <c r="F21" s="140" t="s">
        <v>261</v>
      </c>
      <c r="G21" s="140"/>
      <c r="H21" s="140"/>
      <c r="I21" s="140"/>
      <c r="J21" s="140"/>
      <c r="K21" s="140"/>
    </row>
    <row r="22" spans="1:11" ht="57.6" customHeight="1">
      <c r="A22" s="84">
        <v>5</v>
      </c>
      <c r="B22" s="83" t="s">
        <v>262</v>
      </c>
      <c r="C22" s="84">
        <v>63698.39</v>
      </c>
      <c r="D22" s="85">
        <f t="shared" si="2"/>
        <v>13376.66</v>
      </c>
      <c r="E22" s="85">
        <f t="shared" si="3"/>
        <v>77075.05</v>
      </c>
      <c r="F22" s="132" t="s">
        <v>264</v>
      </c>
      <c r="G22" s="133"/>
      <c r="H22" s="133"/>
      <c r="I22" s="133"/>
      <c r="J22" s="133"/>
      <c r="K22" s="134"/>
    </row>
    <row r="23" spans="1:11" ht="51.6" customHeight="1">
      <c r="A23" s="84">
        <v>6</v>
      </c>
      <c r="B23" s="81" t="s">
        <v>263</v>
      </c>
      <c r="C23" s="80">
        <v>17898.59</v>
      </c>
      <c r="D23" s="82">
        <f t="shared" si="2"/>
        <v>3758.7</v>
      </c>
      <c r="E23" s="82">
        <f t="shared" si="3"/>
        <v>21657.29</v>
      </c>
      <c r="F23" s="135"/>
      <c r="G23" s="136"/>
      <c r="H23" s="136"/>
      <c r="I23" s="136"/>
      <c r="J23" s="136"/>
      <c r="K23" s="137"/>
    </row>
    <row r="24" spans="1:11" ht="15.75">
      <c r="A24" s="128" t="s">
        <v>265</v>
      </c>
      <c r="B24" s="128"/>
      <c r="C24" s="88">
        <f>SUM(C18:C23)</f>
        <v>94216.819999999992</v>
      </c>
      <c r="D24" s="88">
        <f>SUM(D18:D23)</f>
        <v>19785.53</v>
      </c>
      <c r="E24" s="88">
        <f>SUM(E18:E23)</f>
        <v>114002.35</v>
      </c>
      <c r="F24" s="129"/>
      <c r="G24" s="130"/>
      <c r="H24" s="130"/>
      <c r="I24" s="130"/>
      <c r="J24" s="130"/>
      <c r="K24" s="131"/>
    </row>
    <row r="25" spans="1:11" ht="15.75">
      <c r="A25" s="119" t="s">
        <v>253</v>
      </c>
      <c r="B25" s="119"/>
      <c r="C25" s="89">
        <f>C14+C24</f>
        <v>100632.04</v>
      </c>
      <c r="D25" s="89">
        <f t="shared" ref="D25:E25" si="4">D14+D24</f>
        <v>21132.73</v>
      </c>
      <c r="E25" s="89">
        <f t="shared" si="4"/>
        <v>121764.77</v>
      </c>
      <c r="F25" s="120"/>
      <c r="G25" s="121"/>
      <c r="H25" s="121"/>
      <c r="I25" s="121"/>
      <c r="J25" s="121"/>
      <c r="K25" s="122"/>
    </row>
    <row r="26" spans="1:11">
      <c r="B26" t="s">
        <v>273</v>
      </c>
      <c r="C26" s="90">
        <f>C6+C7+C8+C11+C12+C13+C18+C19+C20+C21</f>
        <v>14283.06</v>
      </c>
      <c r="D26" s="90">
        <f t="shared" ref="D26:E26" si="5">D6+D7+D8+D11+D12+D13+D18+D19+D20+D21</f>
        <v>2999.4500000000003</v>
      </c>
      <c r="E26" s="90">
        <f t="shared" si="5"/>
        <v>17282.510000000002</v>
      </c>
    </row>
    <row r="27" spans="1:11">
      <c r="B27" t="s">
        <v>274</v>
      </c>
      <c r="C27" s="90">
        <f>C9+C10+C22+C23</f>
        <v>86348.98</v>
      </c>
      <c r="D27" s="90">
        <f t="shared" ref="D27:E27" si="6">D9+D10+D22+D23</f>
        <v>18133.28</v>
      </c>
      <c r="E27" s="90">
        <f t="shared" si="6"/>
        <v>104482.26000000001</v>
      </c>
    </row>
  </sheetData>
  <mergeCells count="35">
    <mergeCell ref="F4:K5"/>
    <mergeCell ref="C4:C5"/>
    <mergeCell ref="D4:D5"/>
    <mergeCell ref="A15:K15"/>
    <mergeCell ref="A16:A17"/>
    <mergeCell ref="B16:B17"/>
    <mergeCell ref="H1:K1"/>
    <mergeCell ref="F16:K17"/>
    <mergeCell ref="F12:K12"/>
    <mergeCell ref="F10:K10"/>
    <mergeCell ref="F11:K11"/>
    <mergeCell ref="F6:K6"/>
    <mergeCell ref="F7:K7"/>
    <mergeCell ref="F8:K8"/>
    <mergeCell ref="F9:K9"/>
    <mergeCell ref="A2:K2"/>
    <mergeCell ref="A3:K3"/>
    <mergeCell ref="A4:A5"/>
    <mergeCell ref="B4:B5"/>
    <mergeCell ref="E4:E5"/>
    <mergeCell ref="A25:B25"/>
    <mergeCell ref="F25:K25"/>
    <mergeCell ref="F13:K13"/>
    <mergeCell ref="A14:B14"/>
    <mergeCell ref="F14:K14"/>
    <mergeCell ref="A24:B24"/>
    <mergeCell ref="F24:K24"/>
    <mergeCell ref="F22:K23"/>
    <mergeCell ref="C16:C17"/>
    <mergeCell ref="D16:D17"/>
    <mergeCell ref="E16:E17"/>
    <mergeCell ref="F19:K19"/>
    <mergeCell ref="F20:K20"/>
    <mergeCell ref="F21:K21"/>
    <mergeCell ref="F18:K18"/>
  </mergeCells>
  <phoneticPr fontId="15" type="noConversion"/>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O152"/>
  <sheetViews>
    <sheetView view="pageBreakPreview" zoomScale="60" zoomScaleNormal="60" workbookViewId="0">
      <selection activeCell="R4" sqref="R4"/>
    </sheetView>
  </sheetViews>
  <sheetFormatPr defaultColWidth="8.42578125" defaultRowHeight="15.75" outlineLevelRow="2" outlineLevelCol="1"/>
  <cols>
    <col min="1" max="1" width="16.7109375" style="1" customWidth="1"/>
    <col min="2" max="2" width="39.7109375" style="50" customWidth="1"/>
    <col min="3" max="3" width="13.7109375" style="1" customWidth="1"/>
    <col min="4" max="4" width="18.42578125" style="1" customWidth="1"/>
    <col min="5" max="6" width="14.7109375" style="1" customWidth="1"/>
    <col min="7" max="7" width="12.28515625" style="1" customWidth="1" outlineLevel="1"/>
    <col min="8" max="9" width="14" style="1" customWidth="1" outlineLevel="1"/>
    <col min="10" max="10" width="12.42578125" style="1" customWidth="1" outlineLevel="1"/>
    <col min="11" max="11" width="13.85546875" style="1" customWidth="1" outlineLevel="1"/>
    <col min="12" max="15" width="11.85546875" style="1" customWidth="1" outlineLevel="1"/>
    <col min="16" max="16" width="13.5703125" style="1" customWidth="1" outlineLevel="1"/>
    <col min="17" max="17" width="14" style="1" customWidth="1" outlineLevel="1"/>
    <col min="18" max="18" width="11.7109375" style="1" customWidth="1" outlineLevel="1"/>
    <col min="19" max="19" width="14" style="1" customWidth="1"/>
    <col min="20" max="20" width="15.42578125" style="1" customWidth="1"/>
    <col min="21" max="197" width="8.42578125" style="1"/>
    <col min="198" max="221" width="8.42578125" style="2"/>
    <col min="222" max="222" width="15.28515625" style="2" customWidth="1"/>
    <col min="223" max="223" width="39.7109375" style="2" customWidth="1"/>
    <col min="224" max="226" width="13.7109375" style="2" customWidth="1"/>
    <col min="227" max="230" width="8.42578125" style="2" customWidth="1"/>
    <col min="231" max="477" width="8.42578125" style="2"/>
    <col min="478" max="478" width="15.28515625" style="2" customWidth="1"/>
    <col min="479" max="479" width="39.7109375" style="2" customWidth="1"/>
    <col min="480" max="482" width="13.7109375" style="2" customWidth="1"/>
    <col min="483" max="486" width="8.42578125" style="2" customWidth="1"/>
    <col min="487" max="733" width="8.42578125" style="2"/>
    <col min="734" max="734" width="15.28515625" style="2" customWidth="1"/>
    <col min="735" max="735" width="39.7109375" style="2" customWidth="1"/>
    <col min="736" max="738" width="13.7109375" style="2" customWidth="1"/>
    <col min="739" max="742" width="8.42578125" style="2" customWidth="1"/>
    <col min="743" max="989" width="8.42578125" style="2"/>
    <col min="990" max="990" width="15.28515625" style="2" customWidth="1"/>
    <col min="991" max="991" width="39.7109375" style="2" customWidth="1"/>
    <col min="992" max="994" width="13.7109375" style="2" customWidth="1"/>
    <col min="995" max="998" width="8.42578125" style="2" customWidth="1"/>
    <col min="999" max="1245" width="8.42578125" style="2"/>
    <col min="1246" max="1246" width="15.28515625" style="2" customWidth="1"/>
    <col min="1247" max="1247" width="39.7109375" style="2" customWidth="1"/>
    <col min="1248" max="1250" width="13.7109375" style="2" customWidth="1"/>
    <col min="1251" max="1254" width="8.42578125" style="2" customWidth="1"/>
    <col min="1255" max="1501" width="8.42578125" style="2"/>
    <col min="1502" max="1502" width="15.28515625" style="2" customWidth="1"/>
    <col min="1503" max="1503" width="39.7109375" style="2" customWidth="1"/>
    <col min="1504" max="1506" width="13.7109375" style="2" customWidth="1"/>
    <col min="1507" max="1510" width="8.42578125" style="2" customWidth="1"/>
    <col min="1511" max="1757" width="8.42578125" style="2"/>
    <col min="1758" max="1758" width="15.28515625" style="2" customWidth="1"/>
    <col min="1759" max="1759" width="39.7109375" style="2" customWidth="1"/>
    <col min="1760" max="1762" width="13.7109375" style="2" customWidth="1"/>
    <col min="1763" max="1766" width="8.42578125" style="2" customWidth="1"/>
    <col min="1767" max="2013" width="8.42578125" style="2"/>
    <col min="2014" max="2014" width="15.28515625" style="2" customWidth="1"/>
    <col min="2015" max="2015" width="39.7109375" style="2" customWidth="1"/>
    <col min="2016" max="2018" width="13.7109375" style="2" customWidth="1"/>
    <col min="2019" max="2022" width="8.42578125" style="2" customWidth="1"/>
    <col min="2023" max="2269" width="8.42578125" style="2"/>
    <col min="2270" max="2270" width="15.28515625" style="2" customWidth="1"/>
    <col min="2271" max="2271" width="39.7109375" style="2" customWidth="1"/>
    <col min="2272" max="2274" width="13.7109375" style="2" customWidth="1"/>
    <col min="2275" max="2278" width="8.42578125" style="2" customWidth="1"/>
    <col min="2279" max="2525" width="8.42578125" style="2"/>
    <col min="2526" max="2526" width="15.28515625" style="2" customWidth="1"/>
    <col min="2527" max="2527" width="39.7109375" style="2" customWidth="1"/>
    <col min="2528" max="2530" width="13.7109375" style="2" customWidth="1"/>
    <col min="2531" max="2534" width="8.42578125" style="2" customWidth="1"/>
    <col min="2535" max="2781" width="8.42578125" style="2"/>
    <col min="2782" max="2782" width="15.28515625" style="2" customWidth="1"/>
    <col min="2783" max="2783" width="39.7109375" style="2" customWidth="1"/>
    <col min="2784" max="2786" width="13.7109375" style="2" customWidth="1"/>
    <col min="2787" max="2790" width="8.42578125" style="2" customWidth="1"/>
    <col min="2791" max="3037" width="8.42578125" style="2"/>
    <col min="3038" max="3038" width="15.28515625" style="2" customWidth="1"/>
    <col min="3039" max="3039" width="39.7109375" style="2" customWidth="1"/>
    <col min="3040" max="3042" width="13.7109375" style="2" customWidth="1"/>
    <col min="3043" max="3046" width="8.42578125" style="2" customWidth="1"/>
    <col min="3047" max="3293" width="8.42578125" style="2"/>
    <col min="3294" max="3294" width="15.28515625" style="2" customWidth="1"/>
    <col min="3295" max="3295" width="39.7109375" style="2" customWidth="1"/>
    <col min="3296" max="3298" width="13.7109375" style="2" customWidth="1"/>
    <col min="3299" max="3302" width="8.42578125" style="2" customWidth="1"/>
    <col min="3303" max="3549" width="8.42578125" style="2"/>
    <col min="3550" max="3550" width="15.28515625" style="2" customWidth="1"/>
    <col min="3551" max="3551" width="39.7109375" style="2" customWidth="1"/>
    <col min="3552" max="3554" width="13.7109375" style="2" customWidth="1"/>
    <col min="3555" max="3558" width="8.42578125" style="2" customWidth="1"/>
    <col min="3559" max="3805" width="8.42578125" style="2"/>
    <col min="3806" max="3806" width="15.28515625" style="2" customWidth="1"/>
    <col min="3807" max="3807" width="39.7109375" style="2" customWidth="1"/>
    <col min="3808" max="3810" width="13.7109375" style="2" customWidth="1"/>
    <col min="3811" max="3814" width="8.42578125" style="2" customWidth="1"/>
    <col min="3815" max="4061" width="8.42578125" style="2"/>
    <col min="4062" max="4062" width="15.28515625" style="2" customWidth="1"/>
    <col min="4063" max="4063" width="39.7109375" style="2" customWidth="1"/>
    <col min="4064" max="4066" width="13.7109375" style="2" customWidth="1"/>
    <col min="4067" max="4070" width="8.42578125" style="2" customWidth="1"/>
    <col min="4071" max="4317" width="8.42578125" style="2"/>
    <col min="4318" max="4318" width="15.28515625" style="2" customWidth="1"/>
    <col min="4319" max="4319" width="39.7109375" style="2" customWidth="1"/>
    <col min="4320" max="4322" width="13.7109375" style="2" customWidth="1"/>
    <col min="4323" max="4326" width="8.42578125" style="2" customWidth="1"/>
    <col min="4327" max="4573" width="8.42578125" style="2"/>
    <col min="4574" max="4574" width="15.28515625" style="2" customWidth="1"/>
    <col min="4575" max="4575" width="39.7109375" style="2" customWidth="1"/>
    <col min="4576" max="4578" width="13.7109375" style="2" customWidth="1"/>
    <col min="4579" max="4582" width="8.42578125" style="2" customWidth="1"/>
    <col min="4583" max="4829" width="8.42578125" style="2"/>
    <col min="4830" max="4830" width="15.28515625" style="2" customWidth="1"/>
    <col min="4831" max="4831" width="39.7109375" style="2" customWidth="1"/>
    <col min="4832" max="4834" width="13.7109375" style="2" customWidth="1"/>
    <col min="4835" max="4838" width="8.42578125" style="2" customWidth="1"/>
    <col min="4839" max="5085" width="8.42578125" style="2"/>
    <col min="5086" max="5086" width="15.28515625" style="2" customWidth="1"/>
    <col min="5087" max="5087" width="39.7109375" style="2" customWidth="1"/>
    <col min="5088" max="5090" width="13.7109375" style="2" customWidth="1"/>
    <col min="5091" max="5094" width="8.42578125" style="2" customWidth="1"/>
    <col min="5095" max="5341" width="8.42578125" style="2"/>
    <col min="5342" max="5342" width="15.28515625" style="2" customWidth="1"/>
    <col min="5343" max="5343" width="39.7109375" style="2" customWidth="1"/>
    <col min="5344" max="5346" width="13.7109375" style="2" customWidth="1"/>
    <col min="5347" max="5350" width="8.42578125" style="2" customWidth="1"/>
    <col min="5351" max="5597" width="8.42578125" style="2"/>
    <col min="5598" max="5598" width="15.28515625" style="2" customWidth="1"/>
    <col min="5599" max="5599" width="39.7109375" style="2" customWidth="1"/>
    <col min="5600" max="5602" width="13.7109375" style="2" customWidth="1"/>
    <col min="5603" max="5606" width="8.42578125" style="2" customWidth="1"/>
    <col min="5607" max="5853" width="8.42578125" style="2"/>
    <col min="5854" max="5854" width="15.28515625" style="2" customWidth="1"/>
    <col min="5855" max="5855" width="39.7109375" style="2" customWidth="1"/>
    <col min="5856" max="5858" width="13.7109375" style="2" customWidth="1"/>
    <col min="5859" max="5862" width="8.42578125" style="2" customWidth="1"/>
    <col min="5863" max="6109" width="8.42578125" style="2"/>
    <col min="6110" max="6110" width="15.28515625" style="2" customWidth="1"/>
    <col min="6111" max="6111" width="39.7109375" style="2" customWidth="1"/>
    <col min="6112" max="6114" width="13.7109375" style="2" customWidth="1"/>
    <col min="6115" max="6118" width="8.42578125" style="2" customWidth="1"/>
    <col min="6119" max="6365" width="8.42578125" style="2"/>
    <col min="6366" max="6366" width="15.28515625" style="2" customWidth="1"/>
    <col min="6367" max="6367" width="39.7109375" style="2" customWidth="1"/>
    <col min="6368" max="6370" width="13.7109375" style="2" customWidth="1"/>
    <col min="6371" max="6374" width="8.42578125" style="2" customWidth="1"/>
    <col min="6375" max="6621" width="8.42578125" style="2"/>
    <col min="6622" max="6622" width="15.28515625" style="2" customWidth="1"/>
    <col min="6623" max="6623" width="39.7109375" style="2" customWidth="1"/>
    <col min="6624" max="6626" width="13.7109375" style="2" customWidth="1"/>
    <col min="6627" max="6630" width="8.42578125" style="2" customWidth="1"/>
    <col min="6631" max="6877" width="8.42578125" style="2"/>
    <col min="6878" max="6878" width="15.28515625" style="2" customWidth="1"/>
    <col min="6879" max="6879" width="39.7109375" style="2" customWidth="1"/>
    <col min="6880" max="6882" width="13.7109375" style="2" customWidth="1"/>
    <col min="6883" max="6886" width="8.42578125" style="2" customWidth="1"/>
    <col min="6887" max="7133" width="8.42578125" style="2"/>
    <col min="7134" max="7134" width="15.28515625" style="2" customWidth="1"/>
    <col min="7135" max="7135" width="39.7109375" style="2" customWidth="1"/>
    <col min="7136" max="7138" width="13.7109375" style="2" customWidth="1"/>
    <col min="7139" max="7142" width="8.42578125" style="2" customWidth="1"/>
    <col min="7143" max="7389" width="8.42578125" style="2"/>
    <col min="7390" max="7390" width="15.28515625" style="2" customWidth="1"/>
    <col min="7391" max="7391" width="39.7109375" style="2" customWidth="1"/>
    <col min="7392" max="7394" width="13.7109375" style="2" customWidth="1"/>
    <col min="7395" max="7398" width="8.42578125" style="2" customWidth="1"/>
    <col min="7399" max="7645" width="8.42578125" style="2"/>
    <col min="7646" max="7646" width="15.28515625" style="2" customWidth="1"/>
    <col min="7647" max="7647" width="39.7109375" style="2" customWidth="1"/>
    <col min="7648" max="7650" width="13.7109375" style="2" customWidth="1"/>
    <col min="7651" max="7654" width="8.42578125" style="2" customWidth="1"/>
    <col min="7655" max="7901" width="8.42578125" style="2"/>
    <col min="7902" max="7902" width="15.28515625" style="2" customWidth="1"/>
    <col min="7903" max="7903" width="39.7109375" style="2" customWidth="1"/>
    <col min="7904" max="7906" width="13.7109375" style="2" customWidth="1"/>
    <col min="7907" max="7910" width="8.42578125" style="2" customWidth="1"/>
    <col min="7911" max="8157" width="8.42578125" style="2"/>
    <col min="8158" max="8158" width="15.28515625" style="2" customWidth="1"/>
    <col min="8159" max="8159" width="39.7109375" style="2" customWidth="1"/>
    <col min="8160" max="8162" width="13.7109375" style="2" customWidth="1"/>
    <col min="8163" max="8166" width="8.42578125" style="2" customWidth="1"/>
    <col min="8167" max="8413" width="8.42578125" style="2"/>
    <col min="8414" max="8414" width="15.28515625" style="2" customWidth="1"/>
    <col min="8415" max="8415" width="39.7109375" style="2" customWidth="1"/>
    <col min="8416" max="8418" width="13.7109375" style="2" customWidth="1"/>
    <col min="8419" max="8422" width="8.42578125" style="2" customWidth="1"/>
    <col min="8423" max="8669" width="8.42578125" style="2"/>
    <col min="8670" max="8670" width="15.28515625" style="2" customWidth="1"/>
    <col min="8671" max="8671" width="39.7109375" style="2" customWidth="1"/>
    <col min="8672" max="8674" width="13.7109375" style="2" customWidth="1"/>
    <col min="8675" max="8678" width="8.42578125" style="2" customWidth="1"/>
    <col min="8679" max="8925" width="8.42578125" style="2"/>
    <col min="8926" max="8926" width="15.28515625" style="2" customWidth="1"/>
    <col min="8927" max="8927" width="39.7109375" style="2" customWidth="1"/>
    <col min="8928" max="8930" width="13.7109375" style="2" customWidth="1"/>
    <col min="8931" max="8934" width="8.42578125" style="2" customWidth="1"/>
    <col min="8935" max="9181" width="8.42578125" style="2"/>
    <col min="9182" max="9182" width="15.28515625" style="2" customWidth="1"/>
    <col min="9183" max="9183" width="39.7109375" style="2" customWidth="1"/>
    <col min="9184" max="9186" width="13.7109375" style="2" customWidth="1"/>
    <col min="9187" max="9190" width="8.42578125" style="2" customWidth="1"/>
    <col min="9191" max="9437" width="8.42578125" style="2"/>
    <col min="9438" max="9438" width="15.28515625" style="2" customWidth="1"/>
    <col min="9439" max="9439" width="39.7109375" style="2" customWidth="1"/>
    <col min="9440" max="9442" width="13.7109375" style="2" customWidth="1"/>
    <col min="9443" max="9446" width="8.42578125" style="2" customWidth="1"/>
    <col min="9447" max="9693" width="8.42578125" style="2"/>
    <col min="9694" max="9694" width="15.28515625" style="2" customWidth="1"/>
    <col min="9695" max="9695" width="39.7109375" style="2" customWidth="1"/>
    <col min="9696" max="9698" width="13.7109375" style="2" customWidth="1"/>
    <col min="9699" max="9702" width="8.42578125" style="2" customWidth="1"/>
    <col min="9703" max="9949" width="8.42578125" style="2"/>
    <col min="9950" max="9950" width="15.28515625" style="2" customWidth="1"/>
    <col min="9951" max="9951" width="39.7109375" style="2" customWidth="1"/>
    <col min="9952" max="9954" width="13.7109375" style="2" customWidth="1"/>
    <col min="9955" max="9958" width="8.42578125" style="2" customWidth="1"/>
    <col min="9959" max="10205" width="8.42578125" style="2"/>
    <col min="10206" max="10206" width="15.28515625" style="2" customWidth="1"/>
    <col min="10207" max="10207" width="39.7109375" style="2" customWidth="1"/>
    <col min="10208" max="10210" width="13.7109375" style="2" customWidth="1"/>
    <col min="10211" max="10214" width="8.42578125" style="2" customWidth="1"/>
    <col min="10215" max="10461" width="8.42578125" style="2"/>
    <col min="10462" max="10462" width="15.28515625" style="2" customWidth="1"/>
    <col min="10463" max="10463" width="39.7109375" style="2" customWidth="1"/>
    <col min="10464" max="10466" width="13.7109375" style="2" customWidth="1"/>
    <col min="10467" max="10470" width="8.42578125" style="2" customWidth="1"/>
    <col min="10471" max="10717" width="8.42578125" style="2"/>
    <col min="10718" max="10718" width="15.28515625" style="2" customWidth="1"/>
    <col min="10719" max="10719" width="39.7109375" style="2" customWidth="1"/>
    <col min="10720" max="10722" width="13.7109375" style="2" customWidth="1"/>
    <col min="10723" max="10726" width="8.42578125" style="2" customWidth="1"/>
    <col min="10727" max="10973" width="8.42578125" style="2"/>
    <col min="10974" max="10974" width="15.28515625" style="2" customWidth="1"/>
    <col min="10975" max="10975" width="39.7109375" style="2" customWidth="1"/>
    <col min="10976" max="10978" width="13.7109375" style="2" customWidth="1"/>
    <col min="10979" max="10982" width="8.42578125" style="2" customWidth="1"/>
    <col min="10983" max="11229" width="8.42578125" style="2"/>
    <col min="11230" max="11230" width="15.28515625" style="2" customWidth="1"/>
    <col min="11231" max="11231" width="39.7109375" style="2" customWidth="1"/>
    <col min="11232" max="11234" width="13.7109375" style="2" customWidth="1"/>
    <col min="11235" max="11238" width="8.42578125" style="2" customWidth="1"/>
    <col min="11239" max="11485" width="8.42578125" style="2"/>
    <col min="11486" max="11486" width="15.28515625" style="2" customWidth="1"/>
    <col min="11487" max="11487" width="39.7109375" style="2" customWidth="1"/>
    <col min="11488" max="11490" width="13.7109375" style="2" customWidth="1"/>
    <col min="11491" max="11494" width="8.42578125" style="2" customWidth="1"/>
    <col min="11495" max="11741" width="8.42578125" style="2"/>
    <col min="11742" max="11742" width="15.28515625" style="2" customWidth="1"/>
    <col min="11743" max="11743" width="39.7109375" style="2" customWidth="1"/>
    <col min="11744" max="11746" width="13.7109375" style="2" customWidth="1"/>
    <col min="11747" max="11750" width="8.42578125" style="2" customWidth="1"/>
    <col min="11751" max="11997" width="8.42578125" style="2"/>
    <col min="11998" max="11998" width="15.28515625" style="2" customWidth="1"/>
    <col min="11999" max="11999" width="39.7109375" style="2" customWidth="1"/>
    <col min="12000" max="12002" width="13.7109375" style="2" customWidth="1"/>
    <col min="12003" max="12006" width="8.42578125" style="2" customWidth="1"/>
    <col min="12007" max="12253" width="8.42578125" style="2"/>
    <col min="12254" max="12254" width="15.28515625" style="2" customWidth="1"/>
    <col min="12255" max="12255" width="39.7109375" style="2" customWidth="1"/>
    <col min="12256" max="12258" width="13.7109375" style="2" customWidth="1"/>
    <col min="12259" max="12262" width="8.42578125" style="2" customWidth="1"/>
    <col min="12263" max="12509" width="8.42578125" style="2"/>
    <col min="12510" max="12510" width="15.28515625" style="2" customWidth="1"/>
    <col min="12511" max="12511" width="39.7109375" style="2" customWidth="1"/>
    <col min="12512" max="12514" width="13.7109375" style="2" customWidth="1"/>
    <col min="12515" max="12518" width="8.42578125" style="2" customWidth="1"/>
    <col min="12519" max="12765" width="8.42578125" style="2"/>
    <col min="12766" max="12766" width="15.28515625" style="2" customWidth="1"/>
    <col min="12767" max="12767" width="39.7109375" style="2" customWidth="1"/>
    <col min="12768" max="12770" width="13.7109375" style="2" customWidth="1"/>
    <col min="12771" max="12774" width="8.42578125" style="2" customWidth="1"/>
    <col min="12775" max="13021" width="8.42578125" style="2"/>
    <col min="13022" max="13022" width="15.28515625" style="2" customWidth="1"/>
    <col min="13023" max="13023" width="39.7109375" style="2" customWidth="1"/>
    <col min="13024" max="13026" width="13.7109375" style="2" customWidth="1"/>
    <col min="13027" max="13030" width="8.42578125" style="2" customWidth="1"/>
    <col min="13031" max="13277" width="8.42578125" style="2"/>
    <col min="13278" max="13278" width="15.28515625" style="2" customWidth="1"/>
    <col min="13279" max="13279" width="39.7109375" style="2" customWidth="1"/>
    <col min="13280" max="13282" width="13.7109375" style="2" customWidth="1"/>
    <col min="13283" max="13286" width="8.42578125" style="2" customWidth="1"/>
    <col min="13287" max="13533" width="8.42578125" style="2"/>
    <col min="13534" max="13534" width="15.28515625" style="2" customWidth="1"/>
    <col min="13535" max="13535" width="39.7109375" style="2" customWidth="1"/>
    <col min="13536" max="13538" width="13.7109375" style="2" customWidth="1"/>
    <col min="13539" max="13542" width="8.42578125" style="2" customWidth="1"/>
    <col min="13543" max="13789" width="8.42578125" style="2"/>
    <col min="13790" max="13790" width="15.28515625" style="2" customWidth="1"/>
    <col min="13791" max="13791" width="39.7109375" style="2" customWidth="1"/>
    <col min="13792" max="13794" width="13.7109375" style="2" customWidth="1"/>
    <col min="13795" max="13798" width="8.42578125" style="2" customWidth="1"/>
    <col min="13799" max="14045" width="8.42578125" style="2"/>
    <col min="14046" max="14046" width="15.28515625" style="2" customWidth="1"/>
    <col min="14047" max="14047" width="39.7109375" style="2" customWidth="1"/>
    <col min="14048" max="14050" width="13.7109375" style="2" customWidth="1"/>
    <col min="14051" max="14054" width="8.42578125" style="2" customWidth="1"/>
    <col min="14055" max="14301" width="8.42578125" style="2"/>
    <col min="14302" max="14302" width="15.28515625" style="2" customWidth="1"/>
    <col min="14303" max="14303" width="39.7109375" style="2" customWidth="1"/>
    <col min="14304" max="14306" width="13.7109375" style="2" customWidth="1"/>
    <col min="14307" max="14310" width="8.42578125" style="2" customWidth="1"/>
    <col min="14311" max="14557" width="8.42578125" style="2"/>
    <col min="14558" max="14558" width="15.28515625" style="2" customWidth="1"/>
    <col min="14559" max="14559" width="39.7109375" style="2" customWidth="1"/>
    <col min="14560" max="14562" width="13.7109375" style="2" customWidth="1"/>
    <col min="14563" max="14566" width="8.42578125" style="2" customWidth="1"/>
    <col min="14567" max="14813" width="8.42578125" style="2"/>
    <col min="14814" max="14814" width="15.28515625" style="2" customWidth="1"/>
    <col min="14815" max="14815" width="39.7109375" style="2" customWidth="1"/>
    <col min="14816" max="14818" width="13.7109375" style="2" customWidth="1"/>
    <col min="14819" max="14822" width="8.42578125" style="2" customWidth="1"/>
    <col min="14823" max="15069" width="8.42578125" style="2"/>
    <col min="15070" max="15070" width="15.28515625" style="2" customWidth="1"/>
    <col min="15071" max="15071" width="39.7109375" style="2" customWidth="1"/>
    <col min="15072" max="15074" width="13.7109375" style="2" customWidth="1"/>
    <col min="15075" max="15078" width="8.42578125" style="2" customWidth="1"/>
    <col min="15079" max="15325" width="8.42578125" style="2"/>
    <col min="15326" max="15326" width="15.28515625" style="2" customWidth="1"/>
    <col min="15327" max="15327" width="39.7109375" style="2" customWidth="1"/>
    <col min="15328" max="15330" width="13.7109375" style="2" customWidth="1"/>
    <col min="15331" max="15334" width="8.42578125" style="2" customWidth="1"/>
    <col min="15335" max="15581" width="8.42578125" style="2"/>
    <col min="15582" max="15582" width="15.28515625" style="2" customWidth="1"/>
    <col min="15583" max="15583" width="39.7109375" style="2" customWidth="1"/>
    <col min="15584" max="15586" width="13.7109375" style="2" customWidth="1"/>
    <col min="15587" max="15590" width="8.42578125" style="2" customWidth="1"/>
    <col min="15591" max="15837" width="8.42578125" style="2"/>
    <col min="15838" max="15838" width="15.28515625" style="2" customWidth="1"/>
    <col min="15839" max="15839" width="39.7109375" style="2" customWidth="1"/>
    <col min="15840" max="15842" width="13.7109375" style="2" customWidth="1"/>
    <col min="15843" max="15846" width="8.42578125" style="2" customWidth="1"/>
    <col min="15847" max="16093" width="8.42578125" style="2"/>
    <col min="16094" max="16094" width="15.28515625" style="2" customWidth="1"/>
    <col min="16095" max="16095" width="39.7109375" style="2" customWidth="1"/>
    <col min="16096" max="16098" width="13.7109375" style="2" customWidth="1"/>
    <col min="16099" max="16102" width="8.42578125" style="2" customWidth="1"/>
    <col min="16103" max="16384" width="8.42578125" style="2"/>
  </cols>
  <sheetData>
    <row r="1" spans="1:20" ht="51.75" customHeight="1">
      <c r="Q1" s="154" t="s">
        <v>272</v>
      </c>
      <c r="R1" s="154"/>
      <c r="S1" s="154"/>
      <c r="T1" s="154"/>
    </row>
    <row r="2" spans="1:20" ht="47.45" customHeight="1">
      <c r="A2" s="155" t="s">
        <v>269</v>
      </c>
      <c r="B2" s="155"/>
      <c r="C2" s="155"/>
      <c r="D2" s="155"/>
      <c r="E2" s="155"/>
      <c r="F2" s="155"/>
      <c r="G2" s="155"/>
      <c r="H2" s="155"/>
      <c r="I2" s="155"/>
      <c r="J2" s="155"/>
      <c r="K2" s="155"/>
      <c r="L2" s="155"/>
      <c r="M2" s="155"/>
      <c r="N2" s="155"/>
      <c r="O2" s="155"/>
      <c r="P2" s="155"/>
      <c r="Q2" s="155"/>
      <c r="R2" s="155"/>
      <c r="S2" s="155"/>
      <c r="T2" s="155"/>
    </row>
    <row r="3" spans="1:20" ht="107.45" customHeight="1">
      <c r="A3" s="156" t="s">
        <v>4</v>
      </c>
      <c r="B3" s="157" t="s">
        <v>0</v>
      </c>
      <c r="C3" s="157" t="s">
        <v>180</v>
      </c>
      <c r="D3" s="157" t="s">
        <v>189</v>
      </c>
      <c r="E3" s="163" t="s">
        <v>217</v>
      </c>
      <c r="F3" s="158" t="s">
        <v>214</v>
      </c>
      <c r="G3" s="160" t="s">
        <v>188</v>
      </c>
      <c r="H3" s="161"/>
      <c r="I3" s="161"/>
      <c r="J3" s="161"/>
      <c r="K3" s="161"/>
      <c r="L3" s="162"/>
      <c r="M3" s="160" t="s">
        <v>223</v>
      </c>
      <c r="N3" s="161"/>
      <c r="O3" s="161"/>
      <c r="P3" s="161"/>
      <c r="Q3" s="161"/>
      <c r="R3" s="162"/>
      <c r="S3" s="157" t="s">
        <v>215</v>
      </c>
      <c r="T3" s="165" t="s">
        <v>216</v>
      </c>
    </row>
    <row r="4" spans="1:20" s="3" customFormat="1" ht="107.45" customHeight="1">
      <c r="A4" s="156"/>
      <c r="B4" s="157"/>
      <c r="C4" s="157"/>
      <c r="D4" s="157"/>
      <c r="E4" s="164"/>
      <c r="F4" s="159"/>
      <c r="G4" s="54" t="s">
        <v>181</v>
      </c>
      <c r="H4" s="54" t="s">
        <v>183</v>
      </c>
      <c r="I4" s="54" t="s">
        <v>220</v>
      </c>
      <c r="J4" s="54" t="s">
        <v>190</v>
      </c>
      <c r="K4" s="54" t="s">
        <v>191</v>
      </c>
      <c r="L4" s="54" t="s">
        <v>192</v>
      </c>
      <c r="M4" s="54" t="s">
        <v>193</v>
      </c>
      <c r="N4" s="54" t="s">
        <v>194</v>
      </c>
      <c r="O4" s="54" t="s">
        <v>195</v>
      </c>
      <c r="P4" s="54" t="s">
        <v>196</v>
      </c>
      <c r="Q4" s="54" t="s">
        <v>197</v>
      </c>
      <c r="R4" s="54" t="s">
        <v>198</v>
      </c>
      <c r="S4" s="157"/>
      <c r="T4" s="165"/>
    </row>
    <row r="5" spans="1:20" s="76" customFormat="1" ht="45">
      <c r="A5" s="72" t="s">
        <v>210</v>
      </c>
      <c r="B5" s="73">
        <v>2</v>
      </c>
      <c r="C5" s="73">
        <v>3</v>
      </c>
      <c r="D5" s="74">
        <v>4</v>
      </c>
      <c r="E5" s="74">
        <v>5</v>
      </c>
      <c r="F5" s="75" t="s">
        <v>211</v>
      </c>
      <c r="G5" s="74">
        <v>7</v>
      </c>
      <c r="H5" s="74">
        <v>8</v>
      </c>
      <c r="I5" s="74"/>
      <c r="J5" s="74">
        <v>10</v>
      </c>
      <c r="K5" s="74">
        <v>11</v>
      </c>
      <c r="L5" s="74">
        <v>12</v>
      </c>
      <c r="M5" s="74">
        <v>13</v>
      </c>
      <c r="N5" s="74">
        <v>14</v>
      </c>
      <c r="O5" s="74">
        <v>15</v>
      </c>
      <c r="P5" s="74">
        <v>16</v>
      </c>
      <c r="Q5" s="74">
        <v>17</v>
      </c>
      <c r="R5" s="74">
        <v>18</v>
      </c>
      <c r="S5" s="74" t="s">
        <v>212</v>
      </c>
      <c r="T5" s="74" t="s">
        <v>213</v>
      </c>
    </row>
    <row r="6" spans="1:20" s="3" customFormat="1">
      <c r="A6" s="4" t="s">
        <v>5</v>
      </c>
      <c r="B6" s="5" t="s">
        <v>6</v>
      </c>
      <c r="C6" s="6">
        <f>+C7+C133</f>
        <v>229895.00000000003</v>
      </c>
      <c r="D6" s="7">
        <f>+D7+D133</f>
        <v>60605</v>
      </c>
      <c r="E6" s="7">
        <f>+E7+E133</f>
        <v>18000</v>
      </c>
      <c r="F6" s="7">
        <f>C6+D6+E6</f>
        <v>308500</v>
      </c>
      <c r="G6" s="7">
        <f t="shared" ref="G6:R6" si="0">+G7+G133</f>
        <v>24641.409999999996</v>
      </c>
      <c r="H6" s="7">
        <f t="shared" si="0"/>
        <v>33329.949999999997</v>
      </c>
      <c r="I6" s="7">
        <f t="shared" si="0"/>
        <v>31428.180000000004</v>
      </c>
      <c r="J6" s="7">
        <f t="shared" si="0"/>
        <v>26300.239999999998</v>
      </c>
      <c r="K6" s="7">
        <f t="shared" si="0"/>
        <v>23491.75</v>
      </c>
      <c r="L6" s="7">
        <f t="shared" si="0"/>
        <v>22924.03</v>
      </c>
      <c r="M6" s="7">
        <f t="shared" si="0"/>
        <v>20699.25</v>
      </c>
      <c r="N6" s="7">
        <f t="shared" si="0"/>
        <v>30237.46</v>
      </c>
      <c r="O6" s="7">
        <f t="shared" si="0"/>
        <v>21803.920000000002</v>
      </c>
      <c r="P6" s="7">
        <f t="shared" si="0"/>
        <v>22272.269999999997</v>
      </c>
      <c r="Q6" s="7">
        <f t="shared" si="0"/>
        <v>30098.410000000003</v>
      </c>
      <c r="R6" s="7">
        <f t="shared" si="0"/>
        <v>57047.07</v>
      </c>
      <c r="S6" s="7">
        <f t="shared" ref="S6:S37" si="1">SUM(G6:R6)</f>
        <v>344273.94</v>
      </c>
      <c r="T6" s="69">
        <f t="shared" ref="T6:T37" si="2">S6-F6</f>
        <v>35773.94</v>
      </c>
    </row>
    <row r="7" spans="1:20" s="3" customFormat="1">
      <c r="A7" s="8" t="s">
        <v>7</v>
      </c>
      <c r="B7" s="9" t="s">
        <v>8</v>
      </c>
      <c r="C7" s="10">
        <f>C8+C9+C109+C128</f>
        <v>210835.00000000003</v>
      </c>
      <c r="D7" s="10">
        <f>D8+D9+D109+D128</f>
        <v>60605</v>
      </c>
      <c r="E7" s="10">
        <f>E8+E9+E109+E128</f>
        <v>18000</v>
      </c>
      <c r="F7" s="10">
        <f t="shared" ref="F7:F70" si="3">C7+D7+E7</f>
        <v>289440</v>
      </c>
      <c r="G7" s="10">
        <f t="shared" ref="G7:R7" si="4">G8+G9+G109+G128</f>
        <v>24641.409999999996</v>
      </c>
      <c r="H7" s="10">
        <f t="shared" si="4"/>
        <v>31668.62</v>
      </c>
      <c r="I7" s="10">
        <f t="shared" si="4"/>
        <v>31428.180000000004</v>
      </c>
      <c r="J7" s="10">
        <f t="shared" si="4"/>
        <v>26300.239999999998</v>
      </c>
      <c r="K7" s="10">
        <f t="shared" si="4"/>
        <v>20670.489999999998</v>
      </c>
      <c r="L7" s="10">
        <f t="shared" si="4"/>
        <v>20396.41</v>
      </c>
      <c r="M7" s="10">
        <f t="shared" si="4"/>
        <v>17920.669999999998</v>
      </c>
      <c r="N7" s="10">
        <f t="shared" si="4"/>
        <v>23178.79</v>
      </c>
      <c r="O7" s="10">
        <f t="shared" si="4"/>
        <v>19591.38</v>
      </c>
      <c r="P7" s="10">
        <f t="shared" si="4"/>
        <v>22272.269999999997</v>
      </c>
      <c r="Q7" s="10">
        <f t="shared" si="4"/>
        <v>30098.410000000003</v>
      </c>
      <c r="R7" s="10">
        <f t="shared" si="4"/>
        <v>57047.07</v>
      </c>
      <c r="S7" s="10">
        <f t="shared" si="1"/>
        <v>325213.94</v>
      </c>
      <c r="T7" s="70">
        <f t="shared" si="2"/>
        <v>35773.94</v>
      </c>
    </row>
    <row r="8" spans="1:20" s="3" customFormat="1" ht="31.5" hidden="1">
      <c r="A8" s="11" t="s">
        <v>9</v>
      </c>
      <c r="B8" s="12" t="s">
        <v>10</v>
      </c>
      <c r="C8" s="13">
        <v>479</v>
      </c>
      <c r="D8" s="14"/>
      <c r="E8" s="14"/>
      <c r="F8" s="14">
        <f t="shared" si="3"/>
        <v>479</v>
      </c>
      <c r="G8" s="14"/>
      <c r="H8" s="14"/>
      <c r="I8" s="14"/>
      <c r="J8" s="14"/>
      <c r="K8" s="14"/>
      <c r="L8" s="71"/>
      <c r="M8" s="71"/>
      <c r="N8" s="71"/>
      <c r="O8" s="71"/>
      <c r="P8" s="14">
        <v>479</v>
      </c>
      <c r="Q8" s="71"/>
      <c r="R8" s="71"/>
      <c r="S8" s="14">
        <f t="shared" si="1"/>
        <v>479</v>
      </c>
      <c r="T8" s="14">
        <f t="shared" si="2"/>
        <v>0</v>
      </c>
    </row>
    <row r="9" spans="1:20" s="3" customFormat="1">
      <c r="A9" s="11" t="s">
        <v>11</v>
      </c>
      <c r="B9" s="12" t="s">
        <v>12</v>
      </c>
      <c r="C9" s="13">
        <f>C10+C17+C44+C62+C86+C96</f>
        <v>160516.39000000001</v>
      </c>
      <c r="D9" s="14">
        <f>D10+D17+D44+D62+D86+D96</f>
        <v>60605</v>
      </c>
      <c r="E9" s="14">
        <f>E10+E17+E44+E62+E86+E96</f>
        <v>18000</v>
      </c>
      <c r="F9" s="14">
        <f t="shared" si="3"/>
        <v>239121.39</v>
      </c>
      <c r="G9" s="14">
        <f t="shared" ref="G9:R9" si="5">G10+G17+G44+G62+G86+G96</f>
        <v>24271.489999999998</v>
      </c>
      <c r="H9" s="14">
        <f t="shared" si="5"/>
        <v>28886.799999999999</v>
      </c>
      <c r="I9" s="14">
        <f t="shared" si="5"/>
        <v>27477.45</v>
      </c>
      <c r="J9" s="14">
        <f t="shared" si="5"/>
        <v>25337.84</v>
      </c>
      <c r="K9" s="14">
        <f t="shared" si="5"/>
        <v>18288.259999999998</v>
      </c>
      <c r="L9" s="14">
        <f t="shared" si="5"/>
        <v>16289.509999999998</v>
      </c>
      <c r="M9" s="14">
        <f t="shared" si="5"/>
        <v>11568.67</v>
      </c>
      <c r="N9" s="14">
        <f t="shared" si="5"/>
        <v>16804.79</v>
      </c>
      <c r="O9" s="14">
        <f t="shared" si="5"/>
        <v>13089.380000000001</v>
      </c>
      <c r="P9" s="14">
        <f t="shared" si="5"/>
        <v>14667.169999999998</v>
      </c>
      <c r="Q9" s="14">
        <f t="shared" si="5"/>
        <v>23294.680000000004</v>
      </c>
      <c r="R9" s="14">
        <f t="shared" si="5"/>
        <v>44727.94</v>
      </c>
      <c r="S9" s="14">
        <f t="shared" si="1"/>
        <v>264703.98</v>
      </c>
      <c r="T9" s="71">
        <f t="shared" si="2"/>
        <v>25582.589999999967</v>
      </c>
    </row>
    <row r="10" spans="1:20" s="3" customFormat="1" hidden="1">
      <c r="A10" s="15" t="s">
        <v>13</v>
      </c>
      <c r="B10" s="16" t="s">
        <v>14</v>
      </c>
      <c r="C10" s="17">
        <f t="shared" ref="C10" si="6">SUM(C11:C16)</f>
        <v>6726</v>
      </c>
      <c r="D10" s="18">
        <f t="shared" ref="D10" si="7">SUM(D11:D16)</f>
        <v>0</v>
      </c>
      <c r="E10" s="18">
        <f t="shared" ref="E10:G10" si="8">SUM(E11:E16)</f>
        <v>0</v>
      </c>
      <c r="F10" s="18">
        <f t="shared" si="3"/>
        <v>6726</v>
      </c>
      <c r="G10" s="18">
        <f t="shared" si="8"/>
        <v>557.70000000000005</v>
      </c>
      <c r="H10" s="18">
        <f t="shared" ref="H10" si="9">SUM(H11:H16)</f>
        <v>569.87</v>
      </c>
      <c r="I10" s="18">
        <f t="shared" ref="I10" si="10">SUM(I11:I16)</f>
        <v>559.7700000000001</v>
      </c>
      <c r="J10" s="18">
        <f t="shared" ref="J10:R10" si="11">SUM(J11:J16)</f>
        <v>557.58000000000015</v>
      </c>
      <c r="K10" s="18">
        <f t="shared" si="11"/>
        <v>562.13000000000011</v>
      </c>
      <c r="L10" s="18">
        <f t="shared" si="11"/>
        <v>503.59000000000003</v>
      </c>
      <c r="M10" s="18">
        <f t="shared" si="11"/>
        <v>616</v>
      </c>
      <c r="N10" s="18">
        <f t="shared" si="11"/>
        <v>560</v>
      </c>
      <c r="O10" s="18">
        <f t="shared" si="11"/>
        <v>558</v>
      </c>
      <c r="P10" s="18">
        <f t="shared" si="11"/>
        <v>558</v>
      </c>
      <c r="Q10" s="18">
        <f t="shared" si="11"/>
        <v>559</v>
      </c>
      <c r="R10" s="18">
        <f t="shared" si="11"/>
        <v>564.3599999999999</v>
      </c>
      <c r="S10" s="18">
        <f t="shared" si="1"/>
        <v>6726</v>
      </c>
      <c r="T10" s="18">
        <f t="shared" si="2"/>
        <v>0</v>
      </c>
    </row>
    <row r="11" spans="1:20" s="3" customFormat="1" hidden="1" outlineLevel="1">
      <c r="A11" s="19"/>
      <c r="B11" s="20" t="s">
        <v>15</v>
      </c>
      <c r="C11" s="21">
        <v>3413</v>
      </c>
      <c r="D11" s="22"/>
      <c r="E11" s="22"/>
      <c r="F11" s="22">
        <f t="shared" si="3"/>
        <v>3413</v>
      </c>
      <c r="G11" s="22">
        <v>284.35000000000002</v>
      </c>
      <c r="H11" s="22">
        <v>284.35000000000002</v>
      </c>
      <c r="I11" s="22">
        <v>284.35000000000002</v>
      </c>
      <c r="J11" s="22">
        <v>284.35000000000002</v>
      </c>
      <c r="K11" s="22">
        <v>284.35000000000002</v>
      </c>
      <c r="L11" s="22">
        <v>284.35000000000002</v>
      </c>
      <c r="M11" s="22">
        <v>284</v>
      </c>
      <c r="N11" s="22">
        <v>285</v>
      </c>
      <c r="O11" s="22">
        <v>284</v>
      </c>
      <c r="P11" s="22">
        <v>284</v>
      </c>
      <c r="Q11" s="22">
        <v>285</v>
      </c>
      <c r="R11" s="22">
        <v>284.89999999999998</v>
      </c>
      <c r="S11" s="22">
        <f t="shared" si="1"/>
        <v>3413</v>
      </c>
      <c r="T11" s="22">
        <f t="shared" si="2"/>
        <v>0</v>
      </c>
    </row>
    <row r="12" spans="1:20" s="3" customFormat="1" hidden="1" outlineLevel="1">
      <c r="A12" s="19"/>
      <c r="B12" s="20" t="s">
        <v>16</v>
      </c>
      <c r="C12" s="21">
        <v>1875</v>
      </c>
      <c r="D12" s="22"/>
      <c r="E12" s="22"/>
      <c r="F12" s="22">
        <f t="shared" si="3"/>
        <v>1875</v>
      </c>
      <c r="G12" s="22">
        <v>156.09</v>
      </c>
      <c r="H12" s="22">
        <v>157.26</v>
      </c>
      <c r="I12" s="22">
        <v>156.09</v>
      </c>
      <c r="J12" s="22">
        <v>156.09</v>
      </c>
      <c r="K12" s="22">
        <v>156.09</v>
      </c>
      <c r="L12" s="22">
        <v>157.36000000000001</v>
      </c>
      <c r="M12" s="22">
        <v>156</v>
      </c>
      <c r="N12" s="22">
        <v>157</v>
      </c>
      <c r="O12" s="22">
        <v>156</v>
      </c>
      <c r="P12" s="22">
        <v>156</v>
      </c>
      <c r="Q12" s="22">
        <v>156</v>
      </c>
      <c r="R12" s="22">
        <v>155.02000000000001</v>
      </c>
      <c r="S12" s="22">
        <f t="shared" si="1"/>
        <v>1875</v>
      </c>
      <c r="T12" s="22">
        <f t="shared" si="2"/>
        <v>0</v>
      </c>
    </row>
    <row r="13" spans="1:20" s="3" customFormat="1" ht="32.450000000000003" hidden="1" customHeight="1" outlineLevel="1">
      <c r="A13" s="19"/>
      <c r="B13" s="20" t="s">
        <v>182</v>
      </c>
      <c r="C13" s="21">
        <v>1158</v>
      </c>
      <c r="D13" s="22"/>
      <c r="E13" s="22"/>
      <c r="F13" s="22">
        <f t="shared" si="3"/>
        <v>1158</v>
      </c>
      <c r="G13" s="22">
        <v>99.22</v>
      </c>
      <c r="H13" s="22">
        <f>112.22-13</f>
        <v>99.22</v>
      </c>
      <c r="I13" s="22">
        <v>103.49</v>
      </c>
      <c r="J13" s="22">
        <f>96.51-1.56</f>
        <v>94.95</v>
      </c>
      <c r="K13" s="22">
        <v>99.22</v>
      </c>
      <c r="L13" s="22">
        <v>61.88</v>
      </c>
      <c r="M13" s="22">
        <v>100</v>
      </c>
      <c r="N13" s="22">
        <v>100</v>
      </c>
      <c r="O13" s="22">
        <v>100</v>
      </c>
      <c r="P13" s="22">
        <v>100</v>
      </c>
      <c r="Q13" s="22">
        <v>100</v>
      </c>
      <c r="R13" s="22">
        <v>100.02</v>
      </c>
      <c r="S13" s="22">
        <f t="shared" si="1"/>
        <v>1158</v>
      </c>
      <c r="T13" s="22">
        <f t="shared" si="2"/>
        <v>0</v>
      </c>
    </row>
    <row r="14" spans="1:20" s="3" customFormat="1" ht="31.5" hidden="1" outlineLevel="1">
      <c r="A14" s="19"/>
      <c r="B14" s="20" t="s">
        <v>17</v>
      </c>
      <c r="C14" s="23">
        <v>112</v>
      </c>
      <c r="D14" s="24"/>
      <c r="E14" s="24"/>
      <c r="F14" s="24">
        <f t="shared" si="3"/>
        <v>112</v>
      </c>
      <c r="G14" s="24">
        <v>7.55</v>
      </c>
      <c r="H14" s="24">
        <v>13.88</v>
      </c>
      <c r="I14" s="24">
        <v>15.84</v>
      </c>
      <c r="J14" s="24">
        <v>12.21</v>
      </c>
      <c r="K14" s="24">
        <v>2.5099999999999998</v>
      </c>
      <c r="L14" s="24"/>
      <c r="M14" s="24">
        <v>10</v>
      </c>
      <c r="N14" s="24">
        <v>10</v>
      </c>
      <c r="O14" s="24">
        <v>10</v>
      </c>
      <c r="P14" s="24">
        <v>10</v>
      </c>
      <c r="Q14" s="24">
        <v>10</v>
      </c>
      <c r="R14" s="24">
        <v>10.01</v>
      </c>
      <c r="S14" s="24">
        <f t="shared" si="1"/>
        <v>112</v>
      </c>
      <c r="T14" s="24">
        <f t="shared" si="2"/>
        <v>0</v>
      </c>
    </row>
    <row r="15" spans="1:20" s="3" customFormat="1" ht="31.5" hidden="1" outlineLevel="1">
      <c r="A15" s="19"/>
      <c r="B15" s="20" t="s">
        <v>18</v>
      </c>
      <c r="C15" s="23">
        <v>58</v>
      </c>
      <c r="D15" s="24"/>
      <c r="E15" s="24"/>
      <c r="F15" s="24">
        <f t="shared" si="3"/>
        <v>58</v>
      </c>
      <c r="G15" s="24"/>
      <c r="H15" s="24"/>
      <c r="I15" s="24"/>
      <c r="J15" s="24"/>
      <c r="K15" s="24"/>
      <c r="L15" s="24"/>
      <c r="M15" s="24">
        <v>58</v>
      </c>
      <c r="N15" s="24"/>
      <c r="O15" s="24"/>
      <c r="P15" s="24"/>
      <c r="Q15" s="24"/>
      <c r="R15" s="24"/>
      <c r="S15" s="24">
        <f t="shared" si="1"/>
        <v>58</v>
      </c>
      <c r="T15" s="24">
        <f t="shared" si="2"/>
        <v>0</v>
      </c>
    </row>
    <row r="16" spans="1:20" s="3" customFormat="1" ht="31.5" hidden="1" outlineLevel="1">
      <c r="A16" s="19"/>
      <c r="B16" s="20" t="s">
        <v>19</v>
      </c>
      <c r="C16" s="21">
        <v>110</v>
      </c>
      <c r="D16" s="22"/>
      <c r="E16" s="22"/>
      <c r="F16" s="22">
        <f t="shared" si="3"/>
        <v>110</v>
      </c>
      <c r="G16" s="22">
        <v>10.49</v>
      </c>
      <c r="H16" s="22">
        <v>15.16</v>
      </c>
      <c r="I16" s="22"/>
      <c r="J16" s="22">
        <v>9.98</v>
      </c>
      <c r="K16" s="22">
        <v>19.96</v>
      </c>
      <c r="L16" s="22"/>
      <c r="M16" s="22">
        <v>8</v>
      </c>
      <c r="N16" s="22">
        <v>8</v>
      </c>
      <c r="O16" s="22">
        <v>8</v>
      </c>
      <c r="P16" s="22">
        <v>8</v>
      </c>
      <c r="Q16" s="22">
        <v>8</v>
      </c>
      <c r="R16" s="22">
        <v>14.41</v>
      </c>
      <c r="S16" s="22">
        <f t="shared" si="1"/>
        <v>110</v>
      </c>
      <c r="T16" s="22">
        <f t="shared" si="2"/>
        <v>0</v>
      </c>
    </row>
    <row r="17" spans="1:20" s="26" customFormat="1" ht="31.5" collapsed="1">
      <c r="A17" s="15" t="s">
        <v>20</v>
      </c>
      <c r="B17" s="16" t="s">
        <v>21</v>
      </c>
      <c r="C17" s="17">
        <f>C18+C23+C29+C35+C42</f>
        <v>84217.48000000001</v>
      </c>
      <c r="D17" s="18">
        <f t="shared" ref="D17" si="12">D18+D23+D29+D35+D42</f>
        <v>60605</v>
      </c>
      <c r="E17" s="18">
        <f t="shared" ref="E17:G17" si="13">E18+E23+E29+E35+E42</f>
        <v>0</v>
      </c>
      <c r="F17" s="18">
        <f t="shared" si="3"/>
        <v>144822.48000000001</v>
      </c>
      <c r="G17" s="18">
        <f t="shared" si="13"/>
        <v>22201.079999999998</v>
      </c>
      <c r="H17" s="18">
        <f t="shared" ref="H17" si="14">H18+H23+H29+H35+H42</f>
        <v>22305.63</v>
      </c>
      <c r="I17" s="18">
        <f t="shared" ref="I17" si="15">I18+I23+I29+I35+I42</f>
        <v>20475.419999999998</v>
      </c>
      <c r="J17" s="18">
        <f t="shared" ref="J17:R17" si="16">J18+J23+J29+J35+J42</f>
        <v>19295.21</v>
      </c>
      <c r="K17" s="18">
        <f t="shared" si="16"/>
        <v>12208.17</v>
      </c>
      <c r="L17" s="18">
        <f t="shared" si="16"/>
        <v>9290.4699999999993</v>
      </c>
      <c r="M17" s="18">
        <f t="shared" si="16"/>
        <v>5277.51</v>
      </c>
      <c r="N17" s="18">
        <f t="shared" si="16"/>
        <v>5387.2300000000005</v>
      </c>
      <c r="O17" s="18">
        <f t="shared" si="16"/>
        <v>6177.2300000000005</v>
      </c>
      <c r="P17" s="18">
        <f t="shared" si="16"/>
        <v>8022.55</v>
      </c>
      <c r="Q17" s="18">
        <f t="shared" si="16"/>
        <v>15982.789999999999</v>
      </c>
      <c r="R17" s="18">
        <f t="shared" si="16"/>
        <v>22420.579999999998</v>
      </c>
      <c r="S17" s="18">
        <f t="shared" si="1"/>
        <v>169043.86999999997</v>
      </c>
      <c r="T17" s="56">
        <f t="shared" si="2"/>
        <v>24221.389999999956</v>
      </c>
    </row>
    <row r="18" spans="1:20" s="26" customFormat="1">
      <c r="A18" s="27" t="s">
        <v>22</v>
      </c>
      <c r="B18" s="28" t="s">
        <v>23</v>
      </c>
      <c r="C18" s="29">
        <f>SUM(C19:C22)</f>
        <v>43163.48</v>
      </c>
      <c r="D18" s="30">
        <f t="shared" ref="D18" si="17">SUM(D19:D22)</f>
        <v>42507</v>
      </c>
      <c r="E18" s="30">
        <f t="shared" ref="E18:G18" si="18">SUM(E19:E22)</f>
        <v>0</v>
      </c>
      <c r="F18" s="30">
        <f t="shared" si="3"/>
        <v>85670.48000000001</v>
      </c>
      <c r="G18" s="30">
        <f t="shared" si="18"/>
        <v>17520.27</v>
      </c>
      <c r="H18" s="30">
        <f t="shared" ref="H18" si="19">SUM(H19:H22)</f>
        <v>17753.960000000003</v>
      </c>
      <c r="I18" s="30">
        <f t="shared" ref="I18" si="20">SUM(I19:I22)</f>
        <v>15449.12</v>
      </c>
      <c r="J18" s="30">
        <f t="shared" ref="J18:R18" si="21">SUM(J19:J22)</f>
        <v>14906.929999999998</v>
      </c>
      <c r="K18" s="30">
        <f t="shared" si="21"/>
        <v>7899.69</v>
      </c>
      <c r="L18" s="30">
        <f t="shared" si="21"/>
        <v>2135.6999999999998</v>
      </c>
      <c r="M18" s="30">
        <f t="shared" si="21"/>
        <v>20</v>
      </c>
      <c r="N18" s="30">
        <f t="shared" si="21"/>
        <v>20</v>
      </c>
      <c r="O18" s="30">
        <f t="shared" si="21"/>
        <v>20</v>
      </c>
      <c r="P18" s="30">
        <f t="shared" si="21"/>
        <v>2900</v>
      </c>
      <c r="Q18" s="30">
        <f t="shared" si="21"/>
        <v>10800</v>
      </c>
      <c r="R18" s="30">
        <f t="shared" si="21"/>
        <v>16451.879999999997</v>
      </c>
      <c r="S18" s="30">
        <f t="shared" si="1"/>
        <v>105877.54999999999</v>
      </c>
      <c r="T18" s="55">
        <f t="shared" si="2"/>
        <v>20207.069999999978</v>
      </c>
    </row>
    <row r="19" spans="1:20" s="3" customFormat="1" outlineLevel="1">
      <c r="A19" s="19"/>
      <c r="B19" s="20" t="s">
        <v>24</v>
      </c>
      <c r="C19" s="21">
        <v>4652</v>
      </c>
      <c r="D19" s="22">
        <v>2798</v>
      </c>
      <c r="E19" s="22"/>
      <c r="F19" s="22">
        <f t="shared" si="3"/>
        <v>7450</v>
      </c>
      <c r="G19" s="22">
        <v>935.71</v>
      </c>
      <c r="H19" s="22">
        <v>2489.69</v>
      </c>
      <c r="I19" s="22">
        <v>2143.52</v>
      </c>
      <c r="J19" s="22">
        <v>1929.58</v>
      </c>
      <c r="K19" s="22">
        <v>1342.38</v>
      </c>
      <c r="L19" s="22">
        <v>516.05999999999995</v>
      </c>
      <c r="M19" s="22"/>
      <c r="N19" s="22"/>
      <c r="O19" s="22"/>
      <c r="P19" s="22">
        <v>400</v>
      </c>
      <c r="Q19" s="22">
        <v>1000</v>
      </c>
      <c r="R19" s="22">
        <v>2500</v>
      </c>
      <c r="S19" s="22">
        <f t="shared" si="1"/>
        <v>13256.94</v>
      </c>
      <c r="T19" s="22">
        <f t="shared" si="2"/>
        <v>5806.9400000000005</v>
      </c>
    </row>
    <row r="20" spans="1:20" s="3" customFormat="1" outlineLevel="1">
      <c r="A20" s="19"/>
      <c r="B20" s="20" t="s">
        <v>25</v>
      </c>
      <c r="C20" s="21">
        <v>9616.7199999999993</v>
      </c>
      <c r="D20" s="22">
        <v>3173.64</v>
      </c>
      <c r="E20" s="22"/>
      <c r="F20" s="22">
        <f t="shared" si="3"/>
        <v>12790.359999999999</v>
      </c>
      <c r="G20" s="22">
        <f>2712.78+3.27</f>
        <v>2716.05</v>
      </c>
      <c r="H20" s="22">
        <f>2421.96+3.99</f>
        <v>2425.9499999999998</v>
      </c>
      <c r="I20" s="22">
        <f>1384.86+3.99</f>
        <v>1388.85</v>
      </c>
      <c r="J20" s="22">
        <f>1196.81+3.99</f>
        <v>1200.8</v>
      </c>
      <c r="K20" s="22">
        <f>402.01+3.99</f>
        <v>406</v>
      </c>
      <c r="L20" s="22">
        <f>11+3.99</f>
        <v>14.99</v>
      </c>
      <c r="M20" s="22">
        <v>20</v>
      </c>
      <c r="N20" s="22">
        <v>20</v>
      </c>
      <c r="O20" s="22">
        <v>20</v>
      </c>
      <c r="P20" s="22">
        <v>500</v>
      </c>
      <c r="Q20" s="22">
        <v>2000</v>
      </c>
      <c r="R20" s="22">
        <v>2701</v>
      </c>
      <c r="S20" s="22">
        <f t="shared" si="1"/>
        <v>13413.64</v>
      </c>
      <c r="T20" s="22">
        <f t="shared" si="2"/>
        <v>623.28000000000065</v>
      </c>
    </row>
    <row r="21" spans="1:20" s="3" customFormat="1" outlineLevel="1">
      <c r="A21" s="19"/>
      <c r="B21" s="20" t="s">
        <v>26</v>
      </c>
      <c r="C21" s="21">
        <v>26297</v>
      </c>
      <c r="D21" s="22">
        <v>34380.36</v>
      </c>
      <c r="E21" s="22"/>
      <c r="F21" s="22">
        <f t="shared" si="3"/>
        <v>60677.36</v>
      </c>
      <c r="G21" s="22">
        <f>3957.75+8685.25</f>
        <v>12643</v>
      </c>
      <c r="H21" s="22">
        <f>3617.37+7919.96</f>
        <v>11537.33</v>
      </c>
      <c r="I21" s="22">
        <f>3348.18+7374.9</f>
        <v>10723.08</v>
      </c>
      <c r="J21" s="22">
        <f>2921.04+7779.79</f>
        <v>10700.83</v>
      </c>
      <c r="K21" s="22">
        <f>1364.25+3976.74</f>
        <v>5340.99</v>
      </c>
      <c r="L21" s="22">
        <f>279.2+1325.45</f>
        <v>1604.65</v>
      </c>
      <c r="M21" s="22"/>
      <c r="N21" s="22"/>
      <c r="O21" s="22"/>
      <c r="P21" s="22">
        <v>1500</v>
      </c>
      <c r="Q21" s="22">
        <v>7000</v>
      </c>
      <c r="R21" s="22">
        <v>10150.879999999999</v>
      </c>
      <c r="S21" s="22">
        <f t="shared" si="1"/>
        <v>71200.760000000009</v>
      </c>
      <c r="T21" s="22">
        <f t="shared" si="2"/>
        <v>10523.400000000009</v>
      </c>
    </row>
    <row r="22" spans="1:20" s="3" customFormat="1" outlineLevel="1">
      <c r="A22" s="19"/>
      <c r="B22" s="20" t="s">
        <v>27</v>
      </c>
      <c r="C22" s="21">
        <v>2597.7600000000002</v>
      </c>
      <c r="D22" s="22">
        <v>2155</v>
      </c>
      <c r="E22" s="22"/>
      <c r="F22" s="22">
        <f t="shared" si="3"/>
        <v>4752.76</v>
      </c>
      <c r="G22" s="22">
        <v>1225.51</v>
      </c>
      <c r="H22" s="22">
        <v>1300.99</v>
      </c>
      <c r="I22" s="22">
        <v>1193.67</v>
      </c>
      <c r="J22" s="22">
        <v>1075.72</v>
      </c>
      <c r="K22" s="22">
        <v>810.32</v>
      </c>
      <c r="L22" s="22"/>
      <c r="M22" s="22"/>
      <c r="N22" s="22"/>
      <c r="O22" s="22"/>
      <c r="P22" s="22">
        <v>500</v>
      </c>
      <c r="Q22" s="22">
        <v>800</v>
      </c>
      <c r="R22" s="22">
        <v>1100</v>
      </c>
      <c r="S22" s="22">
        <f t="shared" si="1"/>
        <v>8006.21</v>
      </c>
      <c r="T22" s="22">
        <f t="shared" si="2"/>
        <v>3253.45</v>
      </c>
    </row>
    <row r="23" spans="1:20" s="26" customFormat="1" ht="31.5" hidden="1">
      <c r="A23" s="27" t="s">
        <v>28</v>
      </c>
      <c r="B23" s="28" t="s">
        <v>29</v>
      </c>
      <c r="C23" s="29">
        <f t="shared" ref="C23" si="22">SUM(C24:C28)</f>
        <v>6504</v>
      </c>
      <c r="D23" s="30">
        <f t="shared" ref="D23" si="23">SUM(D24:D28)</f>
        <v>456.00000000000006</v>
      </c>
      <c r="E23" s="30">
        <f t="shared" ref="E23:G23" si="24">SUM(E24:E28)</f>
        <v>0</v>
      </c>
      <c r="F23" s="30">
        <f t="shared" si="3"/>
        <v>6960</v>
      </c>
      <c r="G23" s="30">
        <f t="shared" si="24"/>
        <v>468.64000000000004</v>
      </c>
      <c r="H23" s="30">
        <f t="shared" ref="H23" si="25">SUM(H24:H28)</f>
        <v>528.19999999999993</v>
      </c>
      <c r="I23" s="30">
        <f t="shared" ref="I23" si="26">SUM(I24:I28)</f>
        <v>592.63</v>
      </c>
      <c r="J23" s="30">
        <f t="shared" ref="J23:R23" si="27">SUM(J24:J28)</f>
        <v>494.98000000000008</v>
      </c>
      <c r="K23" s="30">
        <f t="shared" si="27"/>
        <v>677.95</v>
      </c>
      <c r="L23" s="30">
        <f t="shared" si="27"/>
        <v>623.82999999999993</v>
      </c>
      <c r="M23" s="30">
        <f t="shared" si="27"/>
        <v>606.96</v>
      </c>
      <c r="N23" s="30">
        <f t="shared" si="27"/>
        <v>606.68000000000006</v>
      </c>
      <c r="O23" s="30">
        <f t="shared" si="27"/>
        <v>606.68000000000006</v>
      </c>
      <c r="P23" s="30">
        <f t="shared" si="27"/>
        <v>599</v>
      </c>
      <c r="Q23" s="30">
        <f t="shared" si="27"/>
        <v>609.24</v>
      </c>
      <c r="R23" s="30">
        <f t="shared" si="27"/>
        <v>545.21</v>
      </c>
      <c r="S23" s="30">
        <f t="shared" si="1"/>
        <v>6960</v>
      </c>
      <c r="T23" s="30">
        <f t="shared" si="2"/>
        <v>0</v>
      </c>
    </row>
    <row r="24" spans="1:20" s="3" customFormat="1" hidden="1" outlineLevel="1">
      <c r="A24" s="19"/>
      <c r="B24" s="20" t="s">
        <v>30</v>
      </c>
      <c r="C24" s="21">
        <v>182</v>
      </c>
      <c r="D24" s="22"/>
      <c r="E24" s="22"/>
      <c r="F24" s="22">
        <f t="shared" si="3"/>
        <v>182</v>
      </c>
      <c r="G24" s="22">
        <v>12.68</v>
      </c>
      <c r="H24" s="22">
        <v>12.68</v>
      </c>
      <c r="I24" s="22">
        <v>15.85</v>
      </c>
      <c r="J24" s="22">
        <v>9.7799999999999994</v>
      </c>
      <c r="K24" s="22">
        <v>14.67</v>
      </c>
      <c r="L24" s="22">
        <v>20.13</v>
      </c>
      <c r="M24" s="22">
        <v>25</v>
      </c>
      <c r="N24" s="22">
        <v>12.68</v>
      </c>
      <c r="O24" s="22">
        <v>12.68</v>
      </c>
      <c r="P24" s="22">
        <v>15</v>
      </c>
      <c r="Q24" s="22">
        <v>15.24</v>
      </c>
      <c r="R24" s="22">
        <v>15.61</v>
      </c>
      <c r="S24" s="22">
        <f t="shared" si="1"/>
        <v>182</v>
      </c>
      <c r="T24" s="22">
        <f t="shared" si="2"/>
        <v>0</v>
      </c>
    </row>
    <row r="25" spans="1:20" s="3" customFormat="1" hidden="1" outlineLevel="1">
      <c r="A25" s="19"/>
      <c r="B25" s="20" t="s">
        <v>31</v>
      </c>
      <c r="C25" s="21">
        <v>244</v>
      </c>
      <c r="D25" s="22">
        <v>37.74</v>
      </c>
      <c r="E25" s="22"/>
      <c r="F25" s="22">
        <f t="shared" si="3"/>
        <v>281.74</v>
      </c>
      <c r="G25" s="22"/>
      <c r="H25" s="22">
        <v>17.420000000000002</v>
      </c>
      <c r="I25" s="22">
        <v>7.74</v>
      </c>
      <c r="J25" s="22">
        <v>7.74</v>
      </c>
      <c r="K25" s="22">
        <v>7.74</v>
      </c>
      <c r="L25" s="22">
        <v>126.34</v>
      </c>
      <c r="M25" s="22">
        <v>19</v>
      </c>
      <c r="N25" s="22">
        <v>19</v>
      </c>
      <c r="O25" s="22">
        <v>19</v>
      </c>
      <c r="P25" s="22">
        <v>19</v>
      </c>
      <c r="Q25" s="22">
        <v>19</v>
      </c>
      <c r="R25" s="22">
        <v>19.760000000000002</v>
      </c>
      <c r="S25" s="22">
        <f t="shared" si="1"/>
        <v>281.74</v>
      </c>
      <c r="T25" s="22">
        <f t="shared" si="2"/>
        <v>0</v>
      </c>
    </row>
    <row r="26" spans="1:20" s="3" customFormat="1" hidden="1" outlineLevel="1">
      <c r="A26" s="19"/>
      <c r="B26" s="20" t="s">
        <v>24</v>
      </c>
      <c r="C26" s="21">
        <v>650</v>
      </c>
      <c r="D26" s="22">
        <v>67.3</v>
      </c>
      <c r="E26" s="22"/>
      <c r="F26" s="22">
        <f t="shared" si="3"/>
        <v>717.3</v>
      </c>
      <c r="G26" s="22">
        <v>68.69</v>
      </c>
      <c r="H26" s="22">
        <v>58.35</v>
      </c>
      <c r="I26" s="22">
        <v>52.3</v>
      </c>
      <c r="J26" s="22">
        <v>47.34</v>
      </c>
      <c r="K26" s="22">
        <v>47.52</v>
      </c>
      <c r="L26" s="22">
        <v>45.18</v>
      </c>
      <c r="M26" s="22">
        <v>57.96</v>
      </c>
      <c r="N26" s="22">
        <v>70</v>
      </c>
      <c r="O26" s="22">
        <v>70</v>
      </c>
      <c r="P26" s="22">
        <v>60</v>
      </c>
      <c r="Q26" s="22">
        <v>70</v>
      </c>
      <c r="R26" s="22">
        <v>69.959999999999994</v>
      </c>
      <c r="S26" s="22">
        <f t="shared" si="1"/>
        <v>717.3</v>
      </c>
      <c r="T26" s="22">
        <f t="shared" si="2"/>
        <v>0</v>
      </c>
    </row>
    <row r="27" spans="1:20" s="3" customFormat="1" ht="31.5" hidden="1" outlineLevel="1">
      <c r="A27" s="19"/>
      <c r="B27" s="20" t="s">
        <v>32</v>
      </c>
      <c r="C27" s="21">
        <v>5300</v>
      </c>
      <c r="D27" s="22">
        <v>260.04000000000002</v>
      </c>
      <c r="E27" s="22"/>
      <c r="F27" s="22">
        <f t="shared" si="3"/>
        <v>5560.04</v>
      </c>
      <c r="G27" s="22">
        <f>86.61+275.85</f>
        <v>362.46000000000004</v>
      </c>
      <c r="H27" s="22">
        <f>131.51+298.32</f>
        <v>429.83</v>
      </c>
      <c r="I27" s="22">
        <f>137.93+368.89</f>
        <v>506.82</v>
      </c>
      <c r="J27" s="22">
        <f>134.73+285.47</f>
        <v>420.20000000000005</v>
      </c>
      <c r="K27" s="22">
        <f>336.82+266.23</f>
        <v>603.04999999999995</v>
      </c>
      <c r="L27" s="22">
        <f>170+253.42</f>
        <v>423.41999999999996</v>
      </c>
      <c r="M27" s="22">
        <v>480</v>
      </c>
      <c r="N27" s="22">
        <v>480</v>
      </c>
      <c r="O27" s="22">
        <v>480</v>
      </c>
      <c r="P27" s="22">
        <v>480</v>
      </c>
      <c r="Q27" s="22">
        <v>480</v>
      </c>
      <c r="R27" s="22">
        <v>414.26</v>
      </c>
      <c r="S27" s="22">
        <f t="shared" si="1"/>
        <v>5560.04</v>
      </c>
      <c r="T27" s="22">
        <f t="shared" si="2"/>
        <v>0</v>
      </c>
    </row>
    <row r="28" spans="1:20" s="3" customFormat="1" hidden="1" outlineLevel="1">
      <c r="A28" s="19"/>
      <c r="B28" s="20" t="s">
        <v>27</v>
      </c>
      <c r="C28" s="21">
        <v>128</v>
      </c>
      <c r="D28" s="22">
        <v>90.92</v>
      </c>
      <c r="E28" s="22"/>
      <c r="F28" s="22">
        <f t="shared" si="3"/>
        <v>218.92000000000002</v>
      </c>
      <c r="G28" s="22">
        <v>24.81</v>
      </c>
      <c r="H28" s="22">
        <v>9.92</v>
      </c>
      <c r="I28" s="22">
        <v>9.92</v>
      </c>
      <c r="J28" s="22">
        <v>9.92</v>
      </c>
      <c r="K28" s="22">
        <v>4.97</v>
      </c>
      <c r="L28" s="22">
        <v>8.76</v>
      </c>
      <c r="M28" s="22">
        <v>25</v>
      </c>
      <c r="N28" s="22">
        <v>25</v>
      </c>
      <c r="O28" s="22">
        <v>25</v>
      </c>
      <c r="P28" s="22">
        <v>25</v>
      </c>
      <c r="Q28" s="22">
        <v>25</v>
      </c>
      <c r="R28" s="22">
        <v>25.62</v>
      </c>
      <c r="S28" s="22">
        <f t="shared" si="1"/>
        <v>218.92000000000002</v>
      </c>
      <c r="T28" s="22">
        <f t="shared" si="2"/>
        <v>0</v>
      </c>
    </row>
    <row r="29" spans="1:20" s="26" customFormat="1" collapsed="1">
      <c r="A29" s="27" t="s">
        <v>33</v>
      </c>
      <c r="B29" s="28" t="s">
        <v>34</v>
      </c>
      <c r="C29" s="29">
        <f>SUM(C30:C34)</f>
        <v>28187</v>
      </c>
      <c r="D29" s="30">
        <f t="shared" ref="D29" si="28">SUM(D30:D34)</f>
        <v>15132</v>
      </c>
      <c r="E29" s="30">
        <f t="shared" ref="E29:G29" si="29">SUM(E30:E34)</f>
        <v>0</v>
      </c>
      <c r="F29" s="30">
        <f t="shared" si="3"/>
        <v>43319</v>
      </c>
      <c r="G29" s="30">
        <f t="shared" si="29"/>
        <v>3276.0699999999997</v>
      </c>
      <c r="H29" s="30">
        <f t="shared" ref="H29" si="30">SUM(H30:H34)</f>
        <v>3645.24</v>
      </c>
      <c r="I29" s="30">
        <f t="shared" ref="I29" si="31">SUM(I30:I34)</f>
        <v>3216.0899999999997</v>
      </c>
      <c r="J29" s="30">
        <f t="shared" ref="J29:R29" si="32">SUM(J30:J34)</f>
        <v>3357.09</v>
      </c>
      <c r="K29" s="30">
        <f t="shared" si="32"/>
        <v>3363.77</v>
      </c>
      <c r="L29" s="30">
        <f t="shared" si="32"/>
        <v>3930.35</v>
      </c>
      <c r="M29" s="30">
        <f t="shared" si="32"/>
        <v>4282.45</v>
      </c>
      <c r="N29" s="30">
        <f t="shared" si="32"/>
        <v>4282.45</v>
      </c>
      <c r="O29" s="30">
        <f t="shared" si="32"/>
        <v>4282.45</v>
      </c>
      <c r="P29" s="30">
        <f t="shared" si="32"/>
        <v>4095.45</v>
      </c>
      <c r="Q29" s="30">
        <f t="shared" si="32"/>
        <v>4095.45</v>
      </c>
      <c r="R29" s="30">
        <f t="shared" si="32"/>
        <v>4188.1399999999994</v>
      </c>
      <c r="S29" s="30">
        <f t="shared" si="1"/>
        <v>46014.999999999993</v>
      </c>
      <c r="T29" s="55">
        <f t="shared" si="2"/>
        <v>2695.9999999999927</v>
      </c>
    </row>
    <row r="30" spans="1:20" s="3" customFormat="1" hidden="1" outlineLevel="1">
      <c r="A30" s="19"/>
      <c r="B30" s="20" t="s">
        <v>31</v>
      </c>
      <c r="C30" s="21">
        <v>1800</v>
      </c>
      <c r="D30" s="22">
        <v>3323</v>
      </c>
      <c r="E30" s="22"/>
      <c r="F30" s="22">
        <f t="shared" si="3"/>
        <v>5123</v>
      </c>
      <c r="G30" s="22">
        <v>473.36</v>
      </c>
      <c r="H30" s="22">
        <v>436.82</v>
      </c>
      <c r="I30" s="22">
        <v>450.5</v>
      </c>
      <c r="J30" s="22">
        <v>414.5</v>
      </c>
      <c r="K30" s="22">
        <v>147.97999999999999</v>
      </c>
      <c r="L30" s="22">
        <v>102.78</v>
      </c>
      <c r="M30" s="22">
        <v>500</v>
      </c>
      <c r="N30" s="22">
        <v>500</v>
      </c>
      <c r="O30" s="22">
        <v>500</v>
      </c>
      <c r="P30" s="22">
        <v>500</v>
      </c>
      <c r="Q30" s="22">
        <v>500</v>
      </c>
      <c r="R30" s="22">
        <v>597.05999999999995</v>
      </c>
      <c r="S30" s="22">
        <f t="shared" si="1"/>
        <v>5123</v>
      </c>
      <c r="T30" s="22">
        <f t="shared" si="2"/>
        <v>0</v>
      </c>
    </row>
    <row r="31" spans="1:20" s="3" customFormat="1" hidden="1" outlineLevel="1">
      <c r="A31" s="19"/>
      <c r="B31" s="20" t="s">
        <v>24</v>
      </c>
      <c r="C31" s="21">
        <v>1264</v>
      </c>
      <c r="D31" s="22"/>
      <c r="E31" s="22"/>
      <c r="F31" s="22">
        <f t="shared" si="3"/>
        <v>1264</v>
      </c>
      <c r="G31" s="22">
        <v>55.71</v>
      </c>
      <c r="H31" s="22">
        <v>7.71</v>
      </c>
      <c r="I31" s="22">
        <f>101.68+6.81</f>
        <v>108.49000000000001</v>
      </c>
      <c r="J31" s="22">
        <v>53.41</v>
      </c>
      <c r="K31" s="22">
        <v>78.19</v>
      </c>
      <c r="L31" s="22">
        <v>169.01</v>
      </c>
      <c r="M31" s="22">
        <v>132.44999999999999</v>
      </c>
      <c r="N31" s="22">
        <v>132.44999999999999</v>
      </c>
      <c r="O31" s="22">
        <v>132.44999999999999</v>
      </c>
      <c r="P31" s="22">
        <v>132.44999999999999</v>
      </c>
      <c r="Q31" s="22">
        <v>132.44999999999999</v>
      </c>
      <c r="R31" s="22">
        <v>129.22999999999999</v>
      </c>
      <c r="S31" s="22">
        <f t="shared" si="1"/>
        <v>1264.0000000000002</v>
      </c>
      <c r="T31" s="22">
        <f t="shared" si="2"/>
        <v>0</v>
      </c>
    </row>
    <row r="32" spans="1:20" s="3" customFormat="1" hidden="1" outlineLevel="1">
      <c r="A32" s="19"/>
      <c r="B32" s="20" t="s">
        <v>35</v>
      </c>
      <c r="C32" s="21">
        <v>2528</v>
      </c>
      <c r="D32" s="22"/>
      <c r="E32" s="22"/>
      <c r="F32" s="22">
        <f t="shared" si="3"/>
        <v>2528</v>
      </c>
      <c r="G32" s="22">
        <f>54.14+103.79</f>
        <v>157.93</v>
      </c>
      <c r="H32" s="22">
        <f>52.37+109.71</f>
        <v>162.07999999999998</v>
      </c>
      <c r="I32" s="22">
        <f>48.35+106.47</f>
        <v>154.82</v>
      </c>
      <c r="J32" s="22">
        <f>108.4+55.19</f>
        <v>163.59</v>
      </c>
      <c r="K32" s="22">
        <f>65.65+124.19</f>
        <v>189.84</v>
      </c>
      <c r="L32" s="22">
        <f>79.45+119.81</f>
        <v>199.26</v>
      </c>
      <c r="M32" s="22">
        <v>250</v>
      </c>
      <c r="N32" s="22">
        <v>250</v>
      </c>
      <c r="O32" s="22">
        <v>250</v>
      </c>
      <c r="P32" s="22">
        <v>250</v>
      </c>
      <c r="Q32" s="22">
        <v>250</v>
      </c>
      <c r="R32" s="22">
        <v>250.48</v>
      </c>
      <c r="S32" s="22">
        <f t="shared" si="1"/>
        <v>2528</v>
      </c>
      <c r="T32" s="22">
        <f t="shared" si="2"/>
        <v>0</v>
      </c>
    </row>
    <row r="33" spans="1:20" s="3" customFormat="1" hidden="1" outlineLevel="1">
      <c r="A33" s="19"/>
      <c r="B33" s="20" t="s">
        <v>36</v>
      </c>
      <c r="C33" s="21">
        <v>2547</v>
      </c>
      <c r="D33" s="22"/>
      <c r="E33" s="22"/>
      <c r="F33" s="22">
        <f t="shared" si="3"/>
        <v>2547</v>
      </c>
      <c r="G33" s="22">
        <f>40.67+99.28</f>
        <v>139.94999999999999</v>
      </c>
      <c r="H33" s="22">
        <f>118.01+39.02</f>
        <v>157.03</v>
      </c>
      <c r="I33" s="22">
        <f>39.98+129.81</f>
        <v>169.79</v>
      </c>
      <c r="J33" s="22">
        <v>130.68</v>
      </c>
      <c r="K33" s="22">
        <f>101.97+46.33</f>
        <v>148.30000000000001</v>
      </c>
      <c r="L33" s="22">
        <f>181.68+119.72</f>
        <v>301.39999999999998</v>
      </c>
      <c r="M33" s="22">
        <v>250</v>
      </c>
      <c r="N33" s="22">
        <v>250</v>
      </c>
      <c r="O33" s="22">
        <v>250</v>
      </c>
      <c r="P33" s="22">
        <v>250</v>
      </c>
      <c r="Q33" s="22">
        <v>250</v>
      </c>
      <c r="R33" s="22">
        <v>249.85</v>
      </c>
      <c r="S33" s="22">
        <f t="shared" si="1"/>
        <v>2547</v>
      </c>
      <c r="T33" s="22">
        <f t="shared" si="2"/>
        <v>0</v>
      </c>
    </row>
    <row r="34" spans="1:20" s="3" customFormat="1" ht="31.5" outlineLevel="1">
      <c r="A34" s="19"/>
      <c r="B34" s="20" t="s">
        <v>32</v>
      </c>
      <c r="C34" s="21">
        <v>20048</v>
      </c>
      <c r="D34" s="22">
        <v>11809</v>
      </c>
      <c r="E34" s="22"/>
      <c r="F34" s="22">
        <f t="shared" si="3"/>
        <v>31857</v>
      </c>
      <c r="G34" s="22">
        <f>340.16+2108.96</f>
        <v>2449.12</v>
      </c>
      <c r="H34" s="22">
        <f>388.75+2492.85</f>
        <v>2881.6</v>
      </c>
      <c r="I34" s="22">
        <f>301.28+2031.21</f>
        <v>2332.4899999999998</v>
      </c>
      <c r="J34" s="22">
        <f>281.85+2313.06</f>
        <v>2594.91</v>
      </c>
      <c r="K34" s="22">
        <f>256.62+2542.84</f>
        <v>2799.46</v>
      </c>
      <c r="L34" s="22">
        <f>279.81+2878.09</f>
        <v>3157.9</v>
      </c>
      <c r="M34" s="22">
        <v>3150</v>
      </c>
      <c r="N34" s="22">
        <v>3150</v>
      </c>
      <c r="O34" s="22">
        <v>3150</v>
      </c>
      <c r="P34" s="22">
        <v>2963</v>
      </c>
      <c r="Q34" s="22">
        <v>2963</v>
      </c>
      <c r="R34" s="22">
        <v>2961.52</v>
      </c>
      <c r="S34" s="22">
        <f t="shared" si="1"/>
        <v>34552.999999999993</v>
      </c>
      <c r="T34" s="22">
        <f t="shared" si="2"/>
        <v>2695.9999999999927</v>
      </c>
    </row>
    <row r="35" spans="1:20" s="26" customFormat="1" ht="63">
      <c r="A35" s="27" t="s">
        <v>37</v>
      </c>
      <c r="B35" s="28" t="s">
        <v>38</v>
      </c>
      <c r="C35" s="29">
        <f>SUM(C36:C41)</f>
        <v>6218</v>
      </c>
      <c r="D35" s="30">
        <f t="shared" ref="D35" si="33">SUM(D36:D41)</f>
        <v>2510</v>
      </c>
      <c r="E35" s="30">
        <f t="shared" ref="E35:G35" si="34">SUM(E36:E41)</f>
        <v>0</v>
      </c>
      <c r="F35" s="30">
        <f t="shared" si="3"/>
        <v>8728</v>
      </c>
      <c r="G35" s="30">
        <f t="shared" si="34"/>
        <v>924</v>
      </c>
      <c r="H35" s="30">
        <f t="shared" ref="H35" si="35">SUM(H36:H41)</f>
        <v>366.13000000000005</v>
      </c>
      <c r="I35" s="30">
        <f t="shared" ref="I35" si="36">SUM(I36:I41)</f>
        <v>1205.48</v>
      </c>
      <c r="J35" s="30">
        <f t="shared" ref="J35:R35" si="37">SUM(J36:J41)</f>
        <v>524.11</v>
      </c>
      <c r="K35" s="30">
        <f t="shared" si="37"/>
        <v>254.65999999999997</v>
      </c>
      <c r="L35" s="30">
        <f t="shared" si="37"/>
        <v>2588.4900000000002</v>
      </c>
      <c r="M35" s="30">
        <f t="shared" si="37"/>
        <v>356</v>
      </c>
      <c r="N35" s="30">
        <f t="shared" si="37"/>
        <v>466</v>
      </c>
      <c r="O35" s="30">
        <f t="shared" si="37"/>
        <v>1256</v>
      </c>
      <c r="P35" s="30">
        <f t="shared" si="37"/>
        <v>416</v>
      </c>
      <c r="Q35" s="30">
        <f t="shared" si="37"/>
        <v>466</v>
      </c>
      <c r="R35" s="30">
        <f t="shared" si="37"/>
        <v>1223.45</v>
      </c>
      <c r="S35" s="30">
        <f t="shared" si="1"/>
        <v>10046.320000000002</v>
      </c>
      <c r="T35" s="55">
        <f t="shared" si="2"/>
        <v>1318.3200000000015</v>
      </c>
    </row>
    <row r="36" spans="1:20" s="3" customFormat="1" hidden="1" outlineLevel="1">
      <c r="A36" s="19"/>
      <c r="B36" s="20" t="s">
        <v>175</v>
      </c>
      <c r="C36" s="21">
        <v>234</v>
      </c>
      <c r="D36" s="22">
        <v>90</v>
      </c>
      <c r="E36" s="22"/>
      <c r="F36" s="22">
        <f t="shared" si="3"/>
        <v>324</v>
      </c>
      <c r="G36" s="22">
        <v>22.87</v>
      </c>
      <c r="H36" s="22">
        <v>44.34</v>
      </c>
      <c r="I36" s="22">
        <v>29.56</v>
      </c>
      <c r="J36" s="22">
        <v>29.56</v>
      </c>
      <c r="K36" s="22">
        <v>29.56</v>
      </c>
      <c r="L36" s="22">
        <v>34.17</v>
      </c>
      <c r="M36" s="22">
        <v>24</v>
      </c>
      <c r="N36" s="22">
        <v>24</v>
      </c>
      <c r="O36" s="22">
        <v>24</v>
      </c>
      <c r="P36" s="22">
        <v>24</v>
      </c>
      <c r="Q36" s="22">
        <v>24</v>
      </c>
      <c r="R36" s="22">
        <v>13.94</v>
      </c>
      <c r="S36" s="22">
        <f t="shared" si="1"/>
        <v>324</v>
      </c>
      <c r="T36" s="22">
        <f t="shared" si="2"/>
        <v>0</v>
      </c>
    </row>
    <row r="37" spans="1:20" s="3" customFormat="1" hidden="1" outlineLevel="1">
      <c r="A37" s="19"/>
      <c r="B37" s="20" t="s">
        <v>39</v>
      </c>
      <c r="C37" s="21">
        <v>1551</v>
      </c>
      <c r="D37" s="22">
        <v>400</v>
      </c>
      <c r="E37" s="22"/>
      <c r="F37" s="22">
        <f t="shared" si="3"/>
        <v>1951</v>
      </c>
      <c r="G37" s="22">
        <f>27.67+110.69</f>
        <v>138.36000000000001</v>
      </c>
      <c r="H37" s="22">
        <f>2.94+43.68+116.49</f>
        <v>163.10999999999999</v>
      </c>
      <c r="I37" s="22">
        <f>29.12+116.49</f>
        <v>145.60999999999999</v>
      </c>
      <c r="J37" s="22">
        <f>29.12+116.49</f>
        <v>145.60999999999999</v>
      </c>
      <c r="K37" s="22">
        <f>29.12+116.49</f>
        <v>145.60999999999999</v>
      </c>
      <c r="L37" s="22">
        <f>29.12+174.74</f>
        <v>203.86</v>
      </c>
      <c r="M37" s="22">
        <v>168</v>
      </c>
      <c r="N37" s="22">
        <v>168</v>
      </c>
      <c r="O37" s="22">
        <v>168</v>
      </c>
      <c r="P37" s="22">
        <v>168</v>
      </c>
      <c r="Q37" s="22">
        <v>168</v>
      </c>
      <c r="R37" s="22">
        <v>168.84</v>
      </c>
      <c r="S37" s="22">
        <f t="shared" si="1"/>
        <v>1951</v>
      </c>
      <c r="T37" s="22">
        <f t="shared" si="2"/>
        <v>0</v>
      </c>
    </row>
    <row r="38" spans="1:20" s="3" customFormat="1" outlineLevel="1">
      <c r="A38" s="19"/>
      <c r="B38" s="20" t="s">
        <v>40</v>
      </c>
      <c r="C38" s="21">
        <v>3699</v>
      </c>
      <c r="D38" s="22">
        <v>1888</v>
      </c>
      <c r="E38" s="22"/>
      <c r="F38" s="22">
        <f t="shared" si="3"/>
        <v>5587</v>
      </c>
      <c r="G38" s="22">
        <v>704.98</v>
      </c>
      <c r="H38" s="22">
        <v>94.16</v>
      </c>
      <c r="I38" s="22">
        <v>969.23</v>
      </c>
      <c r="J38" s="22">
        <f>197.15+90.71</f>
        <v>287.86</v>
      </c>
      <c r="K38" s="22">
        <v>21.85</v>
      </c>
      <c r="L38" s="22">
        <f>2217.51+71.87</f>
        <v>2289.38</v>
      </c>
      <c r="M38" s="22">
        <v>100</v>
      </c>
      <c r="N38" s="22">
        <v>150</v>
      </c>
      <c r="O38" s="22">
        <v>1000</v>
      </c>
      <c r="P38" s="22">
        <v>160</v>
      </c>
      <c r="Q38" s="22">
        <v>150</v>
      </c>
      <c r="R38" s="22">
        <v>977.86</v>
      </c>
      <c r="S38" s="22">
        <f t="shared" ref="S38:S69" si="38">SUM(G38:R38)</f>
        <v>6905.32</v>
      </c>
      <c r="T38" s="22">
        <f t="shared" ref="T38:T69" si="39">S38-F38</f>
        <v>1318.3199999999997</v>
      </c>
    </row>
    <row r="39" spans="1:20" s="3" customFormat="1" hidden="1" outlineLevel="1">
      <c r="A39" s="19"/>
      <c r="B39" s="20" t="s">
        <v>174</v>
      </c>
      <c r="C39" s="21">
        <v>480</v>
      </c>
      <c r="D39" s="22">
        <v>100</v>
      </c>
      <c r="E39" s="22"/>
      <c r="F39" s="22">
        <f t="shared" si="3"/>
        <v>580</v>
      </c>
      <c r="G39" s="22">
        <f>26.35+18.63</f>
        <v>44.980000000000004</v>
      </c>
      <c r="H39" s="22">
        <v>47.29</v>
      </c>
      <c r="I39" s="22">
        <f>28.66+18.63</f>
        <v>47.29</v>
      </c>
      <c r="J39" s="22">
        <f>28.66+18.63</f>
        <v>47.29</v>
      </c>
      <c r="K39" s="22">
        <f>28.66+18.63</f>
        <v>47.29</v>
      </c>
      <c r="L39" s="22">
        <f>28.66+18.63</f>
        <v>47.29</v>
      </c>
      <c r="M39" s="22">
        <v>50</v>
      </c>
      <c r="N39" s="22">
        <v>50</v>
      </c>
      <c r="O39" s="22">
        <v>50</v>
      </c>
      <c r="P39" s="22">
        <v>50</v>
      </c>
      <c r="Q39" s="22">
        <v>50</v>
      </c>
      <c r="R39" s="22">
        <v>48.57</v>
      </c>
      <c r="S39" s="22">
        <f t="shared" si="38"/>
        <v>580.00000000000011</v>
      </c>
      <c r="T39" s="22">
        <f t="shared" si="39"/>
        <v>0</v>
      </c>
    </row>
    <row r="40" spans="1:20" s="3" customFormat="1" ht="47.25" hidden="1" outlineLevel="1">
      <c r="A40" s="19"/>
      <c r="B40" s="20" t="s">
        <v>172</v>
      </c>
      <c r="C40" s="21">
        <v>134</v>
      </c>
      <c r="D40" s="22">
        <v>32</v>
      </c>
      <c r="E40" s="22"/>
      <c r="F40" s="22">
        <f t="shared" si="3"/>
        <v>166</v>
      </c>
      <c r="G40" s="22">
        <v>12.81</v>
      </c>
      <c r="H40" s="22">
        <v>17.23</v>
      </c>
      <c r="I40" s="22">
        <v>13.79</v>
      </c>
      <c r="J40" s="22">
        <v>13.79</v>
      </c>
      <c r="K40" s="22">
        <v>10.35</v>
      </c>
      <c r="L40" s="22">
        <v>13.79</v>
      </c>
      <c r="M40" s="22">
        <v>14</v>
      </c>
      <c r="N40" s="22">
        <v>14</v>
      </c>
      <c r="O40" s="22">
        <v>14</v>
      </c>
      <c r="P40" s="22">
        <v>14</v>
      </c>
      <c r="Q40" s="22">
        <v>14</v>
      </c>
      <c r="R40" s="22">
        <v>14.24</v>
      </c>
      <c r="S40" s="22">
        <f t="shared" si="38"/>
        <v>166</v>
      </c>
      <c r="T40" s="22">
        <f t="shared" si="39"/>
        <v>0</v>
      </c>
    </row>
    <row r="41" spans="1:20" s="3" customFormat="1" hidden="1" outlineLevel="1">
      <c r="A41" s="19"/>
      <c r="B41" s="20" t="s">
        <v>173</v>
      </c>
      <c r="C41" s="21">
        <v>120</v>
      </c>
      <c r="D41" s="22"/>
      <c r="E41" s="22"/>
      <c r="F41" s="22">
        <f t="shared" si="3"/>
        <v>120</v>
      </c>
      <c r="G41" s="22"/>
      <c r="H41" s="22"/>
      <c r="I41" s="22"/>
      <c r="J41" s="22"/>
      <c r="K41" s="22"/>
      <c r="L41" s="22"/>
      <c r="M41" s="22"/>
      <c r="N41" s="22">
        <v>60</v>
      </c>
      <c r="O41" s="22"/>
      <c r="P41" s="22"/>
      <c r="Q41" s="22">
        <v>60</v>
      </c>
      <c r="R41" s="22"/>
      <c r="S41" s="22">
        <f t="shared" si="38"/>
        <v>120</v>
      </c>
      <c r="T41" s="22">
        <f t="shared" si="39"/>
        <v>0</v>
      </c>
    </row>
    <row r="42" spans="1:20" s="26" customFormat="1" ht="31.5" hidden="1">
      <c r="A42" s="27" t="s">
        <v>41</v>
      </c>
      <c r="B42" s="28" t="s">
        <v>42</v>
      </c>
      <c r="C42" s="29">
        <v>145</v>
      </c>
      <c r="D42" s="30">
        <f t="shared" ref="D42:R42" si="40">SUM(D43)</f>
        <v>0</v>
      </c>
      <c r="E42" s="30">
        <f t="shared" si="40"/>
        <v>0</v>
      </c>
      <c r="F42" s="30">
        <f t="shared" si="3"/>
        <v>145</v>
      </c>
      <c r="G42" s="30">
        <f t="shared" si="40"/>
        <v>12.1</v>
      </c>
      <c r="H42" s="30">
        <f t="shared" si="40"/>
        <v>12.1</v>
      </c>
      <c r="I42" s="30">
        <f t="shared" si="40"/>
        <v>12.1</v>
      </c>
      <c r="J42" s="30">
        <f t="shared" si="40"/>
        <v>12.1</v>
      </c>
      <c r="K42" s="30">
        <f t="shared" si="40"/>
        <v>12.1</v>
      </c>
      <c r="L42" s="30">
        <f t="shared" si="40"/>
        <v>12.1</v>
      </c>
      <c r="M42" s="30">
        <f t="shared" si="40"/>
        <v>12.1</v>
      </c>
      <c r="N42" s="30">
        <f t="shared" si="40"/>
        <v>12.1</v>
      </c>
      <c r="O42" s="30">
        <f t="shared" si="40"/>
        <v>12.1</v>
      </c>
      <c r="P42" s="30">
        <f t="shared" si="40"/>
        <v>12.1</v>
      </c>
      <c r="Q42" s="30">
        <f t="shared" si="40"/>
        <v>12.1</v>
      </c>
      <c r="R42" s="30">
        <f t="shared" si="40"/>
        <v>11.9</v>
      </c>
      <c r="S42" s="30">
        <f t="shared" si="38"/>
        <v>144.99999999999997</v>
      </c>
      <c r="T42" s="30">
        <f t="shared" si="39"/>
        <v>0</v>
      </c>
    </row>
    <row r="43" spans="1:20" s="3" customFormat="1" ht="31.5" hidden="1" outlineLevel="1">
      <c r="A43" s="19"/>
      <c r="B43" s="20" t="s">
        <v>43</v>
      </c>
      <c r="C43" s="21">
        <v>145</v>
      </c>
      <c r="D43" s="22"/>
      <c r="E43" s="22"/>
      <c r="F43" s="22">
        <f t="shared" si="3"/>
        <v>145</v>
      </c>
      <c r="G43" s="22">
        <v>12.1</v>
      </c>
      <c r="H43" s="22">
        <v>12.1</v>
      </c>
      <c r="I43" s="22">
        <v>12.1</v>
      </c>
      <c r="J43" s="22">
        <v>12.1</v>
      </c>
      <c r="K43" s="22">
        <v>12.1</v>
      </c>
      <c r="L43" s="22">
        <v>12.1</v>
      </c>
      <c r="M43" s="22">
        <v>12.1</v>
      </c>
      <c r="N43" s="22">
        <v>12.1</v>
      </c>
      <c r="O43" s="22">
        <v>12.1</v>
      </c>
      <c r="P43" s="22">
        <v>12.1</v>
      </c>
      <c r="Q43" s="22">
        <v>12.1</v>
      </c>
      <c r="R43" s="22">
        <v>11.9</v>
      </c>
      <c r="S43" s="22">
        <f t="shared" si="38"/>
        <v>144.99999999999997</v>
      </c>
      <c r="T43" s="22">
        <f t="shared" si="39"/>
        <v>0</v>
      </c>
    </row>
    <row r="44" spans="1:20" s="26" customFormat="1" collapsed="1">
      <c r="A44" s="15" t="s">
        <v>44</v>
      </c>
      <c r="B44" s="16" t="s">
        <v>45</v>
      </c>
      <c r="C44" s="18">
        <f t="shared" ref="C44:G44" si="41">C45+C47+C49+C51+C55+C53</f>
        <v>6842.7</v>
      </c>
      <c r="D44" s="18">
        <f t="shared" ref="D44" si="42">D45+D47+D49+D51+D55+D53</f>
        <v>0</v>
      </c>
      <c r="E44" s="18">
        <f t="shared" si="41"/>
        <v>0</v>
      </c>
      <c r="F44" s="18">
        <f t="shared" si="3"/>
        <v>6842.7</v>
      </c>
      <c r="G44" s="18">
        <f t="shared" si="41"/>
        <v>30.6</v>
      </c>
      <c r="H44" s="18">
        <f t="shared" ref="H44:R44" si="43">H45+H47+H49+H51+H55+H53</f>
        <v>75.87</v>
      </c>
      <c r="I44" s="18">
        <f t="shared" si="43"/>
        <v>237.39999999999998</v>
      </c>
      <c r="J44" s="18">
        <f t="shared" si="43"/>
        <v>5.42</v>
      </c>
      <c r="K44" s="18">
        <f t="shared" si="43"/>
        <v>84.89</v>
      </c>
      <c r="L44" s="18">
        <f t="shared" si="43"/>
        <v>742.05000000000007</v>
      </c>
      <c r="M44" s="18">
        <f t="shared" si="43"/>
        <v>112</v>
      </c>
      <c r="N44" s="18">
        <f t="shared" si="43"/>
        <v>5349.08</v>
      </c>
      <c r="O44" s="18">
        <f t="shared" si="43"/>
        <v>112</v>
      </c>
      <c r="P44" s="18">
        <f t="shared" si="43"/>
        <v>142.96</v>
      </c>
      <c r="Q44" s="18">
        <f t="shared" si="43"/>
        <v>104.35</v>
      </c>
      <c r="R44" s="18">
        <f t="shared" si="43"/>
        <v>242.36</v>
      </c>
      <c r="S44" s="18">
        <f t="shared" si="38"/>
        <v>7238.98</v>
      </c>
      <c r="T44" s="18">
        <f t="shared" si="39"/>
        <v>396.27999999999975</v>
      </c>
    </row>
    <row r="45" spans="1:20" s="26" customFormat="1" ht="31.5" hidden="1">
      <c r="A45" s="27" t="s">
        <v>46</v>
      </c>
      <c r="B45" s="28" t="s">
        <v>47</v>
      </c>
      <c r="C45" s="29">
        <f>C46</f>
        <v>105</v>
      </c>
      <c r="D45" s="30">
        <f t="shared" ref="D45:R45" si="44">D46</f>
        <v>0</v>
      </c>
      <c r="E45" s="30">
        <f t="shared" si="44"/>
        <v>0</v>
      </c>
      <c r="F45" s="30">
        <f t="shared" si="3"/>
        <v>105</v>
      </c>
      <c r="G45" s="30">
        <f t="shared" si="44"/>
        <v>0</v>
      </c>
      <c r="H45" s="30">
        <f t="shared" si="44"/>
        <v>0</v>
      </c>
      <c r="I45" s="30">
        <f t="shared" si="44"/>
        <v>0</v>
      </c>
      <c r="J45" s="30">
        <f t="shared" si="44"/>
        <v>0</v>
      </c>
      <c r="K45" s="30">
        <f t="shared" si="44"/>
        <v>0</v>
      </c>
      <c r="L45" s="30">
        <f t="shared" si="44"/>
        <v>74.039999999999992</v>
      </c>
      <c r="M45" s="30">
        <f t="shared" si="44"/>
        <v>0</v>
      </c>
      <c r="N45" s="30">
        <f t="shared" si="44"/>
        <v>0</v>
      </c>
      <c r="O45" s="30">
        <f t="shared" si="44"/>
        <v>0</v>
      </c>
      <c r="P45" s="30">
        <f t="shared" si="44"/>
        <v>30.96</v>
      </c>
      <c r="Q45" s="30">
        <f t="shared" si="44"/>
        <v>0</v>
      </c>
      <c r="R45" s="30">
        <f t="shared" si="44"/>
        <v>0</v>
      </c>
      <c r="S45" s="30">
        <f t="shared" si="38"/>
        <v>105</v>
      </c>
      <c r="T45" s="30">
        <f t="shared" si="39"/>
        <v>0</v>
      </c>
    </row>
    <row r="46" spans="1:20" s="3" customFormat="1" hidden="1" outlineLevel="1">
      <c r="A46" s="19"/>
      <c r="B46" s="20" t="s">
        <v>48</v>
      </c>
      <c r="C46" s="21">
        <v>105</v>
      </c>
      <c r="D46" s="22"/>
      <c r="E46" s="22"/>
      <c r="F46" s="22">
        <f t="shared" si="3"/>
        <v>105</v>
      </c>
      <c r="G46" s="22"/>
      <c r="H46" s="22"/>
      <c r="I46" s="22"/>
      <c r="J46" s="22"/>
      <c r="K46" s="22"/>
      <c r="L46" s="22">
        <f>45+29.04</f>
        <v>74.039999999999992</v>
      </c>
      <c r="M46" s="22"/>
      <c r="N46" s="22"/>
      <c r="O46" s="22"/>
      <c r="P46" s="22">
        <v>30.96</v>
      </c>
      <c r="Q46" s="22"/>
      <c r="R46" s="22"/>
      <c r="S46" s="22">
        <f t="shared" si="38"/>
        <v>105</v>
      </c>
      <c r="T46" s="22">
        <f t="shared" si="39"/>
        <v>0</v>
      </c>
    </row>
    <row r="47" spans="1:20" s="26" customFormat="1" hidden="1" collapsed="1">
      <c r="A47" s="27" t="s">
        <v>49</v>
      </c>
      <c r="B47" s="28" t="s">
        <v>50</v>
      </c>
      <c r="C47" s="29">
        <f t="shared" ref="C47:R47" si="45">C48</f>
        <v>470</v>
      </c>
      <c r="D47" s="31">
        <f t="shared" si="45"/>
        <v>0</v>
      </c>
      <c r="E47" s="31">
        <f t="shared" si="45"/>
        <v>0</v>
      </c>
      <c r="F47" s="31">
        <f t="shared" si="3"/>
        <v>470</v>
      </c>
      <c r="G47" s="31">
        <f t="shared" si="45"/>
        <v>0.6</v>
      </c>
      <c r="H47" s="31">
        <f t="shared" si="45"/>
        <v>0</v>
      </c>
      <c r="I47" s="31">
        <f t="shared" si="45"/>
        <v>2.42</v>
      </c>
      <c r="J47" s="31">
        <f t="shared" si="45"/>
        <v>5.42</v>
      </c>
      <c r="K47" s="31">
        <f t="shared" si="45"/>
        <v>9.02</v>
      </c>
      <c r="L47" s="31">
        <f t="shared" si="45"/>
        <v>2.42</v>
      </c>
      <c r="M47" s="31">
        <f t="shared" si="45"/>
        <v>50</v>
      </c>
      <c r="N47" s="31">
        <f t="shared" si="45"/>
        <v>50</v>
      </c>
      <c r="O47" s="31">
        <f t="shared" si="45"/>
        <v>50</v>
      </c>
      <c r="P47" s="31">
        <f t="shared" si="45"/>
        <v>50</v>
      </c>
      <c r="Q47" s="31">
        <f t="shared" si="45"/>
        <v>50</v>
      </c>
      <c r="R47" s="31">
        <f t="shared" si="45"/>
        <v>200.12</v>
      </c>
      <c r="S47" s="31">
        <f t="shared" si="38"/>
        <v>470</v>
      </c>
      <c r="T47" s="31">
        <f t="shared" si="39"/>
        <v>0</v>
      </c>
    </row>
    <row r="48" spans="1:20" s="3" customFormat="1" ht="31.5" hidden="1" outlineLevel="1">
      <c r="A48" s="19"/>
      <c r="B48" s="20" t="s">
        <v>51</v>
      </c>
      <c r="C48" s="23">
        <v>470</v>
      </c>
      <c r="D48" s="24"/>
      <c r="E48" s="24"/>
      <c r="F48" s="24">
        <f t="shared" si="3"/>
        <v>470</v>
      </c>
      <c r="G48" s="24">
        <v>0.6</v>
      </c>
      <c r="H48" s="24">
        <v>0</v>
      </c>
      <c r="I48" s="24">
        <v>2.42</v>
      </c>
      <c r="J48" s="24">
        <v>5.42</v>
      </c>
      <c r="K48" s="24">
        <v>9.02</v>
      </c>
      <c r="L48" s="24">
        <v>2.42</v>
      </c>
      <c r="M48" s="24">
        <v>50</v>
      </c>
      <c r="N48" s="24">
        <v>50</v>
      </c>
      <c r="O48" s="24">
        <v>50</v>
      </c>
      <c r="P48" s="24">
        <v>50</v>
      </c>
      <c r="Q48" s="24">
        <v>50</v>
      </c>
      <c r="R48" s="24">
        <v>200.12</v>
      </c>
      <c r="S48" s="24">
        <f t="shared" si="38"/>
        <v>470</v>
      </c>
      <c r="T48" s="24">
        <f t="shared" si="39"/>
        <v>0</v>
      </c>
    </row>
    <row r="49" spans="1:20" s="26" customFormat="1" ht="47.25" hidden="1" collapsed="1">
      <c r="A49" s="27" t="s">
        <v>52</v>
      </c>
      <c r="B49" s="28" t="s">
        <v>53</v>
      </c>
      <c r="C49" s="29">
        <f>C50</f>
        <v>700</v>
      </c>
      <c r="D49" s="31">
        <f t="shared" ref="D49:R49" si="46">D50</f>
        <v>0</v>
      </c>
      <c r="E49" s="31">
        <f t="shared" si="46"/>
        <v>0</v>
      </c>
      <c r="F49" s="31">
        <f t="shared" si="3"/>
        <v>700</v>
      </c>
      <c r="G49" s="31">
        <f t="shared" si="46"/>
        <v>0</v>
      </c>
      <c r="H49" s="31">
        <f t="shared" si="46"/>
        <v>75.87</v>
      </c>
      <c r="I49" s="31">
        <f t="shared" si="46"/>
        <v>135.78</v>
      </c>
      <c r="J49" s="31">
        <f t="shared" si="46"/>
        <v>0</v>
      </c>
      <c r="K49" s="31">
        <f t="shared" si="46"/>
        <v>75.87</v>
      </c>
      <c r="L49" s="31">
        <f t="shared" si="46"/>
        <v>67.89</v>
      </c>
      <c r="M49" s="31">
        <f t="shared" si="46"/>
        <v>62</v>
      </c>
      <c r="N49" s="31">
        <f t="shared" si="46"/>
        <v>62</v>
      </c>
      <c r="O49" s="31">
        <f t="shared" si="46"/>
        <v>62</v>
      </c>
      <c r="P49" s="31">
        <f t="shared" si="46"/>
        <v>62</v>
      </c>
      <c r="Q49" s="31">
        <f t="shared" si="46"/>
        <v>54.35</v>
      </c>
      <c r="R49" s="31">
        <f t="shared" si="46"/>
        <v>42.24</v>
      </c>
      <c r="S49" s="31">
        <f t="shared" si="38"/>
        <v>700</v>
      </c>
      <c r="T49" s="31">
        <f t="shared" si="39"/>
        <v>0</v>
      </c>
    </row>
    <row r="50" spans="1:20" s="3" customFormat="1" hidden="1" outlineLevel="1">
      <c r="A50" s="19"/>
      <c r="B50" s="20" t="s">
        <v>167</v>
      </c>
      <c r="C50" s="21">
        <v>700</v>
      </c>
      <c r="D50" s="24"/>
      <c r="E50" s="24"/>
      <c r="F50" s="24">
        <f t="shared" si="3"/>
        <v>700</v>
      </c>
      <c r="G50" s="24">
        <v>0</v>
      </c>
      <c r="H50" s="24">
        <v>75.87</v>
      </c>
      <c r="I50" s="24">
        <v>135.78</v>
      </c>
      <c r="J50" s="24"/>
      <c r="K50" s="24">
        <v>75.87</v>
      </c>
      <c r="L50" s="24">
        <v>67.89</v>
      </c>
      <c r="M50" s="24">
        <v>62</v>
      </c>
      <c r="N50" s="24">
        <v>62</v>
      </c>
      <c r="O50" s="24">
        <v>62</v>
      </c>
      <c r="P50" s="24">
        <v>62</v>
      </c>
      <c r="Q50" s="24">
        <v>54.35</v>
      </c>
      <c r="R50" s="24">
        <v>42.24</v>
      </c>
      <c r="S50" s="24">
        <f t="shared" si="38"/>
        <v>700</v>
      </c>
      <c r="T50" s="24">
        <f t="shared" si="39"/>
        <v>0</v>
      </c>
    </row>
    <row r="51" spans="1:20" s="26" customFormat="1" ht="31.5" hidden="1" collapsed="1">
      <c r="A51" s="27" t="s">
        <v>54</v>
      </c>
      <c r="B51" s="28" t="s">
        <v>55</v>
      </c>
      <c r="C51" s="29">
        <v>0</v>
      </c>
      <c r="D51" s="31">
        <f t="shared" ref="D51:R53" si="47">D52</f>
        <v>0</v>
      </c>
      <c r="E51" s="31">
        <f t="shared" si="47"/>
        <v>0</v>
      </c>
      <c r="F51" s="31">
        <f t="shared" si="3"/>
        <v>0</v>
      </c>
      <c r="G51" s="31">
        <f t="shared" si="47"/>
        <v>0</v>
      </c>
      <c r="H51" s="31">
        <f t="shared" si="47"/>
        <v>0</v>
      </c>
      <c r="I51" s="31">
        <f t="shared" si="47"/>
        <v>0</v>
      </c>
      <c r="J51" s="31">
        <f t="shared" si="47"/>
        <v>0</v>
      </c>
      <c r="K51" s="31">
        <f t="shared" si="47"/>
        <v>0</v>
      </c>
      <c r="L51" s="31">
        <f t="shared" si="47"/>
        <v>0</v>
      </c>
      <c r="M51" s="31">
        <f t="shared" si="47"/>
        <v>0</v>
      </c>
      <c r="N51" s="31">
        <f t="shared" si="47"/>
        <v>0</v>
      </c>
      <c r="O51" s="31">
        <f t="shared" si="47"/>
        <v>0</v>
      </c>
      <c r="P51" s="31">
        <f t="shared" si="47"/>
        <v>0</v>
      </c>
      <c r="Q51" s="31">
        <f t="shared" si="47"/>
        <v>0</v>
      </c>
      <c r="R51" s="31">
        <f t="shared" si="47"/>
        <v>0</v>
      </c>
      <c r="S51" s="31">
        <f t="shared" si="38"/>
        <v>0</v>
      </c>
      <c r="T51" s="31">
        <f t="shared" si="39"/>
        <v>0</v>
      </c>
    </row>
    <row r="52" spans="1:20" s="3" customFormat="1" hidden="1" outlineLevel="1">
      <c r="A52" s="19"/>
      <c r="B52" s="20" t="s">
        <v>56</v>
      </c>
      <c r="C52" s="21">
        <v>0</v>
      </c>
      <c r="D52" s="24">
        <v>0</v>
      </c>
      <c r="E52" s="24">
        <v>0</v>
      </c>
      <c r="F52" s="24">
        <f t="shared" si="3"/>
        <v>0</v>
      </c>
      <c r="G52" s="24">
        <v>0</v>
      </c>
      <c r="H52" s="24">
        <v>0</v>
      </c>
      <c r="I52" s="24">
        <v>0</v>
      </c>
      <c r="J52" s="24">
        <v>0</v>
      </c>
      <c r="K52" s="24">
        <v>0</v>
      </c>
      <c r="L52" s="24">
        <v>0</v>
      </c>
      <c r="M52" s="24">
        <v>0</v>
      </c>
      <c r="N52" s="24">
        <v>0</v>
      </c>
      <c r="O52" s="24">
        <v>0</v>
      </c>
      <c r="P52" s="24">
        <v>0</v>
      </c>
      <c r="Q52" s="24">
        <v>0</v>
      </c>
      <c r="R52" s="24">
        <v>0</v>
      </c>
      <c r="S52" s="24">
        <f t="shared" si="38"/>
        <v>0</v>
      </c>
      <c r="T52" s="24">
        <f t="shared" si="39"/>
        <v>0</v>
      </c>
    </row>
    <row r="53" spans="1:20" s="26" customFormat="1" hidden="1" collapsed="1">
      <c r="A53" s="27" t="s">
        <v>184</v>
      </c>
      <c r="B53" s="28" t="s">
        <v>185</v>
      </c>
      <c r="C53" s="29">
        <f>C54</f>
        <v>30</v>
      </c>
      <c r="D53" s="31">
        <f t="shared" si="47"/>
        <v>0</v>
      </c>
      <c r="E53" s="31">
        <f t="shared" si="47"/>
        <v>0</v>
      </c>
      <c r="F53" s="31">
        <f t="shared" si="3"/>
        <v>30</v>
      </c>
      <c r="G53" s="31">
        <f t="shared" si="47"/>
        <v>30</v>
      </c>
      <c r="H53" s="31">
        <f t="shared" si="47"/>
        <v>0</v>
      </c>
      <c r="I53" s="31">
        <f t="shared" si="47"/>
        <v>0</v>
      </c>
      <c r="J53" s="31">
        <f t="shared" si="47"/>
        <v>0</v>
      </c>
      <c r="K53" s="31">
        <f t="shared" si="47"/>
        <v>0</v>
      </c>
      <c r="L53" s="31">
        <f t="shared" si="47"/>
        <v>0</v>
      </c>
      <c r="M53" s="31">
        <f t="shared" si="47"/>
        <v>0</v>
      </c>
      <c r="N53" s="31">
        <f t="shared" si="47"/>
        <v>0</v>
      </c>
      <c r="O53" s="31">
        <f t="shared" si="47"/>
        <v>0</v>
      </c>
      <c r="P53" s="31">
        <f t="shared" si="47"/>
        <v>0</v>
      </c>
      <c r="Q53" s="31">
        <f t="shared" si="47"/>
        <v>0</v>
      </c>
      <c r="R53" s="31">
        <f t="shared" si="47"/>
        <v>0</v>
      </c>
      <c r="S53" s="31">
        <f t="shared" si="38"/>
        <v>30</v>
      </c>
      <c r="T53" s="31">
        <f t="shared" si="39"/>
        <v>0</v>
      </c>
    </row>
    <row r="54" spans="1:20" s="3" customFormat="1" hidden="1" outlineLevel="1">
      <c r="A54" s="19"/>
      <c r="B54" s="20" t="s">
        <v>186</v>
      </c>
      <c r="C54" s="21">
        <v>30</v>
      </c>
      <c r="D54" s="24">
        <v>0</v>
      </c>
      <c r="E54" s="24">
        <v>0</v>
      </c>
      <c r="F54" s="24">
        <f t="shared" si="3"/>
        <v>30</v>
      </c>
      <c r="G54" s="24">
        <v>30</v>
      </c>
      <c r="H54" s="24">
        <v>0</v>
      </c>
      <c r="I54" s="24">
        <v>0</v>
      </c>
      <c r="J54" s="24">
        <v>0</v>
      </c>
      <c r="K54" s="24">
        <v>0</v>
      </c>
      <c r="L54" s="24">
        <v>0</v>
      </c>
      <c r="M54" s="24">
        <v>0</v>
      </c>
      <c r="N54" s="24">
        <v>0</v>
      </c>
      <c r="O54" s="24">
        <v>0</v>
      </c>
      <c r="P54" s="24">
        <v>0</v>
      </c>
      <c r="Q54" s="24">
        <v>0</v>
      </c>
      <c r="R54" s="24">
        <v>0</v>
      </c>
      <c r="S54" s="24">
        <f t="shared" si="38"/>
        <v>30</v>
      </c>
      <c r="T54" s="24">
        <f t="shared" si="39"/>
        <v>0</v>
      </c>
    </row>
    <row r="55" spans="1:20" s="26" customFormat="1" collapsed="1">
      <c r="A55" s="27" t="s">
        <v>57</v>
      </c>
      <c r="B55" s="28" t="s">
        <v>58</v>
      </c>
      <c r="C55" s="29">
        <f>SUM(C56:C61)</f>
        <v>5537.7</v>
      </c>
      <c r="D55" s="30">
        <f t="shared" ref="D55" si="48">SUM(D56:D61)</f>
        <v>0</v>
      </c>
      <c r="E55" s="30">
        <f t="shared" ref="E55:G55" si="49">SUM(E56:E61)</f>
        <v>0</v>
      </c>
      <c r="F55" s="30">
        <f t="shared" si="3"/>
        <v>5537.7</v>
      </c>
      <c r="G55" s="30">
        <f t="shared" si="49"/>
        <v>0</v>
      </c>
      <c r="H55" s="30">
        <f t="shared" ref="H55" si="50">SUM(H56:H61)</f>
        <v>0</v>
      </c>
      <c r="I55" s="30">
        <f t="shared" ref="I55" si="51">SUM(I56:I61)</f>
        <v>99.2</v>
      </c>
      <c r="J55" s="30">
        <f t="shared" ref="J55:R55" si="52">SUM(J56:J61)</f>
        <v>0</v>
      </c>
      <c r="K55" s="30">
        <f t="shared" si="52"/>
        <v>0</v>
      </c>
      <c r="L55" s="30">
        <f t="shared" si="52"/>
        <v>597.70000000000005</v>
      </c>
      <c r="M55" s="30">
        <f t="shared" si="52"/>
        <v>0</v>
      </c>
      <c r="N55" s="30">
        <f t="shared" si="52"/>
        <v>5237.08</v>
      </c>
      <c r="O55" s="30">
        <f t="shared" si="52"/>
        <v>0</v>
      </c>
      <c r="P55" s="30">
        <f t="shared" si="52"/>
        <v>0</v>
      </c>
      <c r="Q55" s="30">
        <f t="shared" si="52"/>
        <v>0</v>
      </c>
      <c r="R55" s="30">
        <f t="shared" si="52"/>
        <v>0</v>
      </c>
      <c r="S55" s="30">
        <f t="shared" si="38"/>
        <v>5933.98</v>
      </c>
      <c r="T55" s="55">
        <f t="shared" si="39"/>
        <v>396.27999999999975</v>
      </c>
    </row>
    <row r="56" spans="1:20" s="33" customFormat="1" hidden="1" outlineLevel="1">
      <c r="A56" s="19"/>
      <c r="B56" s="32" t="s">
        <v>169</v>
      </c>
      <c r="C56" s="25">
        <v>0</v>
      </c>
      <c r="D56" s="24"/>
      <c r="E56" s="24"/>
      <c r="F56" s="24">
        <f t="shared" si="3"/>
        <v>0</v>
      </c>
      <c r="G56" s="24"/>
      <c r="H56" s="24"/>
      <c r="I56" s="24"/>
      <c r="J56" s="24"/>
      <c r="K56" s="24"/>
      <c r="L56" s="24"/>
      <c r="M56" s="24"/>
      <c r="N56" s="24"/>
      <c r="O56" s="24"/>
      <c r="P56" s="24"/>
      <c r="Q56" s="24"/>
      <c r="R56" s="24"/>
      <c r="S56" s="24">
        <f t="shared" si="38"/>
        <v>0</v>
      </c>
      <c r="T56" s="24">
        <f t="shared" si="39"/>
        <v>0</v>
      </c>
    </row>
    <row r="57" spans="1:20" s="33" customFormat="1" ht="47.25" hidden="1" outlineLevel="1">
      <c r="A57" s="19"/>
      <c r="B57" s="32" t="s">
        <v>59</v>
      </c>
      <c r="C57" s="25">
        <v>4290.8</v>
      </c>
      <c r="D57" s="25"/>
      <c r="E57" s="25"/>
      <c r="F57" s="25">
        <f t="shared" si="3"/>
        <v>4290.8</v>
      </c>
      <c r="G57" s="25"/>
      <c r="H57" s="25"/>
      <c r="I57" s="25"/>
      <c r="J57" s="25"/>
      <c r="K57" s="25"/>
      <c r="L57" s="25"/>
      <c r="M57" s="25"/>
      <c r="N57" s="25">
        <v>4290.8</v>
      </c>
      <c r="O57" s="25"/>
      <c r="P57" s="25"/>
      <c r="Q57" s="25"/>
      <c r="R57" s="25"/>
      <c r="S57" s="25">
        <f t="shared" si="38"/>
        <v>4290.8</v>
      </c>
      <c r="T57" s="25">
        <f t="shared" si="39"/>
        <v>0</v>
      </c>
    </row>
    <row r="58" spans="1:20" s="33" customFormat="1" hidden="1" outlineLevel="1">
      <c r="A58" s="19"/>
      <c r="B58" s="32" t="s">
        <v>157</v>
      </c>
      <c r="C58" s="25">
        <v>0</v>
      </c>
      <c r="D58" s="25"/>
      <c r="E58" s="25"/>
      <c r="F58" s="25">
        <f t="shared" si="3"/>
        <v>0</v>
      </c>
      <c r="G58" s="25"/>
      <c r="H58" s="25"/>
      <c r="I58" s="25"/>
      <c r="J58" s="25"/>
      <c r="K58" s="25"/>
      <c r="L58" s="25"/>
      <c r="M58" s="25"/>
      <c r="N58" s="25"/>
      <c r="O58" s="25"/>
      <c r="P58" s="25"/>
      <c r="Q58" s="25"/>
      <c r="R58" s="25"/>
      <c r="S58" s="25">
        <f t="shared" si="38"/>
        <v>0</v>
      </c>
      <c r="T58" s="25">
        <f t="shared" si="39"/>
        <v>0</v>
      </c>
    </row>
    <row r="59" spans="1:20" s="33" customFormat="1" ht="47.25" hidden="1" outlineLevel="1">
      <c r="A59" s="19"/>
      <c r="B59" s="32" t="s">
        <v>170</v>
      </c>
      <c r="C59" s="25">
        <v>550</v>
      </c>
      <c r="D59" s="25"/>
      <c r="E59" s="25"/>
      <c r="F59" s="25">
        <f t="shared" si="3"/>
        <v>550</v>
      </c>
      <c r="G59" s="25"/>
      <c r="H59" s="25"/>
      <c r="I59" s="25"/>
      <c r="J59" s="25"/>
      <c r="K59" s="25"/>
      <c r="L59" s="25"/>
      <c r="M59" s="25"/>
      <c r="N59" s="25">
        <v>550</v>
      </c>
      <c r="O59" s="25"/>
      <c r="P59" s="25"/>
      <c r="Q59" s="25"/>
      <c r="R59" s="25"/>
      <c r="S59" s="25">
        <f t="shared" si="38"/>
        <v>550</v>
      </c>
      <c r="T59" s="25">
        <f t="shared" si="39"/>
        <v>0</v>
      </c>
    </row>
    <row r="60" spans="1:20" s="33" customFormat="1" outlineLevel="1">
      <c r="A60" s="19"/>
      <c r="B60" s="20" t="s">
        <v>60</v>
      </c>
      <c r="C60" s="35">
        <v>0</v>
      </c>
      <c r="D60" s="24"/>
      <c r="E60" s="24"/>
      <c r="F60" s="24">
        <f t="shared" si="3"/>
        <v>0</v>
      </c>
      <c r="G60" s="24"/>
      <c r="H60" s="24"/>
      <c r="I60" s="24"/>
      <c r="J60" s="24"/>
      <c r="K60" s="24"/>
      <c r="L60" s="24"/>
      <c r="M60" s="24"/>
      <c r="N60" s="24">
        <v>396.28</v>
      </c>
      <c r="O60" s="24"/>
      <c r="P60" s="24"/>
      <c r="Q60" s="24"/>
      <c r="R60" s="24"/>
      <c r="S60" s="24">
        <f t="shared" si="38"/>
        <v>396.28</v>
      </c>
      <c r="T60" s="24">
        <f t="shared" si="39"/>
        <v>396.28</v>
      </c>
    </row>
    <row r="61" spans="1:20" s="33" customFormat="1" ht="31.5" hidden="1" outlineLevel="1">
      <c r="A61" s="19"/>
      <c r="B61" s="20" t="s">
        <v>171</v>
      </c>
      <c r="C61" s="21">
        <v>696.9</v>
      </c>
      <c r="D61" s="24"/>
      <c r="E61" s="24"/>
      <c r="F61" s="24">
        <f t="shared" si="3"/>
        <v>696.9</v>
      </c>
      <c r="G61" s="24"/>
      <c r="H61" s="24"/>
      <c r="I61" s="24">
        <v>99.2</v>
      </c>
      <c r="J61" s="24"/>
      <c r="K61" s="24"/>
      <c r="L61" s="24">
        <f>75+75+447.7</f>
        <v>597.70000000000005</v>
      </c>
      <c r="M61" s="24"/>
      <c r="N61" s="24"/>
      <c r="O61" s="24"/>
      <c r="P61" s="24"/>
      <c r="Q61" s="24"/>
      <c r="R61" s="24"/>
      <c r="S61" s="24">
        <f t="shared" si="38"/>
        <v>696.90000000000009</v>
      </c>
      <c r="T61" s="24">
        <f t="shared" si="39"/>
        <v>0</v>
      </c>
    </row>
    <row r="62" spans="1:20" s="26" customFormat="1" ht="31.5" hidden="1">
      <c r="A62" s="15" t="s">
        <v>61</v>
      </c>
      <c r="B62" s="16" t="s">
        <v>62</v>
      </c>
      <c r="C62" s="17">
        <f>C63+C65+C68+C75+C82+C84</f>
        <v>19423.989999999998</v>
      </c>
      <c r="D62" s="18">
        <f>D63+D65+D68+D75+D82+D84</f>
        <v>0</v>
      </c>
      <c r="E62" s="18">
        <f>E63+E65+E68+E75+E82+E84</f>
        <v>0</v>
      </c>
      <c r="F62" s="18">
        <f t="shared" si="3"/>
        <v>19423.989999999998</v>
      </c>
      <c r="G62" s="18">
        <f t="shared" ref="G62:R62" si="53">G63+G65+G68+G75+G82+G84</f>
        <v>832.56999999999994</v>
      </c>
      <c r="H62" s="18">
        <f t="shared" si="53"/>
        <v>2006.28</v>
      </c>
      <c r="I62" s="18">
        <f t="shared" si="53"/>
        <v>2300.58</v>
      </c>
      <c r="J62" s="18">
        <f t="shared" si="53"/>
        <v>1550.8600000000001</v>
      </c>
      <c r="K62" s="18">
        <f t="shared" si="53"/>
        <v>1569.6200000000003</v>
      </c>
      <c r="L62" s="18">
        <f t="shared" si="53"/>
        <v>1049.07</v>
      </c>
      <c r="M62" s="18">
        <f t="shared" si="53"/>
        <v>1511.5100000000002</v>
      </c>
      <c r="N62" s="18">
        <f t="shared" si="53"/>
        <v>1562.4</v>
      </c>
      <c r="O62" s="18">
        <f t="shared" si="53"/>
        <v>1833.4</v>
      </c>
      <c r="P62" s="18">
        <f t="shared" si="53"/>
        <v>1737.7400000000002</v>
      </c>
      <c r="Q62" s="18">
        <f t="shared" si="53"/>
        <v>2425.56</v>
      </c>
      <c r="R62" s="18">
        <f t="shared" si="53"/>
        <v>1044.4000000000001</v>
      </c>
      <c r="S62" s="18">
        <f t="shared" si="38"/>
        <v>19423.990000000002</v>
      </c>
      <c r="T62" s="18">
        <f t="shared" si="39"/>
        <v>0</v>
      </c>
    </row>
    <row r="63" spans="1:20" s="26" customFormat="1" hidden="1">
      <c r="A63" s="27" t="s">
        <v>63</v>
      </c>
      <c r="B63" s="28" t="s">
        <v>64</v>
      </c>
      <c r="C63" s="29">
        <f>SUM(C64:C64)</f>
        <v>0</v>
      </c>
      <c r="D63" s="30">
        <f>SUM(D64:D64)</f>
        <v>0</v>
      </c>
      <c r="E63" s="30">
        <f>SUM(E64:E64)</f>
        <v>0</v>
      </c>
      <c r="F63" s="30">
        <f t="shared" si="3"/>
        <v>0</v>
      </c>
      <c r="G63" s="30">
        <f t="shared" ref="G63:R63" si="54">SUM(G64:G64)</f>
        <v>0</v>
      </c>
      <c r="H63" s="30">
        <f t="shared" si="54"/>
        <v>0</v>
      </c>
      <c r="I63" s="30">
        <f t="shared" si="54"/>
        <v>0</v>
      </c>
      <c r="J63" s="30">
        <f t="shared" si="54"/>
        <v>0</v>
      </c>
      <c r="K63" s="30">
        <f t="shared" si="54"/>
        <v>0</v>
      </c>
      <c r="L63" s="30">
        <f t="shared" si="54"/>
        <v>0</v>
      </c>
      <c r="M63" s="30">
        <f t="shared" si="54"/>
        <v>0</v>
      </c>
      <c r="N63" s="30">
        <f t="shared" si="54"/>
        <v>0</v>
      </c>
      <c r="O63" s="30">
        <f t="shared" si="54"/>
        <v>0</v>
      </c>
      <c r="P63" s="30">
        <f t="shared" si="54"/>
        <v>0</v>
      </c>
      <c r="Q63" s="30">
        <f t="shared" si="54"/>
        <v>0</v>
      </c>
      <c r="R63" s="30">
        <f t="shared" si="54"/>
        <v>0</v>
      </c>
      <c r="S63" s="30">
        <f t="shared" si="38"/>
        <v>0</v>
      </c>
      <c r="T63" s="30">
        <f t="shared" si="39"/>
        <v>0</v>
      </c>
    </row>
    <row r="64" spans="1:20" s="3" customFormat="1" hidden="1" outlineLevel="1">
      <c r="A64" s="19"/>
      <c r="B64" s="36"/>
      <c r="C64" s="21">
        <v>0</v>
      </c>
      <c r="D64" s="24"/>
      <c r="E64" s="24"/>
      <c r="F64" s="24">
        <f t="shared" si="3"/>
        <v>0</v>
      </c>
      <c r="G64" s="24"/>
      <c r="H64" s="24"/>
      <c r="I64" s="24"/>
      <c r="J64" s="24"/>
      <c r="K64" s="24"/>
      <c r="L64" s="24"/>
      <c r="M64" s="24"/>
      <c r="N64" s="24"/>
      <c r="O64" s="24"/>
      <c r="P64" s="24"/>
      <c r="Q64" s="24"/>
      <c r="R64" s="24"/>
      <c r="S64" s="24">
        <f t="shared" si="38"/>
        <v>0</v>
      </c>
      <c r="T64" s="24">
        <f t="shared" si="39"/>
        <v>0</v>
      </c>
    </row>
    <row r="65" spans="1:20" s="26" customFormat="1" ht="31.5" hidden="1" collapsed="1">
      <c r="A65" s="27" t="s">
        <v>65</v>
      </c>
      <c r="B65" s="28" t="s">
        <v>66</v>
      </c>
      <c r="C65" s="29">
        <f t="shared" ref="C65:D65" si="55">SUM(C66:C67)</f>
        <v>1828</v>
      </c>
      <c r="D65" s="31">
        <f t="shared" si="55"/>
        <v>0</v>
      </c>
      <c r="E65" s="31">
        <f t="shared" ref="E65:G65" si="56">SUM(E66:E67)</f>
        <v>0</v>
      </c>
      <c r="F65" s="31">
        <f t="shared" si="3"/>
        <v>1828</v>
      </c>
      <c r="G65" s="31">
        <f t="shared" si="56"/>
        <v>100</v>
      </c>
      <c r="H65" s="31">
        <f t="shared" ref="H65" si="57">SUM(H66:H67)</f>
        <v>0</v>
      </c>
      <c r="I65" s="31">
        <f t="shared" ref="I65" si="58">SUM(I66:I67)</f>
        <v>259.89</v>
      </c>
      <c r="J65" s="31">
        <f t="shared" ref="J65:R65" si="59">SUM(J66:J67)</f>
        <v>165</v>
      </c>
      <c r="K65" s="31">
        <f t="shared" si="59"/>
        <v>4.2</v>
      </c>
      <c r="L65" s="31">
        <f t="shared" si="59"/>
        <v>38.64</v>
      </c>
      <c r="M65" s="31">
        <f t="shared" si="59"/>
        <v>68.11</v>
      </c>
      <c r="N65" s="31">
        <f t="shared" si="59"/>
        <v>0</v>
      </c>
      <c r="O65" s="31">
        <f t="shared" si="59"/>
        <v>0</v>
      </c>
      <c r="P65" s="31">
        <f t="shared" si="59"/>
        <v>400</v>
      </c>
      <c r="Q65" s="31">
        <f t="shared" si="59"/>
        <v>792.16</v>
      </c>
      <c r="R65" s="31">
        <f t="shared" si="59"/>
        <v>0</v>
      </c>
      <c r="S65" s="31">
        <f t="shared" si="38"/>
        <v>1828</v>
      </c>
      <c r="T65" s="31">
        <f t="shared" si="39"/>
        <v>0</v>
      </c>
    </row>
    <row r="66" spans="1:20" s="3" customFormat="1" ht="31.5" hidden="1" outlineLevel="1">
      <c r="A66" s="19"/>
      <c r="B66" s="20" t="s">
        <v>67</v>
      </c>
      <c r="C66" s="21">
        <v>328</v>
      </c>
      <c r="D66" s="24"/>
      <c r="E66" s="24"/>
      <c r="F66" s="24">
        <f t="shared" si="3"/>
        <v>328</v>
      </c>
      <c r="G66" s="24"/>
      <c r="H66" s="24"/>
      <c r="I66" s="24">
        <v>259.89</v>
      </c>
      <c r="J66" s="24"/>
      <c r="K66" s="24"/>
      <c r="L66" s="24"/>
      <c r="M66" s="24">
        <v>68.11</v>
      </c>
      <c r="N66" s="24"/>
      <c r="O66" s="24"/>
      <c r="P66" s="24"/>
      <c r="Q66" s="24"/>
      <c r="R66" s="24"/>
      <c r="S66" s="24">
        <f t="shared" si="38"/>
        <v>328</v>
      </c>
      <c r="T66" s="24">
        <f t="shared" si="39"/>
        <v>0</v>
      </c>
    </row>
    <row r="67" spans="1:20" s="3" customFormat="1" hidden="1" outlineLevel="1">
      <c r="A67" s="19"/>
      <c r="B67" s="20" t="s">
        <v>68</v>
      </c>
      <c r="C67" s="21">
        <v>1500</v>
      </c>
      <c r="D67" s="24"/>
      <c r="E67" s="24"/>
      <c r="F67" s="24">
        <f t="shared" si="3"/>
        <v>1500</v>
      </c>
      <c r="G67" s="24">
        <v>100</v>
      </c>
      <c r="H67" s="24"/>
      <c r="I67" s="24"/>
      <c r="J67" s="24">
        <v>165</v>
      </c>
      <c r="K67" s="24">
        <v>4.2</v>
      </c>
      <c r="L67" s="24">
        <v>38.64</v>
      </c>
      <c r="M67" s="24"/>
      <c r="N67" s="24"/>
      <c r="O67" s="24"/>
      <c r="P67" s="24">
        <v>400</v>
      </c>
      <c r="Q67" s="24">
        <v>792.16</v>
      </c>
      <c r="R67" s="24"/>
      <c r="S67" s="24">
        <f t="shared" si="38"/>
        <v>1500</v>
      </c>
      <c r="T67" s="24">
        <f t="shared" si="39"/>
        <v>0</v>
      </c>
    </row>
    <row r="68" spans="1:20" s="26" customFormat="1" ht="31.5" hidden="1" collapsed="1">
      <c r="A68" s="27" t="s">
        <v>69</v>
      </c>
      <c r="B68" s="28" t="s">
        <v>70</v>
      </c>
      <c r="C68" s="29">
        <f>SUM(C69:C74)</f>
        <v>7972.6100000000006</v>
      </c>
      <c r="D68" s="31">
        <f t="shared" ref="D68" si="60">SUM(D69:D74)</f>
        <v>0</v>
      </c>
      <c r="E68" s="31">
        <f t="shared" ref="E68:G68" si="61">SUM(E69:E74)</f>
        <v>0</v>
      </c>
      <c r="F68" s="31">
        <f t="shared" si="3"/>
        <v>7972.6100000000006</v>
      </c>
      <c r="G68" s="31">
        <f t="shared" si="61"/>
        <v>282.77999999999997</v>
      </c>
      <c r="H68" s="31">
        <f t="shared" ref="H68" si="62">SUM(H69:H74)</f>
        <v>972.58999999999992</v>
      </c>
      <c r="I68" s="31">
        <f t="shared" ref="I68" si="63">SUM(I69:I74)</f>
        <v>706.46</v>
      </c>
      <c r="J68" s="31">
        <f t="shared" ref="J68:R68" si="64">SUM(J69:J74)</f>
        <v>1039.21</v>
      </c>
      <c r="K68" s="31">
        <f t="shared" si="64"/>
        <v>946.13000000000011</v>
      </c>
      <c r="L68" s="31">
        <f t="shared" si="64"/>
        <v>675.86</v>
      </c>
      <c r="M68" s="31">
        <f t="shared" si="64"/>
        <v>552.6</v>
      </c>
      <c r="N68" s="31">
        <f t="shared" si="64"/>
        <v>342.6</v>
      </c>
      <c r="O68" s="31">
        <f t="shared" si="64"/>
        <v>942.6</v>
      </c>
      <c r="P68" s="31">
        <f t="shared" si="64"/>
        <v>446.94</v>
      </c>
      <c r="Q68" s="31">
        <f t="shared" si="64"/>
        <v>742.6</v>
      </c>
      <c r="R68" s="31">
        <f t="shared" si="64"/>
        <v>322.24</v>
      </c>
      <c r="S68" s="31">
        <f t="shared" si="38"/>
        <v>7972.6100000000006</v>
      </c>
      <c r="T68" s="31">
        <f t="shared" si="39"/>
        <v>0</v>
      </c>
    </row>
    <row r="69" spans="1:20" s="3" customFormat="1" ht="31.5" hidden="1" outlineLevel="1">
      <c r="A69" s="19"/>
      <c r="B69" s="20" t="s">
        <v>71</v>
      </c>
      <c r="C69" s="25">
        <v>260</v>
      </c>
      <c r="D69" s="24"/>
      <c r="E69" s="24"/>
      <c r="F69" s="24">
        <f t="shared" si="3"/>
        <v>260</v>
      </c>
      <c r="G69" s="24">
        <v>55.66</v>
      </c>
      <c r="H69" s="24"/>
      <c r="I69" s="24"/>
      <c r="J69" s="24"/>
      <c r="K69" s="24"/>
      <c r="L69" s="24"/>
      <c r="M69" s="24">
        <v>100</v>
      </c>
      <c r="N69" s="24"/>
      <c r="O69" s="24"/>
      <c r="P69" s="24">
        <v>104.34</v>
      </c>
      <c r="Q69" s="24"/>
      <c r="R69" s="24"/>
      <c r="S69" s="24">
        <f t="shared" si="38"/>
        <v>260</v>
      </c>
      <c r="T69" s="24">
        <f t="shared" si="39"/>
        <v>0</v>
      </c>
    </row>
    <row r="70" spans="1:20" s="3" customFormat="1" ht="31.5" hidden="1" outlineLevel="1">
      <c r="A70" s="19"/>
      <c r="B70" s="20" t="s">
        <v>72</v>
      </c>
      <c r="C70" s="25">
        <v>163.35</v>
      </c>
      <c r="D70" s="24"/>
      <c r="E70" s="24"/>
      <c r="F70" s="24">
        <f t="shared" si="3"/>
        <v>163.35</v>
      </c>
      <c r="G70" s="24"/>
      <c r="H70" s="24"/>
      <c r="I70" s="24"/>
      <c r="J70" s="24"/>
      <c r="K70" s="24"/>
      <c r="L70" s="24"/>
      <c r="M70" s="24">
        <v>110</v>
      </c>
      <c r="N70" s="24"/>
      <c r="O70" s="24"/>
      <c r="P70" s="24"/>
      <c r="Q70" s="24"/>
      <c r="R70" s="24">
        <v>53.35</v>
      </c>
      <c r="S70" s="24">
        <f t="shared" ref="S70:S101" si="65">SUM(G70:R70)</f>
        <v>163.35</v>
      </c>
      <c r="T70" s="24">
        <f t="shared" ref="T70:T101" si="66">S70-F70</f>
        <v>0</v>
      </c>
    </row>
    <row r="71" spans="1:20" s="3" customFormat="1" ht="31.5" hidden="1" outlineLevel="1">
      <c r="A71" s="19"/>
      <c r="B71" s="20" t="s">
        <v>158</v>
      </c>
      <c r="C71" s="25">
        <v>1603</v>
      </c>
      <c r="D71" s="24"/>
      <c r="E71" s="24"/>
      <c r="F71" s="24">
        <f t="shared" ref="F71:F134" si="67">C71+D71+E71</f>
        <v>1603</v>
      </c>
      <c r="G71" s="24"/>
      <c r="H71" s="24">
        <f>142.6+34.61</f>
        <v>177.20999999999998</v>
      </c>
      <c r="I71" s="24">
        <v>142.6</v>
      </c>
      <c r="J71" s="24">
        <v>142.6</v>
      </c>
      <c r="K71" s="24">
        <v>142.6</v>
      </c>
      <c r="L71" s="24">
        <v>142.6</v>
      </c>
      <c r="M71" s="24">
        <v>142.6</v>
      </c>
      <c r="N71" s="24">
        <v>142.6</v>
      </c>
      <c r="O71" s="24">
        <v>142.6</v>
      </c>
      <c r="P71" s="24">
        <v>142.6</v>
      </c>
      <c r="Q71" s="24">
        <v>142.6</v>
      </c>
      <c r="R71" s="24">
        <v>142.38999999999999</v>
      </c>
      <c r="S71" s="24">
        <f t="shared" si="65"/>
        <v>1602.9999999999995</v>
      </c>
      <c r="T71" s="24">
        <f t="shared" si="66"/>
        <v>0</v>
      </c>
    </row>
    <row r="72" spans="1:20" s="3" customFormat="1" hidden="1" outlineLevel="1">
      <c r="A72" s="19"/>
      <c r="B72" s="20" t="s">
        <v>73</v>
      </c>
      <c r="C72" s="25">
        <v>5522.17</v>
      </c>
      <c r="D72" s="24"/>
      <c r="E72" s="24"/>
      <c r="F72" s="24">
        <f t="shared" si="67"/>
        <v>5522.17</v>
      </c>
      <c r="G72" s="24">
        <v>87.12</v>
      </c>
      <c r="H72" s="24">
        <v>795.38</v>
      </c>
      <c r="I72" s="24">
        <v>563.86</v>
      </c>
      <c r="J72" s="24">
        <v>896.61</v>
      </c>
      <c r="K72" s="24">
        <f>35.09+350.9+175.45</f>
        <v>561.44000000000005</v>
      </c>
      <c r="L72" s="24">
        <v>491.26</v>
      </c>
      <c r="M72" s="24">
        <v>200</v>
      </c>
      <c r="N72" s="24">
        <v>200</v>
      </c>
      <c r="O72" s="24">
        <v>800</v>
      </c>
      <c r="P72" s="24">
        <v>200</v>
      </c>
      <c r="Q72" s="24">
        <v>600</v>
      </c>
      <c r="R72" s="24">
        <v>126.5</v>
      </c>
      <c r="S72" s="24">
        <f t="shared" si="65"/>
        <v>5522.17</v>
      </c>
      <c r="T72" s="24">
        <f t="shared" si="66"/>
        <v>0</v>
      </c>
    </row>
    <row r="73" spans="1:20" s="3" customFormat="1" hidden="1" outlineLevel="1">
      <c r="A73" s="19"/>
      <c r="B73" s="20" t="s">
        <v>187</v>
      </c>
      <c r="C73" s="25">
        <v>424.09</v>
      </c>
      <c r="D73" s="24"/>
      <c r="E73" s="24"/>
      <c r="F73" s="24">
        <f t="shared" si="67"/>
        <v>424.09</v>
      </c>
      <c r="G73" s="24">
        <v>140</v>
      </c>
      <c r="H73" s="24"/>
      <c r="I73" s="24"/>
      <c r="J73" s="24"/>
      <c r="K73" s="24">
        <f>219+23.09</f>
        <v>242.09</v>
      </c>
      <c r="L73" s="24">
        <v>42</v>
      </c>
      <c r="M73" s="24"/>
      <c r="N73" s="24"/>
      <c r="O73" s="24"/>
      <c r="P73" s="24"/>
      <c r="Q73" s="24"/>
      <c r="R73" s="24"/>
      <c r="S73" s="24">
        <f t="shared" si="65"/>
        <v>424.09000000000003</v>
      </c>
      <c r="T73" s="24">
        <f t="shared" si="66"/>
        <v>0</v>
      </c>
    </row>
    <row r="74" spans="1:20" s="3" customFormat="1" ht="31.5" hidden="1" outlineLevel="1">
      <c r="A74" s="19"/>
      <c r="B74" s="20" t="s">
        <v>74</v>
      </c>
      <c r="C74" s="25">
        <v>0</v>
      </c>
      <c r="D74" s="24"/>
      <c r="E74" s="24"/>
      <c r="F74" s="24">
        <f t="shared" si="67"/>
        <v>0</v>
      </c>
      <c r="G74" s="24"/>
      <c r="H74" s="24"/>
      <c r="I74" s="24"/>
      <c r="J74" s="24"/>
      <c r="K74" s="24"/>
      <c r="L74" s="24"/>
      <c r="M74" s="24"/>
      <c r="N74" s="24"/>
      <c r="O74" s="24"/>
      <c r="P74" s="24"/>
      <c r="Q74" s="24"/>
      <c r="R74" s="24"/>
      <c r="S74" s="24">
        <f t="shared" si="65"/>
        <v>0</v>
      </c>
      <c r="T74" s="24">
        <f t="shared" si="66"/>
        <v>0</v>
      </c>
    </row>
    <row r="75" spans="1:20" s="26" customFormat="1" hidden="1" collapsed="1">
      <c r="A75" s="27" t="s">
        <v>75</v>
      </c>
      <c r="B75" s="28" t="s">
        <v>76</v>
      </c>
      <c r="C75" s="29">
        <f>SUM(C76:C81)</f>
        <v>7462.3799999999992</v>
      </c>
      <c r="D75" s="30">
        <f>SUM(D76:D81)</f>
        <v>0</v>
      </c>
      <c r="E75" s="30">
        <f>SUM(E76:E81)</f>
        <v>0</v>
      </c>
      <c r="F75" s="30">
        <f t="shared" si="67"/>
        <v>7462.3799999999992</v>
      </c>
      <c r="G75" s="30">
        <f t="shared" ref="G75:R75" si="68">SUM(G76:G81)</f>
        <v>263.76</v>
      </c>
      <c r="H75" s="30">
        <f t="shared" si="68"/>
        <v>858.72000000000014</v>
      </c>
      <c r="I75" s="30">
        <f t="shared" si="68"/>
        <v>1125.8399999999999</v>
      </c>
      <c r="J75" s="30">
        <f t="shared" si="68"/>
        <v>120.67</v>
      </c>
      <c r="K75" s="30">
        <f t="shared" si="68"/>
        <v>422.64</v>
      </c>
      <c r="L75" s="30">
        <f t="shared" si="68"/>
        <v>261.36</v>
      </c>
      <c r="M75" s="30">
        <f t="shared" si="68"/>
        <v>710.80000000000007</v>
      </c>
      <c r="N75" s="30">
        <f t="shared" si="68"/>
        <v>1039.8</v>
      </c>
      <c r="O75" s="30">
        <f t="shared" si="68"/>
        <v>710.80000000000007</v>
      </c>
      <c r="P75" s="30">
        <f t="shared" si="68"/>
        <v>710.80000000000007</v>
      </c>
      <c r="Q75" s="30">
        <f t="shared" si="68"/>
        <v>710.80000000000007</v>
      </c>
      <c r="R75" s="30">
        <f t="shared" si="68"/>
        <v>526.39</v>
      </c>
      <c r="S75" s="30">
        <f t="shared" si="65"/>
        <v>7462.380000000001</v>
      </c>
      <c r="T75" s="30">
        <f t="shared" si="66"/>
        <v>0</v>
      </c>
    </row>
    <row r="76" spans="1:20" s="3" customFormat="1" ht="31.5" hidden="1" outlineLevel="1">
      <c r="A76" s="19"/>
      <c r="B76" s="20" t="s">
        <v>77</v>
      </c>
      <c r="C76" s="23">
        <v>4403.1899999999996</v>
      </c>
      <c r="D76" s="24"/>
      <c r="E76" s="24"/>
      <c r="F76" s="24">
        <f t="shared" si="67"/>
        <v>4403.1899999999996</v>
      </c>
      <c r="G76" s="24">
        <f>84.7+24.5</f>
        <v>109.2</v>
      </c>
      <c r="H76" s="24">
        <f>136.11+351.59+69.91+146.55</f>
        <v>704.16000000000008</v>
      </c>
      <c r="I76" s="24">
        <f>43.66+163.35</f>
        <v>207.01</v>
      </c>
      <c r="J76" s="24"/>
      <c r="K76" s="24">
        <f>78.65+26.49+26.49</f>
        <v>131.63</v>
      </c>
      <c r="L76" s="24">
        <v>105.56</v>
      </c>
      <c r="M76" s="24">
        <v>555</v>
      </c>
      <c r="N76" s="24">
        <v>555</v>
      </c>
      <c r="O76" s="24">
        <v>555</v>
      </c>
      <c r="P76" s="24">
        <v>555</v>
      </c>
      <c r="Q76" s="24">
        <v>555</v>
      </c>
      <c r="R76" s="24">
        <v>370.63</v>
      </c>
      <c r="S76" s="24">
        <f t="shared" si="65"/>
        <v>4403.1899999999996</v>
      </c>
      <c r="T76" s="24">
        <f t="shared" si="66"/>
        <v>0</v>
      </c>
    </row>
    <row r="77" spans="1:20" s="3" customFormat="1" ht="63" hidden="1" outlineLevel="1">
      <c r="A77" s="19"/>
      <c r="B77" s="20" t="s">
        <v>221</v>
      </c>
      <c r="C77" s="23">
        <v>439.15</v>
      </c>
      <c r="D77" s="24"/>
      <c r="E77" s="24"/>
      <c r="F77" s="24">
        <f t="shared" si="67"/>
        <v>439.15</v>
      </c>
      <c r="G77" s="24">
        <v>35.090000000000003</v>
      </c>
      <c r="H77" s="24">
        <v>35.090000000000003</v>
      </c>
      <c r="I77" s="24">
        <v>35.090000000000003</v>
      </c>
      <c r="J77" s="24">
        <v>35.090000000000003</v>
      </c>
      <c r="K77" s="24">
        <f>35.09+18.15</f>
        <v>53.24</v>
      </c>
      <c r="L77" s="24">
        <v>35.090000000000003</v>
      </c>
      <c r="M77" s="24">
        <v>35.090000000000003</v>
      </c>
      <c r="N77" s="24">
        <v>35.090000000000003</v>
      </c>
      <c r="O77" s="24">
        <v>35.090000000000003</v>
      </c>
      <c r="P77" s="24">
        <v>35.090000000000003</v>
      </c>
      <c r="Q77" s="24">
        <v>35.090000000000003</v>
      </c>
      <c r="R77" s="24">
        <v>35.01</v>
      </c>
      <c r="S77" s="24">
        <f t="shared" si="65"/>
        <v>439.15000000000009</v>
      </c>
      <c r="T77" s="24">
        <f t="shared" si="66"/>
        <v>0</v>
      </c>
    </row>
    <row r="78" spans="1:20" s="3" customFormat="1" hidden="1" outlineLevel="1">
      <c r="A78" s="19"/>
      <c r="B78" s="20" t="s">
        <v>159</v>
      </c>
      <c r="C78" s="23">
        <v>330.24</v>
      </c>
      <c r="D78" s="24"/>
      <c r="E78" s="24"/>
      <c r="F78" s="24">
        <f t="shared" si="67"/>
        <v>330.24</v>
      </c>
      <c r="G78" s="24">
        <v>24.64</v>
      </c>
      <c r="H78" s="24">
        <v>24.64</v>
      </c>
      <c r="I78" s="24">
        <v>24.64</v>
      </c>
      <c r="J78" s="24">
        <f>24.64+24.64</f>
        <v>49.28</v>
      </c>
      <c r="K78" s="24">
        <v>25.88</v>
      </c>
      <c r="L78" s="24">
        <v>25.88</v>
      </c>
      <c r="M78" s="24">
        <v>25.88</v>
      </c>
      <c r="N78" s="24">
        <v>25.88</v>
      </c>
      <c r="O78" s="24">
        <v>25.88</v>
      </c>
      <c r="P78" s="24">
        <v>25.88</v>
      </c>
      <c r="Q78" s="24">
        <v>25.88</v>
      </c>
      <c r="R78" s="24">
        <v>25.88</v>
      </c>
      <c r="S78" s="24">
        <f t="shared" si="65"/>
        <v>330.24</v>
      </c>
      <c r="T78" s="24">
        <f t="shared" si="66"/>
        <v>0</v>
      </c>
    </row>
    <row r="79" spans="1:20" s="3" customFormat="1" hidden="1" outlineLevel="1">
      <c r="A79" s="19"/>
      <c r="B79" s="20" t="s">
        <v>78</v>
      </c>
      <c r="C79" s="23">
        <v>329</v>
      </c>
      <c r="D79" s="24"/>
      <c r="E79" s="24"/>
      <c r="F79" s="24">
        <f t="shared" si="67"/>
        <v>329</v>
      </c>
      <c r="G79" s="24"/>
      <c r="H79" s="24"/>
      <c r="I79" s="24"/>
      <c r="J79" s="24"/>
      <c r="K79" s="24"/>
      <c r="L79" s="24"/>
      <c r="M79" s="24"/>
      <c r="N79" s="24">
        <v>329</v>
      </c>
      <c r="O79" s="24"/>
      <c r="P79" s="24"/>
      <c r="Q79" s="24"/>
      <c r="R79" s="24"/>
      <c r="S79" s="24">
        <f t="shared" si="65"/>
        <v>329</v>
      </c>
      <c r="T79" s="24">
        <f t="shared" si="66"/>
        <v>0</v>
      </c>
    </row>
    <row r="80" spans="1:20" s="3" customFormat="1" ht="31.5" hidden="1" outlineLevel="1">
      <c r="A80" s="19"/>
      <c r="B80" s="20" t="s">
        <v>160</v>
      </c>
      <c r="C80" s="23">
        <v>1138</v>
      </c>
      <c r="D80" s="24"/>
      <c r="E80" s="24"/>
      <c r="F80" s="24">
        <f t="shared" si="67"/>
        <v>1138</v>
      </c>
      <c r="G80" s="24">
        <f>21.77+36.76+36.3</f>
        <v>94.83</v>
      </c>
      <c r="H80" s="24">
        <f>21.77+36.76+36.3</f>
        <v>94.83</v>
      </c>
      <c r="I80" s="24">
        <f>36.3</f>
        <v>36.299999999999997</v>
      </c>
      <c r="J80" s="24">
        <v>36.299999999999997</v>
      </c>
      <c r="K80" s="24">
        <f>36.76+21.77+21.77+36.76+36.76+21.77+36.3</f>
        <v>211.89</v>
      </c>
      <c r="L80" s="24">
        <f>21.77+36.76+36.3</f>
        <v>94.83</v>
      </c>
      <c r="M80" s="24">
        <v>94.83</v>
      </c>
      <c r="N80" s="24">
        <v>94.83</v>
      </c>
      <c r="O80" s="24">
        <v>94.83</v>
      </c>
      <c r="P80" s="24">
        <v>94.83</v>
      </c>
      <c r="Q80" s="24">
        <v>94.83</v>
      </c>
      <c r="R80" s="24">
        <v>94.87</v>
      </c>
      <c r="S80" s="24">
        <f t="shared" si="65"/>
        <v>1138</v>
      </c>
      <c r="T80" s="24">
        <f t="shared" si="66"/>
        <v>0</v>
      </c>
    </row>
    <row r="81" spans="1:20" s="3" customFormat="1" ht="63" hidden="1" outlineLevel="1">
      <c r="A81" s="19"/>
      <c r="B81" s="20" t="s">
        <v>179</v>
      </c>
      <c r="C81" s="23">
        <v>822.8</v>
      </c>
      <c r="D81" s="24"/>
      <c r="E81" s="24"/>
      <c r="F81" s="24">
        <f t="shared" si="67"/>
        <v>822.8</v>
      </c>
      <c r="G81" s="24"/>
      <c r="H81" s="24"/>
      <c r="I81" s="24">
        <v>822.8</v>
      </c>
      <c r="J81" s="24"/>
      <c r="K81" s="24"/>
      <c r="L81" s="24"/>
      <c r="M81" s="24"/>
      <c r="N81" s="24"/>
      <c r="O81" s="24"/>
      <c r="P81" s="24"/>
      <c r="Q81" s="24"/>
      <c r="R81" s="24"/>
      <c r="S81" s="24">
        <f t="shared" si="65"/>
        <v>822.8</v>
      </c>
      <c r="T81" s="24">
        <f t="shared" si="66"/>
        <v>0</v>
      </c>
    </row>
    <row r="82" spans="1:20" s="26" customFormat="1" hidden="1" collapsed="1">
      <c r="A82" s="27" t="s">
        <v>79</v>
      </c>
      <c r="B82" s="28" t="s">
        <v>80</v>
      </c>
      <c r="C82" s="29">
        <f>C83</f>
        <v>0</v>
      </c>
      <c r="D82" s="30">
        <f t="shared" ref="D82:R82" si="69">D83</f>
        <v>0</v>
      </c>
      <c r="E82" s="30">
        <f t="shared" si="69"/>
        <v>0</v>
      </c>
      <c r="F82" s="30">
        <f t="shared" si="67"/>
        <v>0</v>
      </c>
      <c r="G82" s="30">
        <f t="shared" si="69"/>
        <v>0</v>
      </c>
      <c r="H82" s="30">
        <f t="shared" si="69"/>
        <v>0</v>
      </c>
      <c r="I82" s="30">
        <f t="shared" si="69"/>
        <v>0</v>
      </c>
      <c r="J82" s="30">
        <f t="shared" si="69"/>
        <v>0</v>
      </c>
      <c r="K82" s="30">
        <f t="shared" si="69"/>
        <v>0</v>
      </c>
      <c r="L82" s="30">
        <f t="shared" si="69"/>
        <v>0</v>
      </c>
      <c r="M82" s="30">
        <f t="shared" si="69"/>
        <v>0</v>
      </c>
      <c r="N82" s="30">
        <f t="shared" si="69"/>
        <v>0</v>
      </c>
      <c r="O82" s="30">
        <f t="shared" si="69"/>
        <v>0</v>
      </c>
      <c r="P82" s="30">
        <f t="shared" si="69"/>
        <v>0</v>
      </c>
      <c r="Q82" s="30">
        <f t="shared" si="69"/>
        <v>0</v>
      </c>
      <c r="R82" s="30">
        <f t="shared" si="69"/>
        <v>0</v>
      </c>
      <c r="S82" s="30">
        <f t="shared" si="65"/>
        <v>0</v>
      </c>
      <c r="T82" s="30">
        <f t="shared" si="66"/>
        <v>0</v>
      </c>
    </row>
    <row r="83" spans="1:20" s="3" customFormat="1" hidden="1" outlineLevel="1">
      <c r="A83" s="19"/>
      <c r="B83" s="20" t="s">
        <v>80</v>
      </c>
      <c r="C83" s="21">
        <v>0</v>
      </c>
      <c r="D83" s="24"/>
      <c r="E83" s="24"/>
      <c r="F83" s="24">
        <f t="shared" si="67"/>
        <v>0</v>
      </c>
      <c r="G83" s="24"/>
      <c r="H83" s="24"/>
      <c r="I83" s="24"/>
      <c r="J83" s="24"/>
      <c r="K83" s="24"/>
      <c r="L83" s="24"/>
      <c r="M83" s="24"/>
      <c r="N83" s="24"/>
      <c r="O83" s="24"/>
      <c r="P83" s="24"/>
      <c r="Q83" s="24"/>
      <c r="R83" s="24"/>
      <c r="S83" s="24">
        <f t="shared" si="65"/>
        <v>0</v>
      </c>
      <c r="T83" s="24">
        <f t="shared" si="66"/>
        <v>0</v>
      </c>
    </row>
    <row r="84" spans="1:20" s="26" customFormat="1" ht="31.5" hidden="1" collapsed="1">
      <c r="A84" s="27" t="s">
        <v>81</v>
      </c>
      <c r="B84" s="28" t="s">
        <v>82</v>
      </c>
      <c r="C84" s="29">
        <f>C85</f>
        <v>2161</v>
      </c>
      <c r="D84" s="30">
        <f t="shared" ref="D84:R84" si="70">D85</f>
        <v>0</v>
      </c>
      <c r="E84" s="30">
        <f t="shared" si="70"/>
        <v>0</v>
      </c>
      <c r="F84" s="30">
        <f t="shared" si="67"/>
        <v>2161</v>
      </c>
      <c r="G84" s="30">
        <f t="shared" si="70"/>
        <v>186.03</v>
      </c>
      <c r="H84" s="30">
        <f t="shared" si="70"/>
        <v>174.97</v>
      </c>
      <c r="I84" s="30">
        <f t="shared" si="70"/>
        <v>208.39</v>
      </c>
      <c r="J84" s="30">
        <f t="shared" si="70"/>
        <v>225.98</v>
      </c>
      <c r="K84" s="30">
        <f t="shared" si="70"/>
        <v>196.65</v>
      </c>
      <c r="L84" s="30">
        <f t="shared" si="70"/>
        <v>73.209999999999994</v>
      </c>
      <c r="M84" s="30">
        <f t="shared" si="70"/>
        <v>180</v>
      </c>
      <c r="N84" s="30">
        <f t="shared" si="70"/>
        <v>180</v>
      </c>
      <c r="O84" s="30">
        <f t="shared" si="70"/>
        <v>180</v>
      </c>
      <c r="P84" s="30">
        <f t="shared" si="70"/>
        <v>180</v>
      </c>
      <c r="Q84" s="30">
        <f t="shared" si="70"/>
        <v>180</v>
      </c>
      <c r="R84" s="30">
        <f t="shared" si="70"/>
        <v>195.77</v>
      </c>
      <c r="S84" s="30">
        <f t="shared" si="65"/>
        <v>2161</v>
      </c>
      <c r="T84" s="30">
        <f t="shared" si="66"/>
        <v>0</v>
      </c>
    </row>
    <row r="85" spans="1:20" s="3" customFormat="1" hidden="1" outlineLevel="1">
      <c r="A85" s="19"/>
      <c r="B85" s="20" t="s">
        <v>83</v>
      </c>
      <c r="C85" s="21">
        <v>2161</v>
      </c>
      <c r="D85" s="24"/>
      <c r="E85" s="24"/>
      <c r="F85" s="24">
        <f t="shared" si="67"/>
        <v>2161</v>
      </c>
      <c r="G85" s="24">
        <v>186.03</v>
      </c>
      <c r="H85" s="24">
        <v>174.97</v>
      </c>
      <c r="I85" s="24">
        <v>208.39</v>
      </c>
      <c r="J85" s="24">
        <v>225.98</v>
      </c>
      <c r="K85" s="24">
        <v>196.65</v>
      </c>
      <c r="L85" s="24">
        <v>73.209999999999994</v>
      </c>
      <c r="M85" s="24">
        <v>180</v>
      </c>
      <c r="N85" s="24">
        <v>180</v>
      </c>
      <c r="O85" s="24">
        <v>180</v>
      </c>
      <c r="P85" s="24">
        <v>180</v>
      </c>
      <c r="Q85" s="24">
        <v>180</v>
      </c>
      <c r="R85" s="24">
        <v>195.77</v>
      </c>
      <c r="S85" s="24">
        <f t="shared" si="65"/>
        <v>2161</v>
      </c>
      <c r="T85" s="24">
        <f t="shared" si="66"/>
        <v>0</v>
      </c>
    </row>
    <row r="86" spans="1:20" s="26" customFormat="1" hidden="1" collapsed="1">
      <c r="A86" s="15" t="s">
        <v>84</v>
      </c>
      <c r="B86" s="16" t="s">
        <v>85</v>
      </c>
      <c r="C86" s="17">
        <f>SUM(C87:C95)</f>
        <v>738.61</v>
      </c>
      <c r="D86" s="18">
        <f t="shared" ref="D86" si="71">SUM(D87:D95)</f>
        <v>0</v>
      </c>
      <c r="E86" s="18">
        <f t="shared" ref="E86:G86" si="72">SUM(E87:E95)</f>
        <v>18000</v>
      </c>
      <c r="F86" s="18">
        <f t="shared" si="67"/>
        <v>18738.61</v>
      </c>
      <c r="G86" s="18">
        <f t="shared" si="72"/>
        <v>68.23</v>
      </c>
      <c r="H86" s="18">
        <f t="shared" ref="H86" si="73">SUM(H87:H95)</f>
        <v>150.31</v>
      </c>
      <c r="I86" s="18">
        <f t="shared" ref="I86" si="74">SUM(I87:I95)</f>
        <v>150.31</v>
      </c>
      <c r="J86" s="18">
        <f t="shared" ref="J86:R86" si="75">SUM(J87:J95)</f>
        <v>150.31</v>
      </c>
      <c r="K86" s="18">
        <f t="shared" si="75"/>
        <v>150.31</v>
      </c>
      <c r="L86" s="18">
        <f t="shared" si="75"/>
        <v>604.92000000000007</v>
      </c>
      <c r="M86" s="18">
        <f t="shared" si="75"/>
        <v>220.31</v>
      </c>
      <c r="N86" s="18">
        <f t="shared" si="75"/>
        <v>150.31</v>
      </c>
      <c r="O86" s="18">
        <f t="shared" si="75"/>
        <v>366.08000000000004</v>
      </c>
      <c r="P86" s="18">
        <f t="shared" si="75"/>
        <v>150.31</v>
      </c>
      <c r="Q86" s="18">
        <f t="shared" si="75"/>
        <v>150.31</v>
      </c>
      <c r="R86" s="18">
        <f t="shared" si="75"/>
        <v>16426.900000000001</v>
      </c>
      <c r="S86" s="18">
        <f t="shared" si="65"/>
        <v>18738.61</v>
      </c>
      <c r="T86" s="18">
        <f t="shared" si="66"/>
        <v>0</v>
      </c>
    </row>
    <row r="87" spans="1:20" s="3" customFormat="1" hidden="1" outlineLevel="1">
      <c r="A87" s="19"/>
      <c r="B87" s="20" t="s">
        <v>86</v>
      </c>
      <c r="C87" s="21"/>
      <c r="D87" s="24"/>
      <c r="E87" s="24">
        <v>1804</v>
      </c>
      <c r="F87" s="24">
        <f t="shared" si="67"/>
        <v>1804</v>
      </c>
      <c r="G87" s="24"/>
      <c r="H87" s="24">
        <v>150.31</v>
      </c>
      <c r="I87" s="24">
        <v>150.31</v>
      </c>
      <c r="J87" s="24">
        <v>150.31</v>
      </c>
      <c r="K87" s="24">
        <v>150.31</v>
      </c>
      <c r="L87" s="24">
        <v>150.31</v>
      </c>
      <c r="M87" s="24">
        <v>150.31</v>
      </c>
      <c r="N87" s="24">
        <v>150.31</v>
      </c>
      <c r="O87" s="24">
        <v>150.31</v>
      </c>
      <c r="P87" s="24">
        <v>150.31</v>
      </c>
      <c r="Q87" s="24">
        <v>150.31</v>
      </c>
      <c r="R87" s="24">
        <v>300.89999999999998</v>
      </c>
      <c r="S87" s="24">
        <f t="shared" si="65"/>
        <v>1803.9999999999995</v>
      </c>
      <c r="T87" s="24">
        <f t="shared" si="66"/>
        <v>0</v>
      </c>
    </row>
    <row r="88" spans="1:20" s="3" customFormat="1" hidden="1" outlineLevel="1">
      <c r="A88" s="19"/>
      <c r="B88" s="20" t="s">
        <v>1</v>
      </c>
      <c r="C88" s="21">
        <v>0</v>
      </c>
      <c r="D88" s="24"/>
      <c r="E88" s="24"/>
      <c r="F88" s="24">
        <f t="shared" si="67"/>
        <v>0</v>
      </c>
      <c r="G88" s="24"/>
      <c r="H88" s="24"/>
      <c r="I88" s="24"/>
      <c r="J88" s="24"/>
      <c r="K88" s="24"/>
      <c r="L88" s="24"/>
      <c r="M88" s="24"/>
      <c r="N88" s="24"/>
      <c r="O88" s="24"/>
      <c r="P88" s="24"/>
      <c r="Q88" s="24"/>
      <c r="R88" s="24"/>
      <c r="S88" s="24">
        <f t="shared" si="65"/>
        <v>0</v>
      </c>
      <c r="T88" s="24">
        <f t="shared" si="66"/>
        <v>0</v>
      </c>
    </row>
    <row r="89" spans="1:20" s="3" customFormat="1" ht="31.5" hidden="1" outlineLevel="1">
      <c r="A89" s="19"/>
      <c r="B89" s="20" t="s">
        <v>2</v>
      </c>
      <c r="C89" s="21">
        <v>0</v>
      </c>
      <c r="D89" s="24"/>
      <c r="E89" s="24"/>
      <c r="F89" s="24">
        <f t="shared" si="67"/>
        <v>0</v>
      </c>
      <c r="G89" s="24"/>
      <c r="H89" s="24"/>
      <c r="I89" s="24"/>
      <c r="J89" s="24"/>
      <c r="K89" s="24"/>
      <c r="L89" s="24"/>
      <c r="M89" s="24"/>
      <c r="N89" s="24"/>
      <c r="O89" s="24"/>
      <c r="P89" s="24"/>
      <c r="Q89" s="24"/>
      <c r="R89" s="24"/>
      <c r="S89" s="24">
        <f t="shared" si="65"/>
        <v>0</v>
      </c>
      <c r="T89" s="24">
        <f t="shared" si="66"/>
        <v>0</v>
      </c>
    </row>
    <row r="90" spans="1:20" s="3" customFormat="1" hidden="1" outlineLevel="1">
      <c r="A90" s="19"/>
      <c r="B90" s="20" t="s">
        <v>226</v>
      </c>
      <c r="C90" s="21">
        <v>522.84</v>
      </c>
      <c r="D90" s="24"/>
      <c r="E90" s="24"/>
      <c r="F90" s="24">
        <f t="shared" si="67"/>
        <v>522.84</v>
      </c>
      <c r="G90" s="24">
        <v>68.23</v>
      </c>
      <c r="H90" s="24"/>
      <c r="I90" s="24"/>
      <c r="J90" s="24"/>
      <c r="K90" s="24"/>
      <c r="L90" s="24">
        <v>454.61</v>
      </c>
      <c r="M90" s="24"/>
      <c r="N90" s="24"/>
      <c r="O90" s="24"/>
      <c r="P90" s="24"/>
      <c r="Q90" s="24"/>
      <c r="R90" s="24"/>
      <c r="S90" s="24">
        <f t="shared" si="65"/>
        <v>522.84</v>
      </c>
      <c r="T90" s="24">
        <f t="shared" si="66"/>
        <v>0</v>
      </c>
    </row>
    <row r="91" spans="1:20" s="3" customFormat="1" ht="31.5" hidden="1" outlineLevel="1">
      <c r="A91" s="19"/>
      <c r="B91" s="20" t="s">
        <v>3</v>
      </c>
      <c r="C91" s="21">
        <v>0</v>
      </c>
      <c r="D91" s="24"/>
      <c r="E91" s="24"/>
      <c r="F91" s="24">
        <f t="shared" si="67"/>
        <v>0</v>
      </c>
      <c r="G91" s="24"/>
      <c r="H91" s="24"/>
      <c r="I91" s="24"/>
      <c r="J91" s="24"/>
      <c r="K91" s="24"/>
      <c r="L91" s="24"/>
      <c r="M91" s="24"/>
      <c r="N91" s="24"/>
      <c r="O91" s="24"/>
      <c r="P91" s="24"/>
      <c r="Q91" s="24"/>
      <c r="R91" s="24"/>
      <c r="S91" s="24">
        <f t="shared" si="65"/>
        <v>0</v>
      </c>
      <c r="T91" s="24">
        <f t="shared" si="66"/>
        <v>0</v>
      </c>
    </row>
    <row r="92" spans="1:20" s="3" customFormat="1" hidden="1" outlineLevel="1">
      <c r="A92" s="19"/>
      <c r="B92" s="20" t="s">
        <v>87</v>
      </c>
      <c r="C92" s="21"/>
      <c r="D92" s="24"/>
      <c r="E92" s="24">
        <v>70</v>
      </c>
      <c r="F92" s="24">
        <f t="shared" si="67"/>
        <v>70</v>
      </c>
      <c r="G92" s="24"/>
      <c r="H92" s="24"/>
      <c r="I92" s="24"/>
      <c r="J92" s="24"/>
      <c r="K92" s="24"/>
      <c r="L92" s="24"/>
      <c r="M92" s="24">
        <v>70</v>
      </c>
      <c r="N92" s="24"/>
      <c r="O92" s="24"/>
      <c r="P92" s="24"/>
      <c r="Q92" s="24"/>
      <c r="R92" s="24"/>
      <c r="S92" s="24">
        <f t="shared" si="65"/>
        <v>70</v>
      </c>
      <c r="T92" s="24">
        <f t="shared" si="66"/>
        <v>0</v>
      </c>
    </row>
    <row r="93" spans="1:20" s="3" customFormat="1" hidden="1" outlineLevel="1">
      <c r="A93" s="19"/>
      <c r="B93" s="20" t="s">
        <v>165</v>
      </c>
      <c r="C93" s="21">
        <v>215.77</v>
      </c>
      <c r="D93" s="24"/>
      <c r="E93" s="24"/>
      <c r="F93" s="24">
        <f t="shared" si="67"/>
        <v>215.77</v>
      </c>
      <c r="G93" s="24"/>
      <c r="H93" s="24"/>
      <c r="I93" s="24"/>
      <c r="J93" s="24"/>
      <c r="K93" s="24"/>
      <c r="L93" s="24"/>
      <c r="M93" s="24"/>
      <c r="N93" s="24"/>
      <c r="O93" s="24">
        <v>215.77</v>
      </c>
      <c r="P93" s="24"/>
      <c r="Q93" s="24"/>
      <c r="R93" s="24"/>
      <c r="S93" s="24">
        <f t="shared" si="65"/>
        <v>215.77</v>
      </c>
      <c r="T93" s="24">
        <f t="shared" si="66"/>
        <v>0</v>
      </c>
    </row>
    <row r="94" spans="1:20" s="3" customFormat="1" ht="47.25" hidden="1" outlineLevel="1">
      <c r="A94" s="19"/>
      <c r="B94" s="20" t="s">
        <v>177</v>
      </c>
      <c r="C94" s="21"/>
      <c r="D94" s="24"/>
      <c r="E94" s="24"/>
      <c r="F94" s="24">
        <f t="shared" si="67"/>
        <v>0</v>
      </c>
      <c r="G94" s="24"/>
      <c r="H94" s="24"/>
      <c r="I94" s="24"/>
      <c r="J94" s="24"/>
      <c r="K94" s="24"/>
      <c r="L94" s="24"/>
      <c r="M94" s="24"/>
      <c r="N94" s="24"/>
      <c r="O94" s="24"/>
      <c r="P94" s="24"/>
      <c r="Q94" s="24"/>
      <c r="R94" s="24"/>
      <c r="S94" s="24">
        <f t="shared" si="65"/>
        <v>0</v>
      </c>
      <c r="T94" s="24">
        <f t="shared" si="66"/>
        <v>0</v>
      </c>
    </row>
    <row r="95" spans="1:20" s="3" customFormat="1" hidden="1" outlineLevel="1">
      <c r="A95" s="19"/>
      <c r="B95" s="20" t="s">
        <v>162</v>
      </c>
      <c r="C95" s="20">
        <v>0</v>
      </c>
      <c r="D95" s="52"/>
      <c r="E95" s="52">
        <v>16126</v>
      </c>
      <c r="F95" s="52">
        <f t="shared" si="67"/>
        <v>16126</v>
      </c>
      <c r="G95" s="52"/>
      <c r="H95" s="52"/>
      <c r="I95" s="52"/>
      <c r="J95" s="52"/>
      <c r="K95" s="52"/>
      <c r="L95" s="52"/>
      <c r="M95" s="52"/>
      <c r="N95" s="52"/>
      <c r="O95" s="52"/>
      <c r="P95" s="52"/>
      <c r="Q95" s="52"/>
      <c r="R95" s="52">
        <v>16126</v>
      </c>
      <c r="S95" s="52">
        <f t="shared" si="65"/>
        <v>16126</v>
      </c>
      <c r="T95" s="52">
        <f t="shared" si="66"/>
        <v>0</v>
      </c>
    </row>
    <row r="96" spans="1:20" s="26" customFormat="1" collapsed="1">
      <c r="A96" s="15" t="s">
        <v>88</v>
      </c>
      <c r="B96" s="16" t="s">
        <v>89</v>
      </c>
      <c r="C96" s="17">
        <f>C97+C102+C105</f>
        <v>42567.61</v>
      </c>
      <c r="D96" s="18">
        <f t="shared" ref="D96" si="76">D97+D102+D105</f>
        <v>0</v>
      </c>
      <c r="E96" s="18">
        <f t="shared" ref="E96:G96" si="77">E97+E102+E105</f>
        <v>0</v>
      </c>
      <c r="F96" s="18">
        <f t="shared" si="67"/>
        <v>42567.61</v>
      </c>
      <c r="G96" s="18">
        <f t="shared" si="77"/>
        <v>581.30999999999995</v>
      </c>
      <c r="H96" s="18">
        <f t="shared" ref="H96" si="78">H97+H102+H105</f>
        <v>3778.8399999999997</v>
      </c>
      <c r="I96" s="18">
        <f t="shared" ref="I96" si="79">I97+I102+I105</f>
        <v>3753.97</v>
      </c>
      <c r="J96" s="18">
        <f t="shared" ref="J96:R96" si="80">J97+J102+J105</f>
        <v>3778.46</v>
      </c>
      <c r="K96" s="18">
        <f t="shared" si="80"/>
        <v>3713.14</v>
      </c>
      <c r="L96" s="18">
        <f t="shared" si="80"/>
        <v>4099.41</v>
      </c>
      <c r="M96" s="18">
        <f t="shared" si="80"/>
        <v>3831.3399999999997</v>
      </c>
      <c r="N96" s="18">
        <f t="shared" si="80"/>
        <v>3795.7699999999995</v>
      </c>
      <c r="O96" s="18">
        <f t="shared" si="80"/>
        <v>4042.6700000000005</v>
      </c>
      <c r="P96" s="18">
        <f t="shared" si="80"/>
        <v>4055.6100000000006</v>
      </c>
      <c r="Q96" s="18">
        <f t="shared" si="80"/>
        <v>4072.6700000000005</v>
      </c>
      <c r="R96" s="18">
        <f t="shared" si="80"/>
        <v>4029.34</v>
      </c>
      <c r="S96" s="18">
        <f t="shared" si="65"/>
        <v>43532.53</v>
      </c>
      <c r="T96" s="18">
        <f t="shared" si="66"/>
        <v>964.91999999999825</v>
      </c>
    </row>
    <row r="97" spans="1:20" s="26" customFormat="1">
      <c r="A97" s="27" t="s">
        <v>90</v>
      </c>
      <c r="B97" s="28" t="s">
        <v>91</v>
      </c>
      <c r="C97" s="29">
        <f>SUM(C98:C101)</f>
        <v>35687.61</v>
      </c>
      <c r="D97" s="30">
        <f t="shared" ref="D97" si="81">SUM(D98:D101)</f>
        <v>0</v>
      </c>
      <c r="E97" s="30">
        <f t="shared" ref="E97:G97" si="82">SUM(E98:E101)</f>
        <v>0</v>
      </c>
      <c r="F97" s="30">
        <f t="shared" si="67"/>
        <v>35687.61</v>
      </c>
      <c r="G97" s="30">
        <f t="shared" si="82"/>
        <v>519.54999999999995</v>
      </c>
      <c r="H97" s="30">
        <f t="shared" ref="H97" si="83">SUM(H98:H101)</f>
        <v>3197.0299999999997</v>
      </c>
      <c r="I97" s="30">
        <f t="shared" ref="I97" si="84">SUM(I98:I101)</f>
        <v>3197.0299999999997</v>
      </c>
      <c r="J97" s="30">
        <f t="shared" ref="J97:R97" si="85">SUM(J98:J101)</f>
        <v>3197.0299999999997</v>
      </c>
      <c r="K97" s="30">
        <f t="shared" si="85"/>
        <v>3197.0299999999997</v>
      </c>
      <c r="L97" s="30">
        <f t="shared" si="85"/>
        <v>3197.04</v>
      </c>
      <c r="M97" s="30">
        <f t="shared" si="85"/>
        <v>3197.0299999999997</v>
      </c>
      <c r="N97" s="30">
        <f t="shared" si="85"/>
        <v>3197.0299999999997</v>
      </c>
      <c r="O97" s="30">
        <f t="shared" si="85"/>
        <v>3438.3600000000006</v>
      </c>
      <c r="P97" s="30">
        <f t="shared" si="85"/>
        <v>3438.3600000000006</v>
      </c>
      <c r="Q97" s="30">
        <f t="shared" si="85"/>
        <v>3438.3600000000006</v>
      </c>
      <c r="R97" s="30">
        <f t="shared" si="85"/>
        <v>3438.6800000000003</v>
      </c>
      <c r="S97" s="30">
        <f t="shared" si="65"/>
        <v>36652.53</v>
      </c>
      <c r="T97" s="55">
        <f t="shared" si="66"/>
        <v>964.91999999999825</v>
      </c>
    </row>
    <row r="98" spans="1:20" s="39" customFormat="1" hidden="1" outlineLevel="1">
      <c r="A98" s="37"/>
      <c r="B98" s="20" t="s">
        <v>31</v>
      </c>
      <c r="C98" s="38">
        <v>8056</v>
      </c>
      <c r="D98" s="24"/>
      <c r="E98" s="24"/>
      <c r="F98" s="24">
        <f t="shared" si="67"/>
        <v>8056</v>
      </c>
      <c r="G98" s="24"/>
      <c r="H98" s="24">
        <v>732.38</v>
      </c>
      <c r="I98" s="24">
        <v>732.38</v>
      </c>
      <c r="J98" s="24">
        <v>732.38</v>
      </c>
      <c r="K98" s="24">
        <v>732.38</v>
      </c>
      <c r="L98" s="24">
        <v>732.38</v>
      </c>
      <c r="M98" s="24">
        <v>732.38</v>
      </c>
      <c r="N98" s="24">
        <v>732.38</v>
      </c>
      <c r="O98" s="24">
        <v>732.38</v>
      </c>
      <c r="P98" s="24">
        <v>732.38</v>
      </c>
      <c r="Q98" s="24">
        <v>732.38</v>
      </c>
      <c r="R98" s="24">
        <v>732.2</v>
      </c>
      <c r="S98" s="24">
        <f t="shared" si="65"/>
        <v>8056</v>
      </c>
      <c r="T98" s="24">
        <f t="shared" si="66"/>
        <v>0</v>
      </c>
    </row>
    <row r="99" spans="1:20" s="39" customFormat="1" hidden="1" outlineLevel="1">
      <c r="A99" s="37"/>
      <c r="B99" s="20" t="s">
        <v>24</v>
      </c>
      <c r="C99" s="38">
        <v>4626.01</v>
      </c>
      <c r="D99" s="24"/>
      <c r="E99" s="24"/>
      <c r="F99" s="24">
        <f t="shared" si="67"/>
        <v>4626.01</v>
      </c>
      <c r="G99" s="24"/>
      <c r="H99" s="24">
        <v>420.5</v>
      </c>
      <c r="I99" s="24">
        <v>420.5</v>
      </c>
      <c r="J99" s="24">
        <v>420.5</v>
      </c>
      <c r="K99" s="24">
        <v>420.5</v>
      </c>
      <c r="L99" s="24">
        <v>420.51</v>
      </c>
      <c r="M99" s="24">
        <v>420.5</v>
      </c>
      <c r="N99" s="24">
        <v>420.5</v>
      </c>
      <c r="O99" s="24">
        <v>420.5</v>
      </c>
      <c r="P99" s="24">
        <v>420.5</v>
      </c>
      <c r="Q99" s="24">
        <v>420.5</v>
      </c>
      <c r="R99" s="24">
        <v>421</v>
      </c>
      <c r="S99" s="24">
        <f t="shared" si="65"/>
        <v>4626.01</v>
      </c>
      <c r="T99" s="24">
        <f t="shared" si="66"/>
        <v>0</v>
      </c>
    </row>
    <row r="100" spans="1:20" s="39" customFormat="1" outlineLevel="1">
      <c r="A100" s="37"/>
      <c r="B100" s="20" t="s">
        <v>92</v>
      </c>
      <c r="C100" s="38">
        <v>16771</v>
      </c>
      <c r="D100" s="24"/>
      <c r="E100" s="24"/>
      <c r="F100" s="24">
        <f t="shared" si="67"/>
        <v>16771</v>
      </c>
      <c r="G100" s="24"/>
      <c r="H100" s="24">
        <v>1524.6</v>
      </c>
      <c r="I100" s="24">
        <v>1524.6</v>
      </c>
      <c r="J100" s="24">
        <v>1524.6</v>
      </c>
      <c r="K100" s="24">
        <v>1524.6</v>
      </c>
      <c r="L100" s="24">
        <v>1524.6</v>
      </c>
      <c r="M100" s="24">
        <v>1524.6</v>
      </c>
      <c r="N100" s="24">
        <v>1524.6</v>
      </c>
      <c r="O100" s="24">
        <v>1765.93</v>
      </c>
      <c r="P100" s="24">
        <v>1765.93</v>
      </c>
      <c r="Q100" s="24">
        <v>1765.93</v>
      </c>
      <c r="R100" s="24">
        <v>1765.93</v>
      </c>
      <c r="S100" s="24">
        <f t="shared" si="65"/>
        <v>17735.920000000002</v>
      </c>
      <c r="T100" s="24">
        <f t="shared" si="66"/>
        <v>964.92000000000189</v>
      </c>
    </row>
    <row r="101" spans="1:20" s="39" customFormat="1" hidden="1" outlineLevel="1">
      <c r="A101" s="37"/>
      <c r="B101" s="20" t="s">
        <v>93</v>
      </c>
      <c r="C101" s="38">
        <v>6234.6</v>
      </c>
      <c r="D101" s="24"/>
      <c r="E101" s="24"/>
      <c r="F101" s="24">
        <f t="shared" si="67"/>
        <v>6234.6</v>
      </c>
      <c r="G101" s="24">
        <v>519.54999999999995</v>
      </c>
      <c r="H101" s="24">
        <v>519.54999999999995</v>
      </c>
      <c r="I101" s="24">
        <v>519.54999999999995</v>
      </c>
      <c r="J101" s="24">
        <v>519.54999999999995</v>
      </c>
      <c r="K101" s="24">
        <v>519.54999999999995</v>
      </c>
      <c r="L101" s="24">
        <v>519.54999999999995</v>
      </c>
      <c r="M101" s="24">
        <v>519.54999999999995</v>
      </c>
      <c r="N101" s="24">
        <v>519.54999999999995</v>
      </c>
      <c r="O101" s="24">
        <v>519.54999999999995</v>
      </c>
      <c r="P101" s="24">
        <v>519.54999999999995</v>
      </c>
      <c r="Q101" s="24">
        <v>519.54999999999995</v>
      </c>
      <c r="R101" s="24">
        <v>519.54999999999995</v>
      </c>
      <c r="S101" s="24">
        <f t="shared" si="65"/>
        <v>6234.6000000000013</v>
      </c>
      <c r="T101" s="24">
        <f t="shared" si="66"/>
        <v>0</v>
      </c>
    </row>
    <row r="102" spans="1:20" s="26" customFormat="1" hidden="1">
      <c r="A102" s="27" t="s">
        <v>94</v>
      </c>
      <c r="B102" s="28" t="s">
        <v>95</v>
      </c>
      <c r="C102" s="29">
        <f>SUM(C103:C104)</f>
        <v>0</v>
      </c>
      <c r="D102" s="30">
        <f t="shared" ref="D102" si="86">SUM(D103:D104)</f>
        <v>0</v>
      </c>
      <c r="E102" s="30">
        <f t="shared" ref="E102:G102" si="87">SUM(E103:E104)</f>
        <v>0</v>
      </c>
      <c r="F102" s="30">
        <f t="shared" si="67"/>
        <v>0</v>
      </c>
      <c r="G102" s="30">
        <f t="shared" si="87"/>
        <v>0</v>
      </c>
      <c r="H102" s="30">
        <f t="shared" ref="H102" si="88">SUM(H103:H104)</f>
        <v>0</v>
      </c>
      <c r="I102" s="30">
        <f t="shared" ref="I102" si="89">SUM(I103:I104)</f>
        <v>0</v>
      </c>
      <c r="J102" s="30">
        <f t="shared" ref="J102:R102" si="90">SUM(J103:J104)</f>
        <v>0</v>
      </c>
      <c r="K102" s="30">
        <f t="shared" si="90"/>
        <v>0</v>
      </c>
      <c r="L102" s="30">
        <f t="shared" si="90"/>
        <v>0</v>
      </c>
      <c r="M102" s="30">
        <f t="shared" si="90"/>
        <v>0</v>
      </c>
      <c r="N102" s="30">
        <f t="shared" si="90"/>
        <v>0</v>
      </c>
      <c r="O102" s="30">
        <f t="shared" si="90"/>
        <v>0</v>
      </c>
      <c r="P102" s="30">
        <f t="shared" si="90"/>
        <v>0</v>
      </c>
      <c r="Q102" s="30">
        <f t="shared" si="90"/>
        <v>0</v>
      </c>
      <c r="R102" s="30">
        <f t="shared" si="90"/>
        <v>0</v>
      </c>
      <c r="S102" s="30">
        <f t="shared" ref="S102:S133" si="91">SUM(G102:R102)</f>
        <v>0</v>
      </c>
      <c r="T102" s="30">
        <f t="shared" ref="T102:T133" si="92">S102-F102</f>
        <v>0</v>
      </c>
    </row>
    <row r="103" spans="1:20" s="39" customFormat="1" hidden="1" outlineLevel="1">
      <c r="A103" s="37"/>
      <c r="B103" s="20" t="s">
        <v>163</v>
      </c>
      <c r="C103" s="38">
        <v>0</v>
      </c>
      <c r="D103" s="24"/>
      <c r="E103" s="24"/>
      <c r="F103" s="24">
        <f t="shared" si="67"/>
        <v>0</v>
      </c>
      <c r="G103" s="24"/>
      <c r="H103" s="24"/>
      <c r="I103" s="24"/>
      <c r="J103" s="24"/>
      <c r="K103" s="24"/>
      <c r="L103" s="24"/>
      <c r="M103" s="24"/>
      <c r="N103" s="24"/>
      <c r="O103" s="24"/>
      <c r="P103" s="24"/>
      <c r="Q103" s="24"/>
      <c r="R103" s="24"/>
      <c r="S103" s="24">
        <f t="shared" si="91"/>
        <v>0</v>
      </c>
      <c r="T103" s="24">
        <f t="shared" si="92"/>
        <v>0</v>
      </c>
    </row>
    <row r="104" spans="1:20" s="39" customFormat="1" hidden="1" outlineLevel="1">
      <c r="A104" s="37"/>
      <c r="B104" s="20" t="s">
        <v>164</v>
      </c>
      <c r="C104" s="38">
        <v>0</v>
      </c>
      <c r="D104" s="24"/>
      <c r="E104" s="24"/>
      <c r="F104" s="24">
        <f t="shared" si="67"/>
        <v>0</v>
      </c>
      <c r="G104" s="24"/>
      <c r="H104" s="24"/>
      <c r="I104" s="24"/>
      <c r="J104" s="24"/>
      <c r="K104" s="24"/>
      <c r="L104" s="24"/>
      <c r="M104" s="24"/>
      <c r="N104" s="24"/>
      <c r="O104" s="24"/>
      <c r="P104" s="24"/>
      <c r="Q104" s="24"/>
      <c r="R104" s="24"/>
      <c r="S104" s="24">
        <f t="shared" si="91"/>
        <v>0</v>
      </c>
      <c r="T104" s="24">
        <f t="shared" si="92"/>
        <v>0</v>
      </c>
    </row>
    <row r="105" spans="1:20" s="26" customFormat="1" ht="31.5" hidden="1" collapsed="1">
      <c r="A105" s="27" t="s">
        <v>96</v>
      </c>
      <c r="B105" s="28" t="s">
        <v>97</v>
      </c>
      <c r="C105" s="29">
        <f>SUM(C106:C108)</f>
        <v>6880</v>
      </c>
      <c r="D105" s="30">
        <f t="shared" ref="D105" si="93">SUM(D106:D108)</f>
        <v>0</v>
      </c>
      <c r="E105" s="30">
        <f t="shared" ref="E105:G105" si="94">SUM(E106:E108)</f>
        <v>0</v>
      </c>
      <c r="F105" s="30">
        <f t="shared" si="67"/>
        <v>6880</v>
      </c>
      <c r="G105" s="30">
        <f t="shared" si="94"/>
        <v>61.760000000000005</v>
      </c>
      <c r="H105" s="30">
        <f t="shared" ref="H105" si="95">SUM(H106:H108)</f>
        <v>581.80999999999995</v>
      </c>
      <c r="I105" s="30">
        <f t="shared" ref="I105" si="96">SUM(I106:I108)</f>
        <v>556.93999999999994</v>
      </c>
      <c r="J105" s="30">
        <f t="shared" ref="J105:R105" si="97">SUM(J106:J108)</f>
        <v>581.43000000000006</v>
      </c>
      <c r="K105" s="30">
        <f t="shared" si="97"/>
        <v>516.11</v>
      </c>
      <c r="L105" s="30">
        <f t="shared" si="97"/>
        <v>902.37</v>
      </c>
      <c r="M105" s="30">
        <f t="shared" si="97"/>
        <v>634.30999999999995</v>
      </c>
      <c r="N105" s="30">
        <f t="shared" si="97"/>
        <v>598.74</v>
      </c>
      <c r="O105" s="30">
        <f t="shared" si="97"/>
        <v>604.30999999999995</v>
      </c>
      <c r="P105" s="30">
        <f t="shared" si="97"/>
        <v>617.25</v>
      </c>
      <c r="Q105" s="30">
        <f t="shared" si="97"/>
        <v>634.30999999999995</v>
      </c>
      <c r="R105" s="30">
        <f t="shared" si="97"/>
        <v>590.66</v>
      </c>
      <c r="S105" s="30">
        <f t="shared" si="91"/>
        <v>6879.9999999999982</v>
      </c>
      <c r="T105" s="30">
        <f t="shared" si="92"/>
        <v>0</v>
      </c>
    </row>
    <row r="106" spans="1:20" s="39" customFormat="1" ht="31.5" hidden="1" outlineLevel="1">
      <c r="A106" s="37"/>
      <c r="B106" s="20" t="s">
        <v>98</v>
      </c>
      <c r="C106" s="38">
        <v>428</v>
      </c>
      <c r="D106" s="24"/>
      <c r="E106" s="24"/>
      <c r="F106" s="24">
        <f t="shared" si="67"/>
        <v>428</v>
      </c>
      <c r="G106" s="24">
        <f>6+25.56+25.89</f>
        <v>57.45</v>
      </c>
      <c r="H106" s="24">
        <f>6+33.69</f>
        <v>39.69</v>
      </c>
      <c r="I106" s="24">
        <f>5.42+30.15</f>
        <v>35.57</v>
      </c>
      <c r="J106" s="24">
        <f>6+33.38</f>
        <v>39.380000000000003</v>
      </c>
      <c r="K106" s="24">
        <f>5.81+32.78</f>
        <v>38.590000000000003</v>
      </c>
      <c r="L106" s="24">
        <f>6+33.69</f>
        <v>39.69</v>
      </c>
      <c r="M106" s="24">
        <v>30</v>
      </c>
      <c r="N106" s="24">
        <v>24.43</v>
      </c>
      <c r="O106" s="24">
        <v>30</v>
      </c>
      <c r="P106" s="24">
        <v>30</v>
      </c>
      <c r="Q106" s="24">
        <v>30</v>
      </c>
      <c r="R106" s="24">
        <v>33.200000000000003</v>
      </c>
      <c r="S106" s="24">
        <f t="shared" si="91"/>
        <v>428</v>
      </c>
      <c r="T106" s="24">
        <f t="shared" si="92"/>
        <v>0</v>
      </c>
    </row>
    <row r="107" spans="1:20" s="39" customFormat="1" ht="31.5" hidden="1" outlineLevel="1">
      <c r="A107" s="37"/>
      <c r="B107" s="20" t="s">
        <v>156</v>
      </c>
      <c r="C107" s="38">
        <v>52</v>
      </c>
      <c r="D107" s="24"/>
      <c r="E107" s="24"/>
      <c r="F107" s="24">
        <f t="shared" si="67"/>
        <v>52</v>
      </c>
      <c r="G107" s="24">
        <v>4.3099999999999996</v>
      </c>
      <c r="H107" s="24">
        <v>4.3099999999999996</v>
      </c>
      <c r="I107" s="24">
        <v>4.3099999999999996</v>
      </c>
      <c r="J107" s="24">
        <v>4.3099999999999996</v>
      </c>
      <c r="K107" s="24">
        <v>4.3099999999999996</v>
      </c>
      <c r="L107" s="24">
        <v>4.3099999999999996</v>
      </c>
      <c r="M107" s="24">
        <v>4.3099999999999996</v>
      </c>
      <c r="N107" s="24">
        <v>4.3099999999999996</v>
      </c>
      <c r="O107" s="24">
        <v>4.3099999999999996</v>
      </c>
      <c r="P107" s="24">
        <v>4.3099999999999996</v>
      </c>
      <c r="Q107" s="24">
        <v>4.3099999999999996</v>
      </c>
      <c r="R107" s="24">
        <v>4.59</v>
      </c>
      <c r="S107" s="24">
        <f t="shared" si="91"/>
        <v>52</v>
      </c>
      <c r="T107" s="24">
        <f t="shared" si="92"/>
        <v>0</v>
      </c>
    </row>
    <row r="108" spans="1:20" s="39" customFormat="1" hidden="1" outlineLevel="1">
      <c r="A108" s="37"/>
      <c r="B108" s="20" t="s">
        <v>99</v>
      </c>
      <c r="C108" s="38">
        <v>6400</v>
      </c>
      <c r="D108" s="24"/>
      <c r="E108" s="24"/>
      <c r="F108" s="24">
        <f t="shared" si="67"/>
        <v>6400</v>
      </c>
      <c r="G108" s="24"/>
      <c r="H108" s="24">
        <v>537.80999999999995</v>
      </c>
      <c r="I108" s="24">
        <v>517.05999999999995</v>
      </c>
      <c r="J108" s="24">
        <v>537.74</v>
      </c>
      <c r="K108" s="24">
        <v>473.21</v>
      </c>
      <c r="L108" s="24">
        <v>858.37</v>
      </c>
      <c r="M108" s="24">
        <v>600</v>
      </c>
      <c r="N108" s="24">
        <v>570</v>
      </c>
      <c r="O108" s="24">
        <v>570</v>
      </c>
      <c r="P108" s="24">
        <v>582.94000000000005</v>
      </c>
      <c r="Q108" s="24">
        <v>600</v>
      </c>
      <c r="R108" s="24">
        <v>552.87</v>
      </c>
      <c r="S108" s="24">
        <f t="shared" si="91"/>
        <v>6399.9999999999991</v>
      </c>
      <c r="T108" s="24">
        <f t="shared" si="92"/>
        <v>0</v>
      </c>
    </row>
    <row r="109" spans="1:20" s="3" customFormat="1" ht="47.25" collapsed="1">
      <c r="A109" s="11" t="s">
        <v>100</v>
      </c>
      <c r="B109" s="12" t="s">
        <v>101</v>
      </c>
      <c r="C109" s="13">
        <f>C110+C117+C120+C124</f>
        <v>36253.51</v>
      </c>
      <c r="D109" s="14">
        <f>D110+D117+D120+D124</f>
        <v>0</v>
      </c>
      <c r="E109" s="14">
        <f>E110+E117+E120+E124</f>
        <v>0</v>
      </c>
      <c r="F109" s="14">
        <f t="shared" si="67"/>
        <v>36253.51</v>
      </c>
      <c r="G109" s="14">
        <f t="shared" ref="G109:R109" si="98">G110+G117+G120+G124</f>
        <v>369.92</v>
      </c>
      <c r="H109" s="14">
        <f t="shared" si="98"/>
        <v>2695.7200000000003</v>
      </c>
      <c r="I109" s="14">
        <f t="shared" si="98"/>
        <v>3276.65</v>
      </c>
      <c r="J109" s="14">
        <f t="shared" si="98"/>
        <v>569.44000000000005</v>
      </c>
      <c r="K109" s="14">
        <f t="shared" si="98"/>
        <v>1316.87</v>
      </c>
      <c r="L109" s="14">
        <f t="shared" si="98"/>
        <v>3144.61</v>
      </c>
      <c r="M109" s="14">
        <f t="shared" si="98"/>
        <v>5638</v>
      </c>
      <c r="N109" s="14">
        <f t="shared" si="98"/>
        <v>5660</v>
      </c>
      <c r="O109" s="14">
        <f t="shared" si="98"/>
        <v>5788</v>
      </c>
      <c r="P109" s="14">
        <f t="shared" si="98"/>
        <v>6328.1</v>
      </c>
      <c r="Q109" s="14">
        <f t="shared" si="98"/>
        <v>6089.73</v>
      </c>
      <c r="R109" s="14">
        <f t="shared" si="98"/>
        <v>5567.82</v>
      </c>
      <c r="S109" s="14">
        <f t="shared" si="91"/>
        <v>46444.860000000008</v>
      </c>
      <c r="T109" s="71">
        <f t="shared" si="92"/>
        <v>10191.350000000006</v>
      </c>
    </row>
    <row r="110" spans="1:20" s="26" customFormat="1" ht="31.15" hidden="1" customHeight="1">
      <c r="A110" s="15" t="s">
        <v>102</v>
      </c>
      <c r="B110" s="16" t="s">
        <v>103</v>
      </c>
      <c r="C110" s="17">
        <f>C111+C112+C114+C116</f>
        <v>3540</v>
      </c>
      <c r="D110" s="18">
        <f>D111+D112+D114+D116</f>
        <v>0</v>
      </c>
      <c r="E110" s="18">
        <f>E111+E112+E114+E116</f>
        <v>0</v>
      </c>
      <c r="F110" s="18">
        <f t="shared" si="67"/>
        <v>3540</v>
      </c>
      <c r="G110" s="18">
        <f t="shared" ref="G110:R110" si="99">G111+G112+G114+G116</f>
        <v>68.900000000000006</v>
      </c>
      <c r="H110" s="18">
        <f t="shared" si="99"/>
        <v>285.32</v>
      </c>
      <c r="I110" s="18">
        <f t="shared" si="99"/>
        <v>439.42</v>
      </c>
      <c r="J110" s="18">
        <f t="shared" si="99"/>
        <v>0</v>
      </c>
      <c r="K110" s="18">
        <f t="shared" si="99"/>
        <v>0</v>
      </c>
      <c r="L110" s="18">
        <f t="shared" si="99"/>
        <v>0</v>
      </c>
      <c r="M110" s="18">
        <f t="shared" si="99"/>
        <v>270</v>
      </c>
      <c r="N110" s="18">
        <f t="shared" si="99"/>
        <v>292</v>
      </c>
      <c r="O110" s="18">
        <f t="shared" si="99"/>
        <v>320</v>
      </c>
      <c r="P110" s="18">
        <f t="shared" si="99"/>
        <v>810.7</v>
      </c>
      <c r="Q110" s="18">
        <f>Q111+Q112+Q114+Q116</f>
        <v>720</v>
      </c>
      <c r="R110" s="18">
        <f t="shared" si="99"/>
        <v>333.65999999999997</v>
      </c>
      <c r="S110" s="18">
        <f t="shared" si="91"/>
        <v>3540</v>
      </c>
      <c r="T110" s="18">
        <f t="shared" si="92"/>
        <v>0</v>
      </c>
    </row>
    <row r="111" spans="1:20" s="26" customFormat="1" hidden="1">
      <c r="A111" s="27" t="s">
        <v>104</v>
      </c>
      <c r="B111" s="28" t="s">
        <v>105</v>
      </c>
      <c r="C111" s="29">
        <v>1500</v>
      </c>
      <c r="D111" s="30"/>
      <c r="E111" s="30"/>
      <c r="F111" s="30">
        <f t="shared" si="67"/>
        <v>1500</v>
      </c>
      <c r="G111" s="30">
        <v>68.900000000000006</v>
      </c>
      <c r="H111" s="53">
        <v>245.29</v>
      </c>
      <c r="I111" s="53">
        <v>63.13</v>
      </c>
      <c r="J111" s="53">
        <v>0</v>
      </c>
      <c r="K111" s="53">
        <v>0</v>
      </c>
      <c r="L111" s="53">
        <v>0</v>
      </c>
      <c r="M111" s="53">
        <v>120</v>
      </c>
      <c r="N111" s="53">
        <v>120</v>
      </c>
      <c r="O111" s="53">
        <v>120</v>
      </c>
      <c r="P111" s="53">
        <v>480</v>
      </c>
      <c r="Q111" s="53">
        <v>120</v>
      </c>
      <c r="R111" s="53">
        <v>162.68</v>
      </c>
      <c r="S111" s="53">
        <f t="shared" si="91"/>
        <v>1500</v>
      </c>
      <c r="T111" s="53">
        <f t="shared" si="92"/>
        <v>0</v>
      </c>
    </row>
    <row r="112" spans="1:20" s="26" customFormat="1" hidden="1">
      <c r="A112" s="27" t="s">
        <v>106</v>
      </c>
      <c r="B112" s="28" t="s">
        <v>107</v>
      </c>
      <c r="C112" s="29">
        <f>SUM(C113:C113)</f>
        <v>1500</v>
      </c>
      <c r="D112" s="30">
        <f>SUM(D113:D113)</f>
        <v>0</v>
      </c>
      <c r="E112" s="30">
        <f>SUM(E113:E113)</f>
        <v>0</v>
      </c>
      <c r="F112" s="30">
        <f t="shared" si="67"/>
        <v>1500</v>
      </c>
      <c r="G112" s="30">
        <f t="shared" ref="G112:R112" si="100">SUM(G113:G113)</f>
        <v>0</v>
      </c>
      <c r="H112" s="30">
        <f t="shared" si="100"/>
        <v>40.03</v>
      </c>
      <c r="I112" s="30">
        <f t="shared" si="100"/>
        <v>38.99</v>
      </c>
      <c r="J112" s="30">
        <f t="shared" si="100"/>
        <v>0</v>
      </c>
      <c r="K112" s="30">
        <f t="shared" si="100"/>
        <v>0</v>
      </c>
      <c r="L112" s="30">
        <f t="shared" si="100"/>
        <v>0</v>
      </c>
      <c r="M112" s="30">
        <f t="shared" si="100"/>
        <v>150</v>
      </c>
      <c r="N112" s="30">
        <f t="shared" si="100"/>
        <v>150</v>
      </c>
      <c r="O112" s="30">
        <f t="shared" si="100"/>
        <v>200</v>
      </c>
      <c r="P112" s="30">
        <f t="shared" si="100"/>
        <v>150</v>
      </c>
      <c r="Q112" s="30">
        <f t="shared" si="100"/>
        <v>600</v>
      </c>
      <c r="R112" s="30">
        <f t="shared" si="100"/>
        <v>170.98</v>
      </c>
      <c r="S112" s="30">
        <f t="shared" si="91"/>
        <v>1500</v>
      </c>
      <c r="T112" s="30">
        <f t="shared" si="92"/>
        <v>0</v>
      </c>
    </row>
    <row r="113" spans="1:20" s="39" customFormat="1" hidden="1" outlineLevel="1">
      <c r="A113" s="37"/>
      <c r="B113" s="20" t="s">
        <v>108</v>
      </c>
      <c r="C113" s="38">
        <v>1500</v>
      </c>
      <c r="D113" s="41"/>
      <c r="E113" s="41"/>
      <c r="F113" s="41">
        <f t="shared" si="67"/>
        <v>1500</v>
      </c>
      <c r="G113" s="41"/>
      <c r="H113" s="41">
        <v>40.03</v>
      </c>
      <c r="I113" s="41">
        <v>38.99</v>
      </c>
      <c r="J113" s="41"/>
      <c r="K113" s="41"/>
      <c r="L113" s="41">
        <v>0</v>
      </c>
      <c r="M113" s="41">
        <v>150</v>
      </c>
      <c r="N113" s="41">
        <v>150</v>
      </c>
      <c r="O113" s="41">
        <v>200</v>
      </c>
      <c r="P113" s="41">
        <v>150</v>
      </c>
      <c r="Q113" s="41">
        <v>600</v>
      </c>
      <c r="R113" s="41">
        <v>170.98</v>
      </c>
      <c r="S113" s="41">
        <f t="shared" si="91"/>
        <v>1500</v>
      </c>
      <c r="T113" s="41">
        <f t="shared" si="92"/>
        <v>0</v>
      </c>
    </row>
    <row r="114" spans="1:20" s="26" customFormat="1" hidden="1" collapsed="1">
      <c r="A114" s="27" t="s">
        <v>109</v>
      </c>
      <c r="B114" s="28" t="s">
        <v>110</v>
      </c>
      <c r="C114" s="29">
        <f>SUM(C115:C115)</f>
        <v>500</v>
      </c>
      <c r="D114" s="30">
        <f>SUM(D115:D115)</f>
        <v>0</v>
      </c>
      <c r="E114" s="30">
        <f>SUM(E115:E115)</f>
        <v>0</v>
      </c>
      <c r="F114" s="30">
        <f t="shared" si="67"/>
        <v>500</v>
      </c>
      <c r="G114" s="30">
        <f t="shared" ref="G114:R114" si="101">SUM(G115:G115)</f>
        <v>0</v>
      </c>
      <c r="H114" s="30">
        <f t="shared" si="101"/>
        <v>0</v>
      </c>
      <c r="I114" s="30">
        <f t="shared" si="101"/>
        <v>337.3</v>
      </c>
      <c r="J114" s="30">
        <f t="shared" si="101"/>
        <v>0</v>
      </c>
      <c r="K114" s="30">
        <f t="shared" si="101"/>
        <v>0</v>
      </c>
      <c r="L114" s="30">
        <f t="shared" si="101"/>
        <v>0</v>
      </c>
      <c r="M114" s="30">
        <f t="shared" si="101"/>
        <v>0</v>
      </c>
      <c r="N114" s="30">
        <f t="shared" si="101"/>
        <v>0</v>
      </c>
      <c r="O114" s="30">
        <f t="shared" si="101"/>
        <v>0</v>
      </c>
      <c r="P114" s="30">
        <f t="shared" si="101"/>
        <v>162.69999999999999</v>
      </c>
      <c r="Q114" s="30">
        <f t="shared" si="101"/>
        <v>0</v>
      </c>
      <c r="R114" s="30">
        <f t="shared" si="101"/>
        <v>0</v>
      </c>
      <c r="S114" s="30">
        <f t="shared" si="91"/>
        <v>500</v>
      </c>
      <c r="T114" s="30">
        <f t="shared" si="92"/>
        <v>0</v>
      </c>
    </row>
    <row r="115" spans="1:20" s="39" customFormat="1" hidden="1" outlineLevel="1">
      <c r="A115" s="37"/>
      <c r="B115" s="20"/>
      <c r="C115" s="38">
        <v>500</v>
      </c>
      <c r="D115" s="41"/>
      <c r="E115" s="41"/>
      <c r="F115" s="41">
        <f t="shared" si="67"/>
        <v>500</v>
      </c>
      <c r="G115" s="41"/>
      <c r="H115" s="41"/>
      <c r="I115" s="41">
        <v>337.3</v>
      </c>
      <c r="J115" s="41"/>
      <c r="K115" s="41"/>
      <c r="L115" s="41"/>
      <c r="M115" s="41"/>
      <c r="N115" s="41"/>
      <c r="O115" s="41"/>
      <c r="P115" s="41">
        <v>162.69999999999999</v>
      </c>
      <c r="Q115" s="41"/>
      <c r="R115" s="41"/>
      <c r="S115" s="41">
        <f t="shared" si="91"/>
        <v>500</v>
      </c>
      <c r="T115" s="41">
        <f t="shared" si="92"/>
        <v>0</v>
      </c>
    </row>
    <row r="116" spans="1:20" s="26" customFormat="1" ht="31.5" hidden="1" collapsed="1">
      <c r="A116" s="27" t="s">
        <v>111</v>
      </c>
      <c r="B116" s="28" t="s">
        <v>112</v>
      </c>
      <c r="C116" s="29">
        <v>40</v>
      </c>
      <c r="D116" s="29"/>
      <c r="E116" s="29"/>
      <c r="F116" s="29">
        <f t="shared" si="67"/>
        <v>40</v>
      </c>
      <c r="G116" s="30"/>
      <c r="H116" s="30"/>
      <c r="I116" s="30"/>
      <c r="J116" s="30"/>
      <c r="K116" s="30"/>
      <c r="L116" s="30"/>
      <c r="M116" s="30"/>
      <c r="N116" s="30">
        <v>22</v>
      </c>
      <c r="O116" s="30"/>
      <c r="P116" s="30">
        <v>18</v>
      </c>
      <c r="Q116" s="29"/>
      <c r="R116" s="29"/>
      <c r="S116" s="30">
        <f t="shared" si="91"/>
        <v>40</v>
      </c>
      <c r="T116" s="29">
        <f t="shared" si="92"/>
        <v>0</v>
      </c>
    </row>
    <row r="117" spans="1:20" s="26" customFormat="1" hidden="1">
      <c r="A117" s="15" t="s">
        <v>113</v>
      </c>
      <c r="B117" s="16" t="s">
        <v>114</v>
      </c>
      <c r="C117" s="17">
        <f>C118</f>
        <v>723</v>
      </c>
      <c r="D117" s="18">
        <f t="shared" ref="D117:R117" si="102">D118</f>
        <v>0</v>
      </c>
      <c r="E117" s="18">
        <f t="shared" si="102"/>
        <v>0</v>
      </c>
      <c r="F117" s="18">
        <f t="shared" si="67"/>
        <v>723</v>
      </c>
      <c r="G117" s="18">
        <f t="shared" si="102"/>
        <v>53.61</v>
      </c>
      <c r="H117" s="18">
        <f t="shared" si="102"/>
        <v>13.31</v>
      </c>
      <c r="I117" s="18">
        <f t="shared" si="102"/>
        <v>0</v>
      </c>
      <c r="J117" s="18">
        <f t="shared" si="102"/>
        <v>136.88999999999999</v>
      </c>
      <c r="K117" s="18">
        <f t="shared" si="102"/>
        <v>40.76</v>
      </c>
      <c r="L117" s="18">
        <f t="shared" si="102"/>
        <v>44.14</v>
      </c>
      <c r="M117" s="18">
        <f t="shared" si="102"/>
        <v>73</v>
      </c>
      <c r="N117" s="18">
        <f t="shared" si="102"/>
        <v>73</v>
      </c>
      <c r="O117" s="18">
        <f t="shared" si="102"/>
        <v>73</v>
      </c>
      <c r="P117" s="18">
        <f t="shared" si="102"/>
        <v>73</v>
      </c>
      <c r="Q117" s="18">
        <f t="shared" si="102"/>
        <v>73</v>
      </c>
      <c r="R117" s="18">
        <f t="shared" si="102"/>
        <v>69.290000000000006</v>
      </c>
      <c r="S117" s="18">
        <f t="shared" si="91"/>
        <v>723</v>
      </c>
      <c r="T117" s="18">
        <f t="shared" si="92"/>
        <v>0</v>
      </c>
    </row>
    <row r="118" spans="1:20" s="26" customFormat="1" hidden="1">
      <c r="A118" s="27" t="s">
        <v>115</v>
      </c>
      <c r="B118" s="28" t="s">
        <v>116</v>
      </c>
      <c r="C118" s="29">
        <f>SUM(C119)</f>
        <v>723</v>
      </c>
      <c r="D118" s="30">
        <f t="shared" ref="D118:R118" si="103">SUM(D119)</f>
        <v>0</v>
      </c>
      <c r="E118" s="30">
        <f t="shared" si="103"/>
        <v>0</v>
      </c>
      <c r="F118" s="30">
        <f t="shared" si="67"/>
        <v>723</v>
      </c>
      <c r="G118" s="30">
        <f t="shared" si="103"/>
        <v>53.61</v>
      </c>
      <c r="H118" s="30">
        <f t="shared" si="103"/>
        <v>13.31</v>
      </c>
      <c r="I118" s="30">
        <f t="shared" si="103"/>
        <v>0</v>
      </c>
      <c r="J118" s="30">
        <f t="shared" si="103"/>
        <v>136.88999999999999</v>
      </c>
      <c r="K118" s="30">
        <f t="shared" si="103"/>
        <v>40.76</v>
      </c>
      <c r="L118" s="30">
        <f t="shared" si="103"/>
        <v>44.14</v>
      </c>
      <c r="M118" s="30">
        <f t="shared" si="103"/>
        <v>73</v>
      </c>
      <c r="N118" s="30">
        <f t="shared" si="103"/>
        <v>73</v>
      </c>
      <c r="O118" s="30">
        <f t="shared" si="103"/>
        <v>73</v>
      </c>
      <c r="P118" s="30">
        <f t="shared" si="103"/>
        <v>73</v>
      </c>
      <c r="Q118" s="30">
        <f t="shared" si="103"/>
        <v>73</v>
      </c>
      <c r="R118" s="30">
        <f t="shared" si="103"/>
        <v>69.290000000000006</v>
      </c>
      <c r="S118" s="30">
        <f t="shared" si="91"/>
        <v>723</v>
      </c>
      <c r="T118" s="30">
        <f t="shared" si="92"/>
        <v>0</v>
      </c>
    </row>
    <row r="119" spans="1:20" s="39" customFormat="1" hidden="1" outlineLevel="1">
      <c r="A119" s="37"/>
      <c r="B119" s="20" t="s">
        <v>117</v>
      </c>
      <c r="C119" s="38">
        <v>723</v>
      </c>
      <c r="D119" s="24"/>
      <c r="E119" s="24"/>
      <c r="F119" s="24">
        <f t="shared" si="67"/>
        <v>723</v>
      </c>
      <c r="G119" s="24">
        <v>53.61</v>
      </c>
      <c r="H119" s="24">
        <v>13.31</v>
      </c>
      <c r="I119" s="24">
        <v>0</v>
      </c>
      <c r="J119" s="24">
        <v>136.88999999999999</v>
      </c>
      <c r="K119" s="24">
        <v>40.76</v>
      </c>
      <c r="L119" s="24">
        <v>44.14</v>
      </c>
      <c r="M119" s="24">
        <v>73</v>
      </c>
      <c r="N119" s="24">
        <v>73</v>
      </c>
      <c r="O119" s="24">
        <v>73</v>
      </c>
      <c r="P119" s="24">
        <v>73</v>
      </c>
      <c r="Q119" s="24">
        <v>73</v>
      </c>
      <c r="R119" s="24">
        <v>69.290000000000006</v>
      </c>
      <c r="S119" s="24">
        <f t="shared" si="91"/>
        <v>723</v>
      </c>
      <c r="T119" s="24">
        <f t="shared" si="92"/>
        <v>0</v>
      </c>
    </row>
    <row r="120" spans="1:20" s="26" customFormat="1" ht="47.25" collapsed="1">
      <c r="A120" s="15" t="s">
        <v>118</v>
      </c>
      <c r="B120" s="16" t="s">
        <v>119</v>
      </c>
      <c r="C120" s="17">
        <f>C121+C123</f>
        <v>25862</v>
      </c>
      <c r="D120" s="17">
        <f t="shared" ref="D120:E120" si="104">D121+D123</f>
        <v>0</v>
      </c>
      <c r="E120" s="17">
        <f t="shared" si="104"/>
        <v>0</v>
      </c>
      <c r="F120" s="18">
        <f>C120+D120+E120</f>
        <v>25862</v>
      </c>
      <c r="G120" s="18">
        <f>G121+G123</f>
        <v>20</v>
      </c>
      <c r="H120" s="18">
        <f t="shared" ref="H120:R120" si="105">H121+H123</f>
        <v>2141.83</v>
      </c>
      <c r="I120" s="18">
        <f t="shared" ref="I120" si="106">I121+I123</f>
        <v>2072.42</v>
      </c>
      <c r="J120" s="18">
        <f t="shared" si="105"/>
        <v>227.25</v>
      </c>
      <c r="K120" s="18">
        <f t="shared" si="105"/>
        <v>847.44</v>
      </c>
      <c r="L120" s="18">
        <f t="shared" si="105"/>
        <v>1762.66</v>
      </c>
      <c r="M120" s="18">
        <f t="shared" si="105"/>
        <v>4800</v>
      </c>
      <c r="N120" s="18">
        <f t="shared" si="105"/>
        <v>4800</v>
      </c>
      <c r="O120" s="18">
        <f t="shared" si="105"/>
        <v>4800</v>
      </c>
      <c r="P120" s="18">
        <f t="shared" si="105"/>
        <v>4982.0200000000004</v>
      </c>
      <c r="Q120" s="18">
        <f t="shared" si="105"/>
        <v>4800</v>
      </c>
      <c r="R120" s="18">
        <f t="shared" si="105"/>
        <v>4799.7299999999996</v>
      </c>
      <c r="S120" s="18">
        <f t="shared" si="91"/>
        <v>36053.35</v>
      </c>
      <c r="T120" s="56">
        <f t="shared" si="92"/>
        <v>10191.349999999999</v>
      </c>
    </row>
    <row r="121" spans="1:20" s="26" customFormat="1">
      <c r="A121" s="27" t="s">
        <v>120</v>
      </c>
      <c r="B121" s="28" t="s">
        <v>121</v>
      </c>
      <c r="C121" s="29">
        <f>C122</f>
        <v>25562</v>
      </c>
      <c r="D121" s="29">
        <f t="shared" ref="D121:E121" si="107">SUM(D122:D122)</f>
        <v>0</v>
      </c>
      <c r="E121" s="29">
        <f t="shared" si="107"/>
        <v>0</v>
      </c>
      <c r="F121" s="29">
        <f t="shared" si="67"/>
        <v>25562</v>
      </c>
      <c r="G121" s="29">
        <f>G122</f>
        <v>20</v>
      </c>
      <c r="H121" s="29">
        <f t="shared" ref="H121:R121" si="108">H122</f>
        <v>2023.85</v>
      </c>
      <c r="I121" s="29">
        <f t="shared" si="108"/>
        <v>2072.42</v>
      </c>
      <c r="J121" s="29">
        <f t="shared" si="108"/>
        <v>227.25</v>
      </c>
      <c r="K121" s="29">
        <f t="shared" si="108"/>
        <v>847.44</v>
      </c>
      <c r="L121" s="29">
        <f t="shared" si="108"/>
        <v>1762.66</v>
      </c>
      <c r="M121" s="29">
        <f t="shared" si="108"/>
        <v>4800</v>
      </c>
      <c r="N121" s="29">
        <f t="shared" si="108"/>
        <v>4800</v>
      </c>
      <c r="O121" s="29">
        <f t="shared" si="108"/>
        <v>4800</v>
      </c>
      <c r="P121" s="29">
        <f t="shared" si="108"/>
        <v>4800</v>
      </c>
      <c r="Q121" s="29">
        <f t="shared" si="108"/>
        <v>4800</v>
      </c>
      <c r="R121" s="29">
        <f t="shared" si="108"/>
        <v>4799.7299999999996</v>
      </c>
      <c r="S121" s="29">
        <f t="shared" si="91"/>
        <v>35753.350000000006</v>
      </c>
      <c r="T121" s="68">
        <f t="shared" si="92"/>
        <v>10191.350000000006</v>
      </c>
    </row>
    <row r="122" spans="1:20" s="39" customFormat="1" ht="31.5" outlineLevel="1">
      <c r="A122" s="37"/>
      <c r="B122" s="20" t="s">
        <v>166</v>
      </c>
      <c r="C122" s="38">
        <v>25562</v>
      </c>
      <c r="D122" s="38"/>
      <c r="E122" s="38"/>
      <c r="F122" s="38">
        <f t="shared" si="67"/>
        <v>25562</v>
      </c>
      <c r="G122" s="41">
        <v>20</v>
      </c>
      <c r="H122" s="41">
        <v>2023.85</v>
      </c>
      <c r="I122" s="41">
        <v>2072.42</v>
      </c>
      <c r="J122" s="38">
        <v>227.25</v>
      </c>
      <c r="K122" s="38">
        <v>847.44</v>
      </c>
      <c r="L122" s="38">
        <v>1762.66</v>
      </c>
      <c r="M122" s="38">
        <v>4800</v>
      </c>
      <c r="N122" s="38">
        <v>4800</v>
      </c>
      <c r="O122" s="38">
        <v>4800</v>
      </c>
      <c r="P122" s="38">
        <v>4800</v>
      </c>
      <c r="Q122" s="38">
        <v>4800</v>
      </c>
      <c r="R122" s="41">
        <v>4799.7299999999996</v>
      </c>
      <c r="S122" s="38">
        <f t="shared" si="91"/>
        <v>35753.350000000006</v>
      </c>
      <c r="T122" s="38">
        <f t="shared" si="92"/>
        <v>10191.350000000006</v>
      </c>
    </row>
    <row r="123" spans="1:20" s="26" customFormat="1" ht="31.5" hidden="1">
      <c r="A123" s="27" t="s">
        <v>122</v>
      </c>
      <c r="B123" s="28" t="s">
        <v>123</v>
      </c>
      <c r="C123" s="29">
        <v>300</v>
      </c>
      <c r="D123" s="29"/>
      <c r="E123" s="29"/>
      <c r="F123" s="29">
        <f t="shared" si="67"/>
        <v>300</v>
      </c>
      <c r="G123" s="29"/>
      <c r="H123" s="29">
        <v>117.98</v>
      </c>
      <c r="I123" s="29"/>
      <c r="J123" s="29"/>
      <c r="K123" s="29"/>
      <c r="L123" s="29"/>
      <c r="M123" s="29"/>
      <c r="N123" s="29"/>
      <c r="O123" s="29"/>
      <c r="P123" s="29">
        <v>182.02</v>
      </c>
      <c r="Q123" s="29"/>
      <c r="R123" s="29"/>
      <c r="S123" s="29">
        <f t="shared" si="91"/>
        <v>300</v>
      </c>
      <c r="T123" s="29">
        <f t="shared" si="92"/>
        <v>0</v>
      </c>
    </row>
    <row r="124" spans="1:20" s="26" customFormat="1" hidden="1">
      <c r="A124" s="27" t="s">
        <v>124</v>
      </c>
      <c r="B124" s="28" t="s">
        <v>125</v>
      </c>
      <c r="C124" s="29">
        <f>SUM(C125:C127)</f>
        <v>6128.51</v>
      </c>
      <c r="D124" s="29">
        <f>SUM(D125:D127)</f>
        <v>0</v>
      </c>
      <c r="E124" s="29">
        <f>SUM(E125:E127)</f>
        <v>0</v>
      </c>
      <c r="F124" s="29">
        <f t="shared" si="67"/>
        <v>6128.51</v>
      </c>
      <c r="G124" s="30">
        <f t="shared" ref="G124:R124" si="109">SUM(G125:G127)</f>
        <v>227.41000000000003</v>
      </c>
      <c r="H124" s="30">
        <f t="shared" si="109"/>
        <v>255.26</v>
      </c>
      <c r="I124" s="30">
        <f t="shared" si="109"/>
        <v>764.81</v>
      </c>
      <c r="J124" s="29">
        <f t="shared" si="109"/>
        <v>205.3</v>
      </c>
      <c r="K124" s="29">
        <f t="shared" si="109"/>
        <v>428.66999999999996</v>
      </c>
      <c r="L124" s="30">
        <f t="shared" si="109"/>
        <v>1337.81</v>
      </c>
      <c r="M124" s="29">
        <f t="shared" si="109"/>
        <v>495</v>
      </c>
      <c r="N124" s="29">
        <f t="shared" si="109"/>
        <v>495</v>
      </c>
      <c r="O124" s="29">
        <f t="shared" si="109"/>
        <v>595</v>
      </c>
      <c r="P124" s="29">
        <f t="shared" si="109"/>
        <v>462.38</v>
      </c>
      <c r="Q124" s="29">
        <f t="shared" si="109"/>
        <v>496.73</v>
      </c>
      <c r="R124" s="29">
        <f t="shared" si="109"/>
        <v>365.14</v>
      </c>
      <c r="S124" s="29">
        <f t="shared" si="91"/>
        <v>6128.5100000000011</v>
      </c>
      <c r="T124" s="29">
        <f t="shared" si="92"/>
        <v>0</v>
      </c>
    </row>
    <row r="125" spans="1:20" s="39" customFormat="1" ht="31.5" hidden="1" outlineLevel="1">
      <c r="A125" s="37"/>
      <c r="B125" s="20" t="s">
        <v>161</v>
      </c>
      <c r="C125" s="38">
        <v>1200</v>
      </c>
      <c r="D125" s="41"/>
      <c r="E125" s="41"/>
      <c r="F125" s="41">
        <f t="shared" si="67"/>
        <v>1200</v>
      </c>
      <c r="G125" s="41">
        <v>91.92</v>
      </c>
      <c r="H125" s="41">
        <v>16.579999999999998</v>
      </c>
      <c r="I125" s="41">
        <v>334.12</v>
      </c>
      <c r="J125" s="41"/>
      <c r="K125" s="41">
        <v>114.09</v>
      </c>
      <c r="L125" s="41">
        <v>324.18</v>
      </c>
      <c r="M125" s="41">
        <v>70</v>
      </c>
      <c r="N125" s="41">
        <v>70</v>
      </c>
      <c r="O125" s="41">
        <v>70</v>
      </c>
      <c r="P125" s="41">
        <v>37.380000000000003</v>
      </c>
      <c r="Q125" s="41">
        <v>71.73</v>
      </c>
      <c r="R125" s="41"/>
      <c r="S125" s="41">
        <f t="shared" si="91"/>
        <v>1200.0000000000002</v>
      </c>
      <c r="T125" s="41">
        <f t="shared" si="92"/>
        <v>0</v>
      </c>
    </row>
    <row r="126" spans="1:20" s="39" customFormat="1" ht="63" hidden="1" outlineLevel="1">
      <c r="A126" s="37"/>
      <c r="B126" s="20" t="s">
        <v>176</v>
      </c>
      <c r="C126" s="38">
        <v>4758.51</v>
      </c>
      <c r="D126" s="41"/>
      <c r="E126" s="41"/>
      <c r="F126" s="41">
        <f t="shared" si="67"/>
        <v>4758.51</v>
      </c>
      <c r="G126" s="41">
        <f>35.49+100</f>
        <v>135.49</v>
      </c>
      <c r="H126" s="41">
        <v>238.68</v>
      </c>
      <c r="I126" s="41">
        <v>430.69</v>
      </c>
      <c r="J126" s="41">
        <v>205.3</v>
      </c>
      <c r="K126" s="41">
        <v>314.58</v>
      </c>
      <c r="L126" s="41">
        <v>1013.63</v>
      </c>
      <c r="M126" s="41">
        <v>425</v>
      </c>
      <c r="N126" s="41">
        <v>425</v>
      </c>
      <c r="O126" s="41">
        <v>425</v>
      </c>
      <c r="P126" s="41">
        <v>425</v>
      </c>
      <c r="Q126" s="41">
        <v>425</v>
      </c>
      <c r="R126" s="41">
        <v>295.14</v>
      </c>
      <c r="S126" s="41">
        <f t="shared" si="91"/>
        <v>4758.51</v>
      </c>
      <c r="T126" s="41">
        <f t="shared" si="92"/>
        <v>0</v>
      </c>
    </row>
    <row r="127" spans="1:20" s="39" customFormat="1" ht="31.5" hidden="1" outlineLevel="1">
      <c r="A127" s="37"/>
      <c r="B127" s="20" t="s">
        <v>126</v>
      </c>
      <c r="C127" s="38">
        <v>170</v>
      </c>
      <c r="D127" s="41"/>
      <c r="E127" s="41"/>
      <c r="F127" s="41">
        <f t="shared" si="67"/>
        <v>170</v>
      </c>
      <c r="G127" s="41"/>
      <c r="H127" s="41"/>
      <c r="I127" s="41"/>
      <c r="J127" s="41"/>
      <c r="K127" s="41"/>
      <c r="L127" s="41"/>
      <c r="M127" s="41"/>
      <c r="N127" s="41"/>
      <c r="O127" s="41">
        <v>100</v>
      </c>
      <c r="P127" s="41"/>
      <c r="Q127" s="41"/>
      <c r="R127" s="41">
        <v>70</v>
      </c>
      <c r="S127" s="41">
        <f t="shared" si="91"/>
        <v>170</v>
      </c>
      <c r="T127" s="41">
        <f t="shared" si="92"/>
        <v>0</v>
      </c>
    </row>
    <row r="128" spans="1:20" s="3" customFormat="1" ht="31.5" hidden="1" collapsed="1">
      <c r="A128" s="11" t="s">
        <v>127</v>
      </c>
      <c r="B128" s="12" t="s">
        <v>128</v>
      </c>
      <c r="C128" s="13">
        <f>C129</f>
        <v>13586.1</v>
      </c>
      <c r="D128" s="14">
        <f t="shared" ref="D128:R128" si="110">D129</f>
        <v>0</v>
      </c>
      <c r="E128" s="14">
        <f t="shared" si="110"/>
        <v>0</v>
      </c>
      <c r="F128" s="14">
        <f t="shared" si="67"/>
        <v>13586.1</v>
      </c>
      <c r="G128" s="14">
        <f t="shared" si="110"/>
        <v>0</v>
      </c>
      <c r="H128" s="14">
        <f t="shared" si="110"/>
        <v>86.1</v>
      </c>
      <c r="I128" s="14">
        <f t="shared" si="110"/>
        <v>674.08</v>
      </c>
      <c r="J128" s="14">
        <f t="shared" si="110"/>
        <v>392.96</v>
      </c>
      <c r="K128" s="14">
        <f t="shared" si="110"/>
        <v>1065.3599999999999</v>
      </c>
      <c r="L128" s="14">
        <f t="shared" si="110"/>
        <v>962.29</v>
      </c>
      <c r="M128" s="14">
        <f t="shared" si="110"/>
        <v>714</v>
      </c>
      <c r="N128" s="14">
        <f t="shared" si="110"/>
        <v>714</v>
      </c>
      <c r="O128" s="14">
        <f t="shared" si="110"/>
        <v>714</v>
      </c>
      <c r="P128" s="14">
        <f t="shared" si="110"/>
        <v>798</v>
      </c>
      <c r="Q128" s="14">
        <f t="shared" si="110"/>
        <v>714</v>
      </c>
      <c r="R128" s="14">
        <f t="shared" si="110"/>
        <v>6751.31</v>
      </c>
      <c r="S128" s="14">
        <f t="shared" si="91"/>
        <v>13586.1</v>
      </c>
      <c r="T128" s="14">
        <f t="shared" si="92"/>
        <v>0</v>
      </c>
    </row>
    <row r="129" spans="1:20" s="26" customFormat="1" ht="31.5" hidden="1">
      <c r="A129" s="15" t="s">
        <v>129</v>
      </c>
      <c r="B129" s="16" t="s">
        <v>130</v>
      </c>
      <c r="C129" s="17">
        <f>SUM(C130:C132)</f>
        <v>13586.1</v>
      </c>
      <c r="D129" s="18">
        <f t="shared" ref="D129" si="111">SUM(D130:D132)</f>
        <v>0</v>
      </c>
      <c r="E129" s="18">
        <f t="shared" ref="E129:G129" si="112">SUM(E130:E132)</f>
        <v>0</v>
      </c>
      <c r="F129" s="18">
        <f t="shared" si="67"/>
        <v>13586.1</v>
      </c>
      <c r="G129" s="18">
        <f t="shared" si="112"/>
        <v>0</v>
      </c>
      <c r="H129" s="18">
        <f t="shared" ref="H129" si="113">SUM(H130:H132)</f>
        <v>86.1</v>
      </c>
      <c r="I129" s="18">
        <f t="shared" ref="I129" si="114">SUM(I130:I132)</f>
        <v>674.08</v>
      </c>
      <c r="J129" s="18">
        <f t="shared" ref="J129:R129" si="115">SUM(J130:J132)</f>
        <v>392.96</v>
      </c>
      <c r="K129" s="18">
        <f t="shared" si="115"/>
        <v>1065.3599999999999</v>
      </c>
      <c r="L129" s="18">
        <f t="shared" si="115"/>
        <v>962.29</v>
      </c>
      <c r="M129" s="18">
        <f t="shared" si="115"/>
        <v>714</v>
      </c>
      <c r="N129" s="18">
        <f t="shared" si="115"/>
        <v>714</v>
      </c>
      <c r="O129" s="18">
        <f t="shared" si="115"/>
        <v>714</v>
      </c>
      <c r="P129" s="18">
        <f t="shared" si="115"/>
        <v>798</v>
      </c>
      <c r="Q129" s="18">
        <f t="shared" si="115"/>
        <v>714</v>
      </c>
      <c r="R129" s="18">
        <f t="shared" si="115"/>
        <v>6751.31</v>
      </c>
      <c r="S129" s="18">
        <f t="shared" si="91"/>
        <v>13586.1</v>
      </c>
      <c r="T129" s="18">
        <f t="shared" si="92"/>
        <v>0</v>
      </c>
    </row>
    <row r="130" spans="1:20" s="3" customFormat="1" ht="31.5" hidden="1">
      <c r="A130" s="43" t="s">
        <v>131</v>
      </c>
      <c r="B130" s="44" t="s">
        <v>132</v>
      </c>
      <c r="C130" s="45">
        <v>6903</v>
      </c>
      <c r="D130" s="46"/>
      <c r="E130" s="46"/>
      <c r="F130" s="46">
        <f t="shared" si="67"/>
        <v>6903</v>
      </c>
      <c r="G130" s="46"/>
      <c r="H130" s="46"/>
      <c r="I130" s="46">
        <v>577.08000000000004</v>
      </c>
      <c r="J130" s="46">
        <v>392.96</v>
      </c>
      <c r="K130" s="46">
        <v>1065.3599999999999</v>
      </c>
      <c r="L130" s="46">
        <v>825.29</v>
      </c>
      <c r="M130" s="46">
        <v>714</v>
      </c>
      <c r="N130" s="46">
        <v>714</v>
      </c>
      <c r="O130" s="46">
        <v>714</v>
      </c>
      <c r="P130" s="46">
        <v>714</v>
      </c>
      <c r="Q130" s="46">
        <v>714</v>
      </c>
      <c r="R130" s="46">
        <v>472.31</v>
      </c>
      <c r="S130" s="46">
        <f t="shared" si="91"/>
        <v>6903</v>
      </c>
      <c r="T130" s="46">
        <f t="shared" si="92"/>
        <v>0</v>
      </c>
    </row>
    <row r="131" spans="1:20" s="3" customFormat="1" ht="31.5" hidden="1">
      <c r="A131" s="43" t="s">
        <v>133</v>
      </c>
      <c r="B131" s="44" t="s">
        <v>134</v>
      </c>
      <c r="C131" s="45">
        <f>86.1+6279</f>
        <v>6365.1</v>
      </c>
      <c r="D131" s="46"/>
      <c r="E131" s="46"/>
      <c r="F131" s="46">
        <f t="shared" si="67"/>
        <v>6365.1</v>
      </c>
      <c r="G131" s="46"/>
      <c r="H131" s="46">
        <v>86.1</v>
      </c>
      <c r="I131" s="46"/>
      <c r="J131" s="46"/>
      <c r="K131" s="46"/>
      <c r="L131" s="46"/>
      <c r="M131" s="46"/>
      <c r="N131" s="46"/>
      <c r="O131" s="46"/>
      <c r="P131" s="46"/>
      <c r="Q131" s="46"/>
      <c r="R131" s="46">
        <v>6279</v>
      </c>
      <c r="S131" s="46">
        <f t="shared" si="91"/>
        <v>6365.1</v>
      </c>
      <c r="T131" s="46">
        <f t="shared" si="92"/>
        <v>0</v>
      </c>
    </row>
    <row r="132" spans="1:20" s="3" customFormat="1" ht="63" hidden="1">
      <c r="A132" s="43" t="s">
        <v>135</v>
      </c>
      <c r="B132" s="44" t="s">
        <v>222</v>
      </c>
      <c r="C132" s="45">
        <v>318</v>
      </c>
      <c r="D132" s="46"/>
      <c r="E132" s="46"/>
      <c r="F132" s="46">
        <f t="shared" si="67"/>
        <v>318</v>
      </c>
      <c r="G132" s="46"/>
      <c r="H132" s="46"/>
      <c r="I132" s="46">
        <v>97</v>
      </c>
      <c r="J132" s="46"/>
      <c r="K132" s="46"/>
      <c r="L132" s="46">
        <v>137</v>
      </c>
      <c r="M132" s="46"/>
      <c r="N132" s="46"/>
      <c r="O132" s="46"/>
      <c r="P132" s="46">
        <v>84</v>
      </c>
      <c r="Q132" s="46"/>
      <c r="R132" s="46"/>
      <c r="S132" s="46">
        <f t="shared" si="91"/>
        <v>318</v>
      </c>
      <c r="T132" s="46">
        <f t="shared" si="92"/>
        <v>0</v>
      </c>
    </row>
    <row r="133" spans="1:20" s="3" customFormat="1" hidden="1">
      <c r="A133" s="47" t="s">
        <v>136</v>
      </c>
      <c r="B133" s="9" t="s">
        <v>137</v>
      </c>
      <c r="C133" s="10">
        <f>C134+C137</f>
        <v>19060</v>
      </c>
      <c r="D133" s="10">
        <f>D134+D137</f>
        <v>0</v>
      </c>
      <c r="E133" s="10">
        <f>E134+E137</f>
        <v>0</v>
      </c>
      <c r="F133" s="10">
        <f t="shared" si="67"/>
        <v>19060</v>
      </c>
      <c r="G133" s="10">
        <f t="shared" ref="G133:R133" si="116">G134+G137</f>
        <v>0</v>
      </c>
      <c r="H133" s="10">
        <f t="shared" si="116"/>
        <v>1661.33</v>
      </c>
      <c r="I133" s="10">
        <f t="shared" si="116"/>
        <v>0</v>
      </c>
      <c r="J133" s="10">
        <f t="shared" si="116"/>
        <v>0</v>
      </c>
      <c r="K133" s="10">
        <f t="shared" si="116"/>
        <v>2821.26</v>
      </c>
      <c r="L133" s="10">
        <f t="shared" si="116"/>
        <v>2527.62</v>
      </c>
      <c r="M133" s="10">
        <f t="shared" si="116"/>
        <v>2778.58</v>
      </c>
      <c r="N133" s="10">
        <f t="shared" si="116"/>
        <v>7058.67</v>
      </c>
      <c r="O133" s="10">
        <f t="shared" si="116"/>
        <v>2212.54</v>
      </c>
      <c r="P133" s="10">
        <f t="shared" si="116"/>
        <v>0</v>
      </c>
      <c r="Q133" s="10">
        <f t="shared" si="116"/>
        <v>0</v>
      </c>
      <c r="R133" s="10">
        <f t="shared" si="116"/>
        <v>0</v>
      </c>
      <c r="S133" s="10">
        <f t="shared" si="91"/>
        <v>19060</v>
      </c>
      <c r="T133" s="10">
        <f t="shared" si="92"/>
        <v>0</v>
      </c>
    </row>
    <row r="134" spans="1:20" s="3" customFormat="1" hidden="1">
      <c r="A134" s="11" t="s">
        <v>138</v>
      </c>
      <c r="B134" s="12" t="s">
        <v>139</v>
      </c>
      <c r="C134" s="13">
        <f>C135</f>
        <v>338.67</v>
      </c>
      <c r="D134" s="14">
        <f t="shared" ref="D134:R134" si="117">D135</f>
        <v>0</v>
      </c>
      <c r="E134" s="14">
        <f t="shared" si="117"/>
        <v>0</v>
      </c>
      <c r="F134" s="14">
        <f t="shared" si="67"/>
        <v>338.67</v>
      </c>
      <c r="G134" s="14">
        <f t="shared" si="117"/>
        <v>0</v>
      </c>
      <c r="H134" s="14">
        <f t="shared" si="117"/>
        <v>0</v>
      </c>
      <c r="I134" s="14">
        <f t="shared" si="117"/>
        <v>0</v>
      </c>
      <c r="J134" s="14">
        <f t="shared" si="117"/>
        <v>0</v>
      </c>
      <c r="K134" s="14">
        <f t="shared" si="117"/>
        <v>0</v>
      </c>
      <c r="L134" s="14">
        <f t="shared" si="117"/>
        <v>0</v>
      </c>
      <c r="M134" s="14">
        <f t="shared" si="117"/>
        <v>0</v>
      </c>
      <c r="N134" s="14">
        <f t="shared" si="117"/>
        <v>338.67</v>
      </c>
      <c r="O134" s="14">
        <f t="shared" si="117"/>
        <v>0</v>
      </c>
      <c r="P134" s="14">
        <f t="shared" si="117"/>
        <v>0</v>
      </c>
      <c r="Q134" s="14">
        <f t="shared" si="117"/>
        <v>0</v>
      </c>
      <c r="R134" s="14">
        <f t="shared" si="117"/>
        <v>0</v>
      </c>
      <c r="S134" s="14">
        <f t="shared" ref="S134:S149" si="118">SUM(G134:R134)</f>
        <v>338.67</v>
      </c>
      <c r="T134" s="14">
        <f t="shared" ref="T134:T149" si="119">S134-F134</f>
        <v>0</v>
      </c>
    </row>
    <row r="135" spans="1:20" s="26" customFormat="1" ht="31.5" hidden="1">
      <c r="A135" s="15" t="s">
        <v>140</v>
      </c>
      <c r="B135" s="16" t="s">
        <v>141</v>
      </c>
      <c r="C135" s="17">
        <f>SUM(C136:C136)</f>
        <v>338.67</v>
      </c>
      <c r="D135" s="18">
        <f>SUM(D136:D136)</f>
        <v>0</v>
      </c>
      <c r="E135" s="18">
        <f>SUM(E136:E136)</f>
        <v>0</v>
      </c>
      <c r="F135" s="18">
        <f t="shared" ref="F135:F148" si="120">C135+D135+E135</f>
        <v>338.67</v>
      </c>
      <c r="G135" s="18">
        <f t="shared" ref="G135:R135" si="121">SUM(G136:G136)</f>
        <v>0</v>
      </c>
      <c r="H135" s="18">
        <f t="shared" si="121"/>
        <v>0</v>
      </c>
      <c r="I135" s="18">
        <f t="shared" si="121"/>
        <v>0</v>
      </c>
      <c r="J135" s="18">
        <f t="shared" si="121"/>
        <v>0</v>
      </c>
      <c r="K135" s="18">
        <f t="shared" si="121"/>
        <v>0</v>
      </c>
      <c r="L135" s="18">
        <f t="shared" si="121"/>
        <v>0</v>
      </c>
      <c r="M135" s="18">
        <f t="shared" si="121"/>
        <v>0</v>
      </c>
      <c r="N135" s="18">
        <f t="shared" si="121"/>
        <v>338.67</v>
      </c>
      <c r="O135" s="18">
        <f t="shared" si="121"/>
        <v>0</v>
      </c>
      <c r="P135" s="18">
        <f t="shared" si="121"/>
        <v>0</v>
      </c>
      <c r="Q135" s="18">
        <f t="shared" si="121"/>
        <v>0</v>
      </c>
      <c r="R135" s="18">
        <f t="shared" si="121"/>
        <v>0</v>
      </c>
      <c r="S135" s="18">
        <f t="shared" si="118"/>
        <v>338.67</v>
      </c>
      <c r="T135" s="18">
        <f t="shared" si="119"/>
        <v>0</v>
      </c>
    </row>
    <row r="136" spans="1:20" s="39" customFormat="1" ht="31.5" hidden="1" outlineLevel="1">
      <c r="A136" s="37"/>
      <c r="B136" s="20" t="s">
        <v>168</v>
      </c>
      <c r="C136" s="38">
        <v>338.67</v>
      </c>
      <c r="D136" s="41"/>
      <c r="E136" s="41"/>
      <c r="F136" s="41">
        <f t="shared" si="120"/>
        <v>338.67</v>
      </c>
      <c r="G136" s="41"/>
      <c r="H136" s="41"/>
      <c r="I136" s="41"/>
      <c r="J136" s="41"/>
      <c r="K136" s="41"/>
      <c r="L136" s="41"/>
      <c r="M136" s="41"/>
      <c r="N136" s="41">
        <v>338.67</v>
      </c>
      <c r="O136" s="41"/>
      <c r="P136" s="41"/>
      <c r="Q136" s="41"/>
      <c r="R136" s="41"/>
      <c r="S136" s="41">
        <f t="shared" si="118"/>
        <v>338.67</v>
      </c>
      <c r="T136" s="41">
        <f t="shared" si="119"/>
        <v>0</v>
      </c>
    </row>
    <row r="137" spans="1:20" s="3" customFormat="1" ht="31.5" hidden="1" collapsed="1">
      <c r="A137" s="11" t="s">
        <v>142</v>
      </c>
      <c r="B137" s="12" t="s">
        <v>143</v>
      </c>
      <c r="C137" s="14">
        <f>C138+C141+C146+C148+C149</f>
        <v>18721.330000000002</v>
      </c>
      <c r="D137" s="13">
        <f t="shared" ref="D137:R137" si="122">D138+D141+D146+D148+D149</f>
        <v>0</v>
      </c>
      <c r="E137" s="13">
        <f t="shared" si="122"/>
        <v>0</v>
      </c>
      <c r="F137" s="13">
        <f t="shared" si="122"/>
        <v>18721.330000000002</v>
      </c>
      <c r="G137" s="13">
        <f t="shared" si="122"/>
        <v>0</v>
      </c>
      <c r="H137" s="13">
        <f t="shared" si="122"/>
        <v>1661.33</v>
      </c>
      <c r="I137" s="13">
        <f t="shared" si="122"/>
        <v>0</v>
      </c>
      <c r="J137" s="13">
        <f t="shared" si="122"/>
        <v>0</v>
      </c>
      <c r="K137" s="13">
        <f t="shared" si="122"/>
        <v>2821.26</v>
      </c>
      <c r="L137" s="13">
        <f t="shared" si="122"/>
        <v>2527.62</v>
      </c>
      <c r="M137" s="13">
        <f t="shared" si="122"/>
        <v>2778.58</v>
      </c>
      <c r="N137" s="13">
        <f t="shared" si="122"/>
        <v>6720</v>
      </c>
      <c r="O137" s="13">
        <f t="shared" si="122"/>
        <v>2212.54</v>
      </c>
      <c r="P137" s="13">
        <f t="shared" si="122"/>
        <v>0</v>
      </c>
      <c r="Q137" s="13">
        <f t="shared" si="122"/>
        <v>0</v>
      </c>
      <c r="R137" s="13">
        <f t="shared" si="122"/>
        <v>0</v>
      </c>
      <c r="S137" s="14">
        <f t="shared" si="118"/>
        <v>18721.330000000002</v>
      </c>
      <c r="T137" s="14">
        <f t="shared" si="119"/>
        <v>0</v>
      </c>
    </row>
    <row r="138" spans="1:20" s="26" customFormat="1" hidden="1">
      <c r="A138" s="15" t="s">
        <v>144</v>
      </c>
      <c r="B138" s="16" t="s">
        <v>145</v>
      </c>
      <c r="C138" s="18">
        <f>SUM(C139:C140)</f>
        <v>6959.13</v>
      </c>
      <c r="D138" s="17">
        <f t="shared" ref="D138:E138" si="123">SUM(D139:D140)</f>
        <v>0</v>
      </c>
      <c r="E138" s="17">
        <f t="shared" si="123"/>
        <v>0</v>
      </c>
      <c r="F138" s="18">
        <f t="shared" si="120"/>
        <v>6959.13</v>
      </c>
      <c r="G138" s="18">
        <f>SUM(G139:G140)</f>
        <v>0</v>
      </c>
      <c r="H138" s="18">
        <f t="shared" ref="H138:R138" si="124">SUM(H139:H140)</f>
        <v>1661.33</v>
      </c>
      <c r="I138" s="18">
        <f t="shared" ref="I138" si="125">SUM(I139:I140)</f>
        <v>0</v>
      </c>
      <c r="J138" s="18">
        <f t="shared" si="124"/>
        <v>0</v>
      </c>
      <c r="K138" s="18">
        <f t="shared" si="124"/>
        <v>0</v>
      </c>
      <c r="L138" s="18">
        <f t="shared" si="124"/>
        <v>2519.2199999999998</v>
      </c>
      <c r="M138" s="18">
        <f t="shared" si="124"/>
        <v>2778.58</v>
      </c>
      <c r="N138" s="18">
        <f t="shared" si="124"/>
        <v>0</v>
      </c>
      <c r="O138" s="18">
        <f t="shared" si="124"/>
        <v>0</v>
      </c>
      <c r="P138" s="18">
        <f t="shared" si="124"/>
        <v>0</v>
      </c>
      <c r="Q138" s="18">
        <f t="shared" si="124"/>
        <v>0</v>
      </c>
      <c r="R138" s="18">
        <f t="shared" si="124"/>
        <v>0</v>
      </c>
      <c r="S138" s="18">
        <f t="shared" si="118"/>
        <v>6959.1299999999992</v>
      </c>
      <c r="T138" s="18">
        <f t="shared" si="119"/>
        <v>0</v>
      </c>
    </row>
    <row r="139" spans="1:20" s="26" customFormat="1" hidden="1" outlineLevel="1">
      <c r="A139" s="37"/>
      <c r="B139" s="20" t="s">
        <v>218</v>
      </c>
      <c r="C139" s="41">
        <v>1661.33</v>
      </c>
      <c r="D139" s="41"/>
      <c r="E139" s="41"/>
      <c r="F139" s="41">
        <f t="shared" si="120"/>
        <v>1661.33</v>
      </c>
      <c r="G139" s="41"/>
      <c r="H139" s="41">
        <v>1661.33</v>
      </c>
      <c r="I139" s="41"/>
      <c r="J139" s="41"/>
      <c r="K139" s="41"/>
      <c r="L139" s="41"/>
      <c r="M139" s="41"/>
      <c r="N139" s="41"/>
      <c r="O139" s="41"/>
      <c r="P139" s="41"/>
      <c r="Q139" s="41"/>
      <c r="R139" s="41"/>
      <c r="S139" s="41">
        <f t="shared" si="118"/>
        <v>1661.33</v>
      </c>
      <c r="T139" s="41">
        <f t="shared" si="119"/>
        <v>0</v>
      </c>
    </row>
    <row r="140" spans="1:20" s="39" customFormat="1" hidden="1" outlineLevel="1">
      <c r="A140" s="37"/>
      <c r="B140" s="20" t="s">
        <v>209</v>
      </c>
      <c r="C140" s="41">
        <v>5297.8</v>
      </c>
      <c r="D140" s="41"/>
      <c r="E140" s="41"/>
      <c r="F140" s="41">
        <f t="shared" si="120"/>
        <v>5297.8</v>
      </c>
      <c r="G140" s="41"/>
      <c r="H140" s="41"/>
      <c r="I140" s="41"/>
      <c r="J140" s="41"/>
      <c r="K140" s="41"/>
      <c r="L140" s="41">
        <v>2519.2199999999998</v>
      </c>
      <c r="M140" s="41">
        <v>2778.58</v>
      </c>
      <c r="N140" s="41"/>
      <c r="O140" s="41"/>
      <c r="P140" s="41"/>
      <c r="Q140" s="41"/>
      <c r="R140" s="41"/>
      <c r="S140" s="41">
        <f t="shared" si="118"/>
        <v>5297.7999999999993</v>
      </c>
      <c r="T140" s="41">
        <f t="shared" si="119"/>
        <v>0</v>
      </c>
    </row>
    <row r="141" spans="1:20" s="26" customFormat="1" hidden="1" collapsed="1">
      <c r="A141" s="15" t="s">
        <v>146</v>
      </c>
      <c r="B141" s="16" t="s">
        <v>147</v>
      </c>
      <c r="C141" s="17">
        <f>C142+C144</f>
        <v>1255.98</v>
      </c>
      <c r="D141" s="18">
        <f>D142+D144</f>
        <v>0</v>
      </c>
      <c r="E141" s="18">
        <f>E142+E144</f>
        <v>0</v>
      </c>
      <c r="F141" s="18">
        <f t="shared" si="120"/>
        <v>1255.98</v>
      </c>
      <c r="G141" s="18">
        <f t="shared" ref="G141:R141" si="126">G142+G144</f>
        <v>0</v>
      </c>
      <c r="H141" s="18">
        <f t="shared" si="126"/>
        <v>0</v>
      </c>
      <c r="I141" s="18">
        <f t="shared" si="126"/>
        <v>0</v>
      </c>
      <c r="J141" s="18">
        <f t="shared" si="126"/>
        <v>0</v>
      </c>
      <c r="K141" s="18">
        <f t="shared" si="126"/>
        <v>1247.58</v>
      </c>
      <c r="L141" s="18">
        <f t="shared" si="126"/>
        <v>8.4</v>
      </c>
      <c r="M141" s="18">
        <f t="shared" si="126"/>
        <v>0</v>
      </c>
      <c r="N141" s="18">
        <f t="shared" si="126"/>
        <v>0</v>
      </c>
      <c r="O141" s="18">
        <f t="shared" si="126"/>
        <v>0</v>
      </c>
      <c r="P141" s="18">
        <f t="shared" si="126"/>
        <v>0</v>
      </c>
      <c r="Q141" s="18">
        <f t="shared" si="126"/>
        <v>0</v>
      </c>
      <c r="R141" s="18">
        <f t="shared" si="126"/>
        <v>0</v>
      </c>
      <c r="S141" s="18">
        <f t="shared" si="118"/>
        <v>1255.98</v>
      </c>
      <c r="T141" s="18">
        <f t="shared" si="119"/>
        <v>0</v>
      </c>
    </row>
    <row r="142" spans="1:20" s="26" customFormat="1" ht="31.5" hidden="1">
      <c r="A142" s="27" t="s">
        <v>148</v>
      </c>
      <c r="B142" s="28" t="s">
        <v>149</v>
      </c>
      <c r="C142" s="29">
        <f>SUM(C143:C143)</f>
        <v>1255.98</v>
      </c>
      <c r="D142" s="30">
        <f>SUM(D143:D143)</f>
        <v>0</v>
      </c>
      <c r="E142" s="30">
        <f>SUM(E143:E143)</f>
        <v>0</v>
      </c>
      <c r="F142" s="30">
        <f t="shared" si="120"/>
        <v>1255.98</v>
      </c>
      <c r="G142" s="30">
        <f t="shared" ref="G142:R142" si="127">SUM(G143:G143)</f>
        <v>0</v>
      </c>
      <c r="H142" s="30">
        <f t="shared" si="127"/>
        <v>0</v>
      </c>
      <c r="I142" s="30">
        <f t="shared" si="127"/>
        <v>0</v>
      </c>
      <c r="J142" s="30">
        <f t="shared" si="127"/>
        <v>0</v>
      </c>
      <c r="K142" s="30">
        <f t="shared" si="127"/>
        <v>1247.58</v>
      </c>
      <c r="L142" s="30">
        <f t="shared" si="127"/>
        <v>8.4</v>
      </c>
      <c r="M142" s="30">
        <f t="shared" si="127"/>
        <v>0</v>
      </c>
      <c r="N142" s="30">
        <f t="shared" si="127"/>
        <v>0</v>
      </c>
      <c r="O142" s="30">
        <f t="shared" si="127"/>
        <v>0</v>
      </c>
      <c r="P142" s="30">
        <f t="shared" si="127"/>
        <v>0</v>
      </c>
      <c r="Q142" s="30">
        <f t="shared" si="127"/>
        <v>0</v>
      </c>
      <c r="R142" s="30">
        <f t="shared" si="127"/>
        <v>0</v>
      </c>
      <c r="S142" s="30">
        <f t="shared" si="118"/>
        <v>1255.98</v>
      </c>
      <c r="T142" s="30">
        <f t="shared" si="119"/>
        <v>0</v>
      </c>
    </row>
    <row r="143" spans="1:20" s="49" customFormat="1" hidden="1" outlineLevel="1">
      <c r="A143" s="48"/>
      <c r="B143" s="20" t="s">
        <v>224</v>
      </c>
      <c r="C143" s="38">
        <v>1255.98</v>
      </c>
      <c r="D143" s="41"/>
      <c r="E143" s="41"/>
      <c r="F143" s="41">
        <f t="shared" si="120"/>
        <v>1255.98</v>
      </c>
      <c r="G143" s="41"/>
      <c r="H143" s="41"/>
      <c r="I143" s="41"/>
      <c r="J143" s="41"/>
      <c r="K143" s="41">
        <v>1247.58</v>
      </c>
      <c r="L143" s="41">
        <v>8.4</v>
      </c>
      <c r="M143" s="41"/>
      <c r="N143" s="41"/>
      <c r="O143" s="41"/>
      <c r="P143" s="41"/>
      <c r="Q143" s="41"/>
      <c r="R143" s="41"/>
      <c r="S143" s="41">
        <f t="shared" si="118"/>
        <v>1255.98</v>
      </c>
      <c r="T143" s="41">
        <f t="shared" si="119"/>
        <v>0</v>
      </c>
    </row>
    <row r="144" spans="1:20" s="26" customFormat="1" ht="31.5" hidden="1" collapsed="1">
      <c r="A144" s="27" t="s">
        <v>150</v>
      </c>
      <c r="B144" s="28" t="s">
        <v>151</v>
      </c>
      <c r="C144" s="29">
        <f>C145</f>
        <v>0</v>
      </c>
      <c r="D144" s="30">
        <f t="shared" ref="D144:R144" si="128">D145</f>
        <v>0</v>
      </c>
      <c r="E144" s="30">
        <f t="shared" si="128"/>
        <v>0</v>
      </c>
      <c r="F144" s="30">
        <f t="shared" si="120"/>
        <v>0</v>
      </c>
      <c r="G144" s="30">
        <f t="shared" si="128"/>
        <v>0</v>
      </c>
      <c r="H144" s="30">
        <f t="shared" si="128"/>
        <v>0</v>
      </c>
      <c r="I144" s="30">
        <f t="shared" si="128"/>
        <v>0</v>
      </c>
      <c r="J144" s="30">
        <f t="shared" si="128"/>
        <v>0</v>
      </c>
      <c r="K144" s="30">
        <f t="shared" si="128"/>
        <v>0</v>
      </c>
      <c r="L144" s="30">
        <f t="shared" si="128"/>
        <v>0</v>
      </c>
      <c r="M144" s="30">
        <f t="shared" si="128"/>
        <v>0</v>
      </c>
      <c r="N144" s="30">
        <f t="shared" si="128"/>
        <v>0</v>
      </c>
      <c r="O144" s="30">
        <f t="shared" si="128"/>
        <v>0</v>
      </c>
      <c r="P144" s="30">
        <f t="shared" si="128"/>
        <v>0</v>
      </c>
      <c r="Q144" s="30">
        <f t="shared" si="128"/>
        <v>0</v>
      </c>
      <c r="R144" s="30">
        <f t="shared" si="128"/>
        <v>0</v>
      </c>
      <c r="S144" s="30">
        <f t="shared" si="118"/>
        <v>0</v>
      </c>
      <c r="T144" s="30">
        <f t="shared" si="119"/>
        <v>0</v>
      </c>
    </row>
    <row r="145" spans="1:20" s="49" customFormat="1" hidden="1" outlineLevel="1">
      <c r="A145" s="48"/>
      <c r="B145" s="34"/>
      <c r="C145" s="40">
        <v>0</v>
      </c>
      <c r="D145" s="42"/>
      <c r="E145" s="42"/>
      <c r="F145" s="42">
        <f t="shared" si="120"/>
        <v>0</v>
      </c>
      <c r="G145" s="42"/>
      <c r="H145" s="42"/>
      <c r="I145" s="42"/>
      <c r="J145" s="42"/>
      <c r="K145" s="42"/>
      <c r="L145" s="42"/>
      <c r="M145" s="42"/>
      <c r="N145" s="42"/>
      <c r="O145" s="42"/>
      <c r="P145" s="42"/>
      <c r="Q145" s="42"/>
      <c r="R145" s="42"/>
      <c r="S145" s="42">
        <f t="shared" si="118"/>
        <v>0</v>
      </c>
      <c r="T145" s="42">
        <f t="shared" si="119"/>
        <v>0</v>
      </c>
    </row>
    <row r="146" spans="1:20" s="26" customFormat="1" ht="31.5" hidden="1" collapsed="1">
      <c r="A146" s="15" t="s">
        <v>152</v>
      </c>
      <c r="B146" s="16" t="s">
        <v>153</v>
      </c>
      <c r="C146" s="17">
        <f>SUM(C147:C147)</f>
        <v>6720</v>
      </c>
      <c r="D146" s="18">
        <f>SUM(D147:D147)</f>
        <v>0</v>
      </c>
      <c r="E146" s="18">
        <f>SUM(E147:E147)</f>
        <v>0</v>
      </c>
      <c r="F146" s="18">
        <f t="shared" si="120"/>
        <v>6720</v>
      </c>
      <c r="G146" s="18">
        <f t="shared" ref="G146:R146" si="129">SUM(G147:G147)</f>
        <v>0</v>
      </c>
      <c r="H146" s="18">
        <f t="shared" si="129"/>
        <v>0</v>
      </c>
      <c r="I146" s="18">
        <f t="shared" si="129"/>
        <v>0</v>
      </c>
      <c r="J146" s="18">
        <f t="shared" si="129"/>
        <v>0</v>
      </c>
      <c r="K146" s="18">
        <f t="shared" si="129"/>
        <v>0</v>
      </c>
      <c r="L146" s="18">
        <f t="shared" si="129"/>
        <v>0</v>
      </c>
      <c r="M146" s="18">
        <f t="shared" si="129"/>
        <v>0</v>
      </c>
      <c r="N146" s="18">
        <f t="shared" si="129"/>
        <v>6720</v>
      </c>
      <c r="O146" s="18">
        <f t="shared" si="129"/>
        <v>0</v>
      </c>
      <c r="P146" s="18">
        <f t="shared" si="129"/>
        <v>0</v>
      </c>
      <c r="Q146" s="18">
        <f t="shared" si="129"/>
        <v>0</v>
      </c>
      <c r="R146" s="18">
        <f t="shared" si="129"/>
        <v>0</v>
      </c>
      <c r="S146" s="18">
        <f t="shared" si="118"/>
        <v>6720</v>
      </c>
      <c r="T146" s="18">
        <f t="shared" si="119"/>
        <v>0</v>
      </c>
    </row>
    <row r="147" spans="1:20" s="49" customFormat="1" ht="47.25" hidden="1" outlineLevel="2">
      <c r="A147" s="48"/>
      <c r="B147" s="20" t="s">
        <v>178</v>
      </c>
      <c r="C147" s="41">
        <v>6720</v>
      </c>
      <c r="D147" s="41"/>
      <c r="E147" s="41"/>
      <c r="F147" s="41">
        <f t="shared" si="120"/>
        <v>6720</v>
      </c>
      <c r="G147" s="41"/>
      <c r="H147" s="41"/>
      <c r="I147" s="41"/>
      <c r="J147" s="41"/>
      <c r="K147" s="41"/>
      <c r="L147" s="41"/>
      <c r="M147" s="41"/>
      <c r="N147" s="41">
        <v>6720</v>
      </c>
      <c r="O147" s="41"/>
      <c r="P147" s="41"/>
      <c r="Q147" s="41"/>
      <c r="R147" s="41"/>
      <c r="S147" s="41">
        <f t="shared" si="118"/>
        <v>6720</v>
      </c>
      <c r="T147" s="41">
        <f t="shared" si="119"/>
        <v>0</v>
      </c>
    </row>
    <row r="148" spans="1:20" s="26" customFormat="1" hidden="1" collapsed="1">
      <c r="A148" s="15" t="s">
        <v>154</v>
      </c>
      <c r="B148" s="16" t="s">
        <v>155</v>
      </c>
      <c r="C148" s="17">
        <v>2212.54</v>
      </c>
      <c r="D148" s="18">
        <v>0</v>
      </c>
      <c r="E148" s="18">
        <v>0</v>
      </c>
      <c r="F148" s="18">
        <f t="shared" si="120"/>
        <v>2212.54</v>
      </c>
      <c r="G148" s="18">
        <v>0</v>
      </c>
      <c r="H148" s="18">
        <v>0</v>
      </c>
      <c r="I148" s="18">
        <v>0</v>
      </c>
      <c r="J148" s="18">
        <v>0</v>
      </c>
      <c r="K148" s="18">
        <v>0</v>
      </c>
      <c r="L148" s="18"/>
      <c r="M148" s="18">
        <v>0</v>
      </c>
      <c r="N148" s="18">
        <v>0</v>
      </c>
      <c r="O148" s="18">
        <v>2212.54</v>
      </c>
      <c r="P148" s="18">
        <v>0</v>
      </c>
      <c r="Q148" s="18">
        <v>0</v>
      </c>
      <c r="R148" s="18">
        <v>0</v>
      </c>
      <c r="S148" s="18">
        <f t="shared" si="118"/>
        <v>2212.54</v>
      </c>
      <c r="T148" s="18">
        <f t="shared" si="119"/>
        <v>0</v>
      </c>
    </row>
    <row r="149" spans="1:20" ht="47.25" hidden="1">
      <c r="A149" s="15" t="s">
        <v>225</v>
      </c>
      <c r="B149" s="16" t="s">
        <v>229</v>
      </c>
      <c r="C149" s="17">
        <v>1573.68</v>
      </c>
      <c r="D149" s="18">
        <v>0</v>
      </c>
      <c r="E149" s="18">
        <v>0</v>
      </c>
      <c r="F149" s="18">
        <f t="shared" ref="F149" si="130">C149+D149+E149</f>
        <v>1573.68</v>
      </c>
      <c r="G149" s="18">
        <v>0</v>
      </c>
      <c r="H149" s="18">
        <v>0</v>
      </c>
      <c r="I149" s="18">
        <v>0</v>
      </c>
      <c r="J149" s="18">
        <v>0</v>
      </c>
      <c r="K149" s="18">
        <v>1573.68</v>
      </c>
      <c r="L149" s="18"/>
      <c r="M149" s="18">
        <v>0</v>
      </c>
      <c r="N149" s="18">
        <v>0</v>
      </c>
      <c r="O149" s="18">
        <v>0</v>
      </c>
      <c r="P149" s="18">
        <v>0</v>
      </c>
      <c r="Q149" s="18">
        <v>0</v>
      </c>
      <c r="R149" s="18">
        <v>0</v>
      </c>
      <c r="S149" s="18">
        <f t="shared" si="118"/>
        <v>1573.68</v>
      </c>
      <c r="T149" s="18">
        <f t="shared" si="119"/>
        <v>0</v>
      </c>
    </row>
    <row r="150" spans="1:20">
      <c r="C150" s="51"/>
      <c r="D150" s="51"/>
    </row>
    <row r="152" spans="1:20">
      <c r="D152" s="51"/>
    </row>
  </sheetData>
  <mergeCells count="12">
    <mergeCell ref="Q1:T1"/>
    <mergeCell ref="A2:T2"/>
    <mergeCell ref="A3:A4"/>
    <mergeCell ref="B3:B4"/>
    <mergeCell ref="C3:C4"/>
    <mergeCell ref="D3:D4"/>
    <mergeCell ref="F3:F4"/>
    <mergeCell ref="G3:L3"/>
    <mergeCell ref="M3:R3"/>
    <mergeCell ref="S3:S4"/>
    <mergeCell ref="E3:E4"/>
    <mergeCell ref="T3:T4"/>
  </mergeCells>
  <phoneticPr fontId="15" type="noConversion"/>
  <pageMargins left="0.23622047244094491" right="0.23622047244094491" top="0.74803149606299213" bottom="0.74803149606299213" header="0.31496062992125984" footer="0.31496062992125984"/>
  <pageSetup paperSize="9" scale="49" orientation="landscape" verticalDpi="90" r:id="rId1"/>
  <colBreaks count="1" manualBreakCount="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E60EA-04E2-4AB5-ADDE-7C5DED79333A}">
  <dimension ref="A1:H40"/>
  <sheetViews>
    <sheetView tabSelected="1" view="pageBreakPreview" topLeftCell="A15" zoomScale="115" zoomScaleNormal="115" zoomScaleSheetLayoutView="115" workbookViewId="0">
      <selection activeCell="K41" sqref="K41"/>
    </sheetView>
  </sheetViews>
  <sheetFormatPr defaultRowHeight="12.75"/>
  <cols>
    <col min="1" max="1" width="9.85546875" style="92" bestFit="1" customWidth="1"/>
    <col min="2" max="2" width="79.42578125" style="92" customWidth="1"/>
    <col min="3" max="3" width="16.42578125" style="92" customWidth="1"/>
    <col min="4" max="4" width="9.140625" style="92"/>
    <col min="5" max="5" width="9.5703125" style="92" bestFit="1" customWidth="1"/>
    <col min="6" max="6" width="9.140625" style="92"/>
    <col min="7" max="7" width="11.5703125" style="92" customWidth="1"/>
    <col min="8" max="8" width="14.5703125" style="92" customWidth="1"/>
    <col min="9" max="16384" width="9.140625" style="92"/>
  </cols>
  <sheetData>
    <row r="1" spans="1:8" ht="52.5" customHeight="1">
      <c r="G1" s="166" t="s">
        <v>330</v>
      </c>
      <c r="H1" s="166"/>
    </row>
    <row r="3" spans="1:8" s="95" customFormat="1" ht="35.450000000000003" customHeight="1">
      <c r="A3" s="93" t="s">
        <v>275</v>
      </c>
      <c r="B3" s="93" t="s">
        <v>276</v>
      </c>
      <c r="C3" s="93" t="s">
        <v>277</v>
      </c>
      <c r="D3" s="93" t="s">
        <v>278</v>
      </c>
      <c r="E3" s="94" t="s">
        <v>279</v>
      </c>
      <c r="F3" s="93" t="s">
        <v>202</v>
      </c>
      <c r="G3" s="94" t="s">
        <v>280</v>
      </c>
      <c r="H3" s="93" t="s">
        <v>281</v>
      </c>
    </row>
    <row r="4" spans="1:8" ht="22.5" customHeight="1">
      <c r="A4" s="96">
        <v>1</v>
      </c>
      <c r="B4" s="169" t="s">
        <v>282</v>
      </c>
      <c r="C4" s="170"/>
      <c r="D4" s="170"/>
      <c r="E4" s="170"/>
      <c r="F4" s="170"/>
      <c r="G4" s="170"/>
      <c r="H4" s="97">
        <f>H5+H6+H7+H8</f>
        <v>20000</v>
      </c>
    </row>
    <row r="5" spans="1:8">
      <c r="A5" s="98">
        <v>1.1000000000000001</v>
      </c>
      <c r="B5" s="98" t="s">
        <v>283</v>
      </c>
      <c r="C5" s="98" t="s">
        <v>284</v>
      </c>
      <c r="D5" s="98">
        <v>1</v>
      </c>
      <c r="E5" s="98">
        <v>2410</v>
      </c>
      <c r="F5" s="98">
        <f>D5*E5</f>
        <v>2410</v>
      </c>
      <c r="G5" s="98">
        <v>2</v>
      </c>
      <c r="H5" s="99">
        <f>F5*G5</f>
        <v>4820</v>
      </c>
    </row>
    <row r="6" spans="1:8">
      <c r="A6" s="98">
        <v>1.2</v>
      </c>
      <c r="B6" s="98" t="s">
        <v>285</v>
      </c>
      <c r="C6" s="98" t="s">
        <v>286</v>
      </c>
      <c r="D6" s="98">
        <v>188</v>
      </c>
      <c r="E6" s="98">
        <v>30</v>
      </c>
      <c r="F6" s="98">
        <f t="shared" ref="F6:F33" si="0">D6*E6</f>
        <v>5640</v>
      </c>
      <c r="G6" s="98">
        <v>2</v>
      </c>
      <c r="H6" s="99">
        <f t="shared" ref="H6:H33" si="1">F6*G6</f>
        <v>11280</v>
      </c>
    </row>
    <row r="7" spans="1:8">
      <c r="A7" s="98">
        <v>1.3</v>
      </c>
      <c r="B7" s="98" t="s">
        <v>287</v>
      </c>
      <c r="C7" s="100" t="s">
        <v>284</v>
      </c>
      <c r="D7" s="100">
        <v>1</v>
      </c>
      <c r="E7" s="100">
        <v>100</v>
      </c>
      <c r="F7" s="100">
        <f t="shared" si="0"/>
        <v>100</v>
      </c>
      <c r="G7" s="100">
        <v>4</v>
      </c>
      <c r="H7" s="99">
        <f t="shared" si="1"/>
        <v>400</v>
      </c>
    </row>
    <row r="8" spans="1:8">
      <c r="A8" s="98">
        <v>1.4</v>
      </c>
      <c r="B8" s="98" t="s">
        <v>288</v>
      </c>
      <c r="C8" s="100" t="s">
        <v>286</v>
      </c>
      <c r="D8" s="100">
        <v>70</v>
      </c>
      <c r="E8" s="100">
        <v>10</v>
      </c>
      <c r="F8" s="100">
        <f t="shared" si="0"/>
        <v>700</v>
      </c>
      <c r="G8" s="100">
        <v>5</v>
      </c>
      <c r="H8" s="99">
        <f t="shared" si="1"/>
        <v>3500</v>
      </c>
    </row>
    <row r="9" spans="1:8">
      <c r="A9" s="98"/>
      <c r="B9" s="98"/>
      <c r="C9" s="100"/>
      <c r="D9" s="100"/>
      <c r="E9" s="100"/>
      <c r="F9" s="100"/>
      <c r="G9" s="100"/>
      <c r="H9" s="99"/>
    </row>
    <row r="10" spans="1:8" ht="20.45" customHeight="1">
      <c r="A10" s="101">
        <v>2</v>
      </c>
      <c r="B10" s="169" t="s">
        <v>289</v>
      </c>
      <c r="C10" s="171"/>
      <c r="D10" s="171"/>
      <c r="E10" s="171"/>
      <c r="F10" s="171">
        <f t="shared" si="0"/>
        <v>0</v>
      </c>
      <c r="G10" s="171"/>
      <c r="H10" s="97">
        <f>H11+H12+H13+H14+H15+H16+H17+H18+H19+H20+H21+H22</f>
        <v>14999</v>
      </c>
    </row>
    <row r="11" spans="1:8">
      <c r="A11" s="98">
        <v>2.1</v>
      </c>
      <c r="B11" s="102" t="s">
        <v>290</v>
      </c>
      <c r="C11" s="102" t="s">
        <v>284</v>
      </c>
      <c r="D11" s="102">
        <v>1</v>
      </c>
      <c r="E11" s="102">
        <v>1250</v>
      </c>
      <c r="F11" s="102">
        <f>ROUNDUP(D11*E11,0)</f>
        <v>1250</v>
      </c>
      <c r="G11" s="102">
        <v>2</v>
      </c>
      <c r="H11" s="99">
        <f t="shared" ref="H11:H20" si="2">ROUNDUP(F11*G11,0)</f>
        <v>2500</v>
      </c>
    </row>
    <row r="12" spans="1:8">
      <c r="A12" s="103" t="s">
        <v>291</v>
      </c>
      <c r="B12" s="104" t="s">
        <v>292</v>
      </c>
      <c r="C12" s="102" t="s">
        <v>284</v>
      </c>
      <c r="D12" s="102">
        <v>300</v>
      </c>
      <c r="E12" s="102">
        <v>3</v>
      </c>
      <c r="F12" s="102">
        <f t="shared" ref="F12:F22" si="3">ROUNDUP(D12*E12,0)</f>
        <v>900</v>
      </c>
      <c r="G12" s="102">
        <v>2</v>
      </c>
      <c r="H12" s="99">
        <f t="shared" si="2"/>
        <v>1800</v>
      </c>
    </row>
    <row r="13" spans="1:8">
      <c r="A13" s="105" t="s">
        <v>293</v>
      </c>
      <c r="B13" s="104" t="s">
        <v>294</v>
      </c>
      <c r="C13" s="102" t="s">
        <v>284</v>
      </c>
      <c r="D13" s="102">
        <v>500</v>
      </c>
      <c r="E13" s="102">
        <v>0.35</v>
      </c>
      <c r="F13" s="102">
        <f t="shared" si="3"/>
        <v>175</v>
      </c>
      <c r="G13" s="102">
        <v>2</v>
      </c>
      <c r="H13" s="99">
        <f t="shared" si="2"/>
        <v>350</v>
      </c>
    </row>
    <row r="14" spans="1:8">
      <c r="A14" s="105" t="s">
        <v>295</v>
      </c>
      <c r="B14" s="104" t="s">
        <v>296</v>
      </c>
      <c r="C14" s="102" t="s">
        <v>284</v>
      </c>
      <c r="D14" s="102">
        <v>10</v>
      </c>
      <c r="E14" s="102">
        <v>21</v>
      </c>
      <c r="F14" s="102">
        <f t="shared" si="3"/>
        <v>210</v>
      </c>
      <c r="G14" s="102">
        <v>2</v>
      </c>
      <c r="H14" s="99">
        <f t="shared" si="2"/>
        <v>420</v>
      </c>
    </row>
    <row r="15" spans="1:8">
      <c r="A15" s="105" t="s">
        <v>297</v>
      </c>
      <c r="B15" s="104" t="s">
        <v>298</v>
      </c>
      <c r="C15" s="102" t="s">
        <v>284</v>
      </c>
      <c r="D15" s="102">
        <v>95</v>
      </c>
      <c r="E15" s="102">
        <v>10</v>
      </c>
      <c r="F15" s="102">
        <f t="shared" si="3"/>
        <v>950</v>
      </c>
      <c r="G15" s="102">
        <v>2</v>
      </c>
      <c r="H15" s="99">
        <f t="shared" si="2"/>
        <v>1900</v>
      </c>
    </row>
    <row r="16" spans="1:8">
      <c r="A16" s="98">
        <v>2.2999999999999998</v>
      </c>
      <c r="B16" s="102" t="s">
        <v>299</v>
      </c>
      <c r="C16" s="102" t="s">
        <v>284</v>
      </c>
      <c r="D16" s="102">
        <v>1</v>
      </c>
      <c r="E16" s="102">
        <v>200</v>
      </c>
      <c r="F16" s="102">
        <f t="shared" si="3"/>
        <v>200</v>
      </c>
      <c r="G16" s="102">
        <v>2</v>
      </c>
      <c r="H16" s="99">
        <f t="shared" si="2"/>
        <v>400</v>
      </c>
    </row>
    <row r="17" spans="1:8">
      <c r="A17" s="98">
        <v>2.4</v>
      </c>
      <c r="B17" s="102" t="s">
        <v>300</v>
      </c>
      <c r="C17" s="102" t="s">
        <v>301</v>
      </c>
      <c r="D17" s="102">
        <v>25000</v>
      </c>
      <c r="E17" s="106">
        <v>1.2E-2</v>
      </c>
      <c r="F17" s="102">
        <f t="shared" si="3"/>
        <v>300</v>
      </c>
      <c r="G17" s="102">
        <v>2</v>
      </c>
      <c r="H17" s="99">
        <f t="shared" si="2"/>
        <v>600</v>
      </c>
    </row>
    <row r="18" spans="1:8">
      <c r="A18" s="98">
        <v>2.5</v>
      </c>
      <c r="B18" s="102" t="s">
        <v>302</v>
      </c>
      <c r="C18" s="102" t="s">
        <v>286</v>
      </c>
      <c r="D18" s="102">
        <v>60</v>
      </c>
      <c r="E18" s="102">
        <v>12</v>
      </c>
      <c r="F18" s="102">
        <f t="shared" si="3"/>
        <v>720</v>
      </c>
      <c r="G18" s="102">
        <v>2</v>
      </c>
      <c r="H18" s="99">
        <f t="shared" si="2"/>
        <v>1440</v>
      </c>
    </row>
    <row r="19" spans="1:8">
      <c r="A19" s="98">
        <v>2.6</v>
      </c>
      <c r="B19" s="102" t="s">
        <v>303</v>
      </c>
      <c r="C19" s="102" t="s">
        <v>304</v>
      </c>
      <c r="D19" s="100">
        <v>35</v>
      </c>
      <c r="E19" s="102">
        <v>70</v>
      </c>
      <c r="F19" s="102">
        <f t="shared" si="3"/>
        <v>2450</v>
      </c>
      <c r="G19" s="102">
        <v>2</v>
      </c>
      <c r="H19" s="99">
        <f t="shared" si="2"/>
        <v>4900</v>
      </c>
    </row>
    <row r="20" spans="1:8">
      <c r="A20" s="103" t="s">
        <v>305</v>
      </c>
      <c r="B20" s="107" t="s">
        <v>306</v>
      </c>
      <c r="C20" s="98" t="s">
        <v>284</v>
      </c>
      <c r="D20" s="98">
        <v>15</v>
      </c>
      <c r="E20" s="98">
        <v>3</v>
      </c>
      <c r="F20" s="102">
        <f t="shared" si="3"/>
        <v>45</v>
      </c>
      <c r="G20" s="98">
        <v>8</v>
      </c>
      <c r="H20" s="99">
        <f t="shared" si="2"/>
        <v>360</v>
      </c>
    </row>
    <row r="21" spans="1:8">
      <c r="A21" s="105" t="s">
        <v>307</v>
      </c>
      <c r="B21" s="107" t="s">
        <v>294</v>
      </c>
      <c r="C21" s="98" t="s">
        <v>284</v>
      </c>
      <c r="D21" s="98">
        <v>100</v>
      </c>
      <c r="E21" s="98">
        <v>0.35</v>
      </c>
      <c r="F21" s="102">
        <f t="shared" si="3"/>
        <v>35</v>
      </c>
      <c r="G21" s="98">
        <v>5</v>
      </c>
      <c r="H21" s="99">
        <f>ROUNDUP(F21*G21,0)</f>
        <v>175</v>
      </c>
    </row>
    <row r="22" spans="1:8">
      <c r="A22" s="105" t="s">
        <v>308</v>
      </c>
      <c r="B22" s="107" t="s">
        <v>309</v>
      </c>
      <c r="C22" s="98" t="s">
        <v>284</v>
      </c>
      <c r="D22" s="98">
        <v>1</v>
      </c>
      <c r="E22" s="98">
        <v>22</v>
      </c>
      <c r="F22" s="102">
        <f t="shared" si="3"/>
        <v>22</v>
      </c>
      <c r="G22" s="98">
        <v>7</v>
      </c>
      <c r="H22" s="99">
        <f>ROUNDUP(F22*G22,0)</f>
        <v>154</v>
      </c>
    </row>
    <row r="23" spans="1:8" ht="30.95" customHeight="1">
      <c r="A23" s="101">
        <v>3</v>
      </c>
      <c r="B23" s="169" t="s">
        <v>310</v>
      </c>
      <c r="C23" s="171"/>
      <c r="D23" s="171"/>
      <c r="E23" s="171"/>
      <c r="F23" s="171">
        <f t="shared" si="0"/>
        <v>0</v>
      </c>
      <c r="G23" s="171"/>
      <c r="H23" s="108">
        <f>H24+H25+H26+H27+H28</f>
        <v>10001</v>
      </c>
    </row>
    <row r="24" spans="1:8">
      <c r="A24" s="98">
        <v>3.1</v>
      </c>
      <c r="B24" s="98" t="s">
        <v>311</v>
      </c>
      <c r="C24" s="98" t="s">
        <v>312</v>
      </c>
      <c r="D24" s="98">
        <v>15</v>
      </c>
      <c r="E24" s="98">
        <v>148</v>
      </c>
      <c r="F24" s="98">
        <f t="shared" si="0"/>
        <v>2220</v>
      </c>
      <c r="G24" s="98">
        <v>2</v>
      </c>
      <c r="H24" s="99">
        <f t="shared" si="1"/>
        <v>4440</v>
      </c>
    </row>
    <row r="25" spans="1:8">
      <c r="A25" s="98">
        <v>3.2</v>
      </c>
      <c r="B25" s="98" t="s">
        <v>313</v>
      </c>
      <c r="C25" s="98" t="s">
        <v>284</v>
      </c>
      <c r="D25" s="98">
        <v>1</v>
      </c>
      <c r="E25" s="98">
        <v>600</v>
      </c>
      <c r="F25" s="98">
        <f t="shared" si="0"/>
        <v>600</v>
      </c>
      <c r="G25" s="98">
        <v>2</v>
      </c>
      <c r="H25" s="99">
        <f t="shared" si="1"/>
        <v>1200</v>
      </c>
    </row>
    <row r="26" spans="1:8">
      <c r="A26" s="98">
        <v>3.3</v>
      </c>
      <c r="B26" s="98" t="s">
        <v>314</v>
      </c>
      <c r="C26" s="98" t="s">
        <v>315</v>
      </c>
      <c r="D26" s="98">
        <v>1</v>
      </c>
      <c r="E26" s="98">
        <v>961</v>
      </c>
      <c r="F26" s="98">
        <f t="shared" si="0"/>
        <v>961</v>
      </c>
      <c r="G26" s="98">
        <v>1</v>
      </c>
      <c r="H26" s="99">
        <f t="shared" si="1"/>
        <v>961</v>
      </c>
    </row>
    <row r="27" spans="1:8">
      <c r="A27" s="98">
        <v>3.4</v>
      </c>
      <c r="B27" s="98" t="s">
        <v>316</v>
      </c>
      <c r="C27" s="98" t="s">
        <v>317</v>
      </c>
      <c r="D27" s="98">
        <v>3</v>
      </c>
      <c r="E27" s="98">
        <v>200</v>
      </c>
      <c r="F27" s="98">
        <f t="shared" si="0"/>
        <v>600</v>
      </c>
      <c r="G27" s="98">
        <v>4</v>
      </c>
      <c r="H27" s="99">
        <f t="shared" si="1"/>
        <v>2400</v>
      </c>
    </row>
    <row r="28" spans="1:8" ht="22.5" customHeight="1">
      <c r="A28" s="98">
        <v>3.5</v>
      </c>
      <c r="B28" s="98" t="s">
        <v>318</v>
      </c>
      <c r="C28" s="98" t="s">
        <v>284</v>
      </c>
      <c r="D28" s="98">
        <v>1</v>
      </c>
      <c r="E28" s="98">
        <v>100</v>
      </c>
      <c r="F28" s="98">
        <f>D28*E28</f>
        <v>100</v>
      </c>
      <c r="G28" s="98">
        <v>10</v>
      </c>
      <c r="H28" s="99">
        <f>F28*G28</f>
        <v>1000</v>
      </c>
    </row>
    <row r="29" spans="1:8">
      <c r="A29" s="98"/>
      <c r="B29" s="98"/>
      <c r="C29" s="98"/>
      <c r="D29" s="98"/>
      <c r="E29" s="98"/>
      <c r="F29" s="98"/>
      <c r="G29" s="98"/>
      <c r="H29" s="99"/>
    </row>
    <row r="30" spans="1:8" ht="27" customHeight="1">
      <c r="A30" s="109">
        <v>4</v>
      </c>
      <c r="B30" s="172" t="s">
        <v>319</v>
      </c>
      <c r="C30" s="173"/>
      <c r="D30" s="173"/>
      <c r="E30" s="173"/>
      <c r="F30" s="173">
        <f t="shared" si="0"/>
        <v>0</v>
      </c>
      <c r="G30" s="173"/>
      <c r="H30" s="110">
        <f>H31+H32+H33+H34</f>
        <v>10000</v>
      </c>
    </row>
    <row r="31" spans="1:8">
      <c r="A31" s="98">
        <v>4.0999999999999996</v>
      </c>
      <c r="B31" s="98" t="s">
        <v>320</v>
      </c>
      <c r="C31" s="98" t="s">
        <v>321</v>
      </c>
      <c r="D31" s="98">
        <v>5</v>
      </c>
      <c r="E31" s="98">
        <v>150</v>
      </c>
      <c r="F31" s="98">
        <f t="shared" si="0"/>
        <v>750</v>
      </c>
      <c r="G31" s="98">
        <v>2</v>
      </c>
      <c r="H31" s="99">
        <f t="shared" si="1"/>
        <v>1500</v>
      </c>
    </row>
    <row r="32" spans="1:8">
      <c r="A32" s="98">
        <v>4.2</v>
      </c>
      <c r="B32" s="98" t="s">
        <v>322</v>
      </c>
      <c r="C32" s="98" t="s">
        <v>321</v>
      </c>
      <c r="D32" s="98">
        <v>10</v>
      </c>
      <c r="E32" s="98">
        <v>100</v>
      </c>
      <c r="F32" s="98">
        <f t="shared" si="0"/>
        <v>1000</v>
      </c>
      <c r="G32" s="98">
        <v>2</v>
      </c>
      <c r="H32" s="99">
        <f t="shared" si="1"/>
        <v>2000</v>
      </c>
    </row>
    <row r="33" spans="1:8">
      <c r="A33" s="98">
        <v>4.3</v>
      </c>
      <c r="B33" s="98" t="s">
        <v>323</v>
      </c>
      <c r="C33" s="98" t="s">
        <v>321</v>
      </c>
      <c r="D33" s="98">
        <v>10</v>
      </c>
      <c r="E33" s="98">
        <v>25</v>
      </c>
      <c r="F33" s="98">
        <f t="shared" si="0"/>
        <v>250</v>
      </c>
      <c r="G33" s="98">
        <v>2</v>
      </c>
      <c r="H33" s="99">
        <f t="shared" si="1"/>
        <v>500</v>
      </c>
    </row>
    <row r="34" spans="1:8">
      <c r="A34" s="98">
        <v>4.4000000000000004</v>
      </c>
      <c r="B34" s="98" t="s">
        <v>324</v>
      </c>
      <c r="C34" s="98" t="s">
        <v>321</v>
      </c>
      <c r="D34" s="98">
        <v>4</v>
      </c>
      <c r="E34" s="98">
        <v>750</v>
      </c>
      <c r="F34" s="98">
        <f>D34*E34</f>
        <v>3000</v>
      </c>
      <c r="G34" s="98">
        <v>2</v>
      </c>
      <c r="H34" s="99">
        <f>F34*G34</f>
        <v>6000</v>
      </c>
    </row>
    <row r="35" spans="1:8" ht="27.6" customHeight="1">
      <c r="A35" s="96">
        <v>5</v>
      </c>
      <c r="B35" s="174" t="s">
        <v>325</v>
      </c>
      <c r="C35" s="175"/>
      <c r="D35" s="175"/>
      <c r="E35" s="175"/>
      <c r="F35" s="175"/>
      <c r="G35" s="175"/>
      <c r="H35" s="108">
        <f>H36+H37</f>
        <v>5000</v>
      </c>
    </row>
    <row r="36" spans="1:8" ht="25.5">
      <c r="A36" s="98">
        <v>5.0999999999999996</v>
      </c>
      <c r="B36" s="111" t="s">
        <v>326</v>
      </c>
      <c r="C36" s="111" t="s">
        <v>327</v>
      </c>
      <c r="D36" s="98">
        <v>60</v>
      </c>
      <c r="E36" s="98">
        <v>20</v>
      </c>
      <c r="F36" s="98">
        <f>D36*E36</f>
        <v>1200</v>
      </c>
      <c r="G36" s="98">
        <v>2</v>
      </c>
      <c r="H36" s="99">
        <f>F36*G36</f>
        <v>2400</v>
      </c>
    </row>
    <row r="37" spans="1:8" ht="38.25">
      <c r="A37" s="98">
        <v>5.2</v>
      </c>
      <c r="B37" s="111" t="s">
        <v>328</v>
      </c>
      <c r="C37" s="111" t="s">
        <v>327</v>
      </c>
      <c r="D37" s="98">
        <v>130</v>
      </c>
      <c r="E37" s="98">
        <v>20</v>
      </c>
      <c r="F37" s="98">
        <f>D37*E37</f>
        <v>2600</v>
      </c>
      <c r="G37" s="98">
        <v>1</v>
      </c>
      <c r="H37" s="99">
        <f>F37*G37</f>
        <v>2600</v>
      </c>
    </row>
    <row r="38" spans="1:8">
      <c r="A38" s="112"/>
      <c r="B38" s="176" t="s">
        <v>329</v>
      </c>
      <c r="C38" s="177"/>
      <c r="D38" s="177"/>
      <c r="E38" s="177"/>
      <c r="F38" s="177"/>
      <c r="G38" s="178"/>
      <c r="H38" s="113">
        <f>H35+H30+H23+H10+H4</f>
        <v>60000</v>
      </c>
    </row>
    <row r="39" spans="1:8" ht="15">
      <c r="B39" s="167" t="s">
        <v>273</v>
      </c>
      <c r="C39" s="167"/>
      <c r="D39" s="167"/>
      <c r="E39" s="167"/>
      <c r="F39" s="167"/>
      <c r="G39" s="167"/>
      <c r="H39" s="179">
        <v>55000</v>
      </c>
    </row>
    <row r="40" spans="1:8" ht="15">
      <c r="B40" s="168" t="s">
        <v>274</v>
      </c>
      <c r="C40" s="168"/>
      <c r="D40" s="168"/>
      <c r="E40" s="168"/>
      <c r="F40" s="168"/>
      <c r="G40" s="168"/>
      <c r="H40" s="179">
        <v>5000</v>
      </c>
    </row>
  </sheetData>
  <mergeCells count="9">
    <mergeCell ref="G1:H1"/>
    <mergeCell ref="B39:G39"/>
    <mergeCell ref="B40:G40"/>
    <mergeCell ref="B4:G4"/>
    <mergeCell ref="B10:G10"/>
    <mergeCell ref="B23:G23"/>
    <mergeCell ref="B30:G30"/>
    <mergeCell ref="B35:G35"/>
    <mergeCell ref="B38:G38"/>
  </mergeCell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Template/>
  <TotalTime>195</TotalTime>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Kopsavilkums</vt:lpstr>
      <vt:lpstr>Neatliekami_pasākumi_pfjas_izp.</vt:lpstr>
      <vt:lpstr>Izdevumi_pfjas_nodrošināšanai</vt:lpstr>
      <vt:lpstr>PSMVM_Izmaksu pozicijas</vt:lpstr>
      <vt:lpstr>Izdevumi_pfjas_nodrošināšanai!Print_Titles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Egils Harasimjuks</dc:creator>
  <dc:description/>
  <cp:lastModifiedBy>Igors Belovs</cp:lastModifiedBy>
  <cp:revision>9</cp:revision>
  <cp:lastPrinted>2023-03-07T10:16:03Z</cp:lastPrinted>
  <dcterms:created xsi:type="dcterms:W3CDTF">2021-02-18T07:35:22Z</dcterms:created>
  <dcterms:modified xsi:type="dcterms:W3CDTF">2023-08-18T08:41:56Z</dcterms:modified>
  <dc:language>lv-LV</dc:language>
</cp:coreProperties>
</file>