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Sandra_Kasparenko\My Documents\MK_rikojumi (gatavotie)\2022\par_pasu_kapital_paliel_C19_RAKUS_Traumam_med_skabekla_pieejamibai 15.02.2022 MK info zin\no_TAPa_saskanosanaa pec atzinuma FM\"/>
    </mc:Choice>
  </mc:AlternateContent>
  <xr:revisionPtr revIDLastSave="0" documentId="13_ncr:1_{4FD84417-CC98-4737-9B84-9F3CD8D320F5}" xr6:coauthVersionLast="47" xr6:coauthVersionMax="47" xr10:uidLastSave="{00000000-0000-0000-0000-000000000000}"/>
  <bookViews>
    <workbookView xWindow="1035" yWindow="285" windowWidth="19185" windowHeight="14190" tabRatio="992" xr2:uid="{B0509B64-BB2E-4F54-A025-ACC4C60B9DA2}"/>
  </bookViews>
  <sheets>
    <sheet name="Kopsavilkums" sheetId="2" r:id="rId1"/>
    <sheet name="RAKUS" sheetId="28" r:id="rId2"/>
    <sheet name="TOS" sheetId="2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2" l="1"/>
  <c r="F6" i="2"/>
  <c r="E6" i="2"/>
  <c r="D6" i="2"/>
  <c r="G29" i="28"/>
  <c r="G28" i="28"/>
  <c r="G27" i="28"/>
  <c r="G26" i="28"/>
  <c r="G25" i="28"/>
  <c r="G24" i="28"/>
  <c r="G23" i="28"/>
  <c r="G22" i="28"/>
  <c r="G21" i="28"/>
  <c r="G20" i="28"/>
  <c r="G19" i="28"/>
  <c r="G18" i="28"/>
  <c r="G17" i="28"/>
  <c r="G16" i="28"/>
  <c r="G15" i="28"/>
  <c r="G14" i="28"/>
  <c r="G13" i="28"/>
  <c r="G12" i="28"/>
  <c r="G11" i="28"/>
  <c r="G10" i="28"/>
  <c r="G9" i="28"/>
  <c r="G8" i="28"/>
  <c r="G7" i="28"/>
  <c r="G6" i="28"/>
  <c r="G5" i="28"/>
  <c r="G4" i="28"/>
  <c r="C9" i="27"/>
  <c r="H32" i="28" l="1"/>
  <c r="G30" i="28"/>
  <c r="H33" i="28"/>
  <c r="F5" i="2"/>
  <c r="F4" i="2" l="1"/>
  <c r="C7" i="27" l="1"/>
</calcChain>
</file>

<file path=xl/sharedStrings.xml><?xml version="1.0" encoding="utf-8"?>
<sst xmlns="http://schemas.openxmlformats.org/spreadsheetml/2006/main" count="236" uniqueCount="127">
  <si>
    <t>Datums</t>
  </si>
  <si>
    <t>Summa ar PVN</t>
  </si>
  <si>
    <t>Gāzu tīkla izbūve skābekļa nodrošināšanai Covid-19 pacientiem</t>
  </si>
  <si>
    <t>Total</t>
  </si>
  <si>
    <t>Ārstniecības iestāde</t>
  </si>
  <si>
    <t>N.p.k.</t>
  </si>
  <si>
    <t>Rīgas Austrumu klīniskā universitātes lsimnīca</t>
  </si>
  <si>
    <t>Traumatoloģijas un ortopēdijas slimnīca</t>
  </si>
  <si>
    <t>KOPĀ</t>
  </si>
  <si>
    <t>Pavadzīmes vai rēķina Nr.</t>
  </si>
  <si>
    <t xml:space="preserve">Gāzu tīkla izbūve skābekļa nodrošināšanai Covid-19 pacientiem  </t>
  </si>
  <si>
    <t>Duntes iela 18, 3. nodaļa – papildus 22 skābekļa rozešu izbūve, lai varētu uzņemt Covid-19 pacientus. </t>
  </si>
  <si>
    <t>Skābekļa stacija, 5. operāciju bloks - jauna medicīniskā skābekļa pieslēguma izveide, lai atdalītu 5. operāciju bloka gāzu sistēmu no 3. nodaļas sistēmas.</t>
  </si>
  <si>
    <t>Rēķins Nr.25/10/2021</t>
  </si>
  <si>
    <t>2021.gada 21.oktobrī</t>
  </si>
  <si>
    <t>RĒĶINS 6721895163</t>
  </si>
  <si>
    <t>2021.gada 9.novembris</t>
  </si>
  <si>
    <t>Sabiedrības budžets</t>
  </si>
  <si>
    <t>atbilstoši līguma tāmei/ apjomu tabulai pielikumā</t>
  </si>
  <si>
    <t>paveikts</t>
  </si>
  <si>
    <t>Gaiļezers</t>
  </si>
  <si>
    <t>B8-2021/269</t>
  </si>
  <si>
    <t>Skābekļa pievades sistēmas izbūve stacionāra “Gaiļezers” 9. korpusa 4. stāvā</t>
  </si>
  <si>
    <t>Nr n5</t>
  </si>
  <si>
    <t>TPSC</t>
  </si>
  <si>
    <t>A1/1.1-11/21/3285</t>
  </si>
  <si>
    <t>Gāzu evakuācijas ligzdu nomaiņa stacionāra "TPSC" 3., 4. un 9. nodaļā</t>
  </si>
  <si>
    <t>Nr n4</t>
  </si>
  <si>
    <t>LIC</t>
  </si>
  <si>
    <t>A1/1.1-11/21/718</t>
  </si>
  <si>
    <t>Stacionāra "LIC" Montāžas darbi medicīniska skābekļa padeves nodrošināšanai</t>
  </si>
  <si>
    <t>Nr n2</t>
  </si>
  <si>
    <t>A1/1.1-11/21/717</t>
  </si>
  <si>
    <t>Nr n1</t>
  </si>
  <si>
    <t>ārkārtas iepirkuma ietvaros (iepirkuma identifikācijas Nr. RAKUS 2021/133A)</t>
  </si>
  <si>
    <t>plānots</t>
  </si>
  <si>
    <t>Skābekļa rozešu un cauruļvadu montāža stacionāra "Gaiļezers" 9. korpusa 9. stāva labajā pusē</t>
  </si>
  <si>
    <t>Nr 26</t>
  </si>
  <si>
    <t>Jauna medicīniskā skābekļa maģistrālā cauruļvada montāža stacionārā “Latvijas Infektoloģijas centrs” no maģistrāles zaru savienojuma līdz 18.korpusam</t>
  </si>
  <si>
    <t>Nr 25</t>
  </si>
  <si>
    <t>Biķernieki</t>
  </si>
  <si>
    <t>Skābekļa rozešu un ventiļa montāža stacionāra "Biķernieki" 4. stāva kreisajā spārnā</t>
  </si>
  <si>
    <t>Nr 24</t>
  </si>
  <si>
    <t>Skābekļa un saspiestā gaisa rozešu un cauruļvadu montāža stacionāra "Gaiļezers" 9. korpusa 3. stāvā</t>
  </si>
  <si>
    <t>Nr 23</t>
  </si>
  <si>
    <t>Skābekļa un saspiestā gaisa rozešu un cauruļvadu montāža stacionāra "Gaiļezers" 9. korpusa 6. stāvā</t>
  </si>
  <si>
    <t>Nr 22</t>
  </si>
  <si>
    <t>Skābekļa rozešu un cauruļvadu montāža stacionāra "Gaiļezers" 9. korpusa 11. stāvā</t>
  </si>
  <si>
    <t>Nr 3</t>
  </si>
  <si>
    <t>B8-2021/779</t>
  </si>
  <si>
    <t>Skābekļa cauruļvadu un sadales montāža stacionāra “Gaiļezers” 9. korpusā</t>
  </si>
  <si>
    <t>Nr 21</t>
  </si>
  <si>
    <t>Skābekļa un saspiestā gaisa rozešu un cauruļvadu montāža stacionāra “Gaiļezers” 89. nodaļā</t>
  </si>
  <si>
    <t>Nr 19</t>
  </si>
  <si>
    <t>Reduktoru un cauruļvadu montāža palielinot darba spiedienu līnijā līdz sadales telpai stacionāra “Gaiļezers” 9. korpusā</t>
  </si>
  <si>
    <t>Nr 18</t>
  </si>
  <si>
    <t>Skābekļa ligzdu un cauruļvadu montāža stacionāra “Gaiļezers” NMPUK garāžā</t>
  </si>
  <si>
    <t>Nr 15</t>
  </si>
  <si>
    <t>B8-2021/780</t>
  </si>
  <si>
    <t>Sašķidrinātā skābekļa tvertnes, spiediena stabilizācijas bloka un savienojošās maģistrālās caurules montāža stacionārā “Gaiļezers”</t>
  </si>
  <si>
    <t>Nr 14</t>
  </si>
  <si>
    <t>LOC</t>
  </si>
  <si>
    <t>Lielākas skābekļa tvertnes/mucas un maģistrālās līnijas montāža</t>
  </si>
  <si>
    <t>Nr 13</t>
  </si>
  <si>
    <t>B8-2021/640</t>
  </si>
  <si>
    <t>Skābekļa sistēmas iekšējo tīklu izbūve stacionāra “Latvijas Infektoloģijas Centrs” 6. un 8A nodaļai</t>
  </si>
  <si>
    <t>Nr 12</t>
  </si>
  <si>
    <t>Stacionāra “Gaiļezers” NMPUK jaunu skābekļa rozešu montāža</t>
  </si>
  <si>
    <t>Nr 10</t>
  </si>
  <si>
    <t>Skābekļa ligzdu un cauruļvadu montāža stacionāra “Biķernieki” Gerontoloģijas un 1. Ķirurģijas nodaļās</t>
  </si>
  <si>
    <t>Nr 9</t>
  </si>
  <si>
    <t>Nr 8</t>
  </si>
  <si>
    <t>B8-2021/743</t>
  </si>
  <si>
    <t>Saspiestā gaisa ligzdu un stiprinājuma profilu uzstādīšana stacionāra “Biķernieki”  AITN nodaļā</t>
  </si>
  <si>
    <t>Nr 7</t>
  </si>
  <si>
    <t>B8-2021/742</t>
  </si>
  <si>
    <t>Maģistrālo skābekļa un saspiestā gaisa cauruļvadu izbūve stacionārā “Tuberkulozes un plaušu slimību centrs”</t>
  </si>
  <si>
    <t>Nr 6</t>
  </si>
  <si>
    <t>B8-2021/741</t>
  </si>
  <si>
    <t>Skābekļa ligzdu un līniju izbūve stacionāra “Tuberkulozes un plaušu slimību centrs” nodaļās</t>
  </si>
  <si>
    <t>Nr 5</t>
  </si>
  <si>
    <t>B8-2021/739</t>
  </si>
  <si>
    <t>Skābekļa sistēmas iekšējo un ārējo tīklu izbūve stacionāra “Latvijas Infektoloģijas centrs” 10. nodaļā</t>
  </si>
  <si>
    <t>Nr 4</t>
  </si>
  <si>
    <t>B8-2021/738</t>
  </si>
  <si>
    <t>Jauna maģistrālā cauruļvada montāža stacionārā “Latvijas Infektoloģijas centrs” no O2 tvertnes līdz Intensīvās terapijas nodaļai (13.korpuss)</t>
  </si>
  <si>
    <t>Nr 2</t>
  </si>
  <si>
    <t>B8-2021/737</t>
  </si>
  <si>
    <t>Skābekļa sistēmas iekšējo tīklu izbūve stacionāra “Latvijas Infektoloģijas centrs” 18. korpusa 4. nodaļai</t>
  </si>
  <si>
    <t>Nr 1</t>
  </si>
  <si>
    <t>Budžets</t>
  </si>
  <si>
    <t>Darbu apjoms</t>
  </si>
  <si>
    <t>Statuss</t>
  </si>
  <si>
    <t>Stacionārs</t>
  </si>
  <si>
    <t>Līguma Nr</t>
  </si>
  <si>
    <t>Darbu Tehniskā specifikācijas – Darba pieteikumi</t>
  </si>
  <si>
    <t>Nr</t>
  </si>
  <si>
    <t>2022.gadam nepieciešamā summa, euro</t>
  </si>
  <si>
    <t>Summa (ar PVN)</t>
  </si>
  <si>
    <t>1.pielikums</t>
  </si>
  <si>
    <t>Kopā nepieciešamais finansējums 2022. gadā</t>
  </si>
  <si>
    <t>Kopā nepieciešamais finansējums par  2021. gadā veiktajiem darbiem</t>
  </si>
  <si>
    <t>2021.gadā veiktie pasākumi summa, euro</t>
  </si>
  <si>
    <t>Novembris 2021</t>
  </si>
  <si>
    <t>Decembris 2021</t>
  </si>
  <si>
    <t>Septembris 2021</t>
  </si>
  <si>
    <t>Oktobris 2021</t>
  </si>
  <si>
    <t>Aprīlis 2021</t>
  </si>
  <si>
    <t>Izpilde, mēnesis</t>
  </si>
  <si>
    <t>tiek veikti darbi</t>
  </si>
  <si>
    <t>Janvāris 2022</t>
  </si>
  <si>
    <t>notiek darbu pieņemšana</t>
  </si>
  <si>
    <t>8. Biķernieki: Skābekļa padeves līniju nomaiņa atbilstoši patēriņam (ārējo tīklu maģistrāle, iekšējie tīkli izbūve un renovācija)</t>
  </si>
  <si>
    <t>B8-2021/834</t>
  </si>
  <si>
    <t>B8-2021/835</t>
  </si>
  <si>
    <t>B8-2021/829</t>
  </si>
  <si>
    <t>B8-2021/851</t>
  </si>
  <si>
    <t>B8-2021/852</t>
  </si>
  <si>
    <t>B8-2021/836</t>
  </si>
  <si>
    <t>B8-2021/853</t>
  </si>
  <si>
    <t>B8-2021/839</t>
  </si>
  <si>
    <t>Kopā</t>
  </si>
  <si>
    <t>Ieguldīšana pamatkapiālā 2022.gadā ( tai skaitā 2021.gadā veiktie darbi)</t>
  </si>
  <si>
    <t>Pavisam kopā nepieciešams, euro</t>
  </si>
  <si>
    <t>Oktbris 2022</t>
  </si>
  <si>
    <t>2.pielikums</t>
  </si>
  <si>
    <t>3.pielikums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</si>
</sst>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€&quot;\ #,##0.00;\-&quot;€&quot;\ #,##0.00"/>
    <numFmt numFmtId="44" formatCode="_-&quot;€&quot;\ * #,##0.00_-;\-&quot;€&quot;\ * #,##0.00_-;_-&quot;€&quot;\ * &quot;-&quot;??_-;_-@_-"/>
    <numFmt numFmtId="164" formatCode="&quot;€&quot;\ #,##0.00"/>
    <numFmt numFmtId="165" formatCode="#,##0.00\ &quot;€&quot;"/>
  </numFmts>
  <fonts count="13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color rgb="FF201F1E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b/>
      <sz val="10"/>
      <color theme="0"/>
      <name val="Calibri"/>
      <family val="2"/>
      <charset val="186"/>
    </font>
    <font>
      <sz val="9"/>
      <color rgb="FF000000"/>
      <name val="Calibri"/>
      <family val="2"/>
      <charset val="186"/>
    </font>
    <font>
      <b/>
      <sz val="11"/>
      <color rgb="FF000000"/>
      <name val="Calibri"/>
      <family val="2"/>
      <charset val="186"/>
    </font>
    <font>
      <b/>
      <sz val="1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double">
        <color theme="4"/>
      </top>
      <bottom style="thin">
        <color theme="4" tint="0.39997558519241921"/>
      </bottom>
      <diagonal/>
    </border>
    <border>
      <left/>
      <right/>
      <top style="double">
        <color theme="4"/>
      </top>
      <bottom style="thin">
        <color theme="4" tint="0.3999755851924192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/>
  </cellStyleXfs>
  <cellXfs count="52">
    <xf numFmtId="0" fontId="0" fillId="0" borderId="0" xfId="0"/>
    <xf numFmtId="44" fontId="0" fillId="0" borderId="0" xfId="0" applyNumberFormat="1"/>
    <xf numFmtId="0" fontId="5" fillId="0" borderId="4" xfId="0" applyFont="1" applyBorder="1"/>
    <xf numFmtId="0" fontId="2" fillId="3" borderId="1" xfId="0" applyFont="1" applyFill="1" applyBorder="1" applyAlignment="1">
      <alignment vertical="top" wrapText="1"/>
    </xf>
    <xf numFmtId="0" fontId="2" fillId="3" borderId="2" xfId="0" applyFont="1" applyFill="1" applyBorder="1" applyAlignment="1">
      <alignment vertical="top"/>
    </xf>
    <xf numFmtId="0" fontId="2" fillId="3" borderId="2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/>
    </xf>
    <xf numFmtId="44" fontId="0" fillId="2" borderId="2" xfId="1" applyNumberFormat="1" applyFont="1" applyFill="1" applyBorder="1" applyAlignment="1">
      <alignment vertical="top"/>
    </xf>
    <xf numFmtId="0" fontId="0" fillId="2" borderId="2" xfId="0" applyFont="1" applyFill="1" applyBorder="1" applyAlignment="1">
      <alignment vertical="top" wrapText="1"/>
    </xf>
    <xf numFmtId="0" fontId="5" fillId="0" borderId="3" xfId="0" applyFont="1" applyBorder="1" applyAlignment="1">
      <alignment vertical="top"/>
    </xf>
    <xf numFmtId="0" fontId="5" fillId="0" borderId="4" xfId="0" applyFont="1" applyBorder="1" applyAlignment="1">
      <alignment vertical="top"/>
    </xf>
    <xf numFmtId="44" fontId="5" fillId="0" borderId="4" xfId="0" applyNumberFormat="1" applyFont="1" applyBorder="1" applyAlignment="1">
      <alignment vertical="top"/>
    </xf>
    <xf numFmtId="0" fontId="0" fillId="0" borderId="2" xfId="0" applyFont="1" applyBorder="1" applyAlignment="1">
      <alignment vertical="top"/>
    </xf>
    <xf numFmtId="44" fontId="0" fillId="0" borderId="2" xfId="1" applyNumberFormat="1" applyFont="1" applyBorder="1" applyAlignment="1">
      <alignment vertical="top"/>
    </xf>
    <xf numFmtId="0" fontId="4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vertical="top" wrapText="1"/>
    </xf>
    <xf numFmtId="44" fontId="0" fillId="4" borderId="2" xfId="1" applyNumberFormat="1" applyFont="1" applyFill="1" applyBorder="1" applyAlignment="1">
      <alignment vertical="top"/>
    </xf>
    <xf numFmtId="0" fontId="8" fillId="0" borderId="0" xfId="2"/>
    <xf numFmtId="0" fontId="8" fillId="0" borderId="0" xfId="2" applyAlignment="1">
      <alignment wrapText="1"/>
    </xf>
    <xf numFmtId="0" fontId="8" fillId="0" borderId="0" xfId="0" applyFont="1" applyAlignment="1">
      <alignment wrapText="1"/>
    </xf>
    <xf numFmtId="165" fontId="8" fillId="0" borderId="0" xfId="0" applyNumberFormat="1" applyFont="1"/>
    <xf numFmtId="0" fontId="8" fillId="0" borderId="0" xfId="0" applyFont="1"/>
    <xf numFmtId="0" fontId="8" fillId="0" borderId="0" xfId="0" applyFont="1" applyAlignment="1">
      <alignment horizontal="left" vertical="top" wrapText="1"/>
    </xf>
    <xf numFmtId="165" fontId="8" fillId="0" borderId="0" xfId="2" applyNumberFormat="1"/>
    <xf numFmtId="165" fontId="8" fillId="0" borderId="0" xfId="2" applyNumberFormat="1" applyAlignment="1">
      <alignment wrapText="1"/>
    </xf>
    <xf numFmtId="0" fontId="8" fillId="0" borderId="0" xfId="2" applyAlignment="1">
      <alignment horizontal="left" vertical="top" wrapText="1"/>
    </xf>
    <xf numFmtId="0" fontId="9" fillId="0" borderId="5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/>
    </xf>
    <xf numFmtId="165" fontId="10" fillId="0" borderId="0" xfId="2" applyNumberFormat="1" applyFont="1"/>
    <xf numFmtId="0" fontId="10" fillId="0" borderId="0" xfId="2" applyFont="1" applyAlignment="1">
      <alignment horizontal="right" vertical="center" wrapText="1"/>
    </xf>
    <xf numFmtId="164" fontId="8" fillId="0" borderId="0" xfId="2" applyNumberFormat="1"/>
    <xf numFmtId="0" fontId="7" fillId="4" borderId="0" xfId="0" applyFont="1" applyFill="1" applyAlignment="1">
      <alignment horizontal="left" wrapText="1"/>
    </xf>
    <xf numFmtId="49" fontId="8" fillId="0" borderId="0" xfId="2" applyNumberFormat="1"/>
    <xf numFmtId="165" fontId="11" fillId="0" borderId="0" xfId="0" applyNumberFormat="1" applyFont="1"/>
    <xf numFmtId="0" fontId="6" fillId="0" borderId="0" xfId="0" applyFont="1" applyFill="1" applyAlignment="1">
      <alignment wrapText="1"/>
    </xf>
    <xf numFmtId="165" fontId="6" fillId="0" borderId="0" xfId="0" applyNumberFormat="1" applyFont="1" applyFill="1"/>
    <xf numFmtId="44" fontId="6" fillId="0" borderId="0" xfId="0" applyNumberFormat="1" applyFont="1" applyFill="1"/>
    <xf numFmtId="7" fontId="6" fillId="0" borderId="0" xfId="0" applyNumberFormat="1" applyFont="1" applyFill="1"/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wrapText="1"/>
    </xf>
    <xf numFmtId="0" fontId="0" fillId="0" borderId="0" xfId="0" applyFill="1" applyAlignment="1">
      <alignment horizontal="right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6" fillId="0" borderId="0" xfId="0" applyFont="1"/>
    <xf numFmtId="0" fontId="6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Alignment="1">
      <alignment wrapText="1"/>
    </xf>
    <xf numFmtId="0" fontId="12" fillId="3" borderId="1" xfId="0" applyFont="1" applyFill="1" applyBorder="1"/>
    <xf numFmtId="164" fontId="6" fillId="0" borderId="0" xfId="0" applyNumberFormat="1" applyFont="1"/>
    <xf numFmtId="0" fontId="6" fillId="0" borderId="0" xfId="0" applyFont="1" applyAlignment="1">
      <alignment horizontal="left" wrapText="1"/>
    </xf>
    <xf numFmtId="44" fontId="6" fillId="0" borderId="0" xfId="0" applyNumberFormat="1" applyFont="1"/>
  </cellXfs>
  <cellStyles count="3">
    <cellStyle name="Currency" xfId="1" builtinId="4"/>
    <cellStyle name="Normal" xfId="0" builtinId="0"/>
    <cellStyle name="Normal 2" xfId="2" xr:uid="{0DF45738-807C-4B96-93DC-8B4149B4A1C1}"/>
  </cellStyles>
  <dxfs count="31"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numFmt numFmtId="164" formatCode="&quot;€&quot;\ #,##0.0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numFmt numFmtId="11" formatCode="&quot;€&quot;\ #,##0.00;\-&quot;€&quot;\ #,##0.0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numFmt numFmtId="164" formatCode="&quot;€&quot;\ #,##0.0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numFmt numFmtId="165" formatCode="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numFmt numFmtId="164" formatCode="&quot;€&quot;\ #,##0.0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numFmt numFmtId="34" formatCode="_-&quot;€&quot;\ * #,##0.00_-;\-&quot;€&quot;\ * #,##0.00_-;_-&quot;€&quot;\ * &quot;-&quot;??_-;_-@_-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86"/>
        <scheme val="none"/>
      </font>
      <numFmt numFmtId="165" formatCode="#,##0.00\ &quot;€&quot;"/>
    </dxf>
    <dxf>
      <numFmt numFmtId="165" formatCode="#,##0.00\ &quot;€&quot;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86"/>
        <scheme val="none"/>
      </font>
      <numFmt numFmtId="165" formatCode="#,##0.00\ &quot;€&quot;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86"/>
        <scheme val="none"/>
      </font>
    </dxf>
    <dxf>
      <numFmt numFmtId="165" formatCode="#,##0.00\ &quot;€&quot;"/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86"/>
        <scheme val="none"/>
      </font>
      <alignment horizontal="left" vertical="top" textRotation="0" wrapText="1" indent="0" justifyLastLine="0" shrinkToFit="0" readingOrder="0"/>
    </dxf>
    <dxf>
      <numFmt numFmtId="165" formatCode="#,##0.00\ &quot;€&quot;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86"/>
        <scheme val="none"/>
      </font>
      <alignment horizontal="left" vertical="top" textRotation="0" wrapText="1" indent="0" justifyLastLine="0" shrinkToFit="0" readingOrder="0"/>
    </dxf>
    <dxf>
      <numFmt numFmtId="30" formatCode="@"/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86"/>
        <scheme val="none"/>
      </font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86"/>
        <scheme val="none"/>
      </font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86"/>
        <scheme val="none"/>
      </font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86"/>
        <scheme val="none"/>
      </font>
    </dxf>
    <dxf>
      <fill>
        <patternFill patternType="none">
          <fgColor indexed="64"/>
          <bgColor auto="1"/>
        </patternFill>
      </fill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AB72AA7-9FB1-4F94-979C-E6D9FD0AB68C}" name="Table14" displayName="Table14" ref="C3:F6" totalsRowCount="1" headerRowDxfId="2" dataDxfId="0" totalsRowDxfId="1">
  <tableColumns count="4">
    <tableColumn id="1" xr3:uid="{D5C83EF1-9759-4C46-A9E7-454C53D09562}" name="Gāzu tīkla izbūve skābekļa nodrošināšanai Covid-19 pacientiem" totalsRowLabel="KOPĀ" dataDxfId="10" totalsRowDxfId="9"/>
    <tableColumn id="2" xr3:uid="{3D72F18C-521B-4C29-9F82-9533FAD8BEB7}" name="2021.gadā veiktie pasākumi summa, euro" totalsRowFunction="sum" dataDxfId="8" totalsRowDxfId="7"/>
    <tableColumn id="4" xr3:uid="{D6B821EE-88EB-437E-B775-89243982558D}" name="2022.gadam nepieciešamā summa, euro" totalsRowFunction="sum" dataDxfId="6" totalsRowDxfId="5"/>
    <tableColumn id="3" xr3:uid="{234E64EB-B724-4818-99B0-1C5F81CC0C33}" name="Pavisam kopā nepieciešams, euro" totalsRowFunction="sum" dataDxfId="4" totalsRowDxfId="3">
      <calculatedColumnFormula>Table14[[#This Row],[2021.gadā veiktie pasākumi summa, euro]]+Table14[[#This Row],[2022.gadam nepieciešamā summa, euro]]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C31DCE3-5337-4A33-86A5-FDEBF91AC9FD}" name="Table113" displayName="Table113" ref="A3:I30" totalsRowShown="0" headerRowBorderDxfId="30" tableBorderDxfId="29">
  <tableColumns count="9">
    <tableColumn id="1" xr3:uid="{7B6E01D3-9714-425D-BD3F-7E7CF6ECA50D}" name="Nr" dataDxfId="28" totalsRowDxfId="27" dataCellStyle="Normal 2"/>
    <tableColumn id="2" xr3:uid="{EEE9DCAB-2DDA-4020-9A35-2A4A9406F723}" name="Darbu Tehniskā specifikācijas – Darba pieteikumi" dataDxfId="26" totalsRowDxfId="25" dataCellStyle="Normal 2"/>
    <tableColumn id="11" xr3:uid="{40337275-4598-4955-8E53-104EB3B9B98D}" name="Līguma Nr" dataDxfId="24" totalsRowDxfId="23" dataCellStyle="Normal 2"/>
    <tableColumn id="9" xr3:uid="{7074165D-D279-4FDB-B22E-D55F0C374846}" name="Stacionārs" dataDxfId="22" totalsRowDxfId="21" dataCellStyle="Normal 2"/>
    <tableColumn id="5" xr3:uid="{3B308BD5-5616-470F-8CAC-3008DAEB65EC}" name="Statuss" dataDxfId="20" totalsRowDxfId="19" dataCellStyle="Normal 2"/>
    <tableColumn id="15" xr3:uid="{B6A4E392-3C3E-4A9A-BF59-DC95E236D9D7}" name="Darbu apjoms" dataDxfId="18" totalsRowDxfId="17" dataCellStyle="Normal 2"/>
    <tableColumn id="3" xr3:uid="{1505D749-2E45-46D2-977E-69860EED160E}" name="Summa (ar PVN)" dataDxfId="16" totalsRowDxfId="15" dataCellStyle="Normal 2"/>
    <tableColumn id="6" xr3:uid="{10C3A708-A4D4-458D-8C7C-C293AAD85BCB}" name="Izpilde, mēnesis" dataDxfId="14" totalsRowDxfId="13" dataCellStyle="Normal 2"/>
    <tableColumn id="4" xr3:uid="{E152AC48-BEE7-443B-9679-79789FEF18EA}" name="Budžets" dataDxfId="12" totalsRowDxfId="11" dataCellStyle="Normal 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E7DF-8F8E-4549-A615-BC0B60274128}">
  <dimension ref="A1:F8"/>
  <sheetViews>
    <sheetView tabSelected="1" workbookViewId="0">
      <selection activeCell="C18" sqref="C18"/>
    </sheetView>
  </sheetViews>
  <sheetFormatPr defaultRowHeight="15" x14ac:dyDescent="0.25"/>
  <cols>
    <col min="1" max="1" width="9.140625" style="44"/>
    <col min="2" max="2" width="28.42578125" style="44" customWidth="1"/>
    <col min="3" max="3" width="44.28515625" style="44" customWidth="1"/>
    <col min="4" max="4" width="18.5703125" style="44" customWidth="1"/>
    <col min="5" max="5" width="14.42578125" style="44" customWidth="1"/>
    <col min="6" max="6" width="16.7109375" style="44" customWidth="1"/>
    <col min="7" max="16384" width="9.140625" style="44"/>
  </cols>
  <sheetData>
    <row r="1" spans="1:6" x14ac:dyDescent="0.25">
      <c r="D1" s="45"/>
      <c r="E1" s="45"/>
      <c r="F1" s="46" t="s">
        <v>99</v>
      </c>
    </row>
    <row r="2" spans="1:6" ht="15.75" customHeight="1" x14ac:dyDescent="0.25">
      <c r="E2" s="47"/>
    </row>
    <row r="3" spans="1:6" ht="48" customHeight="1" x14ac:dyDescent="0.25">
      <c r="A3" s="48" t="s">
        <v>5</v>
      </c>
      <c r="B3" s="48" t="s">
        <v>4</v>
      </c>
      <c r="C3" s="44" t="s">
        <v>2</v>
      </c>
      <c r="D3" s="47" t="s">
        <v>102</v>
      </c>
      <c r="E3" s="47" t="s">
        <v>97</v>
      </c>
      <c r="F3" s="47" t="s">
        <v>123</v>
      </c>
    </row>
    <row r="4" spans="1:6" ht="30" x14ac:dyDescent="0.25">
      <c r="A4" s="39">
        <v>1</v>
      </c>
      <c r="B4" s="40" t="s">
        <v>6</v>
      </c>
      <c r="C4" s="35"/>
      <c r="D4" s="37">
        <v>206959</v>
      </c>
      <c r="E4" s="37">
        <v>420511</v>
      </c>
      <c r="F4" s="37">
        <f>Table14[[#This Row],[2021.gadā veiktie pasākumi summa, euro]]+Table14[[#This Row],[2022.gadam nepieciešamā summa, euro]]</f>
        <v>627470</v>
      </c>
    </row>
    <row r="5" spans="1:6" ht="30" x14ac:dyDescent="0.25">
      <c r="A5" s="43">
        <v>2</v>
      </c>
      <c r="B5" s="42" t="s">
        <v>7</v>
      </c>
      <c r="C5" s="35"/>
      <c r="D5" s="37">
        <v>7242</v>
      </c>
      <c r="E5" s="36"/>
      <c r="F5" s="38">
        <f>Table14[[#This Row],[2021.gadā veiktie pasākumi summa, euro]]+Table14[[#This Row],[2022.gadam nepieciešamā summa, euro]]</f>
        <v>7242</v>
      </c>
    </row>
    <row r="6" spans="1:6" x14ac:dyDescent="0.25">
      <c r="C6" s="47" t="s">
        <v>8</v>
      </c>
      <c r="D6" s="49">
        <f>SUBTOTAL(109,Table14[2021.gadā veiktie pasākumi summa, euro])</f>
        <v>214201</v>
      </c>
      <c r="E6" s="49">
        <f>SUBTOTAL(109,Table14[2022.gadam nepieciešamā summa, euro])</f>
        <v>420511</v>
      </c>
      <c r="F6" s="49">
        <f>SUBTOTAL(109,Table14[Pavisam kopā nepieciešams, euro])</f>
        <v>634712</v>
      </c>
    </row>
    <row r="8" spans="1:6" ht="30" x14ac:dyDescent="0.25">
      <c r="C8" s="50" t="s">
        <v>122</v>
      </c>
      <c r="D8" s="49">
        <f>D4+E4+D5</f>
        <v>634712</v>
      </c>
      <c r="E8" s="49"/>
      <c r="F8" s="51"/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A9D92-61A2-46CE-90D2-18BDA653CEA1}">
  <sheetPr>
    <tabColor rgb="FF92D050"/>
    <pageSetUpPr fitToPage="1"/>
  </sheetPr>
  <dimension ref="A1:J37"/>
  <sheetViews>
    <sheetView topLeftCell="A25" workbookViewId="0">
      <selection activeCell="A3" sqref="A3"/>
    </sheetView>
  </sheetViews>
  <sheetFormatPr defaultColWidth="9.140625" defaultRowHeight="15" x14ac:dyDescent="0.25"/>
  <cols>
    <col min="1" max="1" width="6.85546875" style="18" customWidth="1"/>
    <col min="2" max="2" width="29.28515625" style="19" customWidth="1"/>
    <col min="3" max="3" width="14" style="19" customWidth="1"/>
    <col min="4" max="4" width="13.7109375" style="18" customWidth="1"/>
    <col min="5" max="5" width="19.85546875" style="18" customWidth="1"/>
    <col min="6" max="6" width="13.7109375" style="18" customWidth="1"/>
    <col min="7" max="7" width="18.28515625" style="19" customWidth="1"/>
    <col min="8" max="8" width="24" style="18" customWidth="1"/>
    <col min="9" max="9" width="16.7109375" style="18" customWidth="1"/>
    <col min="10" max="10" width="19.28515625" style="18" customWidth="1"/>
    <col min="11" max="16384" width="9.140625" style="18"/>
  </cols>
  <sheetData>
    <row r="1" spans="1:10" x14ac:dyDescent="0.25">
      <c r="I1" s="41" t="s">
        <v>125</v>
      </c>
      <c r="J1" s="29"/>
    </row>
    <row r="2" spans="1:10" x14ac:dyDescent="0.25">
      <c r="J2" s="29"/>
    </row>
    <row r="3" spans="1:10" ht="25.5" x14ac:dyDescent="0.25">
      <c r="A3" s="28" t="s">
        <v>96</v>
      </c>
      <c r="B3" s="27" t="s">
        <v>95</v>
      </c>
      <c r="C3" s="27" t="s">
        <v>94</v>
      </c>
      <c r="D3" s="28" t="s">
        <v>93</v>
      </c>
      <c r="E3" s="28" t="s">
        <v>92</v>
      </c>
      <c r="F3" s="27" t="s">
        <v>91</v>
      </c>
      <c r="G3" s="28" t="s">
        <v>98</v>
      </c>
      <c r="H3" s="28" t="s">
        <v>108</v>
      </c>
      <c r="I3" s="27" t="s">
        <v>90</v>
      </c>
    </row>
    <row r="4" spans="1:10" ht="75" x14ac:dyDescent="0.25">
      <c r="A4" s="18" t="s">
        <v>89</v>
      </c>
      <c r="B4" s="26" t="s">
        <v>88</v>
      </c>
      <c r="C4" s="26" t="s">
        <v>87</v>
      </c>
      <c r="D4" s="26" t="s">
        <v>28</v>
      </c>
      <c r="E4" s="26" t="s">
        <v>19</v>
      </c>
      <c r="F4" s="25" t="s">
        <v>18</v>
      </c>
      <c r="G4" s="24">
        <f>24577.52*1.21</f>
        <v>29738.799200000001</v>
      </c>
      <c r="H4" s="33" t="s">
        <v>103</v>
      </c>
      <c r="I4" s="19" t="s">
        <v>17</v>
      </c>
    </row>
    <row r="5" spans="1:10" ht="75" x14ac:dyDescent="0.25">
      <c r="A5" s="18" t="s">
        <v>86</v>
      </c>
      <c r="B5" s="26" t="s">
        <v>85</v>
      </c>
      <c r="C5" s="26" t="s">
        <v>84</v>
      </c>
      <c r="D5" s="26" t="s">
        <v>28</v>
      </c>
      <c r="E5" s="26" t="s">
        <v>109</v>
      </c>
      <c r="F5" s="25" t="s">
        <v>18</v>
      </c>
      <c r="G5" s="24">
        <f>43667.16*1.21</f>
        <v>52837.263600000006</v>
      </c>
      <c r="H5" s="33" t="s">
        <v>110</v>
      </c>
      <c r="I5" s="19" t="s">
        <v>17</v>
      </c>
    </row>
    <row r="6" spans="1:10" ht="75" x14ac:dyDescent="0.25">
      <c r="A6" s="18" t="s">
        <v>83</v>
      </c>
      <c r="B6" s="26" t="s">
        <v>82</v>
      </c>
      <c r="C6" s="26" t="s">
        <v>81</v>
      </c>
      <c r="D6" s="26" t="s">
        <v>28</v>
      </c>
      <c r="E6" s="26" t="s">
        <v>109</v>
      </c>
      <c r="F6" s="25" t="s">
        <v>18</v>
      </c>
      <c r="G6" s="24">
        <f>15781.5*1.21</f>
        <v>19095.614999999998</v>
      </c>
      <c r="H6" s="33" t="s">
        <v>110</v>
      </c>
      <c r="I6" s="19" t="s">
        <v>17</v>
      </c>
    </row>
    <row r="7" spans="1:10" ht="75" x14ac:dyDescent="0.25">
      <c r="A7" s="18" t="s">
        <v>80</v>
      </c>
      <c r="B7" s="26" t="s">
        <v>79</v>
      </c>
      <c r="C7" s="26" t="s">
        <v>78</v>
      </c>
      <c r="D7" s="26" t="s">
        <v>24</v>
      </c>
      <c r="E7" s="26" t="s">
        <v>19</v>
      </c>
      <c r="F7" s="25" t="s">
        <v>18</v>
      </c>
      <c r="G7" s="24">
        <f>6314.78*1.21</f>
        <v>7640.8837999999996</v>
      </c>
      <c r="H7" s="33" t="s">
        <v>103</v>
      </c>
      <c r="I7" s="19" t="s">
        <v>17</v>
      </c>
    </row>
    <row r="8" spans="1:10" ht="75" x14ac:dyDescent="0.25">
      <c r="A8" s="18" t="s">
        <v>77</v>
      </c>
      <c r="B8" s="26" t="s">
        <v>76</v>
      </c>
      <c r="C8" s="26" t="s">
        <v>75</v>
      </c>
      <c r="D8" s="26" t="s">
        <v>24</v>
      </c>
      <c r="E8" s="26" t="s">
        <v>111</v>
      </c>
      <c r="F8" s="25" t="s">
        <v>18</v>
      </c>
      <c r="G8" s="24">
        <f>61370.9*1.21</f>
        <v>74258.789000000004</v>
      </c>
      <c r="H8" s="33" t="s">
        <v>110</v>
      </c>
      <c r="I8" s="19" t="s">
        <v>17</v>
      </c>
    </row>
    <row r="9" spans="1:10" ht="75" x14ac:dyDescent="0.25">
      <c r="A9" s="18" t="s">
        <v>74</v>
      </c>
      <c r="B9" s="26" t="s">
        <v>73</v>
      </c>
      <c r="C9" s="26" t="s">
        <v>72</v>
      </c>
      <c r="D9" s="26" t="s">
        <v>40</v>
      </c>
      <c r="E9" s="26" t="s">
        <v>19</v>
      </c>
      <c r="F9" s="25" t="s">
        <v>18</v>
      </c>
      <c r="G9" s="24">
        <f>2002.51*1.21</f>
        <v>2423.0371</v>
      </c>
      <c r="H9" s="33" t="s">
        <v>104</v>
      </c>
      <c r="I9" s="19" t="s">
        <v>17</v>
      </c>
    </row>
    <row r="10" spans="1:10" ht="75" x14ac:dyDescent="0.25">
      <c r="A10" s="18" t="s">
        <v>71</v>
      </c>
      <c r="B10" s="26" t="s">
        <v>112</v>
      </c>
      <c r="C10" s="26"/>
      <c r="D10" s="26" t="s">
        <v>40</v>
      </c>
      <c r="E10" s="26" t="s">
        <v>35</v>
      </c>
      <c r="F10" s="25" t="s">
        <v>18</v>
      </c>
      <c r="G10" s="24">
        <f>70000*1.21</f>
        <v>84700</v>
      </c>
      <c r="H10" s="33" t="s">
        <v>124</v>
      </c>
      <c r="I10" s="19"/>
    </row>
    <row r="11" spans="1:10" ht="75" x14ac:dyDescent="0.25">
      <c r="A11" s="18" t="s">
        <v>70</v>
      </c>
      <c r="B11" s="26" t="s">
        <v>69</v>
      </c>
      <c r="C11" s="26"/>
      <c r="D11" s="26" t="s">
        <v>40</v>
      </c>
      <c r="E11" s="26" t="s">
        <v>35</v>
      </c>
      <c r="F11" s="25" t="s">
        <v>18</v>
      </c>
      <c r="G11" s="24">
        <f>8000*1.21</f>
        <v>9680</v>
      </c>
      <c r="H11" s="33" t="s">
        <v>124</v>
      </c>
      <c r="I11" s="19"/>
    </row>
    <row r="12" spans="1:10" ht="37.5" customHeight="1" x14ac:dyDescent="0.25">
      <c r="A12" s="18" t="s">
        <v>68</v>
      </c>
      <c r="B12" s="26" t="s">
        <v>67</v>
      </c>
      <c r="C12" s="26"/>
      <c r="D12" s="26" t="s">
        <v>20</v>
      </c>
      <c r="E12" s="26" t="s">
        <v>35</v>
      </c>
      <c r="F12" s="25" t="s">
        <v>18</v>
      </c>
      <c r="G12" s="24">
        <f>5000*1.21</f>
        <v>6050</v>
      </c>
      <c r="H12" s="33" t="s">
        <v>124</v>
      </c>
      <c r="I12" s="19"/>
    </row>
    <row r="13" spans="1:10" ht="75" x14ac:dyDescent="0.25">
      <c r="A13" s="18" t="s">
        <v>66</v>
      </c>
      <c r="B13" s="26" t="s">
        <v>65</v>
      </c>
      <c r="C13" s="26" t="s">
        <v>64</v>
      </c>
      <c r="D13" s="26" t="s">
        <v>28</v>
      </c>
      <c r="E13" s="26" t="s">
        <v>19</v>
      </c>
      <c r="F13" s="25" t="s">
        <v>18</v>
      </c>
      <c r="G13" s="24">
        <f>17196*1.21</f>
        <v>20807.16</v>
      </c>
      <c r="H13" s="33" t="s">
        <v>105</v>
      </c>
      <c r="I13" s="19" t="s">
        <v>17</v>
      </c>
    </row>
    <row r="14" spans="1:10" ht="75" x14ac:dyDescent="0.25">
      <c r="A14" s="18" t="s">
        <v>63</v>
      </c>
      <c r="B14" s="26" t="s">
        <v>62</v>
      </c>
      <c r="C14" s="26"/>
      <c r="D14" s="26" t="s">
        <v>61</v>
      </c>
      <c r="E14" s="26" t="s">
        <v>35</v>
      </c>
      <c r="F14" s="25" t="s">
        <v>18</v>
      </c>
      <c r="G14" s="24">
        <f>18000*1.21</f>
        <v>21780</v>
      </c>
      <c r="H14" s="33" t="s">
        <v>124</v>
      </c>
      <c r="I14" s="19"/>
    </row>
    <row r="15" spans="1:10" ht="105" x14ac:dyDescent="0.25">
      <c r="A15" s="18" t="s">
        <v>60</v>
      </c>
      <c r="B15" s="26" t="s">
        <v>59</v>
      </c>
      <c r="C15" s="26" t="s">
        <v>58</v>
      </c>
      <c r="D15" s="26" t="s">
        <v>20</v>
      </c>
      <c r="E15" s="26" t="s">
        <v>19</v>
      </c>
      <c r="F15" s="25" t="s">
        <v>18</v>
      </c>
      <c r="G15" s="24">
        <f>59596.75*1.21</f>
        <v>72112.067500000005</v>
      </c>
      <c r="H15" s="33" t="s">
        <v>104</v>
      </c>
      <c r="I15" s="19" t="s">
        <v>34</v>
      </c>
    </row>
    <row r="16" spans="1:10" ht="75" x14ac:dyDescent="0.25">
      <c r="A16" s="18" t="s">
        <v>57</v>
      </c>
      <c r="B16" s="26" t="s">
        <v>56</v>
      </c>
      <c r="C16" s="26"/>
      <c r="D16" s="26" t="s">
        <v>20</v>
      </c>
      <c r="E16" s="26" t="s">
        <v>19</v>
      </c>
      <c r="F16" s="25" t="s">
        <v>18</v>
      </c>
      <c r="G16" s="24">
        <f>(3212.39-557.52)*1.21</f>
        <v>3212.3926999999999</v>
      </c>
      <c r="H16" s="33" t="s">
        <v>106</v>
      </c>
      <c r="I16" s="19" t="s">
        <v>17</v>
      </c>
    </row>
    <row r="17" spans="1:9" ht="105" x14ac:dyDescent="0.25">
      <c r="A17" s="18" t="s">
        <v>55</v>
      </c>
      <c r="B17" s="26" t="s">
        <v>54</v>
      </c>
      <c r="C17" s="26" t="s">
        <v>113</v>
      </c>
      <c r="D17" s="26" t="s">
        <v>20</v>
      </c>
      <c r="E17" s="26" t="s">
        <v>19</v>
      </c>
      <c r="F17" s="25" t="s">
        <v>18</v>
      </c>
      <c r="G17" s="24">
        <f>4205.4*1.21</f>
        <v>5088.5339999999997</v>
      </c>
      <c r="H17" s="33" t="s">
        <v>104</v>
      </c>
      <c r="I17" s="19" t="s">
        <v>34</v>
      </c>
    </row>
    <row r="18" spans="1:9" ht="105" x14ac:dyDescent="0.25">
      <c r="A18" s="18" t="s">
        <v>53</v>
      </c>
      <c r="B18" s="26" t="s">
        <v>52</v>
      </c>
      <c r="C18" s="26" t="s">
        <v>114</v>
      </c>
      <c r="D18" s="26" t="s">
        <v>20</v>
      </c>
      <c r="E18" s="26" t="s">
        <v>19</v>
      </c>
      <c r="F18" s="25" t="s">
        <v>18</v>
      </c>
      <c r="G18" s="24">
        <f>2515.79*1.21</f>
        <v>3044.1059</v>
      </c>
      <c r="H18" s="33" t="s">
        <v>104</v>
      </c>
      <c r="I18" s="19" t="s">
        <v>34</v>
      </c>
    </row>
    <row r="19" spans="1:9" ht="105" x14ac:dyDescent="0.25">
      <c r="A19" s="18" t="s">
        <v>51</v>
      </c>
      <c r="B19" s="26" t="s">
        <v>50</v>
      </c>
      <c r="C19" s="26" t="s">
        <v>49</v>
      </c>
      <c r="D19" s="26" t="s">
        <v>20</v>
      </c>
      <c r="E19" s="26" t="s">
        <v>111</v>
      </c>
      <c r="F19" s="25" t="s">
        <v>18</v>
      </c>
      <c r="G19" s="24">
        <f>53076.37*1.21</f>
        <v>64222.407700000003</v>
      </c>
      <c r="H19" s="33" t="s">
        <v>110</v>
      </c>
      <c r="I19" s="19" t="s">
        <v>34</v>
      </c>
    </row>
    <row r="20" spans="1:9" ht="105" x14ac:dyDescent="0.25">
      <c r="A20" s="18" t="s">
        <v>48</v>
      </c>
      <c r="B20" s="26" t="s">
        <v>47</v>
      </c>
      <c r="C20" s="26" t="s">
        <v>115</v>
      </c>
      <c r="D20" s="26" t="s">
        <v>20</v>
      </c>
      <c r="E20" s="26" t="s">
        <v>19</v>
      </c>
      <c r="F20" s="25" t="s">
        <v>18</v>
      </c>
      <c r="G20" s="24">
        <f>20381.25*1.21</f>
        <v>24661.3125</v>
      </c>
      <c r="H20" s="33" t="s">
        <v>104</v>
      </c>
      <c r="I20" s="19" t="s">
        <v>34</v>
      </c>
    </row>
    <row r="21" spans="1:9" ht="105" x14ac:dyDescent="0.25">
      <c r="A21" s="18" t="s">
        <v>46</v>
      </c>
      <c r="B21" s="26" t="s">
        <v>45</v>
      </c>
      <c r="C21" s="26" t="s">
        <v>116</v>
      </c>
      <c r="D21" s="26" t="s">
        <v>20</v>
      </c>
      <c r="E21" s="26" t="s">
        <v>111</v>
      </c>
      <c r="F21" s="25" t="s">
        <v>18</v>
      </c>
      <c r="G21" s="24">
        <f>24800.29*1.21</f>
        <v>30008.350900000001</v>
      </c>
      <c r="H21" s="33" t="s">
        <v>110</v>
      </c>
      <c r="I21" s="19" t="s">
        <v>34</v>
      </c>
    </row>
    <row r="22" spans="1:9" ht="105" x14ac:dyDescent="0.25">
      <c r="A22" s="18" t="s">
        <v>44</v>
      </c>
      <c r="B22" s="26" t="s">
        <v>43</v>
      </c>
      <c r="C22" s="26" t="s">
        <v>117</v>
      </c>
      <c r="D22" s="26" t="s">
        <v>20</v>
      </c>
      <c r="E22" s="26" t="s">
        <v>109</v>
      </c>
      <c r="F22" s="25" t="s">
        <v>18</v>
      </c>
      <c r="G22" s="24">
        <f>22225.59*1.21</f>
        <v>26892.963899999999</v>
      </c>
      <c r="H22" s="33" t="s">
        <v>110</v>
      </c>
      <c r="I22" s="19" t="s">
        <v>34</v>
      </c>
    </row>
    <row r="23" spans="1:9" ht="105" x14ac:dyDescent="0.25">
      <c r="A23" s="18" t="s">
        <v>42</v>
      </c>
      <c r="B23" s="26" t="s">
        <v>41</v>
      </c>
      <c r="C23" s="26" t="s">
        <v>118</v>
      </c>
      <c r="D23" s="26" t="s">
        <v>40</v>
      </c>
      <c r="E23" s="26" t="s">
        <v>19</v>
      </c>
      <c r="F23" s="25" t="s">
        <v>18</v>
      </c>
      <c r="G23" s="24">
        <f>1862.22*1.21</f>
        <v>2253.2862</v>
      </c>
      <c r="H23" s="33" t="s">
        <v>103</v>
      </c>
      <c r="I23" s="19" t="s">
        <v>34</v>
      </c>
    </row>
    <row r="24" spans="1:9" ht="105" x14ac:dyDescent="0.25">
      <c r="A24" s="18" t="s">
        <v>39</v>
      </c>
      <c r="B24" s="26" t="s">
        <v>38</v>
      </c>
      <c r="C24" s="26" t="s">
        <v>119</v>
      </c>
      <c r="D24" s="26" t="s">
        <v>28</v>
      </c>
      <c r="E24" s="26" t="s">
        <v>109</v>
      </c>
      <c r="F24" s="25" t="s">
        <v>18</v>
      </c>
      <c r="G24" s="24">
        <f>17108.28*1.21</f>
        <v>20701.018799999998</v>
      </c>
      <c r="H24" s="33" t="s">
        <v>110</v>
      </c>
      <c r="I24" s="19" t="s">
        <v>34</v>
      </c>
    </row>
    <row r="25" spans="1:9" ht="105" x14ac:dyDescent="0.25">
      <c r="A25" s="18" t="s">
        <v>37</v>
      </c>
      <c r="B25" s="26" t="s">
        <v>36</v>
      </c>
      <c r="C25" s="26" t="s">
        <v>120</v>
      </c>
      <c r="D25" s="26" t="s">
        <v>20</v>
      </c>
      <c r="E25" s="26" t="s">
        <v>111</v>
      </c>
      <c r="F25" s="25" t="s">
        <v>18</v>
      </c>
      <c r="G25" s="24">
        <f>8500*1.21</f>
        <v>10285</v>
      </c>
      <c r="H25" s="33" t="s">
        <v>110</v>
      </c>
      <c r="I25" s="19" t="s">
        <v>34</v>
      </c>
    </row>
    <row r="26" spans="1:9" ht="75" x14ac:dyDescent="0.25">
      <c r="A26" s="18" t="s">
        <v>33</v>
      </c>
      <c r="B26" s="26" t="s">
        <v>30</v>
      </c>
      <c r="C26" s="26" t="s">
        <v>32</v>
      </c>
      <c r="D26" s="26" t="s">
        <v>28</v>
      </c>
      <c r="E26" s="26" t="s">
        <v>19</v>
      </c>
      <c r="F26" s="25" t="s">
        <v>18</v>
      </c>
      <c r="G26" s="24">
        <f>3630.08*1.21</f>
        <v>4392.3967999999995</v>
      </c>
      <c r="H26" s="33" t="s">
        <v>107</v>
      </c>
      <c r="I26" s="19" t="s">
        <v>17</v>
      </c>
    </row>
    <row r="27" spans="1:9" ht="75" x14ac:dyDescent="0.25">
      <c r="A27" s="18" t="s">
        <v>31</v>
      </c>
      <c r="B27" s="26" t="s">
        <v>30</v>
      </c>
      <c r="C27" s="26" t="s">
        <v>29</v>
      </c>
      <c r="D27" s="26" t="s">
        <v>28</v>
      </c>
      <c r="E27" s="26" t="s">
        <v>19</v>
      </c>
      <c r="F27" s="25" t="s">
        <v>18</v>
      </c>
      <c r="G27" s="24">
        <f>3774.81*1.21</f>
        <v>4567.5200999999997</v>
      </c>
      <c r="H27" s="33" t="s">
        <v>107</v>
      </c>
      <c r="I27" s="19" t="s">
        <v>17</v>
      </c>
    </row>
    <row r="28" spans="1:9" s="19" customFormat="1" ht="75" x14ac:dyDescent="0.25">
      <c r="A28" s="18" t="s">
        <v>27</v>
      </c>
      <c r="B28" s="26" t="s">
        <v>26</v>
      </c>
      <c r="C28" s="26" t="s">
        <v>25</v>
      </c>
      <c r="D28" s="26" t="s">
        <v>24</v>
      </c>
      <c r="E28" s="26" t="s">
        <v>19</v>
      </c>
      <c r="F28" s="25" t="s">
        <v>18</v>
      </c>
      <c r="G28" s="24">
        <f>4817.74*1.21</f>
        <v>5829.4653999999991</v>
      </c>
      <c r="H28" s="33" t="s">
        <v>107</v>
      </c>
      <c r="I28" s="19" t="s">
        <v>17</v>
      </c>
    </row>
    <row r="29" spans="1:9" s="19" customFormat="1" ht="75" x14ac:dyDescent="0.25">
      <c r="A29" s="18" t="s">
        <v>23</v>
      </c>
      <c r="B29" s="26" t="s">
        <v>22</v>
      </c>
      <c r="C29" s="26" t="s">
        <v>21</v>
      </c>
      <c r="D29" s="26" t="s">
        <v>20</v>
      </c>
      <c r="E29" s="26" t="s">
        <v>19</v>
      </c>
      <c r="F29" s="25" t="s">
        <v>18</v>
      </c>
      <c r="G29" s="24">
        <f>17510*1.21</f>
        <v>21187.1</v>
      </c>
      <c r="H29" s="33" t="s">
        <v>107</v>
      </c>
      <c r="I29" s="19" t="s">
        <v>17</v>
      </c>
    </row>
    <row r="30" spans="1:9" x14ac:dyDescent="0.25">
      <c r="A30" s="22" t="s">
        <v>121</v>
      </c>
      <c r="B30" s="23"/>
      <c r="C30" s="23"/>
      <c r="D30" s="23"/>
      <c r="E30" s="23"/>
      <c r="F30" s="22"/>
      <c r="G30" s="34">
        <f>ROUNDUP(SUBTOTAL(109,G4:G29),0)</f>
        <v>627470</v>
      </c>
      <c r="H30" s="21"/>
      <c r="I30" s="20"/>
    </row>
    <row r="31" spans="1:9" x14ac:dyDescent="0.25">
      <c r="A31" s="22"/>
      <c r="B31" s="23"/>
      <c r="C31" s="23"/>
      <c r="D31" s="23"/>
      <c r="E31" s="23"/>
      <c r="F31" s="22"/>
      <c r="G31" s="21"/>
      <c r="H31" s="21"/>
      <c r="I31" s="20"/>
    </row>
    <row r="32" spans="1:9" ht="75.75" customHeight="1" x14ac:dyDescent="0.25">
      <c r="G32" s="19" t="s">
        <v>101</v>
      </c>
      <c r="H32" s="31">
        <f>ROUNDUP(G4+G7+G9+G13+G15+G16+G17+G18+G20+G23+G26+G27+G28+G29,0)</f>
        <v>206959</v>
      </c>
    </row>
    <row r="33" spans="7:8" ht="60" x14ac:dyDescent="0.25">
      <c r="G33" s="19" t="s">
        <v>100</v>
      </c>
      <c r="H33" s="31">
        <f>ROUND(G25+G24+G22+G21+G19+G14+G12+G11+G10+G8+G6+G5,)</f>
        <v>420511</v>
      </c>
    </row>
    <row r="37" spans="7:8" x14ac:dyDescent="0.25">
      <c r="H37" s="31"/>
    </row>
  </sheetData>
  <phoneticPr fontId="3" type="noConversion"/>
  <pageMargins left="0.70000000000000007" right="0.70000000000000007" top="0.75" bottom="0.75" header="0.30000000000000004" footer="0.30000000000000004"/>
  <pageSetup paperSize="9" scale="51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E809B-EBB2-4F4A-89D2-D68AC15BD2BE}">
  <sheetPr>
    <tabColor rgb="FF92D050"/>
  </sheetPr>
  <dimension ref="A1:D10"/>
  <sheetViews>
    <sheetView workbookViewId="0">
      <selection activeCell="I14" sqref="I14"/>
    </sheetView>
  </sheetViews>
  <sheetFormatPr defaultRowHeight="15" x14ac:dyDescent="0.25"/>
  <cols>
    <col min="1" max="1" width="28.7109375" customWidth="1"/>
    <col min="2" max="2" width="20.28515625" customWidth="1"/>
    <col min="3" max="3" width="14.85546875" customWidth="1"/>
    <col min="4" max="4" width="25.7109375" customWidth="1"/>
  </cols>
  <sheetData>
    <row r="1" spans="1:4" x14ac:dyDescent="0.25">
      <c r="D1" s="41" t="s">
        <v>126</v>
      </c>
    </row>
    <row r="2" spans="1:4" x14ac:dyDescent="0.25">
      <c r="D2" s="30"/>
    </row>
    <row r="3" spans="1:4" ht="45" x14ac:dyDescent="0.25">
      <c r="A3" s="3" t="s">
        <v>10</v>
      </c>
      <c r="B3" s="4" t="s">
        <v>0</v>
      </c>
      <c r="C3" s="4" t="s">
        <v>1</v>
      </c>
      <c r="D3" s="5" t="s">
        <v>9</v>
      </c>
    </row>
    <row r="4" spans="1:4" ht="60" x14ac:dyDescent="0.25">
      <c r="A4" s="15" t="s">
        <v>11</v>
      </c>
      <c r="B4" s="6" t="s">
        <v>14</v>
      </c>
      <c r="C4" s="17">
        <v>6873.04</v>
      </c>
      <c r="D4" s="32" t="s">
        <v>13</v>
      </c>
    </row>
    <row r="5" spans="1:4" ht="90" x14ac:dyDescent="0.25">
      <c r="A5" s="16" t="s">
        <v>12</v>
      </c>
      <c r="B5" s="12" t="s">
        <v>16</v>
      </c>
      <c r="C5" s="13">
        <v>368.45</v>
      </c>
      <c r="D5" t="s">
        <v>15</v>
      </c>
    </row>
    <row r="6" spans="1:4" ht="15.75" thickBot="1" x14ac:dyDescent="0.3">
      <c r="A6" s="14"/>
      <c r="B6" s="6"/>
      <c r="C6" s="7"/>
      <c r="D6" s="8"/>
    </row>
    <row r="7" spans="1:4" ht="15.75" thickTop="1" x14ac:dyDescent="0.25">
      <c r="A7" s="9" t="s">
        <v>3</v>
      </c>
      <c r="B7" s="10"/>
      <c r="C7" s="11">
        <f>C4+C5</f>
        <v>7241.49</v>
      </c>
      <c r="D7" s="2"/>
    </row>
    <row r="9" spans="1:4" ht="45" x14ac:dyDescent="0.25">
      <c r="A9" s="19" t="s">
        <v>101</v>
      </c>
      <c r="C9" s="1">
        <f>ROUNDUP(C4+C5,0)</f>
        <v>7242</v>
      </c>
    </row>
    <row r="10" spans="1:4" x14ac:dyDescent="0.25">
      <c r="A10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Kopsavilkums</vt:lpstr>
      <vt:lpstr>RAKUS</vt:lpstr>
      <vt:lpstr>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Zane Bredriha</dc:creator>
  <cp:lastModifiedBy>Sandra Kasparenko</cp:lastModifiedBy>
  <dcterms:created xsi:type="dcterms:W3CDTF">2021-11-12T09:58:55Z</dcterms:created>
  <dcterms:modified xsi:type="dcterms:W3CDTF">2022-02-25T04:51:09Z</dcterms:modified>
</cp:coreProperties>
</file>