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filterPrivacy="1"/>
  <xr:revisionPtr revIDLastSave="0" documentId="13_ncr:1_{D8D39829-3243-439A-AC56-AB5369397228}" xr6:coauthVersionLast="36" xr6:coauthVersionMax="36" xr10:uidLastSave="{00000000-0000-0000-0000-000000000000}"/>
  <bookViews>
    <workbookView xWindow="-120" yWindow="-120" windowWidth="38640" windowHeight="21120" firstSheet="1" activeTab="1" xr2:uid="{00000000-000D-0000-FFFF-FFFF00000000}"/>
  </bookViews>
  <sheets>
    <sheet name="ieņēmumi" sheetId="1" state="hidden" r:id="rId1"/>
    <sheet name="ieņēmumu aprēķins " sheetId="6"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8" i="6" l="1"/>
  <c r="F15" i="6"/>
  <c r="F12" i="6"/>
  <c r="E14" i="6"/>
  <c r="E13" i="6"/>
  <c r="E12" i="6"/>
  <c r="U13" i="6" l="1"/>
  <c r="V13" i="6" s="1"/>
  <c r="U14" i="6"/>
  <c r="U15" i="6"/>
  <c r="V15" i="6" s="1"/>
  <c r="U16" i="6"/>
  <c r="V16" i="6" s="1"/>
  <c r="U12" i="6"/>
  <c r="X19" i="6"/>
  <c r="W19" i="6"/>
  <c r="U11" i="6"/>
  <c r="V14" i="6"/>
  <c r="O16" i="6"/>
  <c r="N13" i="6"/>
  <c r="N14" i="6"/>
  <c r="N15" i="6"/>
  <c r="N16" i="6"/>
  <c r="H13" i="6"/>
  <c r="H15" i="6"/>
  <c r="H16" i="6"/>
  <c r="G13" i="6"/>
  <c r="G14" i="6"/>
  <c r="H14" i="6" s="1"/>
  <c r="G15" i="6"/>
  <c r="G16" i="6"/>
  <c r="T10" i="6"/>
  <c r="D5" i="6" l="1"/>
  <c r="I17" i="6" l="1"/>
  <c r="T5" i="6" l="1"/>
  <c r="T15" i="6" l="1"/>
  <c r="M13" i="6" l="1"/>
  <c r="M17" i="6" s="1"/>
  <c r="L14" i="6"/>
  <c r="L12" i="6"/>
  <c r="N12" i="6" s="1"/>
  <c r="N17" i="6" s="1"/>
  <c r="N18" i="6" s="1"/>
  <c r="T17" i="6" l="1"/>
  <c r="M10" i="6"/>
  <c r="F17" i="6" l="1"/>
  <c r="F10" i="6"/>
  <c r="S9" i="6" l="1"/>
  <c r="U9" i="6" s="1"/>
  <c r="S8" i="6"/>
  <c r="U8" i="6" s="1"/>
  <c r="S7" i="6"/>
  <c r="U7" i="6" s="1"/>
  <c r="S6" i="6"/>
  <c r="U6" i="6" s="1"/>
  <c r="S5" i="6"/>
  <c r="U5" i="6" s="1"/>
  <c r="E6" i="6"/>
  <c r="G6" i="6" s="1"/>
  <c r="E7" i="6"/>
  <c r="G7" i="6" s="1"/>
  <c r="E8" i="6"/>
  <c r="G8" i="6" s="1"/>
  <c r="E9" i="6"/>
  <c r="G9" i="6" s="1"/>
  <c r="E5" i="6"/>
  <c r="G5" i="6" s="1"/>
  <c r="G12" i="6"/>
  <c r="G17" i="6" l="1"/>
  <c r="U10" i="6"/>
  <c r="H5" i="6"/>
  <c r="G10" i="6"/>
  <c r="G11" i="6" s="1"/>
  <c r="H9" i="6"/>
  <c r="L9" i="6"/>
  <c r="N9" i="6" s="1"/>
  <c r="L8" i="6"/>
  <c r="N8" i="6" s="1"/>
  <c r="L7" i="6"/>
  <c r="N7" i="6" s="1"/>
  <c r="L6" i="6"/>
  <c r="N6" i="6" s="1"/>
  <c r="L5" i="6"/>
  <c r="N5" i="6" s="1"/>
  <c r="P17" i="6"/>
  <c r="B17" i="6"/>
  <c r="R16" i="6"/>
  <c r="K16" i="6"/>
  <c r="D16" i="6"/>
  <c r="R15" i="6"/>
  <c r="K15" i="6"/>
  <c r="D15" i="6"/>
  <c r="R14" i="6"/>
  <c r="K14" i="6"/>
  <c r="D14" i="6"/>
  <c r="R13" i="6"/>
  <c r="K13" i="6"/>
  <c r="O13" i="6" s="1"/>
  <c r="D13" i="6"/>
  <c r="R12" i="6"/>
  <c r="V12" i="6" s="1"/>
  <c r="K12" i="6"/>
  <c r="D12" i="6"/>
  <c r="H12" i="6" s="1"/>
  <c r="H17" i="6" s="1"/>
  <c r="P10" i="6"/>
  <c r="I10" i="6"/>
  <c r="B10" i="6"/>
  <c r="R9" i="6"/>
  <c r="K9" i="6"/>
  <c r="D9" i="6"/>
  <c r="R8" i="6"/>
  <c r="K8" i="6"/>
  <c r="D8" i="6"/>
  <c r="H8" i="6" s="1"/>
  <c r="R7" i="6"/>
  <c r="K7" i="6"/>
  <c r="D7" i="6"/>
  <c r="H7" i="6" s="1"/>
  <c r="R6" i="6"/>
  <c r="K6" i="6"/>
  <c r="D6" i="6"/>
  <c r="H6" i="6" s="1"/>
  <c r="R5" i="6"/>
  <c r="K5" i="6"/>
  <c r="N10" i="6" l="1"/>
  <c r="H10" i="6"/>
  <c r="O5" i="6"/>
  <c r="N11" i="6"/>
  <c r="K17" i="6"/>
  <c r="O7" i="6"/>
  <c r="V7" i="6"/>
  <c r="O8" i="6"/>
  <c r="V8" i="6"/>
  <c r="V6" i="6"/>
  <c r="R17" i="6"/>
  <c r="R18" i="6" s="1"/>
  <c r="O9" i="6"/>
  <c r="V9" i="6"/>
  <c r="R10" i="6"/>
  <c r="R11" i="6" s="1"/>
  <c r="O15" i="6"/>
  <c r="D10" i="6"/>
  <c r="D11" i="6" s="1"/>
  <c r="D17" i="6"/>
  <c r="O14" i="6"/>
  <c r="K10" i="6"/>
  <c r="U17" i="6"/>
  <c r="U18" i="6" s="1"/>
  <c r="U19" i="6" s="1"/>
  <c r="O12" i="6"/>
  <c r="O17" i="6" s="1"/>
  <c r="V5" i="6"/>
  <c r="N19" i="6" l="1"/>
  <c r="K11" i="6"/>
  <c r="K19" i="6" s="1"/>
  <c r="K18" i="6"/>
  <c r="O18" i="6" s="1"/>
  <c r="G19" i="6"/>
  <c r="V18" i="6"/>
  <c r="V19" i="6" s="1"/>
  <c r="D18" i="6"/>
  <c r="H18" i="6" s="1"/>
  <c r="O6" i="6"/>
  <c r="O10" i="6" s="1"/>
  <c r="V10" i="6"/>
  <c r="V17" i="6"/>
  <c r="V11" i="6" l="1"/>
  <c r="R19" i="6"/>
  <c r="D19" i="6"/>
  <c r="O11" i="6"/>
  <c r="O19" i="6" s="1"/>
  <c r="H11" i="6"/>
  <c r="H19" i="6" s="1"/>
  <c r="D4" i="1" l="1"/>
  <c r="E15" i="1"/>
  <c r="I15" i="1"/>
  <c r="I16" i="1" s="1"/>
  <c r="L15" i="1"/>
  <c r="L16" i="1" s="1"/>
  <c r="O15" i="1"/>
  <c r="O16" i="1" s="1"/>
  <c r="R15" i="1"/>
  <c r="B15" i="1"/>
  <c r="E9" i="1"/>
  <c r="I9" i="1"/>
  <c r="L9" i="1"/>
  <c r="O9" i="1"/>
  <c r="R9" i="1"/>
  <c r="B9" i="1"/>
  <c r="R16" i="1" l="1"/>
  <c r="E16" i="1"/>
  <c r="B16" i="1"/>
  <c r="T14" i="1"/>
  <c r="T13" i="1"/>
  <c r="T12" i="1"/>
  <c r="T11" i="1"/>
  <c r="T10" i="1"/>
  <c r="T15" i="1" s="1"/>
  <c r="T8" i="1"/>
  <c r="T7" i="1"/>
  <c r="T6" i="1"/>
  <c r="T5" i="1"/>
  <c r="T4" i="1"/>
  <c r="Q14" i="1"/>
  <c r="Q13" i="1"/>
  <c r="Q12" i="1"/>
  <c r="Q11" i="1"/>
  <c r="Q10" i="1"/>
  <c r="Q8" i="1"/>
  <c r="Q7" i="1"/>
  <c r="Q6" i="1"/>
  <c r="Q5" i="1"/>
  <c r="Q4" i="1"/>
  <c r="N14" i="1"/>
  <c r="N13" i="1"/>
  <c r="N12" i="1"/>
  <c r="N11" i="1"/>
  <c r="N10" i="1"/>
  <c r="N8" i="1"/>
  <c r="N7" i="1"/>
  <c r="N6" i="1"/>
  <c r="N5" i="1"/>
  <c r="N4" i="1"/>
  <c r="K14" i="1"/>
  <c r="K13" i="1"/>
  <c r="K12" i="1"/>
  <c r="K11" i="1"/>
  <c r="K10" i="1"/>
  <c r="K15" i="1" s="1"/>
  <c r="K8" i="1"/>
  <c r="K7" i="1"/>
  <c r="K6" i="1"/>
  <c r="K5" i="1"/>
  <c r="K4" i="1"/>
  <c r="G14" i="1"/>
  <c r="H14" i="1" s="1"/>
  <c r="G13" i="1"/>
  <c r="G12" i="1"/>
  <c r="G11" i="1"/>
  <c r="G10" i="1"/>
  <c r="G8" i="1"/>
  <c r="G7" i="1"/>
  <c r="G6" i="1"/>
  <c r="G5" i="1"/>
  <c r="G4" i="1"/>
  <c r="D13" i="1"/>
  <c r="D12" i="1"/>
  <c r="D11" i="1"/>
  <c r="D10" i="1"/>
  <c r="D6" i="1"/>
  <c r="D8" i="1"/>
  <c r="D7" i="1"/>
  <c r="D5" i="1"/>
  <c r="D9" i="1" s="1"/>
  <c r="E1" i="1" s="1"/>
  <c r="H8" i="1" l="1"/>
  <c r="H13" i="1"/>
  <c r="T9" i="1"/>
  <c r="T16" i="1"/>
  <c r="K9" i="1"/>
  <c r="K16" i="1" s="1"/>
  <c r="H7" i="1"/>
  <c r="H6" i="1"/>
  <c r="N9" i="1"/>
  <c r="G15" i="1"/>
  <c r="Q15" i="1"/>
  <c r="H4" i="1"/>
  <c r="G9" i="1"/>
  <c r="H11" i="1"/>
  <c r="Q9" i="1"/>
  <c r="H5" i="1"/>
  <c r="H12" i="1"/>
  <c r="N15" i="1"/>
  <c r="D15" i="1"/>
  <c r="H10" i="1"/>
  <c r="H15" i="1" l="1"/>
  <c r="Q16" i="1"/>
  <c r="N16" i="1"/>
  <c r="H9" i="1"/>
  <c r="H16" i="1" s="1"/>
  <c r="G16" i="1"/>
  <c r="D18" i="1"/>
  <c r="D16" i="1"/>
</calcChain>
</file>

<file path=xl/sharedStrings.xml><?xml version="1.0" encoding="utf-8"?>
<sst xmlns="http://schemas.openxmlformats.org/spreadsheetml/2006/main" count="152" uniqueCount="49">
  <si>
    <t>Plānotie nodevu ieņēmumi</t>
  </si>
  <si>
    <t>Uzturēšanās atļaujas</t>
  </si>
  <si>
    <t>X</t>
  </si>
  <si>
    <t>Vidējais 
nodevas 
apmērs</t>
  </si>
  <si>
    <t>Plānotie nodevu 
ieņēmumi</t>
  </si>
  <si>
    <t>Plānotais 
skaits</t>
  </si>
  <si>
    <t>Pilsoņu personas 
apliecības</t>
  </si>
  <si>
    <t>Nepilsoņu personas 
apliecības</t>
  </si>
  <si>
    <t>Ārzemnieka personas 
apliecības</t>
  </si>
  <si>
    <t xml:space="preserve">ES pilsoņu personas 
apliecības </t>
  </si>
  <si>
    <t>Bezvalstnieku ceļošanas
dokumenti</t>
  </si>
  <si>
    <t>Pilsoņu pases</t>
  </si>
  <si>
    <t>Nepilsoņu pases</t>
  </si>
  <si>
    <t>Bēgļu ceļošanas 
dokumenti</t>
  </si>
  <si>
    <t>Ceļošanas dokumenti personām ar altenatīvo statusu</t>
  </si>
  <si>
    <t>Izmaiņas EUR 
(2023.gada precizētais 
plāns pret 
2023.gada plānu)</t>
  </si>
  <si>
    <t>2024.gada plāns</t>
  </si>
  <si>
    <t>2025.gada plāns</t>
  </si>
  <si>
    <t>2026.gada plāns</t>
  </si>
  <si>
    <t>2027.gada plāns</t>
  </si>
  <si>
    <t xml:space="preserve">Visi dokumenti 
(veidi/tipi)
</t>
  </si>
  <si>
    <t>Kopā pases</t>
  </si>
  <si>
    <t>2023.gada plāns*</t>
  </si>
  <si>
    <t>Kopā personas 
apliecības</t>
  </si>
  <si>
    <t>Kopā visi dokumenti</t>
  </si>
  <si>
    <t>Plānotais
skaits</t>
  </si>
  <si>
    <t>Precizētais 2023.gada plāns**</t>
  </si>
  <si>
    <t xml:space="preserve">*Ministru kabineta 27.07.2011. rīkojums Nr.347 </t>
  </si>
  <si>
    <r>
      <t xml:space="preserve">**pārprognozētais 
izsniedzamo dokumentu 
skaits (jaunā prognoze),
 ņemot vērā, ka 2019., 
2020.,2021.gadā neizsniegto dokumentu apjoms veidoja 393 160, no tām 391 744 personas apliecības un 1416 pases. Papildus 2022.gadā VDEĀK klienti - personas apliecību saņēmēji, lai varētu izmantot braukšanas atvieglojumus, kā arī, ņemot 
vērā aktuālos datus no Fizisko personu reģistra par tiem dokumentiem, kuriem beidzas to derīguma termiņš attiecīgajā periodā). 2022.gada prognozēs pasēm pievienotas 1416 neizsniegtās pases un eID kartēm - puse no 393 160 neizsniegto eID karšu skaita 2019., 2020. un 2020.gadā, proti, 195 872. </t>
    </r>
    <r>
      <rPr>
        <b/>
        <sz val="11"/>
        <color theme="1"/>
        <rFont val="Times New Roman"/>
        <family val="1"/>
        <charset val="186"/>
      </rPr>
      <t>Attiecīgi 2023.gadā arī pievienotas</t>
    </r>
    <r>
      <rPr>
        <sz val="11"/>
        <color theme="1"/>
        <rFont val="Times New Roman"/>
        <family val="1"/>
        <charset val="186"/>
      </rPr>
      <t xml:space="preserve"> </t>
    </r>
    <r>
      <rPr>
        <b/>
        <sz val="11"/>
        <color theme="1"/>
        <rFont val="Times New Roman"/>
        <family val="1"/>
        <charset val="186"/>
      </rPr>
      <t>195 872 eID kartes</t>
    </r>
    <r>
      <rPr>
        <sz val="11"/>
        <color theme="1"/>
        <rFont val="Times New Roman"/>
        <family val="1"/>
        <charset val="186"/>
      </rPr>
      <t xml:space="preserve">, kas ir puse no 393 160 neizsniegto eID karšu skaita 2019., 2020. un 2020.gadā. </t>
    </r>
  </si>
  <si>
    <t>Ceļošanas dokumenti personām ar alternatīvo statusu</t>
  </si>
  <si>
    <t>Plānotie nodevu 
ieņēmumi pēc palielinājums</t>
  </si>
  <si>
    <t>Plānotās nodevu 
ieņēmumu izmaiņas</t>
  </si>
  <si>
    <t>Ieņēmumu no valsts nodevas par pasu izsniegšanu un ieņēmumu no valsts nodevas par personas apliecības izsniegšanu aprēķins</t>
  </si>
  <si>
    <t>Ieņēmumi no valsts nodevas par personas apliecības izsniegšanu, ņemot vērā koriģējošo neizpildes riska koeficientu*</t>
  </si>
  <si>
    <t>Ieņēmumi no valsts nodevas par pasu izsniegšanu, ņemot vērā koriģējošo neizpildes riska koeficientu*</t>
  </si>
  <si>
    <t>Precizēts
skaits</t>
  </si>
  <si>
    <t>2025.gads</t>
  </si>
  <si>
    <t>2026.gads</t>
  </si>
  <si>
    <t>2027.gads</t>
  </si>
  <si>
    <t>2028.gads</t>
  </si>
  <si>
    <t>Plānotie nodevu 
ieņēmumi (MK Rīk.347)</t>
  </si>
  <si>
    <t>* ieņēmumu prognozes precizētas, piemērojot  valsts nodevu ieņēmumu kopsummai koriģējošo neizpildes riska koeficientu, ievērojot aplēses par prognozētā pasu un personas apliecību izsniegšanas apjoma izpildes svārstībām 2025., 2026. un 2027. gadā.</t>
  </si>
  <si>
    <t>Pielikums Ministru kabineta noteikumu projekta "Grozījumi Ministru kabineta 2012. gada 21. februāra noteikumos Nr. 133 "Noteikumi par valsts nodevu par personu apliecinošu dokumentu izsniegšanu" sākotnējās ietekmes novērtējumam ziņojumam (anotācijai)</t>
  </si>
  <si>
    <t>Plānotie nodevu 
ieņēmumi 2028.gadā</t>
  </si>
  <si>
    <t xml:space="preserve">Precizēts vidējais 
nodevas 
apmērs </t>
  </si>
  <si>
    <t>Precizēts 
skaits</t>
  </si>
  <si>
    <t>Ieņēmumi no valsts nodevas par pases izsniegšanu un valsts nodevas par personas apliecības izsniegšanu, ņemot vērā koriģējošo neizpildes riska koeficientu*</t>
  </si>
  <si>
    <t>x</t>
  </si>
  <si>
    <t>Plānotais nodevu 
ieņēmumu palielinājums
attiecībā pret 2027.gadā sākotnēji prognozēto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</si>
</sst>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rgb="FF006100"/>
      <name val="Calibri"/>
      <family val="2"/>
      <charset val="186"/>
      <scheme val="minor"/>
    </font>
    <font>
      <sz val="11"/>
      <color theme="1"/>
      <name val="Times New Roman"/>
      <family val="1"/>
      <charset val="186"/>
    </font>
    <font>
      <b/>
      <sz val="11"/>
      <color theme="1"/>
      <name val="Times New Roman"/>
      <family val="1"/>
      <charset val="186"/>
    </font>
    <font>
      <b/>
      <sz val="11"/>
      <name val="Times New Roman"/>
      <family val="1"/>
      <charset val="186"/>
    </font>
    <font>
      <sz val="9"/>
      <color theme="1"/>
      <name val="Times New Roman"/>
      <family val="1"/>
      <charset val="186"/>
    </font>
    <font>
      <sz val="10"/>
      <color theme="1"/>
      <name val="Times New Roman"/>
      <family val="1"/>
      <charset val="186"/>
    </font>
    <font>
      <b/>
      <sz val="10"/>
      <name val="Times New Roman"/>
      <family val="1"/>
      <charset val="186"/>
    </font>
    <font>
      <b/>
      <sz val="10"/>
      <color theme="1"/>
      <name val="Times New Roman"/>
      <family val="1"/>
      <charset val="186"/>
    </font>
    <font>
      <sz val="11"/>
      <color rgb="FF9C6500"/>
      <name val="Calibri"/>
      <family val="2"/>
      <charset val="186"/>
      <scheme val="minor"/>
    </font>
    <font>
      <sz val="10"/>
      <name val="Times New Roman"/>
      <family val="1"/>
      <charset val="186"/>
    </font>
    <font>
      <b/>
      <sz val="13"/>
      <color theme="1"/>
      <name val="Times New Roman"/>
      <family val="1"/>
      <charset val="186"/>
    </font>
    <font>
      <sz val="14"/>
      <color theme="1"/>
      <name val="Times New Roman"/>
      <family val="1"/>
      <charset val="186"/>
    </font>
    <font>
      <b/>
      <sz val="14"/>
      <color theme="1"/>
      <name val="Times New Roman"/>
      <family val="1"/>
      <charset val="186"/>
    </font>
    <font>
      <sz val="12"/>
      <color theme="1"/>
      <name val="Times New Roman"/>
      <family val="1"/>
      <charset val="186"/>
    </font>
    <font>
      <b/>
      <sz val="12"/>
      <color theme="1"/>
      <name val="Times New Roman"/>
      <family val="1"/>
      <charset val="186"/>
    </font>
  </fonts>
  <fills count="13">
    <fill>
      <patternFill patternType="none"/>
    </fill>
    <fill>
      <patternFill patternType="gray125"/>
    </fill>
    <fill>
      <patternFill patternType="solid">
        <fgColor rgb="FFC6EFCE"/>
      </patternFill>
    </fill>
    <fill>
      <patternFill patternType="solid">
        <fgColor them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FFEB9C"/>
      </patternFill>
    </fill>
    <fill>
      <patternFill patternType="solid">
        <fgColor theme="0" tint="-0.14999847407452621"/>
        <bgColor indexed="64"/>
      </patternFill>
    </fill>
    <fill>
      <patternFill patternType="solid">
        <fgColor theme="6" tint="0.79998168889431442"/>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0" fontId="1" fillId="2" borderId="0" applyNumberFormat="0" applyBorder="0" applyAlignment="0" applyProtection="0"/>
    <xf numFmtId="0" fontId="9" fillId="9" borderId="0" applyNumberFormat="0" applyBorder="0" applyAlignment="0" applyProtection="0"/>
  </cellStyleXfs>
  <cellXfs count="117">
    <xf numFmtId="0" fontId="0" fillId="0" borderId="0" xfId="0"/>
    <xf numFmtId="0" fontId="2" fillId="0" borderId="0" xfId="0" applyFont="1" applyAlignment="1">
      <alignment horizontal="left" vertical="top"/>
    </xf>
    <xf numFmtId="0" fontId="3" fillId="0" borderId="2" xfId="0" applyFont="1" applyBorder="1" applyAlignment="1">
      <alignment horizontal="left" vertical="top" wrapText="1"/>
    </xf>
    <xf numFmtId="0" fontId="2" fillId="0" borderId="2" xfId="0" applyFont="1" applyBorder="1" applyAlignment="1">
      <alignment horizontal="left" vertical="top"/>
    </xf>
    <xf numFmtId="0" fontId="2" fillId="0" borderId="6" xfId="0" applyFont="1" applyBorder="1" applyAlignment="1">
      <alignment horizontal="left" vertical="top" wrapText="1"/>
    </xf>
    <xf numFmtId="0" fontId="2" fillId="0" borderId="1" xfId="0" applyFont="1" applyBorder="1" applyAlignment="1">
      <alignment horizontal="left" vertical="top" wrapText="1"/>
    </xf>
    <xf numFmtId="0" fontId="2" fillId="0" borderId="7" xfId="0" applyFont="1" applyBorder="1" applyAlignment="1">
      <alignment horizontal="left" vertical="top" wrapText="1"/>
    </xf>
    <xf numFmtId="0" fontId="2" fillId="0" borderId="2" xfId="0" applyFont="1" applyBorder="1" applyAlignment="1">
      <alignment horizontal="left" vertical="top" wrapText="1"/>
    </xf>
    <xf numFmtId="0" fontId="4" fillId="2" borderId="2" xfId="1" applyFont="1" applyBorder="1" applyAlignment="1">
      <alignment horizontal="left" vertical="top" wrapText="1"/>
    </xf>
    <xf numFmtId="0" fontId="4" fillId="2" borderId="11" xfId="1" applyFont="1" applyBorder="1" applyAlignment="1">
      <alignment horizontal="left" vertical="top" wrapText="1"/>
    </xf>
    <xf numFmtId="0" fontId="4" fillId="4" borderId="1" xfId="1" applyFont="1" applyFill="1" applyBorder="1" applyAlignment="1">
      <alignment horizontal="left" vertical="top"/>
    </xf>
    <xf numFmtId="3" fontId="2" fillId="0" borderId="0" xfId="0" applyNumberFormat="1" applyFont="1" applyAlignment="1">
      <alignment horizontal="left" vertical="top"/>
    </xf>
    <xf numFmtId="0" fontId="2" fillId="0" borderId="0" xfId="0" applyFont="1" applyAlignment="1">
      <alignment horizontal="left" vertical="top" wrapText="1"/>
    </xf>
    <xf numFmtId="4" fontId="6" fillId="0" borderId="1" xfId="0" applyNumberFormat="1" applyFont="1" applyBorder="1" applyAlignment="1">
      <alignment horizontal="right" vertical="top" wrapText="1"/>
    </xf>
    <xf numFmtId="4" fontId="6" fillId="0" borderId="2" xfId="0" applyNumberFormat="1" applyFont="1" applyBorder="1" applyAlignment="1">
      <alignment horizontal="right" vertical="top" wrapText="1"/>
    </xf>
    <xf numFmtId="4" fontId="6" fillId="0" borderId="7" xfId="0" applyNumberFormat="1" applyFont="1" applyBorder="1" applyAlignment="1">
      <alignment horizontal="right" vertical="top"/>
    </xf>
    <xf numFmtId="4" fontId="6" fillId="0" borderId="1" xfId="0" applyNumberFormat="1" applyFont="1" applyBorder="1" applyAlignment="1">
      <alignment horizontal="right" vertical="top"/>
    </xf>
    <xf numFmtId="4" fontId="7" fillId="2" borderId="6" xfId="1" applyNumberFormat="1" applyFont="1" applyBorder="1" applyAlignment="1">
      <alignment horizontal="right" vertical="top" wrapText="1"/>
    </xf>
    <xf numFmtId="4" fontId="7" fillId="2" borderId="12" xfId="1" applyNumberFormat="1" applyFont="1" applyBorder="1" applyAlignment="1">
      <alignment horizontal="right" vertical="top"/>
    </xf>
    <xf numFmtId="4" fontId="7" fillId="4" borderId="1" xfId="1" applyNumberFormat="1" applyFont="1" applyFill="1" applyBorder="1" applyAlignment="1">
      <alignment horizontal="right" vertical="top"/>
    </xf>
    <xf numFmtId="3" fontId="6" fillId="0" borderId="6" xfId="0" applyNumberFormat="1" applyFont="1" applyBorder="1" applyAlignment="1">
      <alignment horizontal="right" vertical="top" wrapText="1"/>
    </xf>
    <xf numFmtId="3" fontId="7" fillId="2" borderId="6" xfId="1" applyNumberFormat="1" applyFont="1" applyBorder="1" applyAlignment="1">
      <alignment horizontal="right" vertical="top" wrapText="1"/>
    </xf>
    <xf numFmtId="3" fontId="6" fillId="0" borderId="6" xfId="0" applyNumberFormat="1" applyFont="1" applyBorder="1" applyAlignment="1">
      <alignment horizontal="right" vertical="top"/>
    </xf>
    <xf numFmtId="3" fontId="7" fillId="2" borderId="12" xfId="1" applyNumberFormat="1" applyFont="1" applyBorder="1" applyAlignment="1">
      <alignment horizontal="right" vertical="top"/>
    </xf>
    <xf numFmtId="3" fontId="7" fillId="4" borderId="1" xfId="1" applyNumberFormat="1" applyFont="1" applyFill="1" applyBorder="1" applyAlignment="1">
      <alignment horizontal="right" vertical="top"/>
    </xf>
    <xf numFmtId="3" fontId="6" fillId="0" borderId="1" xfId="0" applyNumberFormat="1" applyFont="1" applyBorder="1" applyAlignment="1">
      <alignment horizontal="right" vertical="top" wrapText="1"/>
    </xf>
    <xf numFmtId="3" fontId="6" fillId="0" borderId="1" xfId="0" applyNumberFormat="1" applyFont="1" applyBorder="1" applyAlignment="1">
      <alignment horizontal="right" vertical="top"/>
    </xf>
    <xf numFmtId="0" fontId="2" fillId="8" borderId="7" xfId="0" applyFont="1" applyFill="1" applyBorder="1" applyAlignment="1">
      <alignment horizontal="left" vertical="top"/>
    </xf>
    <xf numFmtId="4" fontId="6" fillId="8" borderId="7" xfId="0" applyNumberFormat="1" applyFont="1" applyFill="1" applyBorder="1" applyAlignment="1">
      <alignment horizontal="right" vertical="top"/>
    </xf>
    <xf numFmtId="3" fontId="6" fillId="0" borderId="6" xfId="0" applyNumberFormat="1" applyFont="1" applyFill="1" applyBorder="1" applyAlignment="1">
      <alignment horizontal="right" vertical="top"/>
    </xf>
    <xf numFmtId="0" fontId="3" fillId="3" borderId="5" xfId="0" applyFont="1" applyFill="1" applyBorder="1" applyAlignment="1">
      <alignment horizontal="center" vertical="center" wrapText="1"/>
    </xf>
    <xf numFmtId="4" fontId="2" fillId="0" borderId="0" xfId="0" applyNumberFormat="1" applyFont="1" applyAlignment="1">
      <alignment horizontal="left" vertical="top"/>
    </xf>
    <xf numFmtId="4" fontId="5" fillId="0" borderId="0" xfId="0" applyNumberFormat="1" applyFont="1" applyAlignment="1">
      <alignment horizontal="left" vertical="top"/>
    </xf>
    <xf numFmtId="0" fontId="6" fillId="0" borderId="0" xfId="0" applyFont="1" applyAlignment="1">
      <alignment horizontal="left" vertical="top"/>
    </xf>
    <xf numFmtId="3" fontId="6" fillId="0" borderId="0" xfId="0" applyNumberFormat="1" applyFont="1" applyAlignment="1">
      <alignment horizontal="left" vertical="top"/>
    </xf>
    <xf numFmtId="0" fontId="6" fillId="0" borderId="0" xfId="0" applyFont="1" applyAlignment="1">
      <alignment vertical="top" wrapText="1"/>
    </xf>
    <xf numFmtId="0" fontId="8" fillId="0" borderId="0" xfId="0" applyFont="1" applyAlignment="1">
      <alignment vertical="top"/>
    </xf>
    <xf numFmtId="4" fontId="10" fillId="0" borderId="1" xfId="0" applyNumberFormat="1" applyFont="1" applyFill="1" applyBorder="1" applyAlignment="1">
      <alignment horizontal="center" vertical="top"/>
    </xf>
    <xf numFmtId="3" fontId="7" fillId="0" borderId="1" xfId="1" applyNumberFormat="1" applyFont="1" applyFill="1" applyBorder="1" applyAlignment="1">
      <alignment horizontal="center" vertical="center" wrapText="1"/>
    </xf>
    <xf numFmtId="3" fontId="7" fillId="0" borderId="1" xfId="1" applyNumberFormat="1" applyFont="1" applyFill="1" applyBorder="1" applyAlignment="1">
      <alignment horizontal="center" vertical="center"/>
    </xf>
    <xf numFmtId="0" fontId="10" fillId="0" borderId="2" xfId="0" applyFont="1" applyFill="1" applyBorder="1" applyAlignment="1">
      <alignment horizontal="left" vertical="top"/>
    </xf>
    <xf numFmtId="0" fontId="10" fillId="0" borderId="2" xfId="0" applyFont="1" applyFill="1" applyBorder="1" applyAlignment="1">
      <alignment horizontal="left" vertical="top" wrapText="1"/>
    </xf>
    <xf numFmtId="3" fontId="7" fillId="0" borderId="6" xfId="1" applyNumberFormat="1" applyFont="1" applyFill="1" applyBorder="1" applyAlignment="1">
      <alignment horizontal="center" vertical="center" wrapText="1"/>
    </xf>
    <xf numFmtId="3" fontId="7" fillId="0" borderId="7" xfId="1" applyNumberFormat="1" applyFont="1" applyFill="1" applyBorder="1" applyAlignment="1">
      <alignment horizontal="center" vertical="center" wrapText="1"/>
    </xf>
    <xf numFmtId="3" fontId="7" fillId="0" borderId="6" xfId="1" applyNumberFormat="1" applyFont="1" applyFill="1" applyBorder="1" applyAlignment="1">
      <alignment horizontal="center" vertical="center"/>
    </xf>
    <xf numFmtId="3" fontId="7" fillId="0" borderId="7" xfId="1" applyNumberFormat="1" applyFont="1" applyFill="1" applyBorder="1" applyAlignment="1">
      <alignment horizontal="center" vertical="center"/>
    </xf>
    <xf numFmtId="3" fontId="7" fillId="0" borderId="2" xfId="1" applyNumberFormat="1" applyFont="1" applyFill="1" applyBorder="1" applyAlignment="1">
      <alignment horizontal="center" vertical="center" wrapText="1"/>
    </xf>
    <xf numFmtId="3" fontId="7" fillId="0" borderId="13" xfId="1" applyNumberFormat="1" applyFont="1" applyFill="1" applyBorder="1" applyAlignment="1">
      <alignment horizontal="center" vertical="center" wrapText="1"/>
    </xf>
    <xf numFmtId="3" fontId="7" fillId="0" borderId="13" xfId="1" applyNumberFormat="1" applyFont="1" applyFill="1" applyBorder="1" applyAlignment="1">
      <alignment horizontal="center" vertical="center"/>
    </xf>
    <xf numFmtId="0" fontId="6" fillId="10" borderId="0" xfId="0" applyFont="1" applyFill="1" applyAlignment="1">
      <alignment horizontal="left" vertical="top"/>
    </xf>
    <xf numFmtId="0" fontId="6" fillId="0" borderId="0" xfId="0" applyFont="1" applyFill="1" applyAlignment="1">
      <alignment horizontal="left" vertical="top"/>
    </xf>
    <xf numFmtId="3" fontId="7" fillId="0" borderId="14" xfId="1" applyNumberFormat="1" applyFont="1" applyFill="1" applyBorder="1" applyAlignment="1">
      <alignment horizontal="center" vertical="center" wrapText="1"/>
    </xf>
    <xf numFmtId="3" fontId="7" fillId="0" borderId="14" xfId="1" applyNumberFormat="1" applyFont="1" applyFill="1" applyBorder="1" applyAlignment="1">
      <alignment horizontal="center" vertical="center"/>
    </xf>
    <xf numFmtId="3" fontId="10" fillId="0" borderId="1" xfId="0" applyNumberFormat="1" applyFont="1" applyFill="1" applyBorder="1" applyAlignment="1">
      <alignment horizontal="center" vertical="top"/>
    </xf>
    <xf numFmtId="0" fontId="7" fillId="0" borderId="2" xfId="1" applyFont="1" applyFill="1" applyBorder="1" applyAlignment="1">
      <alignment horizontal="left" vertical="center" wrapText="1"/>
    </xf>
    <xf numFmtId="0" fontId="7" fillId="0" borderId="2" xfId="0" applyFont="1" applyFill="1" applyBorder="1" applyAlignment="1">
      <alignment horizontal="center" vertical="center" wrapText="1"/>
    </xf>
    <xf numFmtId="0" fontId="10" fillId="0" borderId="6" xfId="0" applyFont="1" applyFill="1" applyBorder="1" applyAlignment="1">
      <alignment horizontal="center" vertical="top" wrapText="1"/>
    </xf>
    <xf numFmtId="0" fontId="10" fillId="0" borderId="1" xfId="0" applyFont="1" applyFill="1" applyBorder="1" applyAlignment="1">
      <alignment horizontal="center" vertical="top" wrapText="1"/>
    </xf>
    <xf numFmtId="0" fontId="10" fillId="0" borderId="7" xfId="0" applyFont="1" applyFill="1" applyBorder="1" applyAlignment="1">
      <alignment horizontal="center" vertical="top" wrapText="1"/>
    </xf>
    <xf numFmtId="3" fontId="10" fillId="0" borderId="6" xfId="0" applyNumberFormat="1" applyFont="1" applyFill="1" applyBorder="1" applyAlignment="1">
      <alignment horizontal="center" vertical="top"/>
    </xf>
    <xf numFmtId="4" fontId="10" fillId="0" borderId="2" xfId="0" applyNumberFormat="1" applyFont="1" applyFill="1" applyBorder="1" applyAlignment="1">
      <alignment horizontal="center" vertical="top"/>
    </xf>
    <xf numFmtId="3" fontId="10" fillId="0" borderId="7" xfId="0" applyNumberFormat="1" applyFont="1" applyFill="1" applyBorder="1" applyAlignment="1">
      <alignment horizontal="center" vertical="top"/>
    </xf>
    <xf numFmtId="3" fontId="7" fillId="0" borderId="13" xfId="0" applyNumberFormat="1" applyFont="1" applyFill="1" applyBorder="1" applyAlignment="1">
      <alignment horizontal="center" vertical="top"/>
    </xf>
    <xf numFmtId="3" fontId="10" fillId="0" borderId="7" xfId="0" applyNumberFormat="1" applyFont="1" applyFill="1" applyBorder="1" applyAlignment="1">
      <alignment horizontal="right" vertical="top"/>
    </xf>
    <xf numFmtId="3" fontId="10" fillId="0" borderId="1" xfId="0" applyNumberFormat="1" applyFont="1" applyFill="1" applyBorder="1" applyAlignment="1">
      <alignment horizontal="right" vertical="top"/>
    </xf>
    <xf numFmtId="3" fontId="10" fillId="0" borderId="6" xfId="0" applyNumberFormat="1" applyFont="1" applyFill="1" applyBorder="1" applyAlignment="1">
      <alignment horizontal="right" vertical="top"/>
    </xf>
    <xf numFmtId="3" fontId="10" fillId="0" borderId="13" xfId="0" applyNumberFormat="1" applyFont="1" applyFill="1" applyBorder="1" applyAlignment="1">
      <alignment horizontal="center" vertical="top"/>
    </xf>
    <xf numFmtId="4" fontId="7" fillId="0" borderId="1" xfId="0" applyNumberFormat="1" applyFont="1" applyFill="1" applyBorder="1" applyAlignment="1">
      <alignment horizontal="center" vertical="top"/>
    </xf>
    <xf numFmtId="3" fontId="10" fillId="0" borderId="14" xfId="0" applyNumberFormat="1" applyFont="1" applyFill="1" applyBorder="1" applyAlignment="1">
      <alignment horizontal="right" vertical="top"/>
    </xf>
    <xf numFmtId="0" fontId="7" fillId="11" borderId="2" xfId="1" applyFont="1" applyFill="1" applyBorder="1" applyAlignment="1">
      <alignment horizontal="left" vertical="center" wrapText="1"/>
    </xf>
    <xf numFmtId="3" fontId="7" fillId="11" borderId="6" xfId="1" applyNumberFormat="1" applyFont="1" applyFill="1" applyBorder="1" applyAlignment="1">
      <alignment horizontal="center" vertical="center" wrapText="1"/>
    </xf>
    <xf numFmtId="3" fontId="7" fillId="11" borderId="1" xfId="1" applyNumberFormat="1" applyFont="1" applyFill="1" applyBorder="1" applyAlignment="1">
      <alignment horizontal="center" vertical="center" wrapText="1"/>
    </xf>
    <xf numFmtId="3" fontId="7" fillId="11" borderId="2" xfId="1" applyNumberFormat="1" applyFont="1" applyFill="1" applyBorder="1" applyAlignment="1">
      <alignment horizontal="center" vertical="center" wrapText="1"/>
    </xf>
    <xf numFmtId="0" fontId="7" fillId="11" borderId="2" xfId="2" applyFont="1" applyFill="1" applyBorder="1" applyAlignment="1">
      <alignment horizontal="left" vertical="top" wrapText="1"/>
    </xf>
    <xf numFmtId="3" fontId="7" fillId="11" borderId="6" xfId="1" applyNumberFormat="1" applyFont="1" applyFill="1" applyBorder="1" applyAlignment="1">
      <alignment horizontal="center" vertical="center"/>
    </xf>
    <xf numFmtId="3" fontId="7" fillId="11" borderId="1" xfId="1" applyNumberFormat="1" applyFont="1" applyFill="1" applyBorder="1" applyAlignment="1">
      <alignment horizontal="center" vertical="center"/>
    </xf>
    <xf numFmtId="0" fontId="7" fillId="12" borderId="2" xfId="2" applyFont="1" applyFill="1" applyBorder="1" applyAlignment="1">
      <alignment horizontal="left" vertical="top" wrapText="1"/>
    </xf>
    <xf numFmtId="0" fontId="10" fillId="0" borderId="0" xfId="0" applyFont="1" applyAlignment="1">
      <alignment vertical="top" wrapText="1"/>
    </xf>
    <xf numFmtId="3" fontId="12" fillId="0" borderId="0" xfId="0" applyNumberFormat="1" applyFont="1"/>
    <xf numFmtId="3" fontId="13" fillId="0" borderId="0" xfId="0" applyNumberFormat="1" applyFont="1"/>
    <xf numFmtId="3" fontId="14" fillId="0" borderId="0" xfId="0" applyNumberFormat="1" applyFont="1" applyAlignment="1">
      <alignment horizontal="left" vertical="top"/>
    </xf>
    <xf numFmtId="3" fontId="15" fillId="0" borderId="0" xfId="0" applyNumberFormat="1" applyFont="1" applyAlignment="1">
      <alignment horizontal="right" vertical="top"/>
    </xf>
    <xf numFmtId="3" fontId="8" fillId="0" borderId="0" xfId="0" applyNumberFormat="1" applyFont="1" applyAlignment="1">
      <alignment vertical="top"/>
    </xf>
    <xf numFmtId="3" fontId="7" fillId="11" borderId="14" xfId="1" applyNumberFormat="1" applyFont="1" applyFill="1" applyBorder="1" applyAlignment="1">
      <alignment horizontal="center" vertical="center" wrapText="1"/>
    </xf>
    <xf numFmtId="3" fontId="7" fillId="11" borderId="7" xfId="1" applyNumberFormat="1" applyFont="1" applyFill="1" applyBorder="1" applyAlignment="1">
      <alignment horizontal="center" vertical="center" wrapText="1"/>
    </xf>
    <xf numFmtId="3" fontId="7" fillId="11" borderId="7" xfId="1" applyNumberFormat="1" applyFont="1" applyFill="1" applyBorder="1" applyAlignment="1">
      <alignment horizontal="center" vertical="center"/>
    </xf>
    <xf numFmtId="3" fontId="7" fillId="12" borderId="18" xfId="1" applyNumberFormat="1" applyFont="1" applyFill="1" applyBorder="1" applyAlignment="1">
      <alignment horizontal="center" vertical="center"/>
    </xf>
    <xf numFmtId="3" fontId="7" fillId="12" borderId="17" xfId="1" applyNumberFormat="1" applyFont="1" applyFill="1" applyBorder="1" applyAlignment="1">
      <alignment horizontal="center" vertical="center"/>
    </xf>
    <xf numFmtId="3" fontId="7" fillId="12" borderId="19" xfId="1" applyNumberFormat="1" applyFont="1" applyFill="1" applyBorder="1" applyAlignment="1">
      <alignment horizontal="center" vertical="center"/>
    </xf>
    <xf numFmtId="3" fontId="7" fillId="12" borderId="20" xfId="1" applyNumberFormat="1" applyFont="1" applyFill="1" applyBorder="1" applyAlignment="1">
      <alignment horizontal="center" vertical="center"/>
    </xf>
    <xf numFmtId="3" fontId="7" fillId="12" borderId="21" xfId="1" applyNumberFormat="1" applyFont="1" applyFill="1" applyBorder="1" applyAlignment="1">
      <alignment horizontal="center" vertical="center"/>
    </xf>
    <xf numFmtId="0" fontId="2" fillId="0" borderId="0" xfId="0" applyFont="1" applyAlignment="1">
      <alignment horizontal="left" vertical="top" wrapText="1"/>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5" xfId="0" applyFont="1" applyFill="1" applyBorder="1" applyAlignment="1">
      <alignment horizontal="center" vertical="center"/>
    </xf>
    <xf numFmtId="0" fontId="10" fillId="0" borderId="0" xfId="0" applyFont="1" applyAlignment="1">
      <alignment horizontal="left" vertical="top" wrapText="1"/>
    </xf>
    <xf numFmtId="0" fontId="2" fillId="0" borderId="0" xfId="0" applyFont="1" applyAlignment="1">
      <alignment horizontal="right" vertical="top" wrapText="1"/>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11" fillId="0" borderId="0" xfId="0" applyFont="1" applyBorder="1" applyAlignment="1">
      <alignment horizontal="center" vertical="top" wrapText="1"/>
    </xf>
    <xf numFmtId="0" fontId="7" fillId="0" borderId="15" xfId="0" applyFont="1" applyFill="1" applyBorder="1" applyAlignment="1">
      <alignment horizontal="center" vertical="center"/>
    </xf>
    <xf numFmtId="0" fontId="7" fillId="0" borderId="16" xfId="0" applyFont="1" applyFill="1" applyBorder="1" applyAlignment="1">
      <alignment horizontal="center" vertical="center"/>
    </xf>
  </cellXfs>
  <cellStyles count="3">
    <cellStyle name="Good" xfId="1" builtinId="26"/>
    <cellStyle name="Neutral" xfId="2"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9"/>
  <sheetViews>
    <sheetView zoomScaleNormal="100" workbookViewId="0">
      <selection activeCell="B10" sqref="B10"/>
    </sheetView>
  </sheetViews>
  <sheetFormatPr defaultColWidth="8.85546875" defaultRowHeight="15" x14ac:dyDescent="0.25"/>
  <cols>
    <col min="1" max="1" width="25" style="1" customWidth="1"/>
    <col min="2" max="2" width="8.7109375" style="1" customWidth="1"/>
    <col min="3" max="3" width="8.42578125" style="1" customWidth="1"/>
    <col min="4" max="4" width="13" style="1" customWidth="1"/>
    <col min="5" max="5" width="10.140625" style="1" customWidth="1"/>
    <col min="6" max="6" width="9.140625" style="1" bestFit="1" customWidth="1"/>
    <col min="7" max="7" width="12.28515625" style="1" customWidth="1"/>
    <col min="8" max="8" width="12.140625" style="1" customWidth="1"/>
    <col min="9" max="9" width="10.28515625" style="1" customWidth="1"/>
    <col min="10" max="10" width="9.140625" style="1" bestFit="1" customWidth="1"/>
    <col min="11" max="11" width="12.42578125" style="1" customWidth="1"/>
    <col min="12" max="12" width="11.28515625" style="1" bestFit="1" customWidth="1"/>
    <col min="13" max="13" width="9.140625" style="1" bestFit="1" customWidth="1"/>
    <col min="14" max="14" width="11.85546875" style="1" customWidth="1"/>
    <col min="15" max="15" width="11.28515625" style="1" bestFit="1" customWidth="1"/>
    <col min="16" max="16" width="9.140625" style="1" bestFit="1" customWidth="1"/>
    <col min="17" max="17" width="14.140625" style="1" customWidth="1"/>
    <col min="18" max="18" width="11.28515625" style="1" bestFit="1" customWidth="1"/>
    <col min="19" max="19" width="9.140625" style="1" bestFit="1" customWidth="1"/>
    <col min="20" max="20" width="13.140625" style="1" bestFit="1" customWidth="1"/>
    <col min="21" max="16384" width="8.85546875" style="1"/>
  </cols>
  <sheetData>
    <row r="1" spans="1:20" ht="15.75" thickBot="1" x14ac:dyDescent="0.3">
      <c r="D1" s="1">
        <v>5000506</v>
      </c>
      <c r="E1" s="32">
        <f>D1-D9</f>
        <v>-434829.10000000056</v>
      </c>
    </row>
    <row r="2" spans="1:20" ht="99.75" x14ac:dyDescent="0.25">
      <c r="A2" s="2" t="s">
        <v>20</v>
      </c>
      <c r="B2" s="98" t="s">
        <v>22</v>
      </c>
      <c r="C2" s="99"/>
      <c r="D2" s="99"/>
      <c r="E2" s="95" t="s">
        <v>26</v>
      </c>
      <c r="F2" s="96"/>
      <c r="G2" s="97"/>
      <c r="H2" s="30" t="s">
        <v>15</v>
      </c>
      <c r="I2" s="100" t="s">
        <v>16</v>
      </c>
      <c r="J2" s="101"/>
      <c r="K2" s="102"/>
      <c r="L2" s="103" t="s">
        <v>17</v>
      </c>
      <c r="M2" s="104"/>
      <c r="N2" s="105"/>
      <c r="O2" s="106" t="s">
        <v>18</v>
      </c>
      <c r="P2" s="107"/>
      <c r="Q2" s="108"/>
      <c r="R2" s="92" t="s">
        <v>19</v>
      </c>
      <c r="S2" s="93"/>
      <c r="T2" s="94"/>
    </row>
    <row r="3" spans="1:20" ht="45" x14ac:dyDescent="0.25">
      <c r="A3" s="3"/>
      <c r="B3" s="4" t="s">
        <v>25</v>
      </c>
      <c r="C3" s="5" t="s">
        <v>3</v>
      </c>
      <c r="D3" s="5" t="s">
        <v>4</v>
      </c>
      <c r="E3" s="5" t="s">
        <v>5</v>
      </c>
      <c r="F3" s="5" t="s">
        <v>3</v>
      </c>
      <c r="G3" s="5" t="s">
        <v>0</v>
      </c>
      <c r="H3" s="27"/>
      <c r="I3" s="4" t="s">
        <v>25</v>
      </c>
      <c r="J3" s="5" t="s">
        <v>3</v>
      </c>
      <c r="K3" s="6" t="s">
        <v>4</v>
      </c>
      <c r="L3" s="4" t="s">
        <v>25</v>
      </c>
      <c r="M3" s="5" t="s">
        <v>3</v>
      </c>
      <c r="N3" s="6" t="s">
        <v>4</v>
      </c>
      <c r="O3" s="4" t="s">
        <v>25</v>
      </c>
      <c r="P3" s="5" t="s">
        <v>3</v>
      </c>
      <c r="Q3" s="6" t="s">
        <v>4</v>
      </c>
      <c r="R3" s="4" t="s">
        <v>25</v>
      </c>
      <c r="S3" s="5" t="s">
        <v>3</v>
      </c>
      <c r="T3" s="6" t="s">
        <v>4</v>
      </c>
    </row>
    <row r="4" spans="1:20" x14ac:dyDescent="0.25">
      <c r="A4" s="3" t="s">
        <v>11</v>
      </c>
      <c r="B4" s="20">
        <v>202558</v>
      </c>
      <c r="C4" s="13">
        <v>22.3</v>
      </c>
      <c r="D4" s="14">
        <f>B4*22.3</f>
        <v>4517043.4000000004</v>
      </c>
      <c r="E4" s="25">
        <v>399594</v>
      </c>
      <c r="F4" s="13">
        <v>20.3</v>
      </c>
      <c r="G4" s="13">
        <f>E4*20.3</f>
        <v>8111758.2000000002</v>
      </c>
      <c r="H4" s="28">
        <f>G4-D4</f>
        <v>3594714.8</v>
      </c>
      <c r="I4" s="22">
        <v>300861</v>
      </c>
      <c r="J4" s="16">
        <v>20.3</v>
      </c>
      <c r="K4" s="15">
        <f>I4*20.3</f>
        <v>6107478.2999999998</v>
      </c>
      <c r="L4" s="22">
        <v>243043</v>
      </c>
      <c r="M4" s="16">
        <v>20.3</v>
      </c>
      <c r="N4" s="15">
        <f>L4*20.3</f>
        <v>4933772.9000000004</v>
      </c>
      <c r="O4" s="22">
        <v>226547</v>
      </c>
      <c r="P4" s="16">
        <v>20.3</v>
      </c>
      <c r="Q4" s="15">
        <f>O4*20.3</f>
        <v>4598904.1000000006</v>
      </c>
      <c r="R4" s="22">
        <v>137113</v>
      </c>
      <c r="S4" s="16">
        <v>20.3</v>
      </c>
      <c r="T4" s="15">
        <f>R4*20.3</f>
        <v>2783393.9</v>
      </c>
    </row>
    <row r="5" spans="1:20" x14ac:dyDescent="0.25">
      <c r="A5" s="3" t="s">
        <v>12</v>
      </c>
      <c r="B5" s="20">
        <v>40879</v>
      </c>
      <c r="C5" s="13">
        <v>22.3</v>
      </c>
      <c r="D5" s="14">
        <f>B5*22.3</f>
        <v>911601.70000000007</v>
      </c>
      <c r="E5" s="25">
        <v>49880</v>
      </c>
      <c r="F5" s="13">
        <v>20.3</v>
      </c>
      <c r="G5" s="13">
        <f>E5*20.3</f>
        <v>1012564</v>
      </c>
      <c r="H5" s="28">
        <f t="shared" ref="H5:H8" si="0">G5-D5</f>
        <v>100962.29999999993</v>
      </c>
      <c r="I5" s="22">
        <v>33765</v>
      </c>
      <c r="J5" s="16">
        <v>20.3</v>
      </c>
      <c r="K5" s="15">
        <f>I5*20.3</f>
        <v>685429.5</v>
      </c>
      <c r="L5" s="22">
        <v>19482</v>
      </c>
      <c r="M5" s="16">
        <v>20.3</v>
      </c>
      <c r="N5" s="15">
        <f>L5*20.3</f>
        <v>395484.60000000003</v>
      </c>
      <c r="O5" s="22">
        <v>13093</v>
      </c>
      <c r="P5" s="16">
        <v>20.3</v>
      </c>
      <c r="Q5" s="15">
        <f>O5*20.3</f>
        <v>265787.90000000002</v>
      </c>
      <c r="R5" s="22">
        <v>11345</v>
      </c>
      <c r="S5" s="16">
        <v>20.3</v>
      </c>
      <c r="T5" s="15">
        <f>R5*20.3</f>
        <v>230303.5</v>
      </c>
    </row>
    <row r="6" spans="1:20" ht="30" x14ac:dyDescent="0.25">
      <c r="A6" s="7" t="s">
        <v>10</v>
      </c>
      <c r="B6" s="20">
        <v>120</v>
      </c>
      <c r="C6" s="13">
        <v>22.3</v>
      </c>
      <c r="D6" s="14">
        <f>B6*22.3</f>
        <v>2676</v>
      </c>
      <c r="E6" s="25">
        <v>100</v>
      </c>
      <c r="F6" s="13">
        <v>20.3</v>
      </c>
      <c r="G6" s="13">
        <f>E6*20.3</f>
        <v>2030</v>
      </c>
      <c r="H6" s="28">
        <f t="shared" si="0"/>
        <v>-646</v>
      </c>
      <c r="I6" s="22">
        <v>100</v>
      </c>
      <c r="J6" s="16">
        <v>20.3</v>
      </c>
      <c r="K6" s="15">
        <f>I6*20.3</f>
        <v>2030</v>
      </c>
      <c r="L6" s="22">
        <v>100</v>
      </c>
      <c r="M6" s="16">
        <v>20.3</v>
      </c>
      <c r="N6" s="15">
        <f>L6*20.3</f>
        <v>2030</v>
      </c>
      <c r="O6" s="22">
        <v>100</v>
      </c>
      <c r="P6" s="16">
        <v>20.3</v>
      </c>
      <c r="Q6" s="15">
        <f>O6*20.3</f>
        <v>2030</v>
      </c>
      <c r="R6" s="22">
        <v>100</v>
      </c>
      <c r="S6" s="16">
        <v>20.3</v>
      </c>
      <c r="T6" s="15">
        <f>R6*20.3</f>
        <v>2030</v>
      </c>
    </row>
    <row r="7" spans="1:20" ht="30" x14ac:dyDescent="0.25">
      <c r="A7" s="7" t="s">
        <v>13</v>
      </c>
      <c r="B7" s="20">
        <v>60</v>
      </c>
      <c r="C7" s="13">
        <v>22.3</v>
      </c>
      <c r="D7" s="14">
        <f>B7*22.3</f>
        <v>1338</v>
      </c>
      <c r="E7" s="25">
        <v>50</v>
      </c>
      <c r="F7" s="13">
        <v>20.3</v>
      </c>
      <c r="G7" s="13">
        <f>E7*20.3</f>
        <v>1015</v>
      </c>
      <c r="H7" s="28">
        <f t="shared" si="0"/>
        <v>-323</v>
      </c>
      <c r="I7" s="22">
        <v>50</v>
      </c>
      <c r="J7" s="16">
        <v>20.3</v>
      </c>
      <c r="K7" s="15">
        <f>I7*20.3</f>
        <v>1015</v>
      </c>
      <c r="L7" s="22">
        <v>50</v>
      </c>
      <c r="M7" s="16">
        <v>20.3</v>
      </c>
      <c r="N7" s="15">
        <f>L7*20.3</f>
        <v>1015</v>
      </c>
      <c r="O7" s="22">
        <v>50</v>
      </c>
      <c r="P7" s="16">
        <v>20.3</v>
      </c>
      <c r="Q7" s="15">
        <f>O7*20.3</f>
        <v>1015</v>
      </c>
      <c r="R7" s="22">
        <v>50</v>
      </c>
      <c r="S7" s="16">
        <v>20.3</v>
      </c>
      <c r="T7" s="15">
        <f>R7*20.3</f>
        <v>1015</v>
      </c>
    </row>
    <row r="8" spans="1:20" ht="45" x14ac:dyDescent="0.25">
      <c r="A8" s="7" t="s">
        <v>14</v>
      </c>
      <c r="B8" s="20">
        <v>120</v>
      </c>
      <c r="C8" s="13">
        <v>22.3</v>
      </c>
      <c r="D8" s="13">
        <f>+B8*22.3</f>
        <v>2676</v>
      </c>
      <c r="E8" s="25">
        <v>120</v>
      </c>
      <c r="F8" s="13">
        <v>20.3</v>
      </c>
      <c r="G8" s="13">
        <f>E8*20.3</f>
        <v>2436</v>
      </c>
      <c r="H8" s="28">
        <f t="shared" si="0"/>
        <v>-240</v>
      </c>
      <c r="I8" s="22">
        <v>120</v>
      </c>
      <c r="J8" s="16">
        <v>20.3</v>
      </c>
      <c r="K8" s="15">
        <f>I8*20.3</f>
        <v>2436</v>
      </c>
      <c r="L8" s="22">
        <v>120</v>
      </c>
      <c r="M8" s="16">
        <v>20.3</v>
      </c>
      <c r="N8" s="15">
        <f>L8*20.3</f>
        <v>2436</v>
      </c>
      <c r="O8" s="22">
        <v>120</v>
      </c>
      <c r="P8" s="16">
        <v>20.3</v>
      </c>
      <c r="Q8" s="15">
        <f>O8*20.3</f>
        <v>2436</v>
      </c>
      <c r="R8" s="22">
        <v>120</v>
      </c>
      <c r="S8" s="16">
        <v>20.3</v>
      </c>
      <c r="T8" s="15">
        <f>R8*20.3</f>
        <v>2436</v>
      </c>
    </row>
    <row r="9" spans="1:20" x14ac:dyDescent="0.25">
      <c r="A9" s="8" t="s">
        <v>21</v>
      </c>
      <c r="B9" s="21">
        <f>SUM(B4:B8)</f>
        <v>243737</v>
      </c>
      <c r="C9" s="21" t="s">
        <v>2</v>
      </c>
      <c r="D9" s="17">
        <f t="shared" ref="D9:T9" si="1">SUM(D4:D8)</f>
        <v>5435335.1000000006</v>
      </c>
      <c r="E9" s="21">
        <f t="shared" si="1"/>
        <v>449744</v>
      </c>
      <c r="F9" s="17" t="s">
        <v>2</v>
      </c>
      <c r="G9" s="17">
        <f t="shared" si="1"/>
        <v>9129803.1999999993</v>
      </c>
      <c r="H9" s="17">
        <f t="shared" si="1"/>
        <v>3694468.0999999996</v>
      </c>
      <c r="I9" s="21">
        <f t="shared" si="1"/>
        <v>334896</v>
      </c>
      <c r="J9" s="17" t="s">
        <v>2</v>
      </c>
      <c r="K9" s="17">
        <f t="shared" si="1"/>
        <v>6798388.7999999998</v>
      </c>
      <c r="L9" s="21">
        <f t="shared" si="1"/>
        <v>262795</v>
      </c>
      <c r="M9" s="17" t="s">
        <v>2</v>
      </c>
      <c r="N9" s="17">
        <f t="shared" si="1"/>
        <v>5334738.5</v>
      </c>
      <c r="O9" s="21">
        <f t="shared" si="1"/>
        <v>239910</v>
      </c>
      <c r="P9" s="17" t="s">
        <v>2</v>
      </c>
      <c r="Q9" s="17">
        <f t="shared" si="1"/>
        <v>4870173.0000000009</v>
      </c>
      <c r="R9" s="21">
        <f t="shared" si="1"/>
        <v>148728</v>
      </c>
      <c r="S9" s="17" t="s">
        <v>2</v>
      </c>
      <c r="T9" s="17">
        <f t="shared" si="1"/>
        <v>3019178.4</v>
      </c>
    </row>
    <row r="10" spans="1:20" ht="30" x14ac:dyDescent="0.25">
      <c r="A10" s="7" t="s">
        <v>6</v>
      </c>
      <c r="B10" s="22">
        <v>217850</v>
      </c>
      <c r="C10" s="16">
        <v>14.7</v>
      </c>
      <c r="D10" s="16">
        <f>B10*14.7</f>
        <v>3202395</v>
      </c>
      <c r="E10" s="26">
        <v>304493</v>
      </c>
      <c r="F10" s="16">
        <v>14.9</v>
      </c>
      <c r="G10" s="16">
        <f>E10*14.9</f>
        <v>4536945.7</v>
      </c>
      <c r="H10" s="28">
        <f>G10-D10</f>
        <v>1334550.7000000002</v>
      </c>
      <c r="I10" s="22">
        <v>113249</v>
      </c>
      <c r="J10" s="16">
        <v>14.9</v>
      </c>
      <c r="K10" s="15">
        <f>I10*14.9</f>
        <v>1687410.1</v>
      </c>
      <c r="L10" s="22">
        <v>27011</v>
      </c>
      <c r="M10" s="16">
        <v>14.9</v>
      </c>
      <c r="N10" s="15">
        <f>L10*14.9</f>
        <v>402463.9</v>
      </c>
      <c r="O10" s="22">
        <v>36649</v>
      </c>
      <c r="P10" s="16">
        <v>14.9</v>
      </c>
      <c r="Q10" s="15">
        <f>O10*14.9</f>
        <v>546070.1</v>
      </c>
      <c r="R10" s="29">
        <v>68556</v>
      </c>
      <c r="S10" s="16">
        <v>14.9</v>
      </c>
      <c r="T10" s="15">
        <f>R10*14.9</f>
        <v>1021484.4</v>
      </c>
    </row>
    <row r="11" spans="1:20" ht="30" x14ac:dyDescent="0.25">
      <c r="A11" s="7" t="s">
        <v>7</v>
      </c>
      <c r="B11" s="22">
        <v>6000</v>
      </c>
      <c r="C11" s="16">
        <v>14.7</v>
      </c>
      <c r="D11" s="16">
        <f>B11*14.7</f>
        <v>88200</v>
      </c>
      <c r="E11" s="26">
        <v>55077</v>
      </c>
      <c r="F11" s="16">
        <v>14.9</v>
      </c>
      <c r="G11" s="16">
        <f>E11*14.9</f>
        <v>820647.3</v>
      </c>
      <c r="H11" s="28">
        <f t="shared" ref="H11:H14" si="2">G11-D11</f>
        <v>732447.3</v>
      </c>
      <c r="I11" s="22">
        <v>9205</v>
      </c>
      <c r="J11" s="16">
        <v>14.9</v>
      </c>
      <c r="K11" s="15">
        <f>I11*14.9</f>
        <v>137154.5</v>
      </c>
      <c r="L11" s="22">
        <v>9205</v>
      </c>
      <c r="M11" s="16">
        <v>14.9</v>
      </c>
      <c r="N11" s="15">
        <f>L11*14.9</f>
        <v>137154.5</v>
      </c>
      <c r="O11" s="22">
        <v>9205</v>
      </c>
      <c r="P11" s="16">
        <v>14.9</v>
      </c>
      <c r="Q11" s="15">
        <f>O11*14.9</f>
        <v>137154.5</v>
      </c>
      <c r="R11" s="29">
        <v>9205</v>
      </c>
      <c r="S11" s="16">
        <v>14.9</v>
      </c>
      <c r="T11" s="15">
        <f>R11*14.9</f>
        <v>137154.5</v>
      </c>
    </row>
    <row r="12" spans="1:20" ht="30" x14ac:dyDescent="0.25">
      <c r="A12" s="7" t="s">
        <v>9</v>
      </c>
      <c r="B12" s="22">
        <v>2000</v>
      </c>
      <c r="C12" s="16">
        <v>14.7</v>
      </c>
      <c r="D12" s="16">
        <f>B12*14.7</f>
        <v>29400</v>
      </c>
      <c r="E12" s="26">
        <v>2150</v>
      </c>
      <c r="F12" s="16">
        <v>14.9</v>
      </c>
      <c r="G12" s="16">
        <f>E12*14.9</f>
        <v>32035</v>
      </c>
      <c r="H12" s="28">
        <f t="shared" si="2"/>
        <v>2635</v>
      </c>
      <c r="I12" s="22">
        <v>2150</v>
      </c>
      <c r="J12" s="16">
        <v>14.9</v>
      </c>
      <c r="K12" s="15">
        <f>I12*14.9</f>
        <v>32035</v>
      </c>
      <c r="L12" s="22">
        <v>2150</v>
      </c>
      <c r="M12" s="16">
        <v>14.9</v>
      </c>
      <c r="N12" s="15">
        <f>L12*14.9</f>
        <v>32035</v>
      </c>
      <c r="O12" s="22">
        <v>2150</v>
      </c>
      <c r="P12" s="16">
        <v>14.9</v>
      </c>
      <c r="Q12" s="15">
        <f>O12*14.9</f>
        <v>32035</v>
      </c>
      <c r="R12" s="22">
        <v>2150</v>
      </c>
      <c r="S12" s="16">
        <v>14.9</v>
      </c>
      <c r="T12" s="15">
        <f>R12*14.9</f>
        <v>32035</v>
      </c>
    </row>
    <row r="13" spans="1:20" x14ac:dyDescent="0.25">
      <c r="A13" s="3" t="s">
        <v>1</v>
      </c>
      <c r="B13" s="22">
        <v>40000</v>
      </c>
      <c r="C13" s="16">
        <v>14.7</v>
      </c>
      <c r="D13" s="16">
        <f>B13*14.7</f>
        <v>588000</v>
      </c>
      <c r="E13" s="26">
        <v>41600</v>
      </c>
      <c r="F13" s="16">
        <v>14.9</v>
      </c>
      <c r="G13" s="16">
        <f>E13*14.9</f>
        <v>619840</v>
      </c>
      <c r="H13" s="28">
        <f t="shared" si="2"/>
        <v>31840</v>
      </c>
      <c r="I13" s="22">
        <v>41600</v>
      </c>
      <c r="J13" s="16">
        <v>14.9</v>
      </c>
      <c r="K13" s="15">
        <f>I13*14.9</f>
        <v>619840</v>
      </c>
      <c r="L13" s="22">
        <v>41600</v>
      </c>
      <c r="M13" s="16">
        <v>14.9</v>
      </c>
      <c r="N13" s="15">
        <f>L13*14.9</f>
        <v>619840</v>
      </c>
      <c r="O13" s="22">
        <v>41600</v>
      </c>
      <c r="P13" s="16">
        <v>14.9</v>
      </c>
      <c r="Q13" s="15">
        <f>O13*14.9</f>
        <v>619840</v>
      </c>
      <c r="R13" s="22">
        <v>41600</v>
      </c>
      <c r="S13" s="16">
        <v>14.9</v>
      </c>
      <c r="T13" s="15">
        <f>R13*14.9</f>
        <v>619840</v>
      </c>
    </row>
    <row r="14" spans="1:20" ht="30" x14ac:dyDescent="0.25">
      <c r="A14" s="7" t="s">
        <v>8</v>
      </c>
      <c r="B14" s="22">
        <v>0</v>
      </c>
      <c r="C14" s="16">
        <v>0</v>
      </c>
      <c r="D14" s="16">
        <v>0</v>
      </c>
      <c r="E14" s="26">
        <v>3200</v>
      </c>
      <c r="F14" s="16">
        <v>80</v>
      </c>
      <c r="G14" s="16">
        <f>E14*80</f>
        <v>256000</v>
      </c>
      <c r="H14" s="28">
        <f t="shared" si="2"/>
        <v>256000</v>
      </c>
      <c r="I14" s="22">
        <v>3200</v>
      </c>
      <c r="J14" s="16">
        <v>80</v>
      </c>
      <c r="K14" s="15">
        <f>I14*80</f>
        <v>256000</v>
      </c>
      <c r="L14" s="22">
        <v>3200</v>
      </c>
      <c r="M14" s="16">
        <v>80</v>
      </c>
      <c r="N14" s="15">
        <f>L14*80</f>
        <v>256000</v>
      </c>
      <c r="O14" s="22">
        <v>3200</v>
      </c>
      <c r="P14" s="16">
        <v>80</v>
      </c>
      <c r="Q14" s="15">
        <f>O14*80</f>
        <v>256000</v>
      </c>
      <c r="R14" s="22">
        <v>3200</v>
      </c>
      <c r="S14" s="16">
        <v>80</v>
      </c>
      <c r="T14" s="15">
        <f>R14*80</f>
        <v>256000</v>
      </c>
    </row>
    <row r="15" spans="1:20" ht="28.5" x14ac:dyDescent="0.25">
      <c r="A15" s="9" t="s">
        <v>23</v>
      </c>
      <c r="B15" s="23">
        <f>B10+B11+B12+B13+B14</f>
        <v>265850</v>
      </c>
      <c r="C15" s="23" t="s">
        <v>2</v>
      </c>
      <c r="D15" s="18">
        <f t="shared" ref="D15:T15" si="3">D10+D11+D12+D13+D14</f>
        <v>3907995</v>
      </c>
      <c r="E15" s="23">
        <f t="shared" si="3"/>
        <v>406520</v>
      </c>
      <c r="F15" s="18" t="s">
        <v>2</v>
      </c>
      <c r="G15" s="18">
        <f t="shared" si="3"/>
        <v>6265468</v>
      </c>
      <c r="H15" s="18">
        <f t="shared" si="3"/>
        <v>2357473</v>
      </c>
      <c r="I15" s="23">
        <f t="shared" si="3"/>
        <v>169404</v>
      </c>
      <c r="J15" s="18" t="s">
        <v>2</v>
      </c>
      <c r="K15" s="18">
        <f t="shared" si="3"/>
        <v>2732439.6</v>
      </c>
      <c r="L15" s="23">
        <f t="shared" si="3"/>
        <v>83166</v>
      </c>
      <c r="M15" s="18" t="s">
        <v>2</v>
      </c>
      <c r="N15" s="18">
        <f t="shared" si="3"/>
        <v>1447493.4</v>
      </c>
      <c r="O15" s="23">
        <f t="shared" si="3"/>
        <v>92804</v>
      </c>
      <c r="P15" s="18" t="s">
        <v>2</v>
      </c>
      <c r="Q15" s="18">
        <f t="shared" si="3"/>
        <v>1591099.6</v>
      </c>
      <c r="R15" s="23">
        <f t="shared" si="3"/>
        <v>124711</v>
      </c>
      <c r="S15" s="18" t="s">
        <v>2</v>
      </c>
      <c r="T15" s="18">
        <f t="shared" si="3"/>
        <v>2066513.9</v>
      </c>
    </row>
    <row r="16" spans="1:20" x14ac:dyDescent="0.25">
      <c r="A16" s="10" t="s">
        <v>24</v>
      </c>
      <c r="B16" s="24">
        <f>B15+B9</f>
        <v>509587</v>
      </c>
      <c r="C16" s="19" t="s">
        <v>2</v>
      </c>
      <c r="D16" s="19">
        <f t="shared" ref="D16:T16" si="4">D15+D9</f>
        <v>9343330.1000000015</v>
      </c>
      <c r="E16" s="24">
        <f t="shared" si="4"/>
        <v>856264</v>
      </c>
      <c r="F16" s="19" t="s">
        <v>2</v>
      </c>
      <c r="G16" s="19">
        <f t="shared" si="4"/>
        <v>15395271.199999999</v>
      </c>
      <c r="H16" s="19">
        <f t="shared" si="4"/>
        <v>6051941.0999999996</v>
      </c>
      <c r="I16" s="24">
        <f t="shared" si="4"/>
        <v>504300</v>
      </c>
      <c r="J16" s="19" t="s">
        <v>2</v>
      </c>
      <c r="K16" s="19">
        <f t="shared" si="4"/>
        <v>9530828.4000000004</v>
      </c>
      <c r="L16" s="24">
        <f t="shared" si="4"/>
        <v>345961</v>
      </c>
      <c r="M16" s="19" t="s">
        <v>2</v>
      </c>
      <c r="N16" s="19">
        <f t="shared" si="4"/>
        <v>6782231.9000000004</v>
      </c>
      <c r="O16" s="24">
        <f t="shared" si="4"/>
        <v>332714</v>
      </c>
      <c r="P16" s="19" t="s">
        <v>2</v>
      </c>
      <c r="Q16" s="19">
        <f t="shared" si="4"/>
        <v>6461272.6000000015</v>
      </c>
      <c r="R16" s="24">
        <f t="shared" si="4"/>
        <v>273439</v>
      </c>
      <c r="S16" s="19" t="s">
        <v>2</v>
      </c>
      <c r="T16" s="19">
        <f t="shared" si="4"/>
        <v>5085692.3</v>
      </c>
    </row>
    <row r="17" spans="1:20" x14ac:dyDescent="0.25">
      <c r="D17" s="1">
        <v>3665735</v>
      </c>
      <c r="E17" s="11"/>
    </row>
    <row r="18" spans="1:20" ht="33" customHeight="1" x14ac:dyDescent="0.25">
      <c r="A18" s="12" t="s">
        <v>27</v>
      </c>
      <c r="D18" s="31">
        <f>D17-D15</f>
        <v>-242260</v>
      </c>
    </row>
    <row r="19" spans="1:20" ht="123.75" customHeight="1" x14ac:dyDescent="0.25">
      <c r="A19" s="91" t="s">
        <v>28</v>
      </c>
      <c r="B19" s="91"/>
      <c r="C19" s="91"/>
      <c r="D19" s="91"/>
      <c r="E19" s="91"/>
      <c r="F19" s="91"/>
      <c r="G19" s="91"/>
      <c r="H19" s="91"/>
      <c r="I19" s="91"/>
      <c r="J19" s="91"/>
      <c r="K19" s="91"/>
      <c r="L19" s="91"/>
      <c r="M19" s="91"/>
      <c r="N19" s="91"/>
      <c r="O19" s="91"/>
      <c r="P19" s="91"/>
      <c r="Q19" s="91"/>
      <c r="R19" s="91"/>
      <c r="S19" s="91"/>
      <c r="T19" s="91"/>
    </row>
  </sheetData>
  <mergeCells count="7">
    <mergeCell ref="A19:T19"/>
    <mergeCell ref="R2:T2"/>
    <mergeCell ref="E2:G2"/>
    <mergeCell ref="B2:D2"/>
    <mergeCell ref="I2:K2"/>
    <mergeCell ref="L2:N2"/>
    <mergeCell ref="O2:Q2"/>
  </mergeCells>
  <pageMargins left="0.70866141732283472" right="0.70866141732283472" top="0.74803149606299213" bottom="0.74803149606299213" header="0.31496062992125984" footer="0.31496062992125984"/>
  <pageSetup paperSize="9" scale="55"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7A2C8-555D-4DC1-974B-BAD832E78131}">
  <sheetPr>
    <pageSetUpPr fitToPage="1"/>
  </sheetPr>
  <dimension ref="A1:AP28"/>
  <sheetViews>
    <sheetView tabSelected="1" topLeftCell="A4" zoomScale="70" zoomScaleNormal="70" workbookViewId="0">
      <selection activeCell="Z9" sqref="Z9"/>
    </sheetView>
  </sheetViews>
  <sheetFormatPr defaultColWidth="8.85546875" defaultRowHeight="12.75" x14ac:dyDescent="0.25"/>
  <cols>
    <col min="1" max="1" width="37.5703125" style="33" customWidth="1"/>
    <col min="2" max="2" width="8.5703125" style="33" customWidth="1"/>
    <col min="3" max="3" width="7.5703125" style="33" customWidth="1"/>
    <col min="4" max="4" width="10.85546875" style="33" customWidth="1"/>
    <col min="5" max="6" width="14" style="33" customWidth="1"/>
    <col min="7" max="7" width="12.7109375" style="33" customWidth="1"/>
    <col min="8" max="8" width="14.7109375" style="33" customWidth="1"/>
    <col min="9" max="9" width="10.5703125" style="33" customWidth="1"/>
    <col min="10" max="10" width="10.42578125" style="33" customWidth="1"/>
    <col min="11" max="11" width="15.7109375" style="33" customWidth="1"/>
    <col min="12" max="13" width="16.140625" style="33" customWidth="1"/>
    <col min="14" max="14" width="12.42578125" style="33" customWidth="1"/>
    <col min="15" max="15" width="14.7109375" style="33" customWidth="1"/>
    <col min="16" max="16" width="9.7109375" style="33" customWidth="1"/>
    <col min="17" max="17" width="8.140625" style="33" customWidth="1"/>
    <col min="18" max="18" width="14.7109375" style="33" customWidth="1"/>
    <col min="19" max="20" width="14.28515625" style="33" customWidth="1"/>
    <col min="21" max="21" width="12.85546875" style="33" customWidth="1"/>
    <col min="22" max="22" width="13.5703125" style="33" customWidth="1"/>
    <col min="23" max="23" width="18" style="33" customWidth="1"/>
    <col min="24" max="24" width="18.85546875" style="33" customWidth="1"/>
    <col min="25" max="28" width="8.85546875" style="50"/>
    <col min="29" max="16384" width="8.85546875" style="33"/>
  </cols>
  <sheetData>
    <row r="1" spans="1:42" ht="60" customHeight="1" x14ac:dyDescent="0.25">
      <c r="A1" s="35"/>
      <c r="B1" s="36"/>
      <c r="C1" s="36"/>
      <c r="D1" s="36"/>
      <c r="E1" s="36"/>
      <c r="F1" s="36"/>
      <c r="G1" s="36"/>
      <c r="H1" s="82"/>
      <c r="I1" s="36"/>
      <c r="J1" s="36"/>
      <c r="K1" s="36"/>
      <c r="L1" s="36"/>
      <c r="M1" s="36"/>
      <c r="N1" s="36"/>
      <c r="O1" s="36"/>
      <c r="P1" s="36"/>
      <c r="Q1" s="36"/>
      <c r="R1" s="110" t="s">
        <v>42</v>
      </c>
      <c r="S1" s="110"/>
      <c r="T1" s="110"/>
      <c r="U1" s="110"/>
      <c r="V1" s="110"/>
      <c r="W1" s="110"/>
      <c r="X1" s="110"/>
    </row>
    <row r="2" spans="1:42" ht="27.75" customHeight="1" thickBot="1" x14ac:dyDescent="0.3">
      <c r="A2" s="114" t="s">
        <v>32</v>
      </c>
      <c r="B2" s="114"/>
      <c r="C2" s="114"/>
      <c r="D2" s="114"/>
      <c r="E2" s="114"/>
      <c r="F2" s="114"/>
      <c r="G2" s="114"/>
      <c r="H2" s="114"/>
      <c r="I2" s="114"/>
      <c r="J2" s="114"/>
      <c r="K2" s="114"/>
      <c r="L2" s="114"/>
      <c r="M2" s="114"/>
      <c r="N2" s="114"/>
      <c r="O2" s="114"/>
      <c r="P2" s="114"/>
      <c r="Q2" s="114"/>
      <c r="R2" s="114"/>
      <c r="S2" s="114"/>
      <c r="T2" s="114"/>
      <c r="U2" s="114"/>
      <c r="V2" s="114"/>
      <c r="W2" s="114"/>
      <c r="X2" s="114"/>
    </row>
    <row r="3" spans="1:42" ht="66.75" customHeight="1" x14ac:dyDescent="0.25">
      <c r="A3" s="55" t="s">
        <v>20</v>
      </c>
      <c r="B3" s="111" t="s">
        <v>36</v>
      </c>
      <c r="C3" s="112"/>
      <c r="D3" s="112"/>
      <c r="E3" s="112"/>
      <c r="F3" s="112"/>
      <c r="G3" s="112"/>
      <c r="H3" s="113"/>
      <c r="I3" s="111" t="s">
        <v>37</v>
      </c>
      <c r="J3" s="112"/>
      <c r="K3" s="112"/>
      <c r="L3" s="112"/>
      <c r="M3" s="112"/>
      <c r="N3" s="112"/>
      <c r="O3" s="113"/>
      <c r="P3" s="111" t="s">
        <v>38</v>
      </c>
      <c r="Q3" s="112"/>
      <c r="R3" s="112"/>
      <c r="S3" s="112"/>
      <c r="T3" s="112"/>
      <c r="U3" s="112"/>
      <c r="V3" s="113"/>
      <c r="W3" s="115" t="s">
        <v>39</v>
      </c>
      <c r="X3" s="116"/>
    </row>
    <row r="4" spans="1:42" ht="66" customHeight="1" x14ac:dyDescent="0.25">
      <c r="A4" s="40"/>
      <c r="B4" s="56" t="s">
        <v>25</v>
      </c>
      <c r="C4" s="57" t="s">
        <v>3</v>
      </c>
      <c r="D4" s="57" t="s">
        <v>40</v>
      </c>
      <c r="E4" s="57" t="s">
        <v>44</v>
      </c>
      <c r="F4" s="57" t="s">
        <v>45</v>
      </c>
      <c r="G4" s="57" t="s">
        <v>30</v>
      </c>
      <c r="H4" s="58" t="s">
        <v>31</v>
      </c>
      <c r="I4" s="56" t="s">
        <v>25</v>
      </c>
      <c r="J4" s="57" t="s">
        <v>3</v>
      </c>
      <c r="K4" s="57" t="s">
        <v>40</v>
      </c>
      <c r="L4" s="57" t="s">
        <v>44</v>
      </c>
      <c r="M4" s="57" t="s">
        <v>35</v>
      </c>
      <c r="N4" s="57" t="s">
        <v>30</v>
      </c>
      <c r="O4" s="58" t="s">
        <v>31</v>
      </c>
      <c r="P4" s="56" t="s">
        <v>25</v>
      </c>
      <c r="Q4" s="57" t="s">
        <v>3</v>
      </c>
      <c r="R4" s="57" t="s">
        <v>40</v>
      </c>
      <c r="S4" s="57" t="s">
        <v>44</v>
      </c>
      <c r="T4" s="57" t="s">
        <v>35</v>
      </c>
      <c r="U4" s="57" t="s">
        <v>30</v>
      </c>
      <c r="V4" s="58" t="s">
        <v>31</v>
      </c>
      <c r="W4" s="56" t="s">
        <v>43</v>
      </c>
      <c r="X4" s="58" t="s">
        <v>48</v>
      </c>
    </row>
    <row r="5" spans="1:42" ht="24" customHeight="1" x14ac:dyDescent="0.25">
      <c r="A5" s="40" t="s">
        <v>11</v>
      </c>
      <c r="B5" s="59">
        <v>237294</v>
      </c>
      <c r="C5" s="37">
        <v>29.19</v>
      </c>
      <c r="D5" s="53">
        <f>B5*C5</f>
        <v>6926611.8600000003</v>
      </c>
      <c r="E5" s="60">
        <f>C5+10</f>
        <v>39.19</v>
      </c>
      <c r="F5" s="53">
        <v>237294</v>
      </c>
      <c r="G5" s="53">
        <f>E5*B5</f>
        <v>9299551.8599999994</v>
      </c>
      <c r="H5" s="61">
        <f>G5-D5</f>
        <v>2372939.9999999991</v>
      </c>
      <c r="I5" s="59">
        <v>211430</v>
      </c>
      <c r="J5" s="37">
        <v>29.19</v>
      </c>
      <c r="K5" s="53">
        <f>I5*J5</f>
        <v>6171641.7000000002</v>
      </c>
      <c r="L5" s="37">
        <f>J5+15</f>
        <v>44.19</v>
      </c>
      <c r="M5" s="66">
        <v>208375</v>
      </c>
      <c r="N5" s="53">
        <f>M5*L5</f>
        <v>9208091.25</v>
      </c>
      <c r="O5" s="63">
        <f>N5-K5</f>
        <v>3036449.55</v>
      </c>
      <c r="P5" s="59">
        <v>142948</v>
      </c>
      <c r="Q5" s="37">
        <v>29.19</v>
      </c>
      <c r="R5" s="53">
        <f>P5*Q5</f>
        <v>4172652.12</v>
      </c>
      <c r="S5" s="37">
        <f>Q5+15</f>
        <v>44.19</v>
      </c>
      <c r="T5" s="53">
        <f>142948-7748</f>
        <v>135200</v>
      </c>
      <c r="U5" s="64">
        <f>T5*S5</f>
        <v>5974488</v>
      </c>
      <c r="V5" s="63">
        <f>U5-R5</f>
        <v>1801835.88</v>
      </c>
      <c r="W5" s="65">
        <v>5974488</v>
      </c>
      <c r="X5" s="63">
        <v>1801835.88</v>
      </c>
    </row>
    <row r="6" spans="1:42" ht="24" customHeight="1" x14ac:dyDescent="0.25">
      <c r="A6" s="40" t="s">
        <v>12</v>
      </c>
      <c r="B6" s="59">
        <v>16318</v>
      </c>
      <c r="C6" s="37">
        <v>29.19</v>
      </c>
      <c r="D6" s="53">
        <f t="shared" ref="D6:D9" si="0">B6*C6</f>
        <v>476322.42000000004</v>
      </c>
      <c r="E6" s="60">
        <f t="shared" ref="E6:E9" si="1">C6+10</f>
        <v>39.19</v>
      </c>
      <c r="F6" s="53">
        <v>16318</v>
      </c>
      <c r="G6" s="53">
        <f t="shared" ref="G6:G9" si="2">E6*B6</f>
        <v>639502.41999999993</v>
      </c>
      <c r="H6" s="61">
        <f t="shared" ref="H6:H9" si="3">G6-D6</f>
        <v>163179.99999999988</v>
      </c>
      <c r="I6" s="59">
        <v>12007</v>
      </c>
      <c r="J6" s="37">
        <v>29.19</v>
      </c>
      <c r="K6" s="53">
        <f>I6*J6</f>
        <v>350484.33</v>
      </c>
      <c r="L6" s="37">
        <f t="shared" ref="L6:L9" si="4">J6+15</f>
        <v>44.19</v>
      </c>
      <c r="M6" s="66">
        <v>12007</v>
      </c>
      <c r="N6" s="53">
        <f t="shared" ref="N6:N9" si="5">M6*L6</f>
        <v>530589.32999999996</v>
      </c>
      <c r="O6" s="63">
        <f>N6-K6</f>
        <v>180104.99999999994</v>
      </c>
      <c r="P6" s="59">
        <v>7876</v>
      </c>
      <c r="Q6" s="37">
        <v>29.19</v>
      </c>
      <c r="R6" s="53">
        <f t="shared" ref="R6:R9" si="6">P6*Q6</f>
        <v>229900.44</v>
      </c>
      <c r="S6" s="37">
        <f t="shared" ref="S6:S9" si="7">Q6+15</f>
        <v>44.19</v>
      </c>
      <c r="T6" s="53">
        <v>7876</v>
      </c>
      <c r="U6" s="64">
        <f>T6*S6</f>
        <v>348040.44</v>
      </c>
      <c r="V6" s="63">
        <f t="shared" ref="V6:V9" si="8">U6-R6</f>
        <v>118140</v>
      </c>
      <c r="W6" s="65">
        <v>348040.44</v>
      </c>
      <c r="X6" s="63">
        <v>118140</v>
      </c>
    </row>
    <row r="7" spans="1:42" ht="25.5" x14ac:dyDescent="0.25">
      <c r="A7" s="41" t="s">
        <v>10</v>
      </c>
      <c r="B7" s="59">
        <v>100</v>
      </c>
      <c r="C7" s="37">
        <v>29.19</v>
      </c>
      <c r="D7" s="53">
        <f t="shared" si="0"/>
        <v>2919</v>
      </c>
      <c r="E7" s="60">
        <f t="shared" si="1"/>
        <v>39.19</v>
      </c>
      <c r="F7" s="53">
        <v>100</v>
      </c>
      <c r="G7" s="53">
        <f t="shared" si="2"/>
        <v>3919</v>
      </c>
      <c r="H7" s="61">
        <f t="shared" si="3"/>
        <v>1000</v>
      </c>
      <c r="I7" s="59">
        <v>100</v>
      </c>
      <c r="J7" s="37">
        <v>29.19</v>
      </c>
      <c r="K7" s="53">
        <f>I7*J7</f>
        <v>2919</v>
      </c>
      <c r="L7" s="37">
        <f t="shared" si="4"/>
        <v>44.19</v>
      </c>
      <c r="M7" s="66">
        <v>100</v>
      </c>
      <c r="N7" s="53">
        <f t="shared" si="5"/>
        <v>4419</v>
      </c>
      <c r="O7" s="63">
        <f>N7-K7</f>
        <v>1500</v>
      </c>
      <c r="P7" s="59">
        <v>100</v>
      </c>
      <c r="Q7" s="37">
        <v>29.19</v>
      </c>
      <c r="R7" s="53">
        <f t="shared" si="6"/>
        <v>2919</v>
      </c>
      <c r="S7" s="37">
        <f t="shared" si="7"/>
        <v>44.19</v>
      </c>
      <c r="T7" s="53">
        <v>100</v>
      </c>
      <c r="U7" s="64">
        <f>T7*S7</f>
        <v>4419</v>
      </c>
      <c r="V7" s="63">
        <f t="shared" si="8"/>
        <v>1500</v>
      </c>
      <c r="W7" s="65">
        <v>4419</v>
      </c>
      <c r="X7" s="63">
        <v>1500</v>
      </c>
    </row>
    <row r="8" spans="1:42" ht="25.5" x14ac:dyDescent="0.25">
      <c r="A8" s="41" t="s">
        <v>13</v>
      </c>
      <c r="B8" s="59">
        <v>100</v>
      </c>
      <c r="C8" s="37">
        <v>29.19</v>
      </c>
      <c r="D8" s="53">
        <f t="shared" si="0"/>
        <v>2919</v>
      </c>
      <c r="E8" s="60">
        <f t="shared" si="1"/>
        <v>39.19</v>
      </c>
      <c r="F8" s="53">
        <v>100</v>
      </c>
      <c r="G8" s="53">
        <f t="shared" si="2"/>
        <v>3919</v>
      </c>
      <c r="H8" s="61">
        <f t="shared" si="3"/>
        <v>1000</v>
      </c>
      <c r="I8" s="59">
        <v>100</v>
      </c>
      <c r="J8" s="37">
        <v>29.19</v>
      </c>
      <c r="K8" s="53">
        <f>I8*J8</f>
        <v>2919</v>
      </c>
      <c r="L8" s="37">
        <f t="shared" si="4"/>
        <v>44.19</v>
      </c>
      <c r="M8" s="66">
        <v>100</v>
      </c>
      <c r="N8" s="53">
        <f t="shared" si="5"/>
        <v>4419</v>
      </c>
      <c r="O8" s="63">
        <f>N8-K8</f>
        <v>1500</v>
      </c>
      <c r="P8" s="59">
        <v>100</v>
      </c>
      <c r="Q8" s="37">
        <v>29.19</v>
      </c>
      <c r="R8" s="53">
        <f t="shared" si="6"/>
        <v>2919</v>
      </c>
      <c r="S8" s="37">
        <f t="shared" si="7"/>
        <v>44.19</v>
      </c>
      <c r="T8" s="53">
        <v>100</v>
      </c>
      <c r="U8" s="64">
        <f>T8*S8</f>
        <v>4419</v>
      </c>
      <c r="V8" s="63">
        <f t="shared" si="8"/>
        <v>1500</v>
      </c>
      <c r="W8" s="65">
        <v>4419</v>
      </c>
      <c r="X8" s="63">
        <v>1500</v>
      </c>
    </row>
    <row r="9" spans="1:42" ht="25.5" x14ac:dyDescent="0.25">
      <c r="A9" s="41" t="s">
        <v>29</v>
      </c>
      <c r="B9" s="59">
        <v>100</v>
      </c>
      <c r="C9" s="37">
        <v>29.19</v>
      </c>
      <c r="D9" s="53">
        <f t="shared" si="0"/>
        <v>2919</v>
      </c>
      <c r="E9" s="60">
        <f t="shared" si="1"/>
        <v>39.19</v>
      </c>
      <c r="F9" s="53">
        <v>100</v>
      </c>
      <c r="G9" s="53">
        <f t="shared" si="2"/>
        <v>3919</v>
      </c>
      <c r="H9" s="61">
        <f t="shared" si="3"/>
        <v>1000</v>
      </c>
      <c r="I9" s="59">
        <v>100</v>
      </c>
      <c r="J9" s="37">
        <v>29.19</v>
      </c>
      <c r="K9" s="53">
        <f>I9*J9</f>
        <v>2919</v>
      </c>
      <c r="L9" s="37">
        <f t="shared" si="4"/>
        <v>44.19</v>
      </c>
      <c r="M9" s="66">
        <v>100</v>
      </c>
      <c r="N9" s="53">
        <f t="shared" si="5"/>
        <v>4419</v>
      </c>
      <c r="O9" s="63">
        <f>N9-K9</f>
        <v>1500</v>
      </c>
      <c r="P9" s="59">
        <v>100</v>
      </c>
      <c r="Q9" s="37">
        <v>29.19</v>
      </c>
      <c r="R9" s="53">
        <f t="shared" si="6"/>
        <v>2919</v>
      </c>
      <c r="S9" s="37">
        <f t="shared" si="7"/>
        <v>44.19</v>
      </c>
      <c r="T9" s="53">
        <v>100</v>
      </c>
      <c r="U9" s="64">
        <f>T9*S9</f>
        <v>4419</v>
      </c>
      <c r="V9" s="63">
        <f t="shared" si="8"/>
        <v>1500</v>
      </c>
      <c r="W9" s="65">
        <v>4419</v>
      </c>
      <c r="X9" s="63">
        <v>1500</v>
      </c>
      <c r="AC9" s="50"/>
      <c r="AD9" s="50"/>
      <c r="AE9" s="50"/>
      <c r="AF9" s="50"/>
      <c r="AG9" s="50"/>
      <c r="AH9" s="50"/>
      <c r="AI9" s="50"/>
      <c r="AJ9" s="50"/>
      <c r="AK9" s="50"/>
      <c r="AL9" s="50"/>
      <c r="AM9" s="50"/>
      <c r="AN9" s="50"/>
      <c r="AO9" s="50"/>
      <c r="AP9" s="50"/>
    </row>
    <row r="10" spans="1:42" ht="23.25" customHeight="1" x14ac:dyDescent="0.25">
      <c r="A10" s="54" t="s">
        <v>21</v>
      </c>
      <c r="B10" s="42">
        <f t="shared" ref="B10:V10" si="9">SUM(B5:B9)</f>
        <v>253912</v>
      </c>
      <c r="C10" s="38" t="s">
        <v>2</v>
      </c>
      <c r="D10" s="38">
        <f t="shared" si="9"/>
        <v>7411691.2800000003</v>
      </c>
      <c r="E10" s="46" t="s">
        <v>47</v>
      </c>
      <c r="F10" s="38">
        <f t="shared" ref="F10" si="10">SUM(F5:F9)</f>
        <v>253912</v>
      </c>
      <c r="G10" s="38">
        <f>SUM(G5:G9)</f>
        <v>9950811.2799999993</v>
      </c>
      <c r="H10" s="43">
        <f>SUM(H5:H9)</f>
        <v>2539119.9999999991</v>
      </c>
      <c r="I10" s="42">
        <f t="shared" si="9"/>
        <v>223737</v>
      </c>
      <c r="J10" s="38" t="s">
        <v>2</v>
      </c>
      <c r="K10" s="38">
        <f>SUM(K5:K9)</f>
        <v>6530883.0300000003</v>
      </c>
      <c r="L10" s="38" t="s">
        <v>47</v>
      </c>
      <c r="M10" s="47">
        <f t="shared" ref="M10" si="11">SUM(M5:M9)</f>
        <v>220682</v>
      </c>
      <c r="N10" s="38">
        <f>SUM(N5:N9)</f>
        <v>9751937.5800000001</v>
      </c>
      <c r="O10" s="43">
        <f>SUM(O5:O9)</f>
        <v>3221054.55</v>
      </c>
      <c r="P10" s="42">
        <f t="shared" si="9"/>
        <v>151124</v>
      </c>
      <c r="Q10" s="38" t="s">
        <v>2</v>
      </c>
      <c r="R10" s="38">
        <f t="shared" si="9"/>
        <v>4411309.5600000005</v>
      </c>
      <c r="S10" s="38"/>
      <c r="T10" s="38">
        <f>SUM(T5:T9)</f>
        <v>143376</v>
      </c>
      <c r="U10" s="38">
        <f>SUM(U5:U9)</f>
        <v>6335785.4400000004</v>
      </c>
      <c r="V10" s="43">
        <f t="shared" si="9"/>
        <v>1924475.88</v>
      </c>
      <c r="W10" s="51">
        <v>6335785.4400000004</v>
      </c>
      <c r="X10" s="43">
        <v>1924476</v>
      </c>
      <c r="AC10" s="50"/>
      <c r="AD10" s="50"/>
      <c r="AE10" s="50"/>
      <c r="AF10" s="50"/>
      <c r="AG10" s="50"/>
      <c r="AH10" s="50"/>
      <c r="AI10" s="50"/>
      <c r="AJ10" s="50"/>
      <c r="AK10" s="50"/>
      <c r="AL10" s="50"/>
      <c r="AM10" s="50"/>
      <c r="AN10" s="50"/>
      <c r="AO10" s="50"/>
      <c r="AP10" s="50"/>
    </row>
    <row r="11" spans="1:42" s="49" customFormat="1" ht="53.25" customHeight="1" x14ac:dyDescent="0.25">
      <c r="A11" s="69" t="s">
        <v>34</v>
      </c>
      <c r="B11" s="70" t="s">
        <v>47</v>
      </c>
      <c r="C11" s="71" t="s">
        <v>47</v>
      </c>
      <c r="D11" s="71">
        <f>D10*0.9</f>
        <v>6670522.1520000007</v>
      </c>
      <c r="E11" s="72" t="s">
        <v>47</v>
      </c>
      <c r="F11" s="72" t="s">
        <v>47</v>
      </c>
      <c r="G11" s="72">
        <f>G10*0.9</f>
        <v>8955730.1519999988</v>
      </c>
      <c r="H11" s="84">
        <f>G11-D11</f>
        <v>2285207.9999999981</v>
      </c>
      <c r="I11" s="83" t="s">
        <v>47</v>
      </c>
      <c r="J11" s="72" t="s">
        <v>47</v>
      </c>
      <c r="K11" s="72">
        <f>K10*0.81</f>
        <v>5290015.2543000001</v>
      </c>
      <c r="L11" s="72" t="s">
        <v>47</v>
      </c>
      <c r="M11" s="72" t="s">
        <v>47</v>
      </c>
      <c r="N11" s="72">
        <f>SUM(N5:N9)*0.81+1</f>
        <v>7899070.4398000007</v>
      </c>
      <c r="O11" s="84">
        <f>N11-K11</f>
        <v>2609055.1855000006</v>
      </c>
      <c r="P11" s="83" t="s">
        <v>47</v>
      </c>
      <c r="Q11" s="72" t="s">
        <v>47</v>
      </c>
      <c r="R11" s="72">
        <f>R10*0.765-1</f>
        <v>3374650.8134000003</v>
      </c>
      <c r="S11" s="72" t="s">
        <v>47</v>
      </c>
      <c r="T11" s="72" t="s">
        <v>47</v>
      </c>
      <c r="U11" s="72">
        <f>ROUND(U10*0.8+8,0)</f>
        <v>5068636</v>
      </c>
      <c r="V11" s="84">
        <f>U11-R11</f>
        <v>1693985.1865999997</v>
      </c>
      <c r="W11" s="83">
        <v>5068636</v>
      </c>
      <c r="X11" s="84">
        <v>1693985</v>
      </c>
      <c r="Y11" s="50"/>
      <c r="Z11" s="50"/>
      <c r="AA11" s="50"/>
      <c r="AB11" s="50"/>
      <c r="AC11" s="50"/>
      <c r="AD11" s="50"/>
      <c r="AE11" s="50"/>
      <c r="AF11" s="50"/>
      <c r="AG11" s="50"/>
      <c r="AH11" s="50"/>
      <c r="AI11" s="50"/>
      <c r="AJ11" s="50"/>
      <c r="AK11" s="50"/>
      <c r="AL11" s="50"/>
      <c r="AM11" s="50"/>
      <c r="AN11" s="50"/>
      <c r="AO11" s="50"/>
      <c r="AP11" s="50"/>
    </row>
    <row r="12" spans="1:42" ht="25.5" x14ac:dyDescent="0.25">
      <c r="A12" s="41" t="s">
        <v>6</v>
      </c>
      <c r="B12" s="59">
        <v>27011</v>
      </c>
      <c r="C12" s="37">
        <v>14.9</v>
      </c>
      <c r="D12" s="53">
        <f>B12*C12</f>
        <v>402463.9</v>
      </c>
      <c r="E12" s="37">
        <f>C12+8</f>
        <v>22.9</v>
      </c>
      <c r="F12" s="66">
        <f>27010+2592</f>
        <v>29602</v>
      </c>
      <c r="G12" s="53">
        <f>F12*E12</f>
        <v>677885.79999999993</v>
      </c>
      <c r="H12" s="61">
        <f>G12-D12</f>
        <v>275421.89999999991</v>
      </c>
      <c r="I12" s="59">
        <v>36649</v>
      </c>
      <c r="J12" s="37">
        <v>14.9</v>
      </c>
      <c r="K12" s="53">
        <f>I12*J12</f>
        <v>546070.1</v>
      </c>
      <c r="L12" s="67">
        <f>J12+12</f>
        <v>26.9</v>
      </c>
      <c r="M12" s="66">
        <v>36649</v>
      </c>
      <c r="N12" s="53">
        <f>M12*L12</f>
        <v>985858.1</v>
      </c>
      <c r="O12" s="63">
        <f t="shared" ref="O12:O15" si="12">N12-K12</f>
        <v>439788</v>
      </c>
      <c r="P12" s="59">
        <v>64445</v>
      </c>
      <c r="Q12" s="37">
        <v>14.9</v>
      </c>
      <c r="R12" s="53">
        <f>P12*Q12</f>
        <v>960230.5</v>
      </c>
      <c r="S12" s="67">
        <v>26.9</v>
      </c>
      <c r="T12" s="66">
        <v>64445</v>
      </c>
      <c r="U12" s="64">
        <f>T12*S12</f>
        <v>1733570.5</v>
      </c>
      <c r="V12" s="63">
        <f>U12-R12</f>
        <v>773340</v>
      </c>
      <c r="W12" s="68">
        <v>1733570.5</v>
      </c>
      <c r="X12" s="63">
        <v>773340</v>
      </c>
      <c r="AC12" s="50"/>
      <c r="AD12" s="50"/>
      <c r="AE12" s="50"/>
      <c r="AF12" s="50"/>
      <c r="AG12" s="50"/>
      <c r="AH12" s="50"/>
      <c r="AI12" s="50"/>
      <c r="AJ12" s="50"/>
      <c r="AK12" s="50"/>
      <c r="AL12" s="50"/>
      <c r="AM12" s="50"/>
      <c r="AN12" s="50"/>
      <c r="AO12" s="50"/>
      <c r="AP12" s="50"/>
    </row>
    <row r="13" spans="1:42" ht="25.5" x14ac:dyDescent="0.25">
      <c r="A13" s="41" t="s">
        <v>7</v>
      </c>
      <c r="B13" s="59">
        <v>9205</v>
      </c>
      <c r="C13" s="37">
        <v>14.9</v>
      </c>
      <c r="D13" s="53">
        <f t="shared" ref="D13:D16" si="13">B13*C13</f>
        <v>137154.5</v>
      </c>
      <c r="E13" s="37">
        <f>C13+8</f>
        <v>22.9</v>
      </c>
      <c r="F13" s="66">
        <v>9205</v>
      </c>
      <c r="G13" s="53">
        <f t="shared" ref="G13:G16" si="14">F13*E13</f>
        <v>210794.5</v>
      </c>
      <c r="H13" s="61">
        <f t="shared" ref="H13:H16" si="15">G13-D13</f>
        <v>73640</v>
      </c>
      <c r="I13" s="59">
        <v>9205</v>
      </c>
      <c r="J13" s="37">
        <v>14.9</v>
      </c>
      <c r="K13" s="53">
        <f>I13*J13</f>
        <v>137154.5</v>
      </c>
      <c r="L13" s="67">
        <v>26.9</v>
      </c>
      <c r="M13" s="62">
        <f>9205-2160</f>
        <v>7045</v>
      </c>
      <c r="N13" s="53">
        <f t="shared" ref="N13:N16" si="16">M13*L13</f>
        <v>189510.5</v>
      </c>
      <c r="O13" s="63">
        <f t="shared" si="12"/>
        <v>52356</v>
      </c>
      <c r="P13" s="59">
        <v>9205</v>
      </c>
      <c r="Q13" s="37">
        <v>14.9</v>
      </c>
      <c r="R13" s="53">
        <f t="shared" ref="R13:R16" si="17">P13*Q13</f>
        <v>137154.5</v>
      </c>
      <c r="S13" s="67">
        <v>26.9</v>
      </c>
      <c r="T13" s="62">
        <v>7025</v>
      </c>
      <c r="U13" s="64">
        <f t="shared" ref="U13:U16" si="18">T13*S13</f>
        <v>188972.5</v>
      </c>
      <c r="V13" s="63">
        <f t="shared" ref="V13:V16" si="19">U13-R13</f>
        <v>51818</v>
      </c>
      <c r="W13" s="68">
        <v>188972.5</v>
      </c>
      <c r="X13" s="63">
        <v>51818</v>
      </c>
      <c r="AC13" s="50"/>
      <c r="AD13" s="50"/>
      <c r="AE13" s="50"/>
      <c r="AF13" s="50"/>
      <c r="AG13" s="50"/>
      <c r="AH13" s="50"/>
      <c r="AI13" s="50"/>
      <c r="AJ13" s="50"/>
      <c r="AK13" s="50"/>
      <c r="AL13" s="50"/>
      <c r="AM13" s="50"/>
      <c r="AN13" s="50"/>
      <c r="AO13" s="50"/>
      <c r="AP13" s="50"/>
    </row>
    <row r="14" spans="1:42" ht="32.25" customHeight="1" x14ac:dyDescent="0.25">
      <c r="A14" s="41" t="s">
        <v>9</v>
      </c>
      <c r="B14" s="59">
        <v>2150</v>
      </c>
      <c r="C14" s="37">
        <v>14.9</v>
      </c>
      <c r="D14" s="53">
        <f t="shared" si="13"/>
        <v>32035</v>
      </c>
      <c r="E14" s="37">
        <f>C14+8</f>
        <v>22.9</v>
      </c>
      <c r="F14" s="66">
        <v>2150</v>
      </c>
      <c r="G14" s="53">
        <f t="shared" si="14"/>
        <v>49235</v>
      </c>
      <c r="H14" s="61">
        <f t="shared" si="15"/>
        <v>17200</v>
      </c>
      <c r="I14" s="59">
        <v>2150</v>
      </c>
      <c r="J14" s="37">
        <v>14.9</v>
      </c>
      <c r="K14" s="53">
        <f>I14*J14</f>
        <v>32035</v>
      </c>
      <c r="L14" s="67">
        <f>J14+12</f>
        <v>26.9</v>
      </c>
      <c r="M14" s="66">
        <v>2150</v>
      </c>
      <c r="N14" s="53">
        <f t="shared" si="16"/>
        <v>57835</v>
      </c>
      <c r="O14" s="63">
        <f t="shared" si="12"/>
        <v>25800</v>
      </c>
      <c r="P14" s="59">
        <v>2150</v>
      </c>
      <c r="Q14" s="37">
        <v>14.9</v>
      </c>
      <c r="R14" s="53">
        <f t="shared" si="17"/>
        <v>32035</v>
      </c>
      <c r="S14" s="67">
        <v>26.9</v>
      </c>
      <c r="T14" s="66">
        <v>2150</v>
      </c>
      <c r="U14" s="64">
        <f t="shared" si="18"/>
        <v>57835</v>
      </c>
      <c r="V14" s="63">
        <f t="shared" si="19"/>
        <v>25800</v>
      </c>
      <c r="W14" s="68">
        <v>57835</v>
      </c>
      <c r="X14" s="63">
        <v>25800</v>
      </c>
      <c r="AC14" s="50"/>
      <c r="AD14" s="50"/>
      <c r="AE14" s="50"/>
      <c r="AF14" s="50"/>
      <c r="AG14" s="50"/>
      <c r="AH14" s="50"/>
      <c r="AI14" s="50"/>
      <c r="AJ14" s="50"/>
      <c r="AK14" s="50"/>
      <c r="AL14" s="50"/>
      <c r="AM14" s="50"/>
      <c r="AN14" s="50"/>
      <c r="AO14" s="50"/>
      <c r="AP14" s="50"/>
    </row>
    <row r="15" spans="1:42" ht="30" customHeight="1" x14ac:dyDescent="0.25">
      <c r="A15" s="40" t="s">
        <v>1</v>
      </c>
      <c r="B15" s="59">
        <v>41600</v>
      </c>
      <c r="C15" s="37">
        <v>14.9</v>
      </c>
      <c r="D15" s="53">
        <f t="shared" si="13"/>
        <v>619840</v>
      </c>
      <c r="E15" s="67">
        <v>44</v>
      </c>
      <c r="F15" s="62">
        <f>41600+1000</f>
        <v>42600</v>
      </c>
      <c r="G15" s="53">
        <f t="shared" si="14"/>
        <v>1874400</v>
      </c>
      <c r="H15" s="61">
        <f t="shared" si="15"/>
        <v>1254560</v>
      </c>
      <c r="I15" s="59">
        <v>41600</v>
      </c>
      <c r="J15" s="37">
        <v>14.9</v>
      </c>
      <c r="K15" s="53">
        <f>I15*J15</f>
        <v>619840</v>
      </c>
      <c r="L15" s="67">
        <v>49</v>
      </c>
      <c r="M15" s="62">
        <v>42205</v>
      </c>
      <c r="N15" s="53">
        <f t="shared" si="16"/>
        <v>2068045</v>
      </c>
      <c r="O15" s="63">
        <f t="shared" si="12"/>
        <v>1448205</v>
      </c>
      <c r="P15" s="59">
        <v>41600</v>
      </c>
      <c r="Q15" s="37">
        <v>14.9</v>
      </c>
      <c r="R15" s="53">
        <f t="shared" si="17"/>
        <v>619840</v>
      </c>
      <c r="S15" s="67">
        <v>49</v>
      </c>
      <c r="T15" s="62">
        <f>42205+3755</f>
        <v>45960</v>
      </c>
      <c r="U15" s="64">
        <f t="shared" si="18"/>
        <v>2252040</v>
      </c>
      <c r="V15" s="63">
        <f t="shared" si="19"/>
        <v>1632200</v>
      </c>
      <c r="W15" s="68">
        <v>2252040</v>
      </c>
      <c r="X15" s="63">
        <v>1632200</v>
      </c>
      <c r="AC15" s="50"/>
      <c r="AD15" s="50"/>
      <c r="AE15" s="50"/>
      <c r="AF15" s="50"/>
      <c r="AG15" s="50"/>
      <c r="AH15" s="50"/>
      <c r="AI15" s="50"/>
      <c r="AJ15" s="50"/>
      <c r="AK15" s="50"/>
      <c r="AL15" s="50"/>
      <c r="AM15" s="50"/>
      <c r="AN15" s="50"/>
      <c r="AO15" s="50"/>
      <c r="AP15" s="50"/>
    </row>
    <row r="16" spans="1:42" ht="28.5" customHeight="1" x14ac:dyDescent="0.25">
      <c r="A16" s="41" t="s">
        <v>8</v>
      </c>
      <c r="B16" s="59">
        <v>3200</v>
      </c>
      <c r="C16" s="37">
        <v>80</v>
      </c>
      <c r="D16" s="53">
        <f t="shared" si="13"/>
        <v>256000</v>
      </c>
      <c r="E16" s="67">
        <v>145</v>
      </c>
      <c r="F16" s="62">
        <v>2200</v>
      </c>
      <c r="G16" s="53">
        <f t="shared" si="14"/>
        <v>319000</v>
      </c>
      <c r="H16" s="61">
        <f t="shared" si="15"/>
        <v>63000</v>
      </c>
      <c r="I16" s="59">
        <v>3200</v>
      </c>
      <c r="J16" s="37">
        <v>80</v>
      </c>
      <c r="K16" s="53">
        <f>I16*J16</f>
        <v>256000</v>
      </c>
      <c r="L16" s="67">
        <v>150</v>
      </c>
      <c r="M16" s="62">
        <v>2200</v>
      </c>
      <c r="N16" s="53">
        <f t="shared" si="16"/>
        <v>330000</v>
      </c>
      <c r="O16" s="63">
        <f>N16-K16</f>
        <v>74000</v>
      </c>
      <c r="P16" s="59">
        <v>3200</v>
      </c>
      <c r="Q16" s="37">
        <v>80</v>
      </c>
      <c r="R16" s="53">
        <f t="shared" si="17"/>
        <v>256000</v>
      </c>
      <c r="S16" s="67">
        <v>150</v>
      </c>
      <c r="T16" s="62">
        <v>3000</v>
      </c>
      <c r="U16" s="64">
        <f t="shared" si="18"/>
        <v>450000</v>
      </c>
      <c r="V16" s="63">
        <f t="shared" si="19"/>
        <v>194000</v>
      </c>
      <c r="W16" s="68">
        <v>450000</v>
      </c>
      <c r="X16" s="63">
        <v>194000</v>
      </c>
      <c r="AC16" s="50"/>
      <c r="AD16" s="50"/>
      <c r="AE16" s="50"/>
      <c r="AF16" s="50"/>
      <c r="AG16" s="50"/>
      <c r="AH16" s="50"/>
      <c r="AI16" s="50"/>
      <c r="AJ16" s="50"/>
      <c r="AK16" s="50"/>
      <c r="AL16" s="50"/>
      <c r="AM16" s="50"/>
      <c r="AN16" s="50"/>
      <c r="AO16" s="50"/>
      <c r="AP16" s="50"/>
    </row>
    <row r="17" spans="1:42" ht="33.75" customHeight="1" x14ac:dyDescent="0.25">
      <c r="A17" s="54" t="s">
        <v>23</v>
      </c>
      <c r="B17" s="44">
        <f t="shared" ref="B17:P17" si="20">B12+B13+B14+B15+B16</f>
        <v>83166</v>
      </c>
      <c r="C17" s="39" t="s">
        <v>2</v>
      </c>
      <c r="D17" s="39">
        <f t="shared" si="20"/>
        <v>1447493.4</v>
      </c>
      <c r="E17" s="39" t="s">
        <v>47</v>
      </c>
      <c r="F17" s="39">
        <f>SUM(F12:F16)</f>
        <v>85757</v>
      </c>
      <c r="G17" s="39">
        <f>G12+G13+G14+G15+G16</f>
        <v>3131315.3</v>
      </c>
      <c r="H17" s="45">
        <f>H12+H13+H14+H15+H16</f>
        <v>1683821.9</v>
      </c>
      <c r="I17" s="44">
        <f>SUM(I12:I16)</f>
        <v>92804</v>
      </c>
      <c r="J17" s="39" t="s">
        <v>2</v>
      </c>
      <c r="K17" s="39">
        <f>SUM(K12:K16)</f>
        <v>1591099.6</v>
      </c>
      <c r="L17" s="39" t="s">
        <v>47</v>
      </c>
      <c r="M17" s="48">
        <f>SUM(M12:M16)</f>
        <v>90249</v>
      </c>
      <c r="N17" s="39">
        <f>SUM(N12:N16)</f>
        <v>3631248.6</v>
      </c>
      <c r="O17" s="45">
        <f>SUM(O12:O16)</f>
        <v>2040149</v>
      </c>
      <c r="P17" s="44">
        <f t="shared" si="20"/>
        <v>120600</v>
      </c>
      <c r="Q17" s="39" t="s">
        <v>2</v>
      </c>
      <c r="R17" s="39">
        <f>R12+R13+R14+R15+R16</f>
        <v>2005260</v>
      </c>
      <c r="S17" s="39" t="s">
        <v>47</v>
      </c>
      <c r="T17" s="39">
        <f>SUM(T12:T16)</f>
        <v>122580</v>
      </c>
      <c r="U17" s="39">
        <f t="shared" ref="U17:V17" si="21">U12+U13+U14+U15+U16</f>
        <v>4682418</v>
      </c>
      <c r="V17" s="45">
        <f t="shared" si="21"/>
        <v>2677158</v>
      </c>
      <c r="W17" s="52">
        <v>4682418</v>
      </c>
      <c r="X17" s="45">
        <v>2677158</v>
      </c>
      <c r="AC17" s="50"/>
      <c r="AD17" s="50"/>
      <c r="AE17" s="50"/>
      <c r="AF17" s="50"/>
      <c r="AG17" s="50"/>
      <c r="AH17" s="50"/>
      <c r="AI17" s="50"/>
      <c r="AJ17" s="50"/>
      <c r="AK17" s="50"/>
      <c r="AL17" s="50"/>
      <c r="AM17" s="50"/>
      <c r="AN17" s="50"/>
      <c r="AO17" s="50"/>
      <c r="AP17" s="50"/>
    </row>
    <row r="18" spans="1:42" s="49" customFormat="1" ht="52.5" customHeight="1" x14ac:dyDescent="0.25">
      <c r="A18" s="73" t="s">
        <v>33</v>
      </c>
      <c r="B18" s="74" t="s">
        <v>47</v>
      </c>
      <c r="C18" s="75" t="s">
        <v>47</v>
      </c>
      <c r="D18" s="75">
        <f>D17*0.9+1</f>
        <v>1302745.06</v>
      </c>
      <c r="E18" s="75" t="s">
        <v>47</v>
      </c>
      <c r="F18" s="75" t="s">
        <v>47</v>
      </c>
      <c r="G18" s="75">
        <f>ROUND(G17*0.9-2,0)</f>
        <v>2818182</v>
      </c>
      <c r="H18" s="85">
        <f>G18-D18</f>
        <v>1515436.94</v>
      </c>
      <c r="I18" s="74" t="s">
        <v>47</v>
      </c>
      <c r="J18" s="75" t="s">
        <v>47</v>
      </c>
      <c r="K18" s="75">
        <f>K17*0.6596+32</f>
        <v>1049521.2961599999</v>
      </c>
      <c r="L18" s="75" t="s">
        <v>47</v>
      </c>
      <c r="M18" s="75" t="s">
        <v>47</v>
      </c>
      <c r="N18" s="75">
        <f>ROUND(N17*0.7-3,0)</f>
        <v>2541871</v>
      </c>
      <c r="O18" s="85">
        <f>N18-K18</f>
        <v>1492349.7038400001</v>
      </c>
      <c r="P18" s="74" t="s">
        <v>47</v>
      </c>
      <c r="Q18" s="75" t="s">
        <v>47</v>
      </c>
      <c r="R18" s="75">
        <f>ROUND(R17*0.9,0)</f>
        <v>1804734</v>
      </c>
      <c r="S18" s="75" t="s">
        <v>47</v>
      </c>
      <c r="T18" s="75" t="s">
        <v>47</v>
      </c>
      <c r="U18" s="75">
        <f>ROUND(U17*0.9+2,0)</f>
        <v>4214178</v>
      </c>
      <c r="V18" s="85">
        <f>U18-R18</f>
        <v>2409444</v>
      </c>
      <c r="W18" s="74">
        <v>4214178</v>
      </c>
      <c r="X18" s="85">
        <v>2409444</v>
      </c>
      <c r="Y18" s="50"/>
      <c r="Z18" s="50"/>
      <c r="AA18" s="50"/>
      <c r="AB18" s="50"/>
      <c r="AC18" s="50"/>
      <c r="AD18" s="50"/>
      <c r="AE18" s="50"/>
      <c r="AF18" s="50"/>
      <c r="AG18" s="50"/>
      <c r="AH18" s="50"/>
      <c r="AI18" s="50"/>
      <c r="AJ18" s="50"/>
      <c r="AK18" s="50"/>
      <c r="AL18" s="50"/>
      <c r="AM18" s="50"/>
      <c r="AN18" s="50"/>
      <c r="AO18" s="50"/>
      <c r="AP18" s="50"/>
    </row>
    <row r="19" spans="1:42" ht="61.5" customHeight="1" thickBot="1" x14ac:dyDescent="0.3">
      <c r="A19" s="76" t="s">
        <v>46</v>
      </c>
      <c r="B19" s="88" t="s">
        <v>47</v>
      </c>
      <c r="C19" s="89" t="s">
        <v>47</v>
      </c>
      <c r="D19" s="89">
        <f>D11+D18</f>
        <v>7973267.2120000012</v>
      </c>
      <c r="E19" s="89" t="s">
        <v>47</v>
      </c>
      <c r="F19" s="89" t="s">
        <v>47</v>
      </c>
      <c r="G19" s="89">
        <f>G11+G18</f>
        <v>11773912.151999999</v>
      </c>
      <c r="H19" s="87">
        <f>H11+H18</f>
        <v>3800644.9399999981</v>
      </c>
      <c r="I19" s="88" t="s">
        <v>47</v>
      </c>
      <c r="J19" s="89" t="s">
        <v>47</v>
      </c>
      <c r="K19" s="89">
        <f>K11+K18-1</f>
        <v>6339535.5504599996</v>
      </c>
      <c r="L19" s="89" t="s">
        <v>47</v>
      </c>
      <c r="M19" s="90" t="s">
        <v>47</v>
      </c>
      <c r="N19" s="89">
        <f>N11+N18</f>
        <v>10440941.439800002</v>
      </c>
      <c r="O19" s="87">
        <f>O11+O18</f>
        <v>4101404.8893400007</v>
      </c>
      <c r="P19" s="88" t="s">
        <v>47</v>
      </c>
      <c r="Q19" s="89" t="s">
        <v>47</v>
      </c>
      <c r="R19" s="89">
        <f>R11+R18</f>
        <v>5179384.8134000003</v>
      </c>
      <c r="S19" s="89" t="s">
        <v>47</v>
      </c>
      <c r="T19" s="89" t="s">
        <v>47</v>
      </c>
      <c r="U19" s="89">
        <f>U11+U18</f>
        <v>9282814</v>
      </c>
      <c r="V19" s="87">
        <f>V11+V18</f>
        <v>4103429.1865999997</v>
      </c>
      <c r="W19" s="86">
        <f>W11+W18</f>
        <v>9282814</v>
      </c>
      <c r="X19" s="87">
        <f>X11+X18</f>
        <v>4103429</v>
      </c>
    </row>
    <row r="20" spans="1:42" ht="20.25" customHeight="1" x14ac:dyDescent="0.25">
      <c r="I20" s="34"/>
    </row>
    <row r="22" spans="1:42" ht="27" customHeight="1" x14ac:dyDescent="0.25">
      <c r="A22" s="109" t="s">
        <v>41</v>
      </c>
      <c r="B22" s="109"/>
      <c r="C22" s="109"/>
      <c r="D22" s="109"/>
      <c r="E22" s="109"/>
      <c r="F22" s="109"/>
      <c r="G22" s="109"/>
      <c r="H22" s="109"/>
      <c r="I22" s="77"/>
      <c r="J22" s="77"/>
      <c r="K22" s="77"/>
      <c r="L22" s="77"/>
      <c r="M22" s="77"/>
      <c r="N22" s="77"/>
      <c r="O22" s="77"/>
      <c r="P22" s="77"/>
      <c r="Q22" s="77"/>
      <c r="R22" s="77"/>
      <c r="S22" s="34"/>
      <c r="T22" s="34"/>
      <c r="U22" s="34"/>
      <c r="V22" s="34"/>
    </row>
    <row r="23" spans="1:42" ht="18.75" x14ac:dyDescent="0.3">
      <c r="O23" s="34"/>
      <c r="U23" s="34"/>
      <c r="V23" s="78"/>
    </row>
    <row r="24" spans="1:42" ht="18.75" x14ac:dyDescent="0.3">
      <c r="V24" s="78"/>
    </row>
    <row r="25" spans="1:42" ht="18.75" x14ac:dyDescent="0.3">
      <c r="E25" s="78"/>
      <c r="M25" s="78"/>
      <c r="R25" s="80"/>
      <c r="V25" s="81"/>
    </row>
    <row r="26" spans="1:42" ht="18.75" x14ac:dyDescent="0.3">
      <c r="E26" s="78"/>
      <c r="M26" s="78"/>
    </row>
    <row r="27" spans="1:42" ht="18.75" x14ac:dyDescent="0.3">
      <c r="E27" s="79"/>
      <c r="M27" s="78"/>
    </row>
    <row r="28" spans="1:42" ht="18.75" x14ac:dyDescent="0.3">
      <c r="E28" s="78"/>
      <c r="M28" s="78"/>
    </row>
  </sheetData>
  <mergeCells count="7">
    <mergeCell ref="A22:H22"/>
    <mergeCell ref="R1:X1"/>
    <mergeCell ref="B3:H3"/>
    <mergeCell ref="I3:O3"/>
    <mergeCell ref="P3:V3"/>
    <mergeCell ref="A2:X2"/>
    <mergeCell ref="W3:X3"/>
  </mergeCells>
  <pageMargins left="0.33" right="0.35" top="0.51" bottom="0.3" header="0.31496062992125984" footer="0.19"/>
  <pageSetup paperSize="9" scale="66" fitToHeight="0" orientation="landscape"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ieņēmumi</vt:lpstr>
      <vt:lpstr>ieņēmumu aprēķins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2024-10-21T10:40:25Z</dcterms:modified>
</cp:coreProperties>
</file>