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ozare.pri\vm\Redirect_profiles\VM_Sandra_Kasparenko\My Documents\mani_virzitie_normativie_akti\2021\Grozijumi_MKnot851_no_2022\no_TAPa_uz_saskanosanu_3.reizi\"/>
    </mc:Choice>
  </mc:AlternateContent>
  <xr:revisionPtr revIDLastSave="0" documentId="13_ncr:1_{AEE43380-FCF2-4FF1-B66D-1422EB928A7F}" xr6:coauthVersionLast="47" xr6:coauthVersionMax="47" xr10:uidLastSave="{00000000-0000-0000-0000-000000000000}"/>
  <bookViews>
    <workbookView xWindow="-120" yWindow="-120" windowWidth="29040" windowHeight="15840" tabRatio="910" xr2:uid="{2A6925A8-DFFE-464F-919D-CCAC93AACF9D}"/>
  </bookViews>
  <sheets>
    <sheet name="KOPSAVILKUMS" sheetId="29" r:id="rId1"/>
    <sheet name="29_01_H_2020" sheetId="21" state="hidden" r:id="rId2"/>
    <sheet name="caur tarifiem" sheetId="37" r:id="rId3"/>
    <sheet name="rezidenti1 " sheetId="35" r:id="rId4"/>
    <sheet name="rezidenti2 " sheetId="36" r:id="rId5"/>
    <sheet name="Pārējās ministrijas MK851" sheetId="4" r:id="rId6"/>
    <sheet name="VM NMPD MK851" sheetId="2" r:id="rId7"/>
    <sheet name="VM VADC MK851" sheetId="30" r:id="rId8"/>
    <sheet name="VM VTMEC MK851" sheetId="31" r:id="rId9"/>
    <sheet name="LM_līgumorg_851" sheetId="6" r:id="rId10"/>
    <sheet name="IEM_kapitsab_851" sheetId="7" r:id="rId11"/>
  </sheets>
  <externalReferences>
    <externalReference r:id="rId12"/>
  </externalReferences>
  <definedNames>
    <definedName name="_xlnm.Print_Area" localSheetId="2">'caur tarifiem'!#REF!</definedName>
    <definedName name="_xlnm.Print_Titles" localSheetId="9">LM_līgumorg_851!$4:$6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9" l="1"/>
  <c r="D32" i="37" l="1"/>
  <c r="N14" i="36"/>
  <c r="B37" i="4"/>
  <c r="B71" i="30"/>
  <c r="G24" i="37"/>
  <c r="G21" i="37"/>
  <c r="G16" i="37"/>
  <c r="G20" i="37"/>
  <c r="G19" i="37"/>
  <c r="H19" i="37" s="1"/>
  <c r="G15" i="37"/>
  <c r="G14" i="37"/>
  <c r="C58" i="29"/>
  <c r="C56" i="29"/>
  <c r="B40" i="29"/>
  <c r="B37" i="29"/>
  <c r="B35" i="29"/>
  <c r="B33" i="29"/>
  <c r="B31" i="29"/>
  <c r="B27" i="29"/>
  <c r="B25" i="29"/>
  <c r="B23" i="29"/>
  <c r="B20" i="29"/>
  <c r="B18" i="29"/>
  <c r="B16" i="29"/>
  <c r="B12" i="29"/>
  <c r="B10" i="29"/>
  <c r="B8" i="29"/>
  <c r="B7" i="29" l="1"/>
  <c r="B6" i="29" s="1"/>
  <c r="G15" i="30"/>
  <c r="G12" i="30"/>
  <c r="C65" i="29"/>
  <c r="C72" i="29"/>
  <c r="C25" i="29"/>
  <c r="C23" i="29"/>
  <c r="C20" i="29"/>
  <c r="C62" i="29"/>
  <c r="C55" i="29"/>
  <c r="C54" i="29" s="1"/>
  <c r="C53" i="29" s="1"/>
  <c r="C37" i="29"/>
  <c r="C35" i="29"/>
  <c r="C33" i="29"/>
  <c r="C31" i="29"/>
  <c r="C27" i="29"/>
  <c r="C18" i="29"/>
  <c r="C16" i="29"/>
  <c r="C14" i="29"/>
  <c r="C12" i="29"/>
  <c r="C10" i="29"/>
  <c r="C8" i="29"/>
  <c r="C67" i="29" l="1"/>
  <c r="C64" i="29"/>
  <c r="C7" i="29"/>
  <c r="I19" i="37"/>
  <c r="J19" i="37" s="1"/>
  <c r="K19" i="37" s="1"/>
  <c r="G53" i="37"/>
  <c r="H53" i="37" s="1"/>
  <c r="I53" i="37" s="1"/>
  <c r="G52" i="37"/>
  <c r="H52" i="37" s="1"/>
  <c r="I52" i="37" s="1"/>
  <c r="I54" i="37" s="1"/>
  <c r="D51" i="37"/>
  <c r="H24" i="37"/>
  <c r="F23" i="37"/>
  <c r="D23" i="37"/>
  <c r="H21" i="37"/>
  <c r="I21" i="37" s="1"/>
  <c r="J21" i="37" s="1"/>
  <c r="K21" i="37" s="1"/>
  <c r="H20" i="37"/>
  <c r="I20" i="37" s="1"/>
  <c r="J20" i="37" s="1"/>
  <c r="K20" i="37" s="1"/>
  <c r="D18" i="37"/>
  <c r="H16" i="37"/>
  <c r="I16" i="37" s="1"/>
  <c r="J16" i="37" s="1"/>
  <c r="K16" i="37" s="1"/>
  <c r="D16" i="37"/>
  <c r="H15" i="37"/>
  <c r="I15" i="37" s="1"/>
  <c r="J15" i="37" s="1"/>
  <c r="K15" i="37" s="1"/>
  <c r="D15" i="37"/>
  <c r="D13" i="37" s="1"/>
  <c r="H14" i="37"/>
  <c r="I14" i="37" s="1"/>
  <c r="H14" i="36"/>
  <c r="I14" i="36" s="1"/>
  <c r="H13" i="36"/>
  <c r="I13" i="36" s="1"/>
  <c r="G12" i="36"/>
  <c r="F12" i="36"/>
  <c r="E12" i="36"/>
  <c r="D12" i="36"/>
  <c r="M11" i="36"/>
  <c r="H11" i="36"/>
  <c r="I11" i="36" s="1"/>
  <c r="H10" i="36"/>
  <c r="G9" i="36"/>
  <c r="F9" i="36"/>
  <c r="E9" i="36"/>
  <c r="D9" i="36"/>
  <c r="H8" i="36"/>
  <c r="H7" i="36"/>
  <c r="G6" i="36"/>
  <c r="F6" i="36"/>
  <c r="E6" i="36"/>
  <c r="D6" i="36"/>
  <c r="M28" i="35"/>
  <c r="L28" i="35"/>
  <c r="J28" i="35"/>
  <c r="I28" i="35"/>
  <c r="G28" i="35"/>
  <c r="F28" i="35"/>
  <c r="D28" i="35"/>
  <c r="C28" i="35"/>
  <c r="M27" i="35"/>
  <c r="L27" i="35"/>
  <c r="J27" i="35"/>
  <c r="I27" i="35"/>
  <c r="G27" i="35"/>
  <c r="F27" i="35"/>
  <c r="D27" i="35"/>
  <c r="C27" i="35"/>
  <c r="M26" i="35"/>
  <c r="L26" i="35"/>
  <c r="J26" i="35"/>
  <c r="I26" i="35"/>
  <c r="G26" i="35"/>
  <c r="F26" i="35"/>
  <c r="D26" i="35"/>
  <c r="C26" i="35"/>
  <c r="C40" i="29" l="1"/>
  <c r="C6" i="29" s="1"/>
  <c r="B4" i="29" s="1"/>
  <c r="I24" i="37"/>
  <c r="J24" i="37" s="1"/>
  <c r="K24" i="37" s="1"/>
  <c r="H31" i="37"/>
  <c r="I31" i="37" s="1"/>
  <c r="K31" i="37" s="1"/>
  <c r="H23" i="37"/>
  <c r="D25" i="37"/>
  <c r="J14" i="37"/>
  <c r="G23" i="37"/>
  <c r="H12" i="36"/>
  <c r="M14" i="36"/>
  <c r="M10" i="36"/>
  <c r="H9" i="36"/>
  <c r="M13" i="36"/>
  <c r="N13" i="36" s="1"/>
  <c r="I10" i="36"/>
  <c r="I12" i="36"/>
  <c r="N12" i="36" s="1"/>
  <c r="N11" i="36"/>
  <c r="I8" i="36"/>
  <c r="H6" i="36"/>
  <c r="I25" i="37" l="1"/>
  <c r="K14" i="37"/>
  <c r="K25" i="37" s="1"/>
  <c r="K56" i="37" s="1"/>
  <c r="J25" i="37"/>
  <c r="I9" i="36"/>
  <c r="N10" i="36"/>
  <c r="N16" i="36" s="1"/>
  <c r="I7" i="36"/>
  <c r="I6" i="36" s="1"/>
  <c r="H36" i="7"/>
  <c r="H159" i="6"/>
  <c r="H141" i="6"/>
  <c r="H120" i="6"/>
  <c r="H116" i="6"/>
  <c r="H117" i="6"/>
  <c r="H115" i="6"/>
  <c r="H113" i="6"/>
  <c r="H112" i="6"/>
  <c r="H97" i="6"/>
  <c r="H96" i="6"/>
  <c r="H83" i="6"/>
  <c r="H82" i="6"/>
  <c r="H70" i="6"/>
  <c r="H69" i="6"/>
  <c r="H41" i="6"/>
  <c r="H40" i="6"/>
  <c r="H26" i="6"/>
  <c r="H27" i="6"/>
  <c r="H28" i="6"/>
  <c r="H29" i="6"/>
  <c r="H30" i="6"/>
  <c r="H31" i="6"/>
  <c r="H25" i="6"/>
  <c r="H16" i="6"/>
  <c r="H17" i="6"/>
  <c r="H18" i="6"/>
  <c r="H19" i="6"/>
  <c r="H20" i="6"/>
  <c r="H21" i="6"/>
  <c r="H22" i="6"/>
  <c r="H15" i="6"/>
  <c r="G166" i="4"/>
  <c r="G165" i="4"/>
  <c r="G147" i="4"/>
  <c r="G148" i="4"/>
  <c r="G149" i="4"/>
  <c r="G150" i="4"/>
  <c r="G146" i="4"/>
  <c r="G124" i="4"/>
  <c r="G108" i="4"/>
  <c r="G109" i="4"/>
  <c r="G110" i="4"/>
  <c r="G107" i="4"/>
  <c r="G83" i="4"/>
  <c r="G82" i="4"/>
  <c r="G48" i="4"/>
  <c r="G49" i="4"/>
  <c r="G50" i="4"/>
  <c r="G51" i="4"/>
  <c r="G52" i="4"/>
  <c r="G53" i="4"/>
  <c r="G54" i="4"/>
  <c r="G55" i="4"/>
  <c r="G56" i="4"/>
  <c r="G47" i="4"/>
  <c r="G179" i="4"/>
  <c r="G180" i="4"/>
  <c r="G181" i="4"/>
  <c r="G182" i="4"/>
  <c r="G183" i="4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38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12" i="7"/>
  <c r="H157" i="6"/>
  <c r="H164" i="6"/>
  <c r="H163" i="6"/>
  <c r="H152" i="6"/>
  <c r="H149" i="6"/>
  <c r="H148" i="6"/>
  <c r="H146" i="6"/>
  <c r="H139" i="6"/>
  <c r="H134" i="6"/>
  <c r="H132" i="6"/>
  <c r="H131" i="6"/>
  <c r="H122" i="6"/>
  <c r="H124" i="6"/>
  <c r="H126" i="6"/>
  <c r="H110" i="6"/>
  <c r="H104" i="6"/>
  <c r="H105" i="6"/>
  <c r="H103" i="6"/>
  <c r="H100" i="6"/>
  <c r="H101" i="6"/>
  <c r="H99" i="6"/>
  <c r="H93" i="6"/>
  <c r="H86" i="6"/>
  <c r="H87" i="6"/>
  <c r="H88" i="6"/>
  <c r="H89" i="6"/>
  <c r="H90" i="6"/>
  <c r="H91" i="6"/>
  <c r="H85" i="6"/>
  <c r="H77" i="6"/>
  <c r="H73" i="6"/>
  <c r="H74" i="6"/>
  <c r="H72" i="6"/>
  <c r="H67" i="6"/>
  <c r="H62" i="6"/>
  <c r="H61" i="6"/>
  <c r="H57" i="6"/>
  <c r="H58" i="6"/>
  <c r="H56" i="6"/>
  <c r="H54" i="6"/>
  <c r="H49" i="6"/>
  <c r="H47" i="6"/>
  <c r="H46" i="6"/>
  <c r="H38" i="6"/>
  <c r="H33" i="6"/>
  <c r="H12" i="6"/>
  <c r="H13" i="6"/>
  <c r="H11" i="6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12" i="31"/>
  <c r="G70" i="30"/>
  <c r="G69" i="30"/>
  <c r="G66" i="30"/>
  <c r="G65" i="30"/>
  <c r="G63" i="30"/>
  <c r="G52" i="30"/>
  <c r="G53" i="30"/>
  <c r="G54" i="30"/>
  <c r="G55" i="30"/>
  <c r="G56" i="30"/>
  <c r="G51" i="30"/>
  <c r="G45" i="30"/>
  <c r="G46" i="30"/>
  <c r="G47" i="30"/>
  <c r="G48" i="30"/>
  <c r="G44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22" i="30"/>
  <c r="G13" i="30"/>
  <c r="G14" i="30"/>
  <c r="G16" i="30"/>
  <c r="G17" i="30"/>
  <c r="G18" i="30"/>
  <c r="G19" i="30"/>
  <c r="G20" i="30"/>
  <c r="G106" i="2"/>
  <c r="G107" i="2"/>
  <c r="G108" i="2"/>
  <c r="G109" i="2"/>
  <c r="G110" i="2"/>
  <c r="G111" i="2"/>
  <c r="G105" i="2"/>
  <c r="G98" i="2"/>
  <c r="G97" i="2"/>
  <c r="G101" i="2"/>
  <c r="G102" i="2"/>
  <c r="G10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50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95" i="2"/>
  <c r="G94" i="2" s="1"/>
  <c r="G12" i="2"/>
  <c r="G200" i="4"/>
  <c r="G197" i="4"/>
  <c r="G196" i="4"/>
  <c r="G193" i="4"/>
  <c r="G187" i="4"/>
  <c r="G188" i="4"/>
  <c r="G189" i="4"/>
  <c r="G186" i="4"/>
  <c r="G172" i="4"/>
  <c r="G169" i="4"/>
  <c r="G162" i="4"/>
  <c r="G161" i="4"/>
  <c r="G154" i="4"/>
  <c r="G153" i="4"/>
  <c r="G141" i="4"/>
  <c r="G142" i="4"/>
  <c r="G143" i="4"/>
  <c r="G140" i="4"/>
  <c r="G133" i="4"/>
  <c r="G132" i="4"/>
  <c r="G128" i="4"/>
  <c r="G129" i="4"/>
  <c r="G127" i="4"/>
  <c r="G121" i="4"/>
  <c r="G114" i="4"/>
  <c r="G113" i="4"/>
  <c r="G104" i="4"/>
  <c r="G103" i="4"/>
  <c r="G98" i="4"/>
  <c r="G87" i="4"/>
  <c r="G88" i="4"/>
  <c r="G89" i="4"/>
  <c r="G86" i="4"/>
  <c r="G79" i="4"/>
  <c r="G78" i="4"/>
  <c r="G72" i="4"/>
  <c r="G73" i="4"/>
  <c r="G71" i="4"/>
  <c r="G68" i="4"/>
  <c r="G60" i="4"/>
  <c r="G61" i="4"/>
  <c r="G59" i="4"/>
  <c r="G41" i="4"/>
  <c r="G42" i="4"/>
  <c r="G43" i="4"/>
  <c r="G44" i="4"/>
  <c r="G40" i="4"/>
  <c r="G35" i="4"/>
  <c r="G34" i="4"/>
  <c r="G21" i="4"/>
  <c r="G22" i="4"/>
  <c r="G20" i="4"/>
  <c r="G17" i="4"/>
  <c r="G14" i="4"/>
  <c r="G13" i="4"/>
  <c r="C166" i="6"/>
  <c r="C160" i="6"/>
  <c r="G159" i="6"/>
  <c r="G157" i="6"/>
  <c r="C153" i="6"/>
  <c r="G152" i="6"/>
  <c r="G149" i="6"/>
  <c r="G148" i="6"/>
  <c r="G146" i="6"/>
  <c r="G86" i="6"/>
  <c r="G87" i="6"/>
  <c r="G88" i="6"/>
  <c r="G89" i="6"/>
  <c r="G90" i="6"/>
  <c r="G91" i="6"/>
  <c r="C78" i="6"/>
  <c r="C50" i="6"/>
  <c r="G43" i="6"/>
  <c r="G49" i="6"/>
  <c r="G47" i="6"/>
  <c r="G46" i="6"/>
  <c r="G41" i="6"/>
  <c r="G40" i="6"/>
  <c r="G38" i="6"/>
  <c r="G33" i="6"/>
  <c r="G26" i="6"/>
  <c r="G27" i="6"/>
  <c r="G28" i="6"/>
  <c r="G29" i="6"/>
  <c r="G30" i="6"/>
  <c r="G31" i="6"/>
  <c r="G16" i="6"/>
  <c r="G17" i="6"/>
  <c r="G18" i="6"/>
  <c r="G19" i="6"/>
  <c r="G20" i="6"/>
  <c r="G21" i="6"/>
  <c r="G22" i="6"/>
  <c r="C34" i="6"/>
  <c r="G12" i="6"/>
  <c r="G13" i="6"/>
  <c r="G25" i="6"/>
  <c r="G15" i="6"/>
  <c r="G11" i="6"/>
  <c r="G99" i="2" l="1"/>
  <c r="G49" i="2"/>
  <c r="G11" i="2"/>
  <c r="G96" i="2"/>
  <c r="G104" i="2"/>
  <c r="G103" i="2" s="1"/>
  <c r="H63" i="6"/>
  <c r="B174" i="4"/>
  <c r="F166" i="4"/>
  <c r="B167" i="4"/>
  <c r="B163" i="4"/>
  <c r="F162" i="4"/>
  <c r="F148" i="4"/>
  <c r="F141" i="4"/>
  <c r="F142" i="4"/>
  <c r="F143" i="4"/>
  <c r="B173" i="4"/>
  <c r="F172" i="4"/>
  <c r="B170" i="4"/>
  <c r="F169" i="4"/>
  <c r="F165" i="4"/>
  <c r="F161" i="4"/>
  <c r="B158" i="4"/>
  <c r="F157" i="4"/>
  <c r="B155" i="4"/>
  <c r="F154" i="4"/>
  <c r="F153" i="4"/>
  <c r="B151" i="4"/>
  <c r="F150" i="4"/>
  <c r="F149" i="4"/>
  <c r="F147" i="4"/>
  <c r="F146" i="4"/>
  <c r="B144" i="4"/>
  <c r="F140" i="4"/>
  <c r="B134" i="4"/>
  <c r="F133" i="4"/>
  <c r="F132" i="4"/>
  <c r="B125" i="4"/>
  <c r="F124" i="4"/>
  <c r="B130" i="4"/>
  <c r="F129" i="4"/>
  <c r="F128" i="4"/>
  <c r="F127" i="4"/>
  <c r="B122" i="4"/>
  <c r="F121" i="4"/>
  <c r="B118" i="4"/>
  <c r="F117" i="4"/>
  <c r="B115" i="4"/>
  <c r="F114" i="4"/>
  <c r="F113" i="4"/>
  <c r="B111" i="4"/>
  <c r="F110" i="4"/>
  <c r="F109" i="4"/>
  <c r="F108" i="4"/>
  <c r="F107" i="4"/>
  <c r="B105" i="4"/>
  <c r="F104" i="4"/>
  <c r="F103" i="4"/>
  <c r="F93" i="4"/>
  <c r="F94" i="4"/>
  <c r="B95" i="4"/>
  <c r="F87" i="4"/>
  <c r="B99" i="4"/>
  <c r="F98" i="4"/>
  <c r="F92" i="4"/>
  <c r="B90" i="4"/>
  <c r="F89" i="4"/>
  <c r="F88" i="4"/>
  <c r="F86" i="4"/>
  <c r="B84" i="4"/>
  <c r="F83" i="4"/>
  <c r="F82" i="4"/>
  <c r="B80" i="4"/>
  <c r="F79" i="4"/>
  <c r="F78" i="4"/>
  <c r="F72" i="4"/>
  <c r="F73" i="4"/>
  <c r="F71" i="4"/>
  <c r="F68" i="4"/>
  <c r="F64" i="4"/>
  <c r="F60" i="4"/>
  <c r="F61" i="4"/>
  <c r="F59" i="4"/>
  <c r="B57" i="4"/>
  <c r="F48" i="4"/>
  <c r="F49" i="4"/>
  <c r="F50" i="4"/>
  <c r="F51" i="4"/>
  <c r="F52" i="4"/>
  <c r="F53" i="4"/>
  <c r="F54" i="4"/>
  <c r="F55" i="4"/>
  <c r="F56" i="4"/>
  <c r="F47" i="4"/>
  <c r="F41" i="4"/>
  <c r="F42" i="4"/>
  <c r="F43" i="4"/>
  <c r="F44" i="4"/>
  <c r="F40" i="4"/>
  <c r="F35" i="4"/>
  <c r="F34" i="4"/>
  <c r="F30" i="4"/>
  <c r="F31" i="4"/>
  <c r="F29" i="4"/>
  <c r="F25" i="4"/>
  <c r="F21" i="4"/>
  <c r="F22" i="4"/>
  <c r="F20" i="4"/>
  <c r="F13" i="4"/>
  <c r="B74" i="4"/>
  <c r="B69" i="4"/>
  <c r="B65" i="4"/>
  <c r="B62" i="4"/>
  <c r="B45" i="4"/>
  <c r="B32" i="4"/>
  <c r="B26" i="4"/>
  <c r="B18" i="4"/>
  <c r="F17" i="4"/>
  <c r="F14" i="4"/>
  <c r="G93" i="2" l="1"/>
  <c r="G10" i="2"/>
  <c r="B137" i="4"/>
  <c r="B100" i="4"/>
  <c r="B75" i="4"/>
  <c r="G112" i="2" l="1"/>
  <c r="B201" i="4"/>
  <c r="F200" i="4"/>
  <c r="B198" i="4"/>
  <c r="F197" i="4"/>
  <c r="F196" i="4"/>
  <c r="B194" i="4"/>
  <c r="F193" i="4"/>
  <c r="B190" i="4"/>
  <c r="F189" i="4"/>
  <c r="F188" i="4"/>
  <c r="F187" i="4"/>
  <c r="F186" i="4"/>
  <c r="B184" i="4"/>
  <c r="B202" i="4" s="1"/>
  <c r="F183" i="4"/>
  <c r="F182" i="4"/>
  <c r="F181" i="4"/>
  <c r="F180" i="4"/>
  <c r="F179" i="4"/>
  <c r="B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70" i="30" l="1"/>
  <c r="F69" i="30"/>
  <c r="F66" i="30"/>
  <c r="F65" i="30"/>
  <c r="B57" i="30"/>
  <c r="F45" i="30"/>
  <c r="F46" i="30"/>
  <c r="F56" i="30"/>
  <c r="F55" i="30"/>
  <c r="F54" i="30"/>
  <c r="F53" i="30"/>
  <c r="F52" i="30"/>
  <c r="F51" i="30"/>
  <c r="F48" i="30"/>
  <c r="F47" i="30"/>
  <c r="F44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0" i="30"/>
  <c r="F19" i="30"/>
  <c r="F18" i="30"/>
  <c r="F17" i="30"/>
  <c r="F16" i="30"/>
  <c r="F15" i="30"/>
  <c r="F14" i="30"/>
  <c r="F13" i="30"/>
  <c r="F12" i="30"/>
  <c r="F110" i="2"/>
  <c r="F111" i="2"/>
  <c r="F106" i="2"/>
  <c r="F107" i="2"/>
  <c r="F108" i="2"/>
  <c r="F109" i="2"/>
  <c r="F105" i="2"/>
  <c r="F101" i="2"/>
  <c r="F102" i="2"/>
  <c r="F100" i="2"/>
  <c r="F98" i="2"/>
  <c r="F97" i="2"/>
  <c r="F95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50" i="2"/>
  <c r="F43" i="2"/>
  <c r="F44" i="2"/>
  <c r="F45" i="2"/>
  <c r="F46" i="2"/>
  <c r="F47" i="2"/>
  <c r="F48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12" i="2"/>
  <c r="C63" i="6"/>
  <c r="C127" i="6"/>
  <c r="C142" i="6"/>
  <c r="C165" i="6"/>
  <c r="G164" i="6"/>
  <c r="G163" i="6"/>
  <c r="G141" i="6"/>
  <c r="G139" i="6"/>
  <c r="G134" i="6"/>
  <c r="G132" i="6"/>
  <c r="G131" i="6"/>
  <c r="G62" i="6"/>
  <c r="G61" i="6"/>
  <c r="G57" i="6"/>
  <c r="G58" i="6"/>
  <c r="G56" i="6"/>
  <c r="G54" i="6"/>
  <c r="G126" i="6"/>
  <c r="G124" i="6"/>
  <c r="G122" i="6"/>
  <c r="G120" i="6"/>
  <c r="G116" i="6"/>
  <c r="G117" i="6"/>
  <c r="G115" i="6"/>
  <c r="G113" i="6"/>
  <c r="G112" i="6"/>
  <c r="G110" i="6"/>
  <c r="G104" i="6"/>
  <c r="G105" i="6"/>
  <c r="G103" i="6"/>
  <c r="G100" i="6"/>
  <c r="G101" i="6"/>
  <c r="G99" i="6"/>
  <c r="G97" i="6"/>
  <c r="G96" i="6"/>
  <c r="G93" i="6"/>
  <c r="G85" i="6"/>
  <c r="G83" i="6"/>
  <c r="G82" i="6"/>
  <c r="G77" i="6"/>
  <c r="G73" i="6"/>
  <c r="G74" i="6"/>
  <c r="G72" i="6"/>
  <c r="G70" i="6"/>
  <c r="G69" i="6"/>
  <c r="G67" i="6"/>
  <c r="G64" i="30" l="1"/>
  <c r="G43" i="30"/>
  <c r="G42" i="30" s="1"/>
  <c r="G21" i="30"/>
  <c r="C56" i="7" l="1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38" i="7"/>
  <c r="G36" i="7"/>
  <c r="G35" i="7"/>
  <c r="E35" i="7"/>
  <c r="D35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13" i="7"/>
  <c r="G14" i="7"/>
  <c r="G15" i="7"/>
  <c r="G16" i="7"/>
  <c r="G17" i="7"/>
  <c r="G18" i="7"/>
  <c r="G19" i="7"/>
  <c r="G20" i="7"/>
  <c r="G21" i="7"/>
  <c r="G12" i="7"/>
  <c r="H43" i="6" l="1"/>
  <c r="H160" i="6"/>
  <c r="H153" i="6"/>
  <c r="G117" i="4"/>
  <c r="G100" i="4" s="1"/>
  <c r="G94" i="4"/>
  <c r="G64" i="4"/>
  <c r="G37" i="4" s="1"/>
  <c r="G30" i="4"/>
  <c r="G157" i="4"/>
  <c r="G136" i="4" s="1"/>
  <c r="G31" i="4"/>
  <c r="G25" i="4"/>
  <c r="G93" i="4"/>
  <c r="G92" i="4"/>
  <c r="G75" i="4" s="1"/>
  <c r="G62" i="30"/>
  <c r="G61" i="30" s="1"/>
  <c r="H142" i="6"/>
  <c r="G29" i="4"/>
  <c r="G10" i="4" l="1"/>
  <c r="G8" i="4" s="1"/>
  <c r="G174" i="4" s="1"/>
  <c r="H50" i="6"/>
  <c r="H127" i="6"/>
  <c r="H135" i="6"/>
  <c r="H165" i="6"/>
  <c r="G68" i="30"/>
  <c r="G67" i="30" s="1"/>
  <c r="G71" i="30" s="1"/>
  <c r="H34" i="6"/>
  <c r="G11" i="30"/>
  <c r="G10" i="30" s="1"/>
  <c r="G50" i="30"/>
  <c r="G49" i="30" s="1"/>
  <c r="G202" i="4"/>
  <c r="G11" i="31"/>
  <c r="G10" i="31" s="1"/>
  <c r="G37" i="31" s="1"/>
  <c r="H56" i="7"/>
  <c r="G57" i="30" l="1"/>
  <c r="G73" i="30" l="1"/>
  <c r="H106" i="6" l="1"/>
  <c r="B112" i="2" l="1"/>
  <c r="C135" i="6" l="1"/>
  <c r="C106" i="6"/>
  <c r="H78" i="6" l="1"/>
  <c r="H166" i="6" s="1"/>
  <c r="B36" i="4" l="1"/>
  <c r="B23" i="4"/>
  <c r="B15" i="4"/>
  <c r="B10" i="4" s="1"/>
  <c r="G115" i="2" l="1"/>
</calcChain>
</file>

<file path=xl/sharedStrings.xml><?xml version="1.0" encoding="utf-8"?>
<sst xmlns="http://schemas.openxmlformats.org/spreadsheetml/2006/main" count="1121" uniqueCount="450">
  <si>
    <t>Informācija par ārstniecības personām</t>
  </si>
  <si>
    <t>39.03.00 Specializētās veselības aprūpes nodrošināšana, Asins un asins komponentu nodrošināšana</t>
  </si>
  <si>
    <t>Ārsti un funkcionālie speciālisti</t>
  </si>
  <si>
    <t>Laboratoriju departamenta direktors</t>
  </si>
  <si>
    <t>Galvenā medicīnas māsa</t>
  </si>
  <si>
    <t>Donoru nodaļas vadītājs</t>
  </si>
  <si>
    <t>Ārsts</t>
  </si>
  <si>
    <t>Eksperts Asins dienestā</t>
  </si>
  <si>
    <t>Ārstniecības un pacientu aprūpes personas</t>
  </si>
  <si>
    <t>Vecākais biomedicīnas laborants</t>
  </si>
  <si>
    <t>Biomedicīnas laborants</t>
  </si>
  <si>
    <t>Medicīnas laborants</t>
  </si>
  <si>
    <t>Virsmāsa</t>
  </si>
  <si>
    <t>Ārsta palīgs (feldšeris)</t>
  </si>
  <si>
    <t>Medicīnas māsa</t>
  </si>
  <si>
    <t>Ārstniecības un pacientu aprūpes atbalsta personas</t>
  </si>
  <si>
    <t>Māsas palīgs</t>
  </si>
  <si>
    <t>x</t>
  </si>
  <si>
    <t>Valsts Asinsdonoru centrs - slimnīcu Asins sagatavošanas nodaļās strādājošie</t>
  </si>
  <si>
    <t>39.03.00 Specializētās veselības aprūpes nodrošināšana, Asins un asins komponentu nodrošināšana, EKK 2800</t>
  </si>
  <si>
    <t>Kopā</t>
  </si>
  <si>
    <t>Valsts asinsdonoru centrs</t>
  </si>
  <si>
    <t>Kopā iestādei</t>
  </si>
  <si>
    <t>Nodaļas vadītājs</t>
  </si>
  <si>
    <t>Neatliekamās medicīniskās palīdzības dienests</t>
  </si>
  <si>
    <t>Medicīnas asistents</t>
  </si>
  <si>
    <t>39.04.00 Neatliekamā medicīniskā palīdzība</t>
  </si>
  <si>
    <t>Ārstniecības personas amata kvalifikācijas kategorija</t>
  </si>
  <si>
    <t>Slodzes (strādājošo skaits normālā darba laika ietvaros)</t>
  </si>
  <si>
    <r>
      <t xml:space="preserve">Faktiskā mēnešalgas likme par           </t>
    </r>
    <r>
      <rPr>
        <u/>
        <sz val="9"/>
        <color indexed="8"/>
        <rFont val="Times New Roman"/>
        <family val="1"/>
      </rPr>
      <t>1 (vienu)</t>
    </r>
    <r>
      <rPr>
        <sz val="9"/>
        <color indexed="8"/>
        <rFont val="Times New Roman"/>
        <family val="1"/>
      </rPr>
      <t xml:space="preserve"> 
slodzi </t>
    </r>
  </si>
  <si>
    <t>Palielinājums par darba stāžu</t>
  </si>
  <si>
    <r>
      <t>Faktiskā darba samaksa</t>
    </r>
    <r>
      <rPr>
        <sz val="9"/>
        <color indexed="8"/>
        <rFont val="Times New Roman"/>
        <family val="1"/>
      </rPr>
      <t xml:space="preserve"> (atalgojums par slodzi) mēnesī</t>
    </r>
  </si>
  <si>
    <t>I. Sertificētu ārstniecības personu amati</t>
  </si>
  <si>
    <t>1.kategorija - Ārsts, zobārsts</t>
  </si>
  <si>
    <t>BAC vadītājs</t>
  </si>
  <si>
    <t>Vadības ārsts (operatīvais dežurants)</t>
  </si>
  <si>
    <t>Ārsta speciālista brigādes vadītājs  - NM ārsts, anesteziologs-reanimatologs</t>
  </si>
  <si>
    <t>Intensīvās terapijas brigādes vadītājs - NM ārsts</t>
  </si>
  <si>
    <t>Anesteziologs - reanimatologs</t>
  </si>
  <si>
    <t>Neonatologs</t>
  </si>
  <si>
    <t>Apdegumu traumatologs</t>
  </si>
  <si>
    <t>Asinsvadu ķirurgs</t>
  </si>
  <si>
    <t>Bērnu ķirurgs</t>
  </si>
  <si>
    <t>Bērnu neiroķirurgs</t>
  </si>
  <si>
    <t>Bronhologs</t>
  </si>
  <si>
    <t>Gastroenterologs - endoskopists</t>
  </si>
  <si>
    <t>Ginekologs un dzemdību speciālists</t>
  </si>
  <si>
    <t>Infektologs</t>
  </si>
  <si>
    <t>Kardiologs</t>
  </si>
  <si>
    <t>Kardiologs - koordinators</t>
  </si>
  <si>
    <t>Ķirurgs</t>
  </si>
  <si>
    <t>Neiroķirurgs</t>
  </si>
  <si>
    <t>Neirologs</t>
  </si>
  <si>
    <t>Otolaringologs</t>
  </si>
  <si>
    <t>Sejas, mutes, žokļu ķirurgs</t>
  </si>
  <si>
    <t>Torakālais ķirurgs</t>
  </si>
  <si>
    <t>Traumatologs - ortopēds</t>
  </si>
  <si>
    <t>Vertebrologs</t>
  </si>
  <si>
    <t>Galvenais dežūrārsts</t>
  </si>
  <si>
    <t>Ārsts konsultants</t>
  </si>
  <si>
    <t>Ārsts (sertificēts)  - praktisko treniņu vadītājs</t>
  </si>
  <si>
    <t>Ģimenes ārstu konsultatīvā tāruņa konsultants (ārsts)</t>
  </si>
  <si>
    <t>2.kategorija - Fizioterapeits, audiologopēds, uztura speciālists, ergoterapeits, tehniskais ortopēds, mākslas terapeits</t>
  </si>
  <si>
    <t>3.kategorija  - Māsa, ārsta palīgs (feldšeris), vecmāte, biomedicīnas laborants, radiologa asistents, radiogrāfers</t>
  </si>
  <si>
    <t>BAC galvenais ārsta palīgs</t>
  </si>
  <si>
    <t>BAC vecākais ārsta palīgs</t>
  </si>
  <si>
    <t>RC galvenais ārsta palīgs</t>
  </si>
  <si>
    <t>RC vecākais ārsta palīgs</t>
  </si>
  <si>
    <t>Brigādes (2AP) vadītājs - NM ārsta palīgs</t>
  </si>
  <si>
    <t>Brigādes vadītājs - NM ārsta palīgs</t>
  </si>
  <si>
    <t>Intensīvās terapijas brigādes otrā ārstniecības  persona - NM ārsta palīgs</t>
  </si>
  <si>
    <t>Reanimācijas brigādes otrā ārstniecības persona - NM ārsta palīgs</t>
  </si>
  <si>
    <t xml:space="preserve">Ārsta speciālista brigādes otrā ārstniecības persona (NM ārsta palīgs - OMT vadītājs) </t>
  </si>
  <si>
    <t>Galvenais dispečers</t>
  </si>
  <si>
    <t>Vadības dispečers</t>
  </si>
  <si>
    <t xml:space="preserve">Vecākais dispečers </t>
  </si>
  <si>
    <t>SMC vadības dispečers</t>
  </si>
  <si>
    <t>Medicīnas māsa bērnu IT brigādē</t>
  </si>
  <si>
    <t>Medicīnas māsa neonatologu brigādē</t>
  </si>
  <si>
    <t>SMC operāciju māsa</t>
  </si>
  <si>
    <t>Ārsta palīgs (sertificēts) - praktisko treniņu vadītājs</t>
  </si>
  <si>
    <t>4.kategorija  - Masieris, ergoterapeita asistents, fizioterapeita asistents, zobu higiēnists, zobārstniecības māsa, kosmētiķis, podologs, zobu tehniķis</t>
  </si>
  <si>
    <t>II. Reģistrētu ārstniecības personu amati</t>
  </si>
  <si>
    <t>Jaunākais dežūrārsts</t>
  </si>
  <si>
    <t>Brigādes vadītājs -ārsts, sagatavots NMP sniegšanai</t>
  </si>
  <si>
    <t>Brigādes otrā ārstniecības  persona - ārsta palīgs</t>
  </si>
  <si>
    <t>Brigādes otrā ārstniecības  persona - medicīnas māsa</t>
  </si>
  <si>
    <t>Brigādes (2AP) otrā ārstniecības persona - ārsta palīgs</t>
  </si>
  <si>
    <t>6.kategorija  - Zobārsta asistents, māsas palīgs, operatīvā medicīniskā transportlīdzekļa vadītājs</t>
  </si>
  <si>
    <t>III. Transportlīdzekļa vadītājs</t>
  </si>
  <si>
    <t>SMC OMT vadītājs</t>
  </si>
  <si>
    <t>X</t>
  </si>
  <si>
    <r>
      <rPr>
        <b/>
        <sz val="10"/>
        <color theme="1"/>
        <rFont val="Times New Roman"/>
        <family val="1"/>
        <charset val="186"/>
      </rPr>
      <t>1.kategorija</t>
    </r>
    <r>
      <rPr>
        <sz val="10"/>
        <color theme="1"/>
        <rFont val="Times New Roman"/>
        <family val="1"/>
      </rPr>
      <t xml:space="preserve"> - Ārsts, zobārsts</t>
    </r>
  </si>
  <si>
    <r>
      <rPr>
        <b/>
        <sz val="10"/>
        <rFont val="Times New Roman"/>
        <family val="1"/>
        <charset val="186"/>
      </rPr>
      <t>4.kategorija</t>
    </r>
    <r>
      <rPr>
        <sz val="10"/>
        <rFont val="Times New Roman"/>
        <family val="1"/>
      </rPr>
      <t xml:space="preserve">  - Masieris, ergoterapeita asistents, fizioterapeita asistents, zobu higiēnists, zobārstniecības māsa, kosmētiķis, podologs, zobu tehniķis</t>
    </r>
  </si>
  <si>
    <r>
      <rPr>
        <b/>
        <sz val="10"/>
        <rFont val="Times New Roman"/>
        <family val="1"/>
        <charset val="186"/>
      </rPr>
      <t>2.kategorija</t>
    </r>
    <r>
      <rPr>
        <sz val="10"/>
        <rFont val="Times New Roman"/>
        <family val="1"/>
      </rPr>
      <t xml:space="preserve"> - Ārsts, zobārsts, rezidents</t>
    </r>
  </si>
  <si>
    <r>
      <rPr>
        <b/>
        <sz val="10"/>
        <rFont val="Times New Roman"/>
        <family val="1"/>
        <charset val="186"/>
      </rPr>
      <t>3.kategorija</t>
    </r>
    <r>
      <rPr>
        <sz val="10"/>
        <rFont val="Times New Roman"/>
        <family val="1"/>
      </rPr>
      <t xml:space="preserve"> - Fizioterapeits, audiologopēds, uztura speciālists, ergoterapeits, tehniskais ortopēds, mākslas terapeits</t>
    </r>
  </si>
  <si>
    <r>
      <rPr>
        <b/>
        <sz val="10"/>
        <rFont val="Times New Roman"/>
        <family val="1"/>
        <charset val="186"/>
      </rPr>
      <t>4.kategorija</t>
    </r>
    <r>
      <rPr>
        <sz val="10"/>
        <rFont val="Times New Roman"/>
        <family val="1"/>
      </rPr>
      <t xml:space="preserve">  - Māsa, ārsta palīgs (feldšeris), vecmāte, biomedicīnas laborants, radiologa asistents, radiogrāfers</t>
    </r>
  </si>
  <si>
    <r>
      <rPr>
        <b/>
        <sz val="10"/>
        <rFont val="Times New Roman"/>
        <family val="1"/>
        <charset val="186"/>
      </rPr>
      <t>5.kategorija</t>
    </r>
    <r>
      <rPr>
        <sz val="10"/>
        <rFont val="Times New Roman"/>
        <family val="1"/>
      </rPr>
      <t xml:space="preserve">  - Masieris, ergoterapeita asistents, fizioterapeita asistents, zobu higiēnists, zobārstniecības māsa, kosmētiķis, podologs, zobu tehniķis</t>
    </r>
  </si>
  <si>
    <r>
      <rPr>
        <b/>
        <sz val="10"/>
        <rFont val="Times New Roman"/>
        <family val="1"/>
        <charset val="186"/>
      </rPr>
      <t>6.kategorija</t>
    </r>
    <r>
      <rPr>
        <sz val="10"/>
        <rFont val="Times New Roman"/>
        <family val="1"/>
      </rPr>
      <t xml:space="preserve">  - Zobārsta asistents, māsas palīgs, operatīvā medicīniskā transportlīdzekļa vadītājs</t>
    </r>
  </si>
  <si>
    <r>
      <rPr>
        <b/>
        <sz val="10"/>
        <rFont val="Times New Roman"/>
        <family val="1"/>
        <charset val="186"/>
      </rPr>
      <t>6.kategorija</t>
    </r>
    <r>
      <rPr>
        <sz val="10"/>
        <rFont val="Times New Roman"/>
        <family val="1"/>
      </rPr>
      <t xml:space="preserve">  - Transportlīdzekļa vadītājs</t>
    </r>
  </si>
  <si>
    <t>Vecākais ārsts</t>
  </si>
  <si>
    <t>Ārsta palīgs</t>
  </si>
  <si>
    <t>Vecākā medicīnas māsa</t>
  </si>
  <si>
    <t>Vecākā māsa</t>
  </si>
  <si>
    <t>Radiologa asistents</t>
  </si>
  <si>
    <t>I.Sertificētu ārstniecības personu amati</t>
  </si>
  <si>
    <t>Virsārsts</t>
  </si>
  <si>
    <t>Daļas vadītājs</t>
  </si>
  <si>
    <t>Daļas vadītāja vietnieks</t>
  </si>
  <si>
    <t>Programma</t>
  </si>
  <si>
    <t>Māsa</t>
  </si>
  <si>
    <t>II.Reģistrētu ārstniecības personu amati</t>
  </si>
  <si>
    <r>
      <t xml:space="preserve">Faktiskā mēnešalgas likme par           </t>
    </r>
    <r>
      <rPr>
        <u/>
        <sz val="10"/>
        <color indexed="8"/>
        <rFont val="Times New Roman"/>
        <family val="1"/>
      </rPr>
      <t>1 (vienu)</t>
    </r>
    <r>
      <rPr>
        <sz val="10"/>
        <color indexed="8"/>
        <rFont val="Times New Roman"/>
        <family val="1"/>
      </rPr>
      <t xml:space="preserve"> 
slodzi </t>
    </r>
  </si>
  <si>
    <r>
      <t>Faktiskā darba samaksa</t>
    </r>
    <r>
      <rPr>
        <sz val="10"/>
        <color indexed="8"/>
        <rFont val="Times New Roman"/>
        <family val="1"/>
      </rPr>
      <t xml:space="preserve"> (atalgojums par slodzi) mēnesī</t>
    </r>
  </si>
  <si>
    <t>04.05.00 "Valsts sociālās apdrošināšanas aģentūras speciālais budžets"</t>
  </si>
  <si>
    <t xml:space="preserve">05.03.00 "Aprūpe valsts sociālās aprūpes institūcijās" </t>
  </si>
  <si>
    <t>Psihiatrs</t>
  </si>
  <si>
    <t>Zobārsts</t>
  </si>
  <si>
    <t>Ginekologs</t>
  </si>
  <si>
    <t>Fizioterapeits</t>
  </si>
  <si>
    <t>Garīgās veselības aprūpes māsa</t>
  </si>
  <si>
    <t>Fizioterapeits (nesertificēts)</t>
  </si>
  <si>
    <t>Pediatrs</t>
  </si>
  <si>
    <t>Mākslas terapeits</t>
  </si>
  <si>
    <t>Medicīnas māsa (nesertificēta)</t>
  </si>
  <si>
    <t>Fizikālās terapijas māsa</t>
  </si>
  <si>
    <t>Diētas māsa</t>
  </si>
  <si>
    <t>Masieris</t>
  </si>
  <si>
    <t>VSAC "Kurzeme"</t>
  </si>
  <si>
    <t>Ergoterapeits</t>
  </si>
  <si>
    <t>Bērnu aprūpes māsa</t>
  </si>
  <si>
    <t>Psihiatrijas māsa</t>
  </si>
  <si>
    <t>VSAC "Rīga"</t>
  </si>
  <si>
    <t>VSAC "Zemgale"</t>
  </si>
  <si>
    <t>05.37.00 "Sociālās integrācijas valsts aģentūras administrēšana un profesionālās un sociālās rehabilitācijas pakalpojumu nodrošināšana"</t>
  </si>
  <si>
    <t>Ārsts -psihiatrs</t>
  </si>
  <si>
    <t xml:space="preserve">Dežūrārsts </t>
  </si>
  <si>
    <t>Vecākais fizioterapeits</t>
  </si>
  <si>
    <t>Vecākais ergoterapeits</t>
  </si>
  <si>
    <t>Ergoterapeits (nesertificēts)</t>
  </si>
  <si>
    <t>Uztura speciālists</t>
  </si>
  <si>
    <t>Medicīnas māsa (dežūrmāsa)</t>
  </si>
  <si>
    <t>Masieris (nesertificēts)</t>
  </si>
  <si>
    <t>10.00.00 "Valsts robežsardzes darbība"</t>
  </si>
  <si>
    <t>Piemaksas</t>
  </si>
  <si>
    <t>18. Labklājības ministrija  05.01.00 "Sociālās rehabilitācijas valsts programmas"</t>
  </si>
  <si>
    <t>Kopā iestāde</t>
  </si>
  <si>
    <t>VSIA "Rīgas psihiatrijas un narkoloģijas centrs" (15.01.2019. līgums Nr.2019/24-1-04/03   par ilgstošas sociālās aprūpes un sociālās rehabilitācijas pakalpojumu sniegšanu pilngadīgām personām ar smagiem garīga rakstura traucējumiem (personām ar I un II grupas invaliditāti))</t>
  </si>
  <si>
    <t>Podologs</t>
  </si>
  <si>
    <t>Narkologs</t>
  </si>
  <si>
    <t xml:space="preserve"> VSIA "Slimnīca "Ģintermuiža"" (14.01.2019. līgums Nr.2019/24-1-06/02  par ilgstošas sociālās aprūpes un sociālās rehabilitācijas pakalpojumu sniegšanu pilngadīgām personām ar smagiem garīga rakstura traucējumiem (personām ar I un II grupas invaliditāti))</t>
  </si>
  <si>
    <t>Ārsts otolaringologs</t>
  </si>
  <si>
    <t>Protēžu meistars</t>
  </si>
  <si>
    <t xml:space="preserve">Ārsts konsultants </t>
  </si>
  <si>
    <t>Vecākais ergoterapeits (nesertificēts)</t>
  </si>
  <si>
    <t>Vecākais fizioterapeits (sertificēts)</t>
  </si>
  <si>
    <t>Fizioterapeits (sertificēts)</t>
  </si>
  <si>
    <t>Vecākais tehniskais ortopēds (sertificēts)</t>
  </si>
  <si>
    <t>Tehniskais ortopēds (sertificēts)</t>
  </si>
  <si>
    <t>Audiologopēds</t>
  </si>
  <si>
    <t>09.10.00. "Murjāņu sporta ģimnāzija"</t>
  </si>
  <si>
    <t>Optometrists</t>
  </si>
  <si>
    <t>Valsts tiesu medicīnas ekspertīzes centrs</t>
  </si>
  <si>
    <t>Laboratorijas vadītājs, vecākais tiesu medicīnas eksperts</t>
  </si>
  <si>
    <t>Laboratorijas vadītājs, vecākais speciālists - tiesu medicīnas eksperts</t>
  </si>
  <si>
    <t xml:space="preserve">Vecākais tiesu medicīnas eksperts </t>
  </si>
  <si>
    <t>Tiesu medicīnas eksperts</t>
  </si>
  <si>
    <t>39.06.00 Tiesu medicīniskā ekspertīze</t>
  </si>
  <si>
    <t>A</t>
  </si>
  <si>
    <t>F</t>
  </si>
  <si>
    <t>G</t>
  </si>
  <si>
    <t>Veselības ministrija</t>
  </si>
  <si>
    <t>01.03.00 "Sociālās korekcijas izglītības iestāde" ("Naukšēni")</t>
  </si>
  <si>
    <t>02.01.00 "Profesionālās izglītības programmu īstenošana"</t>
  </si>
  <si>
    <t>05.62.00 "Invaliditātes ekspertīžu nodrošināšana" (Veselības un darbspēju ekspertīzes ārstu valsts komisija)</t>
  </si>
  <si>
    <t>Labklājības ministrijas līgumorganizācijas 05.01.00 "Sociālās rehabilitācijas valsts programmas"</t>
  </si>
  <si>
    <t xml:space="preserve"> 04.01.00 "Ieslodzījuma vietas"</t>
  </si>
  <si>
    <t>06.01.00"Valsts policija"</t>
  </si>
  <si>
    <t>38.05.00 "Veselības aprūpe un fiziskā sagatavošana"</t>
  </si>
  <si>
    <t>1.</t>
  </si>
  <si>
    <t>2.</t>
  </si>
  <si>
    <t>62.resors "Mērķotācijas pašvaldībām"</t>
  </si>
  <si>
    <t>Nr.p.k.</t>
  </si>
  <si>
    <t>Augstskolas izdevumi</t>
  </si>
  <si>
    <t>Ārstniecības iestādes izdevumi</t>
  </si>
  <si>
    <t>2.1.</t>
  </si>
  <si>
    <t>Rezidenta atlīdzība</t>
  </si>
  <si>
    <t>2.1.1.</t>
  </si>
  <si>
    <t>Atalgojums</t>
  </si>
  <si>
    <t>2.1.1.1.</t>
  </si>
  <si>
    <t>t.sk. amatalga</t>
  </si>
  <si>
    <t>2.1.1.2.</t>
  </si>
  <si>
    <t>t.sk. pārējie izdevumi rezidentu atlīdzībai - samaksa par dežūru stundām virs normālā darba laika (24 h mēnesī), piemaksas par nakts dežūrām, svētku dienām, mājas dežūrām un darba samaksas mainīgajai daļai</t>
  </si>
  <si>
    <t>2.1.2.</t>
  </si>
  <si>
    <t>VSAOI</t>
  </si>
  <si>
    <t>2.2.</t>
  </si>
  <si>
    <t>Rezidentu teorētisko un praktisko apmācību saistīto izdevumu apmaksai ārstniecības iestādē</t>
  </si>
  <si>
    <t>2.2.1.</t>
  </si>
  <si>
    <t xml:space="preserve">Ārstu un cita mācību personāla atlīdzībai </t>
  </si>
  <si>
    <t>2.2.1.1.</t>
  </si>
  <si>
    <t xml:space="preserve">Ārstu un cita mācību personāla atlīdzībai par rezidentu teorētisko un praktisko apmācību </t>
  </si>
  <si>
    <t>2.2.1.1.1.</t>
  </si>
  <si>
    <t>t.sk. atalgojums</t>
  </si>
  <si>
    <t>2.2.1.1.2.</t>
  </si>
  <si>
    <t>t.sk. VSAOI</t>
  </si>
  <si>
    <t>2.2.1.2.</t>
  </si>
  <si>
    <t>Ārstu atlīdzībai, kas atbildīgi par rezidentūras organizāciju (atalgojums un VSAOI)</t>
  </si>
  <si>
    <t>2.2.1.2.1.</t>
  </si>
  <si>
    <t>2.2.1.2.2.</t>
  </si>
  <si>
    <t>2.2.2.</t>
  </si>
  <si>
    <t xml:space="preserve">Ar rezidentūras organizēšanu  saistīto izdevumu segšanai </t>
  </si>
  <si>
    <t>2.2.2.1.</t>
  </si>
  <si>
    <t>t.sk.ar rezidenta pašizglītību saistītie izdevumi (izdevumi  medicīniskās literatūras, datu bāžu, grāmatu, u.c. iegādei bibliotēkai, aprīkojuma, datoru iegādei, u.tml., kas paliek ārstniecības iestādes īpašumā)</t>
  </si>
  <si>
    <t>2.2.2.2.</t>
  </si>
  <si>
    <t>t.sk.ar rezidentūras organizēšanu  saistīto izdevumu segšanai saimniecisko, komunālo un ārstniecības iestādes citu kārtējo izdevumu segšanai, kas attiecas uz rezidentūras organizēšanu ārstniecības iestādē, t.sk. rezidentu telpu iekārtošanas, identifikācijas  karšu iegādes, vienotas e-adreses nodrošināšanai, zīmogu izgatavošanas izdevumi u.tml.))</t>
  </si>
  <si>
    <t>Amatalga pēc izmaiņām</t>
  </si>
  <si>
    <t>Starpība, EUR</t>
  </si>
  <si>
    <t>Darba samaksa atbilstoši slodzēm</t>
  </si>
  <si>
    <t>Kopā ar Sociālo nodokli</t>
  </si>
  <si>
    <t>1 (6)</t>
  </si>
  <si>
    <t>2 (7)</t>
  </si>
  <si>
    <t>3 (8)</t>
  </si>
  <si>
    <t>4 (9)</t>
  </si>
  <si>
    <t>5 (11)</t>
  </si>
  <si>
    <t>6 (13)</t>
  </si>
  <si>
    <t>KOPĀ Ārstniecības personas</t>
  </si>
  <si>
    <t xml:space="preserve">Pārējam personālam </t>
  </si>
  <si>
    <t>Zemākā mēnešalgas likme par slodzi (atbilstoši MK not. Nr.851)</t>
  </si>
  <si>
    <t>EUR</t>
  </si>
  <si>
    <t xml:space="preserve">Ārstniecības personu darba samaksas pieaugums 14.Iekšlietu ministrijas kapitālsabiedrībai VSIA "Iekšlietu ministrijas poliklīnika" </t>
  </si>
  <si>
    <t xml:space="preserve">Ārstniecības personu darba samaksas pieaugums 18.Labklājības ministrijas līgumorganizācijas, kuras sociālos pakalpojumus sniedz uz līguma par Valsts pārvaldes deleģēto funkciju izpildi vai publiskā iepirkuma līguma pamata. </t>
  </si>
  <si>
    <t>19.Tieslietu ministrija</t>
  </si>
  <si>
    <t>Neatliekamās medicīniskās palīdzības dienesta ārstniecības personu faktiskā darba samaksas pieaugums (MK noteikumi Nr.851)</t>
  </si>
  <si>
    <t>Pieaugums (%)</t>
  </si>
  <si>
    <t>Šos darba samaksas pieauguma procentus šeit var mainīt/modelēt, bet tie koriģēsies TIKAI padotības iestādēm un citām ministrijām!!!
Mainot pieauguma % rezidentiem un tarifiem, viss jāpārrēķina manuāli.</t>
  </si>
  <si>
    <t>2.kategorija - Ārsts, zobārsts, rezidents</t>
  </si>
  <si>
    <t>3.kategorija - Fizioterapeits, audiologopēds, uztura speciālists, ergoterapeits, tehniskais ortopēds, mākslas terapeits</t>
  </si>
  <si>
    <t>4.kategorija  - Māsa, ārsta palīgs (feldšeris), vecmāte, biomedicīnas laborants, radiologa asistents, radiogrāfers</t>
  </si>
  <si>
    <t>5.kategorija  - Masieris, ergoterapeita asistents, fizioterapeita asistents, zobu higiēnists, zobārstniecības māsa, kosmētiķis, podologs, zobu tehniķis</t>
  </si>
  <si>
    <t>Aizsardzības ministrija</t>
  </si>
  <si>
    <t>Psihiatri</t>
  </si>
  <si>
    <t>Oftalmologs</t>
  </si>
  <si>
    <t>Ārsts (nesertificēts)</t>
  </si>
  <si>
    <t>Nodaļas vadītāja vietnieks</t>
  </si>
  <si>
    <t xml:space="preserve">Medicīnas māsa </t>
  </si>
  <si>
    <t>VSIA Iekšlietu ministrijas poliklīnika</t>
  </si>
  <si>
    <t>38.05.00. Veselības aprūpe un fiziskā sagatavotība</t>
  </si>
  <si>
    <t>Medicīnas  māsa</t>
  </si>
  <si>
    <r>
      <rPr>
        <b/>
        <sz val="10"/>
        <color theme="1"/>
        <rFont val="Times New Roman"/>
        <family val="1"/>
      </rPr>
      <t>2.kategorija</t>
    </r>
    <r>
      <rPr>
        <sz val="10"/>
        <color theme="1"/>
        <rFont val="Times New Roman"/>
        <family val="1"/>
      </rPr>
      <t xml:space="preserve"> - Fizioterapeits, audiologopēds, uztura speciālists, ergoterapeits, tehniskais ortopēds, mākslas terapeits</t>
    </r>
  </si>
  <si>
    <r>
      <rPr>
        <b/>
        <sz val="10"/>
        <color theme="1"/>
        <rFont val="Times New Roman"/>
        <family val="1"/>
      </rPr>
      <t>3.kategorija</t>
    </r>
    <r>
      <rPr>
        <sz val="10"/>
        <color theme="1"/>
        <rFont val="Times New Roman"/>
        <family val="1"/>
      </rPr>
      <t xml:space="preserve">  - Māsa, ārsta palīgs (feldšeris), vecmāte, biomedicīnas laborants, radiologa asistents, radiogrāfers</t>
    </r>
  </si>
  <si>
    <t>VSIA "Daugavpils psihoneiroloģiskā slimnīcas" (15.01.2019. līgums Nr.2019/24-1-04/04  par ilgstošas sociālās aprūpes un sociālās rehabilitācijas pakalpojumu sniegšanu pilngadīgām personām ar smagiem garīga rakstura traucējumiem (personām ar I un II grupas invaliditāti))</t>
  </si>
  <si>
    <t xml:space="preserve">Mākslas terapeits </t>
  </si>
  <si>
    <t xml:space="preserve">Ārsta palīgs </t>
  </si>
  <si>
    <t>Vecākā medicīnas māsa (ar GVAM sertifikātu)</t>
  </si>
  <si>
    <t xml:space="preserve">Masieris </t>
  </si>
  <si>
    <t xml:space="preserve">Audiologopēds  </t>
  </si>
  <si>
    <t>SIA "Veselības centrs "Ilūkste"" (29.01.2019. līgums Nr.2019/24-1-06/08   par ilgstošas sociālās aprūpes un sociālās rehabilitācijas pakalpojumu sniegšanu pilngadīgām personām ar smagiem garīga rakstura traucējumiem (personām ar I un II grupas invaliditāti))</t>
  </si>
  <si>
    <t>VSIA "Slimnīca "Ģintermuiža"" (04.01.2019. līgums Nr.2019/24-1-06/01  par sociālās rehabilitācijas pakalpojumu sniegšanu no psihoaktīvām vielām atkarīgām pilngadīgām personām)</t>
  </si>
  <si>
    <t>SIA "Atsaucība" (29.01.2019. līgums Nr.2019/24-1-06/09   par ilgstošas sociālās aprūpes un sociālās rehabilitācijas pakalpojumu sniegšanu pilngadīgām personām ar smagiem garīga rakstura traucējumiem (personām ar I un II grupas invaliditāti))</t>
  </si>
  <si>
    <t>Latvijas Nedzirdīgo savienība (12.02.2020. līgums Nr.2020/24-1-04/2e  par personu ar dzirdes invaliditāti nodrošināšanu ar tehniskajiem palīglīdzekļiem - surdotehniku)</t>
  </si>
  <si>
    <t>psihiatrs</t>
  </si>
  <si>
    <t>fizioterapeits</t>
  </si>
  <si>
    <t>Kopā 05.01.00</t>
  </si>
  <si>
    <t>Galvenais ergoterapeits (sertificēts)</t>
  </si>
  <si>
    <t>Ergoterapeits (sertificēts)</t>
  </si>
  <si>
    <t>Vecākais fizioterapeits (nesertificēts)</t>
  </si>
  <si>
    <t>Audiologopēds (sertificēts)</t>
  </si>
  <si>
    <t>PSIA "Veselības un sociālās aprūpes centrs - Sloka" (29.01.2019. līgums Nr.2019/24-1-06/07   par ilgstošas sociālās aprūpes un sociālās rehabilitācijas pakalpojumu sniegšanu pilngadīgām personām ar smagiem garīga rakstura traucējumiem (personām ar I un II grupas invaliditāti))</t>
  </si>
  <si>
    <t>Māsu palīgs</t>
  </si>
  <si>
    <t>Brigādes (2SP) vadītājs - NM ārsta palīgs</t>
  </si>
  <si>
    <t>Brigādes vadītājs - vecākais NM ārsta palīgs</t>
  </si>
  <si>
    <t>Izsaukumu pieņemšanas dispečers  (NM ārsta palīgs)</t>
  </si>
  <si>
    <t>Galvenais speciālists ārstniecības kvalitātes jautājumos</t>
  </si>
  <si>
    <t xml:space="preserve">Brigādes vadītājs - ārsts, sagatavots NMP sniegšanai (anestezioloģijas, reanimatoloģijas vai neatliekamās medicīnas ārsta specialitātes 4./5.gada rezidents, ārsts kardiologs, ārsts internists vai ģimenes ārsts) </t>
  </si>
  <si>
    <t>Vecākais OMT vadītājs</t>
  </si>
  <si>
    <t>Ārstniecības personu zemāko mēnešalgu izmaiņas no 2022.gada</t>
  </si>
  <si>
    <t>Pārējā personāla zemāko mēnešalgu izmaiņas no 2022.gada</t>
  </si>
  <si>
    <t>ok</t>
  </si>
  <si>
    <r>
      <t xml:space="preserve">Nepieciešamais papildus finansējums rezidentiem, </t>
    </r>
    <r>
      <rPr>
        <b/>
        <i/>
        <sz val="10"/>
        <rFont val="Times New Roman"/>
        <family val="1"/>
        <charset val="186"/>
      </rPr>
      <t>euro</t>
    </r>
  </si>
  <si>
    <t xml:space="preserve">Pārējās ārstniecības iestādēs 
(t.sk. budžeta iestādēs) </t>
  </si>
  <si>
    <t xml:space="preserve">Reģionālajā daudzprofilu slimnīcā vai ģimenes (vispārējās prakses) ārsta praksē ārpus Rīgas </t>
  </si>
  <si>
    <t>Nr.</t>
  </si>
  <si>
    <t>Plānotais rezidentu skaits janv-sept</t>
  </si>
  <si>
    <t>Plānotais uzņemamo rezidentu skaits</t>
  </si>
  <si>
    <t>Plānotais rezidentu skaits okt-dec</t>
  </si>
  <si>
    <t xml:space="preserve"> Finanšu līdzekļu apmēra palielinājums mēnesim viena rezidenta apmācībai, euro</t>
  </si>
  <si>
    <t xml:space="preserve"> Finanšu līdzekļu apmēra palielinājums gadam plānotam rezidentu skaitam  apmācībai, euro</t>
  </si>
  <si>
    <t>5=2-3+4</t>
  </si>
  <si>
    <t>KOPĀ</t>
  </si>
  <si>
    <t>kopā, t.sk.</t>
  </si>
  <si>
    <t>Reģionālajā daudzprofilu slimnīcā vai ģimenes (vispārējās prakses) ārsta praksē ārpus Rīgas</t>
  </si>
  <si>
    <t>t.sk. no 3.gada pamatspecialitātē un papildspecialitātē un apakšspecialitātē no 1.gada, t.sk.</t>
  </si>
  <si>
    <t>t.sk. atlikušie, t.sk.</t>
  </si>
  <si>
    <t>VSAOI jaunais nodoklis</t>
  </si>
  <si>
    <t>Ārsti</t>
  </si>
  <si>
    <t>Resori/budžeta programmas (apakšprogrammas)</t>
  </si>
  <si>
    <t>02.04.00 "Rezidentu apmācība"</t>
  </si>
  <si>
    <t>EKK 7470</t>
  </si>
  <si>
    <t>33.14.00 "Primārās ambulatorās veselības aprūpes nodrošināšana"</t>
  </si>
  <si>
    <t>EKK 3000</t>
  </si>
  <si>
    <t>33.15.00 "Laboratorisko izmeklējumu nodrošināšana ambulatorajā aprūpē"</t>
  </si>
  <si>
    <t>33.16.00 "Pārējo ambulatoro veselības aprūpes pakalpojumu nodrošināšana"</t>
  </si>
  <si>
    <t>33.17.00 "Neatliekamās medicīniskās palīdzības nodrošināšana stacionārās ārstniecības iestādēs"</t>
  </si>
  <si>
    <t>33.18.00 "Plānveida stacionāro veselības aprūpes pakalpojumu nodrošināšana"</t>
  </si>
  <si>
    <t>39.03.00 "Asins un asins komponentu nodrošināšana"</t>
  </si>
  <si>
    <t>EKK 1000</t>
  </si>
  <si>
    <t>EKK 2000</t>
  </si>
  <si>
    <t>39.04.00 "Neatliekamā medicīniskā palīdzība"</t>
  </si>
  <si>
    <t>39.06.00 "Tiesu medicīniskā ekspertīze"</t>
  </si>
  <si>
    <t>45.01.00 "Veselības aprūpes finansējuma administrēšana un ekonomiskā novērtēšana"</t>
  </si>
  <si>
    <t>46.01.00 "Uzraudzība un kontrole"</t>
  </si>
  <si>
    <t>46.03.00 "Slimību profilakses nodrošināšana"</t>
  </si>
  <si>
    <t>97.00.00 "Nozares vadība un politikas plānošana"</t>
  </si>
  <si>
    <t>06.02.00 "Medicīnas vēstures muzejs"</t>
  </si>
  <si>
    <t>citas ministrijas t.sk. 62.resors</t>
  </si>
  <si>
    <t>22.10.00 "Starptautisko operāciju un Nacionālo bruņoto spēku centralizētais atalgojums"</t>
  </si>
  <si>
    <t>Izglītības ministrija</t>
  </si>
  <si>
    <t xml:space="preserve">EKK 7460 </t>
  </si>
  <si>
    <t>Labklājības ministrija</t>
  </si>
  <si>
    <t xml:space="preserve">EKK 3000 </t>
  </si>
  <si>
    <t>Tieslietu ministrija</t>
  </si>
  <si>
    <t>Iekšlietu ministrija</t>
  </si>
  <si>
    <t xml:space="preserve">EKK 2000 </t>
  </si>
  <si>
    <t>Darba samaksas pieaugums 2022.gadam, t.sk. 23.59%</t>
  </si>
  <si>
    <t>Biomedicinas laborants</t>
  </si>
  <si>
    <t>20% darba samaksas pieaugums 2022.gadam, t.sk. 23.59%</t>
  </si>
  <si>
    <t>Internists</t>
  </si>
  <si>
    <t>Mūzikas terapeits</t>
  </si>
  <si>
    <t>Deju un kustības terapeits</t>
  </si>
  <si>
    <t>medicīnas māsa (nesertificēta)</t>
  </si>
  <si>
    <t>māsa (sertificēta)</t>
  </si>
  <si>
    <r>
      <rPr>
        <b/>
        <sz val="10"/>
        <color theme="1"/>
        <rFont val="Times New Roman"/>
        <family val="1"/>
      </rPr>
      <t>6.kategorija</t>
    </r>
    <r>
      <rPr>
        <sz val="10"/>
        <color theme="1"/>
        <rFont val="Times New Roman"/>
        <family val="1"/>
      </rPr>
      <t xml:space="preserve">  - Zobārsta asistents, māsas palīgs, operatīvā medicīniskā transportlīdzekļa vadītājs</t>
    </r>
  </si>
  <si>
    <t>VSIA "Slimnīca "Ģintermuiža"" (28.12.2020. līgums Nr.2020/24-1-06/5e  par sociālās rehabilitācijas pakalpojumu sniegšanu no psihoaktīvām vielām atkarīgām nepilngadīgām personām)</t>
  </si>
  <si>
    <t>SIA “Bērnu un pusaudžu resursu centrs”  (23.12.2020. līgums Nr.LM 2020/24-1-06/4e  par ambulatora psihosociāla rehabilitācijas pakalpojuma sniegšanu no vielām un procesiem atkarīgiem bērniem)</t>
  </si>
  <si>
    <t xml:space="preserve"> Ārsts eksperts</t>
  </si>
  <si>
    <t xml:space="preserve"> Ārsts eksperts OVC</t>
  </si>
  <si>
    <t>Reanimācijas brigādes vadītājs - ārsts (NM/ anesteziologs-reanimatologs)</t>
  </si>
  <si>
    <t>Bērnu IT brigādes anesteziologs-reanimatologs</t>
  </si>
  <si>
    <t>Vecākais dežūrārsts (OVC)</t>
  </si>
  <si>
    <t>Ģimenes ārstu konsultatīvā tāruņa konsultants (ārsts rezidents)</t>
  </si>
  <si>
    <t>SMC Ārsts -Galvenais speciālists medicīniskās evakuācijas jautājumos</t>
  </si>
  <si>
    <t>Piemaksas *</t>
  </si>
  <si>
    <t>*Virsstundu apmaksai 4%, sakarā ar stundas algas likmes palielināšanos</t>
  </si>
  <si>
    <t>BAC vadītājs ( ārsta palīgs)</t>
  </si>
  <si>
    <t>Brigādes otrā ārstniecības persona - NM ārsta palīgs</t>
  </si>
  <si>
    <t>Brigādes vadītājs vecākais - NM ārsta palīgs (atbildībā 2 brigādes)</t>
  </si>
  <si>
    <t>Brigādes vadītājs vecākais - NM ārsta palīgs (atbildībā 3 brigādes)</t>
  </si>
  <si>
    <t>Brigādes vadītājs vecākais NM ārsta palīgs    (atbildībā 4 brigādes)</t>
  </si>
  <si>
    <t>Dispečers - NM ārsta palīgs OVC</t>
  </si>
  <si>
    <t>Speciālists NMP brigāžu atbalsta jautājumos (NM ārsta palīgs)</t>
  </si>
  <si>
    <t>Speciālists NMP brigāžu atbalsta jautājumos (ārsta palīgs, medicīnas māsa)</t>
  </si>
  <si>
    <t>Izsaukumu pieņemšanas dispečers  (ārsta palīgs)</t>
  </si>
  <si>
    <t>SMC galvenais ārsta palīgs</t>
  </si>
  <si>
    <t>SMC ārsta palīgs</t>
  </si>
  <si>
    <t>NMP punkta vecākais ārsta palīgs (atbildībā līdz 4 brig.)</t>
  </si>
  <si>
    <t>NMP punkta vecākais ārsta palīgs (atbildībā līdz 5 brig.)</t>
  </si>
  <si>
    <t>Ģimenes ārstu konsultatīvā tāruņa konsultants (ārsta palīgs)</t>
  </si>
  <si>
    <t>Infekciju uzraudzības speciālists</t>
  </si>
  <si>
    <t xml:space="preserve">SMC vecākais  ārsta palīgs medicīniskā nodrošinājuma jautājumos </t>
  </si>
  <si>
    <t xml:space="preserve">SMC  ārsta palīgs medicīniskā nodrošinājuma jautājumos </t>
  </si>
  <si>
    <t xml:space="preserve">OMT vadītājs </t>
  </si>
  <si>
    <t>Transfuzioloģiskā departamenta direktors (ārsts)</t>
  </si>
  <si>
    <t>ASD Nodaļas vadītājs (virsārsts)</t>
  </si>
  <si>
    <t xml:space="preserve">LF Vadītājs (virsārsts) </t>
  </si>
  <si>
    <t xml:space="preserve">KF Vadītājs (virsārsts) </t>
  </si>
  <si>
    <t>ID nodaļas vadītājs (virsārsts)</t>
  </si>
  <si>
    <t xml:space="preserve">Ārsts Donoru nodaļa </t>
  </si>
  <si>
    <t>Ārsts E nodaļa</t>
  </si>
  <si>
    <t>Ārsts LF</t>
  </si>
  <si>
    <t>Ārsts ID</t>
  </si>
  <si>
    <t>E nodaļas vadītājs</t>
  </si>
  <si>
    <t>BVD Laboratorijas vadītājs</t>
  </si>
  <si>
    <t>KL Laboratorijas vadītājs</t>
  </si>
  <si>
    <t>Noliktavas pārzinis (medicīniskā noliktava)</t>
  </si>
  <si>
    <t>Virsmāsa (ASD, E, LF)</t>
  </si>
  <si>
    <t>Vecākais ārsta palīgs (feldšeris) DAD</t>
  </si>
  <si>
    <t>Ārsta palīgs (feldšeris)*</t>
  </si>
  <si>
    <t>Medicīnas māsa ASD</t>
  </si>
  <si>
    <t>Medicīnas māsa ASD**</t>
  </si>
  <si>
    <t>Medicīnas māsa E</t>
  </si>
  <si>
    <t>Medicīnas māsa LF</t>
  </si>
  <si>
    <t>Medicīnas māsa KF</t>
  </si>
  <si>
    <t>Ārsta palīgs (feldšeris) - nesertificēts DAD</t>
  </si>
  <si>
    <t>Medicīnas māsa - nesertificēta ASD</t>
  </si>
  <si>
    <t>Medicīnas māsa - nesertificēta E</t>
  </si>
  <si>
    <t>Medicīnas māsa - nesertificēta LF</t>
  </si>
  <si>
    <t>Medicīnas māsa - nesertificēta KF</t>
  </si>
  <si>
    <t>Autobusa vadītājs- izbraukumos</t>
  </si>
  <si>
    <t>Māsas palīgs  ASD</t>
  </si>
  <si>
    <t>Māsas palīgs  LF</t>
  </si>
  <si>
    <t>Māsas palīgs  ID</t>
  </si>
  <si>
    <t>Māsas palīgs  BVD</t>
  </si>
  <si>
    <t>Māsas palīgs  KL</t>
  </si>
  <si>
    <t xml:space="preserve">Ārsts </t>
  </si>
  <si>
    <t xml:space="preserve">Māsas palīgs  </t>
  </si>
  <si>
    <t>Klientu pacientu reģistrators</t>
  </si>
  <si>
    <t xml:space="preserve"> Valsts tiesu medicīnas ekspertīzes centra ārstniecības personu faktiskā darba samaksas pieaugums (MK noteikumi Nr.851)</t>
  </si>
  <si>
    <t>Valsts asinsdonoru centra ārstniecības personu faktiskā darba samaksas pieaugums (MK noteikumi Nr.851)</t>
  </si>
  <si>
    <t>Direktora vietnieks - vecākais tiesu medicīnas eksperts</t>
  </si>
  <si>
    <t>Tiesu medicīnas ekspertīžu departamenta direktors - vecākais tiesu medicīnas eksperts</t>
  </si>
  <si>
    <t>Tiesu medicīnas laboratoriju departamenta direktors - vecākais tiesu medicīnas eksperts</t>
  </si>
  <si>
    <t>Nodaļas vadītājs - vecākais tiesu medicīnas eksperts</t>
  </si>
  <si>
    <t xml:space="preserve">Nodaļas vadītāja vietnieks - vecākais tiesu medicīnas eksperts </t>
  </si>
  <si>
    <t>Vecākais speciālists - tiesu medicīnas eksperts</t>
  </si>
  <si>
    <t>Speciālists - tiesu medicīnas eksperts</t>
  </si>
  <si>
    <t>18.Labklājības ministrija</t>
  </si>
  <si>
    <t>05.03.00 "Aprūpe valsts sociālās aprūpes institūcijās"</t>
  </si>
  <si>
    <t xml:space="preserve"> VSAC "Latgale"</t>
  </si>
  <si>
    <t xml:space="preserve">Ārstniecības personu darba samaksas pieaugums 18.Labklājības ministrija, 19.Tieslietu ministrijai </t>
  </si>
  <si>
    <t xml:space="preserve"> VSIA "Nacionālais rehabilitācijas centrs "Vaivari" (28.01.2020. līgums Nr.LM2020/24-1-04/1e  par personu nodrošināšanu ar tehniskajiem palīglīdzekļiem)</t>
  </si>
  <si>
    <t>Funkcionālo speciālistu asistents</t>
  </si>
  <si>
    <r>
      <rPr>
        <b/>
        <sz val="10"/>
        <color theme="1"/>
        <rFont val="Times New Roman"/>
        <family val="1"/>
        <charset val="186"/>
      </rPr>
      <t>3.kategorija</t>
    </r>
    <r>
      <rPr>
        <sz val="10"/>
        <color theme="1"/>
        <rFont val="Times New Roman"/>
        <family val="1"/>
      </rPr>
      <t xml:space="preserve">  - Māsa, ārsta palīgs (feldšeris), vecmāte, biomedicīnas laborants, radiologa asistents, radiogrāfers</t>
    </r>
  </si>
  <si>
    <t>Darba samaksas pieaugums
Ārsti un funkcionālie speciālisti</t>
  </si>
  <si>
    <t>Darba samaksas pieaugums
Ārstniecības un pacientu aprūpes personas</t>
  </si>
  <si>
    <t>Darba samaksas pieaugums
Ārstniecības  un pacientu aprūpes atbalsta pesonas</t>
  </si>
  <si>
    <t>Māsas</t>
  </si>
  <si>
    <t>Pārējās māsas</t>
  </si>
  <si>
    <t>Ddarba samaksas pieaugums 2022.gadam, t.sk. 23.59%</t>
  </si>
  <si>
    <t>4.kategorija  - Māsa, ārsta palīgs (feldšeris), vecmāte, biomedicīnas laborants, radiologa asistents, radiogrāfer</t>
  </si>
  <si>
    <t>6.kategorija  - Māsas palīgs, operatīvā medicīniskā transportlīdzekļa vadītājs</t>
  </si>
  <si>
    <r>
      <rPr>
        <b/>
        <sz val="10"/>
        <rFont val="Times New Roman"/>
        <family val="1"/>
        <charset val="186"/>
      </rPr>
      <t>6.kategorija</t>
    </r>
    <r>
      <rPr>
        <sz val="10"/>
        <rFont val="Times New Roman"/>
        <family val="1"/>
      </rPr>
      <t xml:space="preserve">  - Māsas palīgs, operatīvā medicīniskā transportlīdzekļa vadītājs</t>
    </r>
  </si>
  <si>
    <t>māsu izmaiņām atbilstoši koncepcijai</t>
  </si>
  <si>
    <t>Plus 52% piemaksām</t>
  </si>
  <si>
    <t xml:space="preserve">Māsu atlīdzības izmaiņās atbilstoši koncepcijai </t>
  </si>
  <si>
    <t>Zemākā mēnešalgas likme par slodzi (atbilstoši MK not. Nr.851) - 2021.gada līmenī</t>
  </si>
  <si>
    <t xml:space="preserve">starpība </t>
  </si>
  <si>
    <t>Precizētās viena rezidenta izmaksas</t>
  </si>
  <si>
    <t>2021.gads - finanšu līdzekļu apmērs viena rezidenta apmācībai pirmajā un otrajā rezidentūras gadā pamatspecialitātē</t>
  </si>
  <si>
    <t>2021.gads - finanšu līdzekļu apmērs viena rezidenta apmācībai no trešā rezidentūras gada pamatspecialitātē un no pirmā rezidentūras gada papildspecialitātē un apakšspecialitātē</t>
  </si>
  <si>
    <r>
      <t xml:space="preserve">2022.gads - finanšu līdzekļu apmērs viena rezidenta apmācībai pirmajā un otrajā rezidentūras gadā pamatspecialitātē - ar </t>
    </r>
    <r>
      <rPr>
        <b/>
        <u/>
        <sz val="10"/>
        <color rgb="FF7030A0"/>
        <rFont val="Times New Roman"/>
        <family val="1"/>
        <charset val="186"/>
      </rPr>
      <t>pieaugumu 4,4% apmērā</t>
    </r>
  </si>
  <si>
    <r>
      <t xml:space="preserve">2022.gads - finanšu līdzekļu apmērs viena rezidenta apmācībai no trešā rezidentūras gada pamatspecialitātē un no pirmā rezidentūras gada papildspecialitātē un apakšspecialitātē - </t>
    </r>
    <r>
      <rPr>
        <b/>
        <u/>
        <sz val="10"/>
        <color rgb="FF7030A0"/>
        <rFont val="Times New Roman"/>
        <family val="1"/>
        <charset val="186"/>
      </rPr>
      <t>ar pieaugumu 4,4% apmērā</t>
    </r>
  </si>
  <si>
    <t>Plānotais vidējais rezidentu skaits 2021.gadā</t>
  </si>
  <si>
    <t xml:space="preserve"> Finanšu līdzekļu apmērs mēnesim viena rezidenta apmācībai, euro</t>
  </si>
  <si>
    <t xml:space="preserve"> Finanšu līdzekļu apmērs mēnesim viena rezidenta apmācībai  - ar pieaugumu 4,4% apmērā, euro</t>
  </si>
  <si>
    <t>Kopā nepieciešamais finansējums ārstniecības personu darba samaksas izmaiņām</t>
  </si>
  <si>
    <t xml:space="preserve">Finanasējums darba samaksas pieaugumam no 2022.gada 1.janvāra </t>
  </si>
  <si>
    <t>Plus 64% piemaksām</t>
  </si>
  <si>
    <t>Pielikums Nr.1</t>
  </si>
  <si>
    <t>Pielikums Nr.2</t>
  </si>
  <si>
    <t>Pielikums Nr.3</t>
  </si>
  <si>
    <t>Pielikums Nr.4</t>
  </si>
  <si>
    <t>Pielikums Nr.6</t>
  </si>
  <si>
    <t>Pielikums Nr.9</t>
  </si>
  <si>
    <t>Pielikums Nr.10</t>
  </si>
  <si>
    <t>Plānotais rezidentūras absolventu skaits 2022.gadā</t>
  </si>
  <si>
    <t>Plānotais vidējais rezidentu skaits 2022.gadā</t>
  </si>
  <si>
    <t>Aprēķins ārstniecības personu darba samaksas pieaugumam no 01.01.2022 - finansiālā ietekme uz MK noteikumiem Nr.851</t>
  </si>
  <si>
    <t>Pielikums Nr.5</t>
  </si>
  <si>
    <t>Pielikums Nr.7</t>
  </si>
  <si>
    <t>Pielikums Nr.8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</si>
</sst>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%"/>
    <numFmt numFmtId="167" formatCode="0.000%"/>
    <numFmt numFmtId="168" formatCode="#,##0.0000"/>
  </numFmts>
  <fonts count="9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CC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color rgb="FFFF0000"/>
      <name val="Times New Roman"/>
      <family val="1"/>
      <charset val="186"/>
    </font>
    <font>
      <b/>
      <sz val="12"/>
      <name val="Times New Roman"/>
      <family val="1"/>
    </font>
    <font>
      <sz val="9"/>
      <color theme="1"/>
      <name val="Times New Roman"/>
      <family val="1"/>
    </font>
    <font>
      <u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u/>
      <sz val="10"/>
      <color indexed="8"/>
      <name val="Times New Roman"/>
      <family val="1"/>
    </font>
    <font>
      <sz val="11"/>
      <color theme="1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5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Arial"/>
      <family val="2"/>
      <charset val="186"/>
    </font>
    <font>
      <b/>
      <i/>
      <sz val="10"/>
      <color rgb="FF7030A0"/>
      <name val="Times New Roman"/>
      <family val="1"/>
      <charset val="186"/>
    </font>
    <font>
      <b/>
      <i/>
      <sz val="10"/>
      <color rgb="FF7030A0"/>
      <name val="Arial"/>
      <family val="2"/>
      <charset val="186"/>
    </font>
    <font>
      <b/>
      <i/>
      <sz val="10"/>
      <color rgb="FFFF0000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name val="Arial"/>
      <family val="2"/>
      <charset val="186"/>
    </font>
    <font>
      <i/>
      <sz val="9"/>
      <color rgb="FF7030A0"/>
      <name val="Times New Roman"/>
      <family val="1"/>
      <charset val="186"/>
    </font>
    <font>
      <i/>
      <sz val="9"/>
      <name val="Arial"/>
      <family val="2"/>
      <charset val="186"/>
    </font>
    <font>
      <i/>
      <sz val="9"/>
      <color rgb="FF7030A0"/>
      <name val="Arial"/>
      <family val="2"/>
      <charset val="186"/>
    </font>
    <font>
      <i/>
      <sz val="10"/>
      <color rgb="FFFF000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name val="Arial"/>
      <family val="2"/>
      <charset val="186"/>
    </font>
    <font>
      <i/>
      <sz val="9"/>
      <color rgb="FFFF0000"/>
      <name val="Times New Roman"/>
      <family val="1"/>
      <charset val="186"/>
    </font>
    <font>
      <sz val="10"/>
      <color rgb="FF7030A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color rgb="FFFF0000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7"/>
      <name val="Times New Roman"/>
      <family val="1"/>
      <charset val="186"/>
    </font>
    <font>
      <strike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 Baltic"/>
      <charset val="186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1"/>
      <name val="Times New Roman"/>
      <family val="1"/>
      <charset val="186"/>
    </font>
    <font>
      <i/>
      <sz val="10"/>
      <name val="Times New Roman"/>
      <family val="1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i/>
      <sz val="10"/>
      <color rgb="FF7030A0"/>
      <name val="Arial"/>
      <family val="2"/>
    </font>
    <font>
      <i/>
      <sz val="10"/>
      <color rgb="FF7030A0"/>
      <name val="Arial"/>
      <family val="2"/>
      <charset val="186"/>
    </font>
    <font>
      <b/>
      <i/>
      <sz val="9"/>
      <color rgb="FF7030A0"/>
      <name val="Times New Roman"/>
      <family val="1"/>
    </font>
    <font>
      <i/>
      <sz val="9"/>
      <color rgb="FF7030A0"/>
      <name val="Times New Roman"/>
      <family val="1"/>
    </font>
    <font>
      <i/>
      <sz val="10"/>
      <color rgb="FF7030A0"/>
      <name val="Times New Roman"/>
      <family val="1"/>
    </font>
    <font>
      <b/>
      <sz val="9"/>
      <color rgb="FF7030A0"/>
      <name val="Times New Roman"/>
      <family val="1"/>
    </font>
    <font>
      <sz val="8"/>
      <name val="Calibri"/>
      <family val="2"/>
      <charset val="186"/>
      <scheme val="minor"/>
    </font>
    <font>
      <sz val="10"/>
      <color rgb="FF7030A0"/>
      <name val="Calibri"/>
      <family val="2"/>
      <charset val="186"/>
      <scheme val="minor"/>
    </font>
    <font>
      <b/>
      <sz val="10"/>
      <color rgb="FF7030A0"/>
      <name val="Times New Roman"/>
      <family val="1"/>
      <charset val="186"/>
    </font>
    <font>
      <b/>
      <u/>
      <sz val="10"/>
      <color rgb="FF7030A0"/>
      <name val="Times New Roman"/>
      <family val="1"/>
      <charset val="186"/>
    </font>
    <font>
      <sz val="6"/>
      <name val="Times New Roman"/>
      <family val="1"/>
    </font>
    <font>
      <b/>
      <i/>
      <sz val="12"/>
      <name val="Times New Roman"/>
      <family val="1"/>
      <charset val="186"/>
    </font>
    <font>
      <b/>
      <i/>
      <sz val="12"/>
      <name val="Arial"/>
      <family val="2"/>
      <charset val="186"/>
    </font>
    <font>
      <sz val="11"/>
      <color theme="1"/>
      <name val="Calibri"/>
      <family val="2"/>
      <charset val="186"/>
    </font>
    <font>
      <sz val="10"/>
      <color rgb="FF7030A0"/>
      <name val="Arial"/>
      <family val="2"/>
      <charset val="186"/>
    </font>
    <font>
      <sz val="11"/>
      <color rgb="FF7030A0"/>
      <name val="Calibri"/>
      <family val="2"/>
      <charset val="186"/>
      <scheme val="minor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9" fillId="0" borderId="0"/>
    <xf numFmtId="0" fontId="12" fillId="0" borderId="0"/>
    <xf numFmtId="9" fontId="25" fillId="0" borderId="0" applyFont="0" applyFill="0" applyBorder="0" applyAlignment="0" applyProtection="0"/>
    <xf numFmtId="0" fontId="27" fillId="0" borderId="0"/>
    <xf numFmtId="0" fontId="33" fillId="0" borderId="0" applyBorder="0"/>
    <xf numFmtId="0" fontId="33" fillId="0" borderId="0"/>
    <xf numFmtId="0" fontId="33" fillId="0" borderId="0"/>
    <xf numFmtId="0" fontId="66" fillId="0" borderId="0"/>
    <xf numFmtId="0" fontId="70" fillId="0" borderId="0"/>
    <xf numFmtId="0" fontId="33" fillId="0" borderId="0"/>
    <xf numFmtId="0" fontId="25" fillId="0" borderId="0"/>
    <xf numFmtId="0" fontId="92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625">
    <xf numFmtId="0" fontId="0" fillId="0" borderId="0" xfId="0"/>
    <xf numFmtId="0" fontId="4" fillId="6" borderId="12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right"/>
    </xf>
    <xf numFmtId="0" fontId="10" fillId="0" borderId="25" xfId="1" applyFont="1" applyBorder="1" applyAlignment="1">
      <alignment vertical="center" wrapText="1"/>
    </xf>
    <xf numFmtId="0" fontId="11" fillId="0" borderId="25" xfId="1" applyFont="1" applyBorder="1" applyAlignment="1">
      <alignment vertical="center" wrapText="1"/>
    </xf>
    <xf numFmtId="49" fontId="11" fillId="4" borderId="11" xfId="0" applyNumberFormat="1" applyFont="1" applyFill="1" applyBorder="1" applyAlignment="1">
      <alignment horizontal="left" wrapText="1"/>
    </xf>
    <xf numFmtId="49" fontId="11" fillId="4" borderId="14" xfId="0" applyNumberFormat="1" applyFont="1" applyFill="1" applyBorder="1" applyAlignment="1">
      <alignment horizontal="left" wrapText="1"/>
    </xf>
    <xf numFmtId="0" fontId="20" fillId="0" borderId="0" xfId="0" applyFont="1"/>
    <xf numFmtId="164" fontId="20" fillId="0" borderId="0" xfId="0" applyNumberFormat="1" applyFont="1"/>
    <xf numFmtId="0" fontId="2" fillId="0" borderId="0" xfId="0" applyFont="1"/>
    <xf numFmtId="0" fontId="4" fillId="9" borderId="11" xfId="0" applyFont="1" applyFill="1" applyBorder="1" applyAlignment="1">
      <alignment horizontal="left" vertical="center" wrapText="1"/>
    </xf>
    <xf numFmtId="164" fontId="4" fillId="9" borderId="12" xfId="0" quotePrefix="1" applyNumberFormat="1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/>
    </xf>
    <xf numFmtId="0" fontId="21" fillId="9" borderId="11" xfId="0" applyFont="1" applyFill="1" applyBorder="1" applyAlignment="1">
      <alignment horizontal="left" vertical="center" wrapText="1"/>
    </xf>
    <xf numFmtId="3" fontId="11" fillId="9" borderId="12" xfId="0" applyNumberFormat="1" applyFont="1" applyFill="1" applyBorder="1" applyAlignment="1">
      <alignment horizontal="center" vertical="center"/>
    </xf>
    <xf numFmtId="164" fontId="11" fillId="9" borderId="12" xfId="0" quotePrefix="1" applyNumberFormat="1" applyFont="1" applyFill="1" applyBorder="1" applyAlignment="1">
      <alignment horizontal="center"/>
    </xf>
    <xf numFmtId="3" fontId="11" fillId="9" borderId="13" xfId="0" applyNumberFormat="1" applyFont="1" applyFill="1" applyBorder="1" applyAlignment="1">
      <alignment horizontal="center"/>
    </xf>
    <xf numFmtId="0" fontId="10" fillId="9" borderId="11" xfId="0" applyFont="1" applyFill="1" applyBorder="1" applyAlignment="1">
      <alignment horizontal="left" vertical="center" wrapText="1"/>
    </xf>
    <xf numFmtId="0" fontId="6" fillId="10" borderId="11" xfId="0" applyFont="1" applyFill="1" applyBorder="1" applyAlignment="1">
      <alignment horizontal="left" wrapText="1"/>
    </xf>
    <xf numFmtId="164" fontId="6" fillId="10" borderId="10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 wrapText="1"/>
    </xf>
    <xf numFmtId="164" fontId="19" fillId="10" borderId="10" xfId="0" applyNumberFormat="1" applyFont="1" applyFill="1" applyBorder="1" applyAlignment="1">
      <alignment horizontal="center" vertical="center" wrapText="1"/>
    </xf>
    <xf numFmtId="3" fontId="19" fillId="10" borderId="12" xfId="0" applyNumberFormat="1" applyFont="1" applyFill="1" applyBorder="1" applyAlignment="1">
      <alignment horizontal="center" vertical="center" wrapText="1"/>
    </xf>
    <xf numFmtId="164" fontId="4" fillId="9" borderId="12" xfId="0" quotePrefix="1" applyNumberFormat="1" applyFont="1" applyFill="1" applyBorder="1" applyAlignment="1">
      <alignment horizontal="center" vertical="center"/>
    </xf>
    <xf numFmtId="164" fontId="11" fillId="9" borderId="12" xfId="0" quotePrefix="1" applyNumberFormat="1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left" wrapText="1"/>
    </xf>
    <xf numFmtId="0" fontId="6" fillId="11" borderId="3" xfId="0" applyFont="1" applyFill="1" applyBorder="1" applyAlignment="1">
      <alignment horizontal="right" vertical="center"/>
    </xf>
    <xf numFmtId="0" fontId="6" fillId="11" borderId="4" xfId="0" applyFont="1" applyFill="1" applyBorder="1" applyAlignment="1">
      <alignment horizontal="center" vertical="center"/>
    </xf>
    <xf numFmtId="0" fontId="11" fillId="12" borderId="12" xfId="0" quotePrefix="1" applyNumberFormat="1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2" borderId="12" xfId="0" applyNumberFormat="1" applyFont="1" applyFill="1" applyBorder="1" applyAlignment="1">
      <alignment horizontal="center"/>
    </xf>
    <xf numFmtId="0" fontId="11" fillId="12" borderId="12" xfId="0" quotePrefix="1" applyNumberFormat="1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12" xfId="0" applyNumberFormat="1" applyFont="1" applyFill="1" applyBorder="1" applyAlignment="1">
      <alignment horizontal="center" vertical="center"/>
    </xf>
    <xf numFmtId="2" fontId="6" fillId="11" borderId="4" xfId="0" applyNumberFormat="1" applyFont="1" applyFill="1" applyBorder="1" applyAlignment="1">
      <alignment horizontal="center" vertical="center"/>
    </xf>
    <xf numFmtId="2" fontId="4" fillId="6" borderId="12" xfId="0" quotePrefix="1" applyNumberFormat="1" applyFont="1" applyFill="1" applyBorder="1" applyAlignment="1">
      <alignment horizontal="center"/>
    </xf>
    <xf numFmtId="2" fontId="11" fillId="0" borderId="12" xfId="0" quotePrefix="1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1" fillId="12" borderId="11" xfId="0" applyFont="1" applyFill="1" applyBorder="1"/>
    <xf numFmtId="0" fontId="11" fillId="0" borderId="11" xfId="0" applyFont="1" applyBorder="1"/>
    <xf numFmtId="0" fontId="11" fillId="12" borderId="11" xfId="0" applyFont="1" applyFill="1" applyBorder="1" applyAlignment="1">
      <alignment wrapText="1"/>
    </xf>
    <xf numFmtId="0" fontId="23" fillId="0" borderId="0" xfId="0" applyFont="1"/>
    <xf numFmtId="0" fontId="23" fillId="0" borderId="11" xfId="0" applyFont="1" applyBorder="1"/>
    <xf numFmtId="0" fontId="23" fillId="0" borderId="12" xfId="0" applyFont="1" applyBorder="1"/>
    <xf numFmtId="4" fontId="11" fillId="0" borderId="12" xfId="0" applyNumberFormat="1" applyFont="1" applyBorder="1" applyAlignment="1">
      <alignment horizontal="center" vertical="center"/>
    </xf>
    <xf numFmtId="4" fontId="11" fillId="4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10" fontId="0" fillId="0" borderId="0" xfId="3" applyNumberFormat="1" applyFont="1"/>
    <xf numFmtId="0" fontId="0" fillId="0" borderId="0" xfId="0" applyFill="1"/>
    <xf numFmtId="0" fontId="0" fillId="0" borderId="0" xfId="0" applyFill="1" applyBorder="1"/>
    <xf numFmtId="4" fontId="1" fillId="0" borderId="0" xfId="0" applyNumberFormat="1" applyFont="1"/>
    <xf numFmtId="4" fontId="23" fillId="0" borderId="0" xfId="3" applyNumberFormat="1" applyFont="1" applyFill="1" applyBorder="1" applyAlignment="1">
      <alignment horizontal="right"/>
    </xf>
    <xf numFmtId="0" fontId="28" fillId="0" borderId="0" xfId="0" applyFont="1" applyFill="1"/>
    <xf numFmtId="0" fontId="29" fillId="0" borderId="0" xfId="0" applyFont="1" applyAlignment="1">
      <alignment wrapText="1"/>
    </xf>
    <xf numFmtId="0" fontId="28" fillId="0" borderId="0" xfId="0" applyFont="1"/>
    <xf numFmtId="0" fontId="30" fillId="0" borderId="0" xfId="0" applyFont="1" applyBorder="1"/>
    <xf numFmtId="0" fontId="28" fillId="0" borderId="0" xfId="0" applyFont="1" applyFill="1" applyBorder="1"/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28" fillId="0" borderId="0" xfId="0" applyNumberFormat="1" applyFont="1"/>
    <xf numFmtId="0" fontId="32" fillId="0" borderId="0" xfId="0" applyFont="1"/>
    <xf numFmtId="10" fontId="23" fillId="0" borderId="0" xfId="3" applyNumberFormat="1" applyFont="1" applyFill="1" applyBorder="1"/>
    <xf numFmtId="10" fontId="23" fillId="0" borderId="0" xfId="3" applyNumberFormat="1" applyFont="1" applyFill="1" applyBorder="1" applyAlignment="1">
      <alignment horizontal="right"/>
    </xf>
    <xf numFmtId="10" fontId="21" fillId="0" borderId="0" xfId="3" applyNumberFormat="1" applyFont="1" applyFill="1" applyBorder="1"/>
    <xf numFmtId="2" fontId="23" fillId="0" borderId="0" xfId="0" applyNumberFormat="1" applyFont="1"/>
    <xf numFmtId="2" fontId="60" fillId="0" borderId="0" xfId="0" applyNumberFormat="1" applyFont="1"/>
    <xf numFmtId="10" fontId="60" fillId="0" borderId="0" xfId="3" applyNumberFormat="1" applyFont="1"/>
    <xf numFmtId="14" fontId="10" fillId="0" borderId="0" xfId="0" applyNumberFormat="1" applyFont="1"/>
    <xf numFmtId="0" fontId="62" fillId="0" borderId="0" xfId="0" applyFont="1" applyAlignment="1">
      <alignment horizontal="center"/>
    </xf>
    <xf numFmtId="0" fontId="63" fillId="0" borderId="0" xfId="0" applyFont="1"/>
    <xf numFmtId="0" fontId="18" fillId="0" borderId="0" xfId="0" applyFont="1"/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8" fillId="17" borderId="12" xfId="0" applyFont="1" applyFill="1" applyBorder="1"/>
    <xf numFmtId="0" fontId="18" fillId="17" borderId="12" xfId="0" applyFont="1" applyFill="1" applyBorder="1" applyAlignment="1">
      <alignment vertical="center" wrapText="1"/>
    </xf>
    <xf numFmtId="2" fontId="18" fillId="17" borderId="12" xfId="0" applyNumberFormat="1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vertical="center" wrapText="1"/>
    </xf>
    <xf numFmtId="2" fontId="18" fillId="13" borderId="1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2" fontId="18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2" fontId="26" fillId="0" borderId="12" xfId="0" applyNumberFormat="1" applyFont="1" applyBorder="1" applyAlignment="1">
      <alignment horizontal="center" vertical="center"/>
    </xf>
    <xf numFmtId="0" fontId="64" fillId="0" borderId="0" xfId="0" applyFont="1"/>
    <xf numFmtId="0" fontId="10" fillId="0" borderId="12" xfId="0" applyFont="1" applyBorder="1" applyAlignment="1">
      <alignment vertical="center" wrapText="1"/>
    </xf>
    <xf numFmtId="0" fontId="35" fillId="0" borderId="0" xfId="0" applyFont="1"/>
    <xf numFmtId="3" fontId="34" fillId="0" borderId="0" xfId="0" applyNumberFormat="1" applyFont="1"/>
    <xf numFmtId="14" fontId="34" fillId="0" borderId="0" xfId="0" quotePrefix="1" applyNumberFormat="1" applyFont="1"/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" fontId="67" fillId="0" borderId="0" xfId="0" applyNumberFormat="1" applyFont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0" fontId="35" fillId="4" borderId="0" xfId="0" applyFont="1" applyFill="1"/>
    <xf numFmtId="0" fontId="34" fillId="4" borderId="0" xfId="0" applyFont="1" applyFill="1"/>
    <xf numFmtId="0" fontId="37" fillId="0" borderId="0" xfId="0" applyFont="1"/>
    <xf numFmtId="0" fontId="37" fillId="4" borderId="0" xfId="0" applyFont="1" applyFill="1"/>
    <xf numFmtId="0" fontId="68" fillId="0" borderId="0" xfId="0" applyFont="1"/>
    <xf numFmtId="0" fontId="69" fillId="0" borderId="0" xfId="0" applyFont="1"/>
    <xf numFmtId="2" fontId="11" fillId="0" borderId="13" xfId="0" applyNumberFormat="1" applyFont="1" applyBorder="1" applyAlignment="1">
      <alignment horizontal="center" vertical="center"/>
    </xf>
    <xf numFmtId="2" fontId="10" fillId="0" borderId="26" xfId="1" applyNumberFormat="1" applyFont="1" applyBorder="1" applyAlignment="1">
      <alignment horizontal="center" vertical="center"/>
    </xf>
    <xf numFmtId="2" fontId="10" fillId="4" borderId="26" xfId="1" applyNumberFormat="1" applyFont="1" applyFill="1" applyBorder="1" applyAlignment="1">
      <alignment horizontal="center" vertical="center"/>
    </xf>
    <xf numFmtId="2" fontId="11" fillId="0" borderId="26" xfId="1" applyNumberFormat="1" applyFont="1" applyBorder="1" applyAlignment="1">
      <alignment horizontal="center" vertical="center"/>
    </xf>
    <xf numFmtId="2" fontId="11" fillId="4" borderId="26" xfId="1" applyNumberFormat="1" applyFont="1" applyFill="1" applyBorder="1" applyAlignment="1">
      <alignment horizontal="center" vertical="center"/>
    </xf>
    <xf numFmtId="2" fontId="11" fillId="0" borderId="12" xfId="0" quotePrefix="1" applyNumberFormat="1" applyFont="1" applyBorder="1" applyAlignment="1">
      <alignment horizontal="center" vertical="center"/>
    </xf>
    <xf numFmtId="2" fontId="11" fillId="4" borderId="16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1" fillId="0" borderId="12" xfId="0" applyNumberFormat="1" applyFont="1" applyBorder="1"/>
    <xf numFmtId="4" fontId="11" fillId="0" borderId="12" xfId="0" applyNumberFormat="1" applyFont="1" applyBorder="1" applyAlignment="1">
      <alignment horizontal="center"/>
    </xf>
    <xf numFmtId="2" fontId="28" fillId="0" borderId="0" xfId="0" applyNumberFormat="1" applyFont="1"/>
    <xf numFmtId="0" fontId="23" fillId="0" borderId="13" xfId="0" applyFont="1" applyBorder="1"/>
    <xf numFmtId="0" fontId="4" fillId="12" borderId="13" xfId="0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11" borderId="38" xfId="0" applyFont="1" applyFill="1" applyBorder="1" applyAlignment="1">
      <alignment horizontal="center" vertical="center"/>
    </xf>
    <xf numFmtId="0" fontId="4" fillId="0" borderId="34" xfId="0" applyFont="1" applyBorder="1"/>
    <xf numFmtId="4" fontId="4" fillId="0" borderId="34" xfId="0" applyNumberFormat="1" applyFont="1" applyBorder="1"/>
    <xf numFmtId="0" fontId="4" fillId="6" borderId="34" xfId="0" applyFont="1" applyFill="1" applyBorder="1" applyAlignment="1">
      <alignment horizontal="center"/>
    </xf>
    <xf numFmtId="0" fontId="4" fillId="12" borderId="34" xfId="0" applyFont="1" applyFill="1" applyBorder="1"/>
    <xf numFmtId="0" fontId="4" fillId="5" borderId="34" xfId="0" applyFont="1" applyFill="1" applyBorder="1"/>
    <xf numFmtId="0" fontId="4" fillId="7" borderId="34" xfId="0" applyFont="1" applyFill="1" applyBorder="1"/>
    <xf numFmtId="4" fontId="6" fillId="11" borderId="41" xfId="0" applyNumberFormat="1" applyFont="1" applyFill="1" applyBorder="1"/>
    <xf numFmtId="0" fontId="0" fillId="0" borderId="34" xfId="0" applyBorder="1"/>
    <xf numFmtId="0" fontId="0" fillId="0" borderId="0" xfId="0"/>
    <xf numFmtId="0" fontId="4" fillId="0" borderId="12" xfId="0" applyFont="1" applyBorder="1" applyAlignment="1">
      <alignment horizontal="center"/>
    </xf>
    <xf numFmtId="0" fontId="4" fillId="0" borderId="11" xfId="0" applyFont="1" applyBorder="1"/>
    <xf numFmtId="0" fontId="28" fillId="0" borderId="0" xfId="0" applyFont="1"/>
    <xf numFmtId="0" fontId="10" fillId="0" borderId="0" xfId="0" applyFont="1"/>
    <xf numFmtId="2" fontId="10" fillId="0" borderId="12" xfId="0" applyNumberFormat="1" applyFont="1" applyBorder="1" applyAlignment="1">
      <alignment horizontal="center" vertical="center"/>
    </xf>
    <xf numFmtId="0" fontId="34" fillId="0" borderId="0" xfId="0" applyFont="1"/>
    <xf numFmtId="2" fontId="4" fillId="0" borderId="12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6" fillId="10" borderId="13" xfId="0" applyNumberFormat="1" applyFont="1" applyFill="1" applyBorder="1" applyAlignment="1">
      <alignment horizontal="center" vertical="center" wrapText="1"/>
    </xf>
    <xf numFmtId="4" fontId="11" fillId="9" borderId="13" xfId="0" applyNumberFormat="1" applyFont="1" applyFill="1" applyBorder="1" applyAlignment="1">
      <alignment horizontal="center"/>
    </xf>
    <xf numFmtId="3" fontId="11" fillId="9" borderId="13" xfId="0" applyNumberFormat="1" applyFont="1" applyFill="1" applyBorder="1" applyAlignment="1">
      <alignment horizontal="center" vertical="center"/>
    </xf>
    <xf numFmtId="3" fontId="19" fillId="10" borderId="13" xfId="0" applyNumberFormat="1" applyFont="1" applyFill="1" applyBorder="1" applyAlignment="1">
      <alignment horizontal="center" vertical="center" wrapText="1"/>
    </xf>
    <xf numFmtId="3" fontId="19" fillId="9" borderId="13" xfId="0" applyNumberFormat="1" applyFont="1" applyFill="1" applyBorder="1" applyAlignment="1">
      <alignment horizontal="center"/>
    </xf>
    <xf numFmtId="3" fontId="11" fillId="9" borderId="22" xfId="0" applyNumberFormat="1" applyFont="1" applyFill="1" applyBorder="1" applyAlignment="1">
      <alignment horizontal="center"/>
    </xf>
    <xf numFmtId="3" fontId="2" fillId="10" borderId="31" xfId="0" applyNumberFormat="1" applyFont="1" applyFill="1" applyBorder="1" applyAlignment="1">
      <alignment horizontal="center" vertical="center"/>
    </xf>
    <xf numFmtId="0" fontId="0" fillId="7" borderId="34" xfId="0" applyFill="1" applyBorder="1"/>
    <xf numFmtId="0" fontId="0" fillId="10" borderId="34" xfId="0" applyFill="1" applyBorder="1"/>
    <xf numFmtId="0" fontId="0" fillId="9" borderId="34" xfId="0" applyFill="1" applyBorder="1"/>
    <xf numFmtId="0" fontId="20" fillId="0" borderId="0" xfId="0" applyFont="1" applyFill="1" applyAlignment="1">
      <alignment vertical="top" wrapText="1"/>
    </xf>
    <xf numFmtId="0" fontId="11" fillId="0" borderId="11" xfId="0" applyFont="1" applyFill="1" applyBorder="1"/>
    <xf numFmtId="4" fontId="4" fillId="0" borderId="34" xfId="0" applyNumberFormat="1" applyFont="1" applyFill="1" applyBorder="1"/>
    <xf numFmtId="0" fontId="34" fillId="0" borderId="0" xfId="0" quotePrefix="1" applyFont="1"/>
    <xf numFmtId="0" fontId="4" fillId="0" borderId="11" xfId="4" applyFont="1" applyBorder="1" applyAlignment="1">
      <alignment horizontal="left"/>
    </xf>
    <xf numFmtId="0" fontId="4" fillId="0" borderId="11" xfId="4" applyFont="1" applyBorder="1"/>
    <xf numFmtId="0" fontId="4" fillId="0" borderId="12" xfId="4" quotePrefix="1" applyFont="1" applyBorder="1" applyAlignment="1">
      <alignment horizontal="center"/>
    </xf>
    <xf numFmtId="2" fontId="4" fillId="0" borderId="12" xfId="4" applyNumberFormat="1" applyFont="1" applyBorder="1" applyAlignment="1">
      <alignment horizontal="center"/>
    </xf>
    <xf numFmtId="0" fontId="10" fillId="0" borderId="25" xfId="1" applyFont="1" applyFill="1" applyBorder="1" applyAlignment="1">
      <alignment vertical="center" wrapText="1"/>
    </xf>
    <xf numFmtId="0" fontId="11" fillId="0" borderId="25" xfId="1" applyFont="1" applyFill="1" applyBorder="1" applyAlignment="1">
      <alignment vertical="center" wrapText="1"/>
    </xf>
    <xf numFmtId="2" fontId="2" fillId="10" borderId="6" xfId="0" applyNumberFormat="1" applyFont="1" applyFill="1" applyBorder="1" applyAlignment="1">
      <alignment horizontal="center" vertical="center"/>
    </xf>
    <xf numFmtId="4" fontId="71" fillId="10" borderId="32" xfId="0" applyNumberFormat="1" applyFont="1" applyFill="1" applyBorder="1"/>
    <xf numFmtId="0" fontId="71" fillId="0" borderId="0" xfId="0" applyFont="1" applyAlignment="1"/>
    <xf numFmtId="0" fontId="10" fillId="0" borderId="11" xfId="11" applyFont="1" applyBorder="1" applyAlignment="1">
      <alignment vertical="top" wrapText="1"/>
    </xf>
    <xf numFmtId="0" fontId="10" fillId="4" borderId="11" xfId="1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2" xfId="0" quotePrefix="1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vertical="center" wrapText="1"/>
    </xf>
    <xf numFmtId="0" fontId="7" fillId="21" borderId="5" xfId="0" applyFont="1" applyFill="1" applyBorder="1" applyAlignment="1">
      <alignment horizontal="center" vertical="center"/>
    </xf>
    <xf numFmtId="2" fontId="19" fillId="21" borderId="6" xfId="0" applyNumberFormat="1" applyFont="1" applyFill="1" applyBorder="1" applyAlignment="1">
      <alignment horizontal="center" vertical="center"/>
    </xf>
    <xf numFmtId="0" fontId="6" fillId="21" borderId="6" xfId="0" applyFont="1" applyFill="1" applyBorder="1" applyAlignment="1">
      <alignment horizontal="center" vertical="center"/>
    </xf>
    <xf numFmtId="0" fontId="6" fillId="21" borderId="7" xfId="0" applyFont="1" applyFill="1" applyBorder="1" applyAlignment="1">
      <alignment horizontal="center" vertical="center"/>
    </xf>
    <xf numFmtId="0" fontId="10" fillId="4" borderId="11" xfId="11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center"/>
    </xf>
    <xf numFmtId="0" fontId="10" fillId="4" borderId="11" xfId="0" applyFont="1" applyFill="1" applyBorder="1" applyAlignment="1">
      <alignment horizontal="left" vertical="center" wrapText="1"/>
    </xf>
    <xf numFmtId="164" fontId="11" fillId="4" borderId="12" xfId="0" quotePrefix="1" applyNumberFormat="1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2" fontId="10" fillId="0" borderId="0" xfId="1" applyNumberFormat="1" applyFont="1" applyBorder="1" applyAlignment="1">
      <alignment horizontal="center" vertical="center"/>
    </xf>
    <xf numFmtId="2" fontId="10" fillId="0" borderId="12" xfId="1" applyNumberFormat="1" applyFont="1" applyBorder="1" applyAlignment="1">
      <alignment horizontal="center" vertical="center"/>
    </xf>
    <xf numFmtId="16" fontId="21" fillId="4" borderId="11" xfId="0" quotePrefix="1" applyNumberFormat="1" applyFont="1" applyFill="1" applyBorder="1" applyAlignment="1">
      <alignment horizontal="left" wrapText="1"/>
    </xf>
    <xf numFmtId="4" fontId="4" fillId="0" borderId="40" xfId="0" applyNumberFormat="1" applyFont="1" applyFill="1" applyBorder="1"/>
    <xf numFmtId="4" fontId="6" fillId="21" borderId="32" xfId="0" applyNumberFormat="1" applyFont="1" applyFill="1" applyBorder="1" applyAlignment="1">
      <alignment horizontal="center"/>
    </xf>
    <xf numFmtId="4" fontId="4" fillId="0" borderId="40" xfId="0" applyNumberFormat="1" applyFont="1" applyBorder="1"/>
    <xf numFmtId="0" fontId="7" fillId="21" borderId="43" xfId="0" applyFont="1" applyFill="1" applyBorder="1" applyAlignment="1">
      <alignment horizontal="center" vertical="center"/>
    </xf>
    <xf numFmtId="2" fontId="19" fillId="21" borderId="48" xfId="0" applyNumberFormat="1" applyFont="1" applyFill="1" applyBorder="1" applyAlignment="1">
      <alignment horizontal="center" vertical="center"/>
    </xf>
    <xf numFmtId="0" fontId="6" fillId="21" borderId="48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4" fontId="6" fillId="21" borderId="42" xfId="0" applyNumberFormat="1" applyFont="1" applyFill="1" applyBorder="1" applyAlignment="1">
      <alignment horizontal="center"/>
    </xf>
    <xf numFmtId="0" fontId="29" fillId="20" borderId="47" xfId="0" applyFont="1" applyFill="1" applyBorder="1"/>
    <xf numFmtId="0" fontId="29" fillId="20" borderId="47" xfId="0" applyFont="1" applyFill="1" applyBorder="1" applyAlignment="1">
      <alignment horizontal="center" vertical="center"/>
    </xf>
    <xf numFmtId="165" fontId="29" fillId="20" borderId="47" xfId="0" applyNumberFormat="1" applyFont="1" applyFill="1" applyBorder="1" applyAlignment="1">
      <alignment horizontal="center" vertical="center"/>
    </xf>
    <xf numFmtId="2" fontId="29" fillId="20" borderId="47" xfId="0" applyNumberFormat="1" applyFont="1" applyFill="1" applyBorder="1" applyAlignment="1">
      <alignment horizontal="center"/>
    </xf>
    <xf numFmtId="4" fontId="29" fillId="20" borderId="47" xfId="0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vertical="center"/>
    </xf>
    <xf numFmtId="0" fontId="11" fillId="0" borderId="27" xfId="1" applyFont="1" applyFill="1" applyBorder="1" applyAlignment="1">
      <alignment vertical="center" wrapText="1"/>
    </xf>
    <xf numFmtId="0" fontId="11" fillId="0" borderId="11" xfId="2" applyFont="1" applyFill="1" applyBorder="1" applyAlignment="1">
      <alignment horizontal="left"/>
    </xf>
    <xf numFmtId="4" fontId="4" fillId="0" borderId="34" xfId="0" applyNumberFormat="1" applyFont="1" applyFill="1" applyBorder="1" applyAlignment="1">
      <alignment horizontal="right" vertical="center"/>
    </xf>
    <xf numFmtId="4" fontId="71" fillId="10" borderId="34" xfId="0" applyNumberFormat="1" applyFont="1" applyFill="1" applyBorder="1"/>
    <xf numFmtId="4" fontId="71" fillId="9" borderId="34" xfId="0" applyNumberFormat="1" applyFont="1" applyFill="1" applyBorder="1"/>
    <xf numFmtId="3" fontId="11" fillId="9" borderId="39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right" vertical="center"/>
    </xf>
    <xf numFmtId="0" fontId="0" fillId="9" borderId="39" xfId="0" applyFill="1" applyBorder="1"/>
    <xf numFmtId="164" fontId="11" fillId="9" borderId="34" xfId="0" quotePrefix="1" applyNumberFormat="1" applyFont="1" applyFill="1" applyBorder="1" applyAlignment="1">
      <alignment horizontal="center" vertical="center"/>
    </xf>
    <xf numFmtId="4" fontId="4" fillId="0" borderId="41" xfId="0" applyNumberFormat="1" applyFont="1" applyBorder="1"/>
    <xf numFmtId="3" fontId="11" fillId="9" borderId="34" xfId="0" applyNumberFormat="1" applyFont="1" applyFill="1" applyBorder="1" applyAlignment="1">
      <alignment horizontal="center" vertical="center"/>
    </xf>
    <xf numFmtId="0" fontId="10" fillId="4" borderId="50" xfId="11" applyFont="1" applyFill="1" applyBorder="1" applyAlignment="1">
      <alignment horizontal="left" vertical="center"/>
    </xf>
    <xf numFmtId="4" fontId="4" fillId="0" borderId="39" xfId="0" applyNumberFormat="1" applyFont="1" applyBorder="1"/>
    <xf numFmtId="0" fontId="11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5" applyAlignment="1">
      <alignment wrapText="1"/>
    </xf>
    <xf numFmtId="3" fontId="33" fillId="0" borderId="0" xfId="0" applyNumberFormat="1" applyFont="1" applyAlignment="1">
      <alignment wrapText="1"/>
    </xf>
    <xf numFmtId="0" fontId="40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10" fontId="57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wrapText="1"/>
    </xf>
    <xf numFmtId="166" fontId="74" fillId="0" borderId="0" xfId="3" applyNumberFormat="1" applyFont="1" applyAlignment="1">
      <alignment vertical="center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3" fontId="45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9" fontId="76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0" fillId="0" borderId="20" xfId="1" applyFont="1" applyBorder="1" applyAlignment="1">
      <alignment vertical="center" wrapText="1"/>
    </xf>
    <xf numFmtId="2" fontId="20" fillId="0" borderId="0" xfId="0" applyNumberFormat="1" applyFont="1" applyFill="1" applyAlignment="1">
      <alignment vertical="top" wrapText="1"/>
    </xf>
    <xf numFmtId="2" fontId="0" fillId="0" borderId="0" xfId="0" applyNumberFormat="1"/>
    <xf numFmtId="1" fontId="34" fillId="5" borderId="12" xfId="0" applyNumberFormat="1" applyFont="1" applyFill="1" applyBorder="1" applyAlignment="1">
      <alignment horizontal="center" vertical="center"/>
    </xf>
    <xf numFmtId="0" fontId="35" fillId="5" borderId="12" xfId="0" applyFont="1" applyFill="1" applyBorder="1" applyAlignment="1">
      <alignment vertical="center" wrapText="1"/>
    </xf>
    <xf numFmtId="4" fontId="18" fillId="5" borderId="12" xfId="0" applyNumberFormat="1" applyFont="1" applyFill="1" applyBorder="1" applyAlignment="1">
      <alignment horizontal="center" vertical="center"/>
    </xf>
    <xf numFmtId="3" fontId="35" fillId="5" borderId="12" xfId="0" applyNumberFormat="1" applyFont="1" applyFill="1" applyBorder="1" applyAlignment="1">
      <alignment horizontal="center" vertical="center" wrapText="1"/>
    </xf>
    <xf numFmtId="4" fontId="18" fillId="4" borderId="12" xfId="0" applyNumberFormat="1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 wrapText="1"/>
    </xf>
    <xf numFmtId="3" fontId="35" fillId="4" borderId="12" xfId="0" applyNumberFormat="1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4" fontId="35" fillId="5" borderId="12" xfId="0" applyNumberFormat="1" applyFont="1" applyFill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 wrapText="1"/>
    </xf>
    <xf numFmtId="4" fontId="37" fillId="18" borderId="12" xfId="0" applyNumberFormat="1" applyFont="1" applyFill="1" applyBorder="1" applyAlignment="1">
      <alignment horizontal="center" vertical="center"/>
    </xf>
    <xf numFmtId="0" fontId="37" fillId="18" borderId="12" xfId="0" applyFont="1" applyFill="1" applyBorder="1" applyAlignment="1">
      <alignment horizontal="center" vertical="center"/>
    </xf>
    <xf numFmtId="3" fontId="37" fillId="18" borderId="12" xfId="0" applyNumberFormat="1" applyFont="1" applyFill="1" applyBorder="1" applyAlignment="1">
      <alignment horizontal="center" vertical="center"/>
    </xf>
    <xf numFmtId="3" fontId="35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left" wrapText="1" readingOrder="1"/>
    </xf>
    <xf numFmtId="4" fontId="3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3" fontId="35" fillId="0" borderId="0" xfId="0" applyNumberFormat="1" applyFont="1" applyAlignment="1">
      <alignment horizontal="right" vertical="center" wrapText="1" indent="1" readingOrder="1"/>
    </xf>
    <xf numFmtId="3" fontId="35" fillId="0" borderId="0" xfId="0" applyNumberFormat="1" applyFont="1" applyAlignment="1">
      <alignment horizontal="center" vertical="center" wrapText="1" readingOrder="1"/>
    </xf>
    <xf numFmtId="0" fontId="34" fillId="0" borderId="0" xfId="0" applyFont="1" applyAlignment="1">
      <alignment horizontal="center" wrapText="1" readingOrder="1"/>
    </xf>
    <xf numFmtId="2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 wrapText="1" indent="1" readingOrder="1"/>
    </xf>
    <xf numFmtId="3" fontId="34" fillId="0" borderId="0" xfId="0" applyNumberFormat="1" applyFont="1" applyAlignment="1">
      <alignment horizontal="center" vertical="center" wrapText="1" readingOrder="1"/>
    </xf>
    <xf numFmtId="4" fontId="34" fillId="0" borderId="0" xfId="0" applyNumberFormat="1" applyFont="1" applyAlignment="1">
      <alignment horizontal="center"/>
    </xf>
    <xf numFmtId="0" fontId="32" fillId="0" borderId="0" xfId="0" applyFont="1" applyAlignment="1">
      <alignment vertical="center" wrapText="1"/>
    </xf>
    <xf numFmtId="0" fontId="65" fillId="0" borderId="0" xfId="0" applyFont="1" applyAlignment="1">
      <alignment horizontal="right"/>
    </xf>
    <xf numFmtId="4" fontId="58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10" fontId="65" fillId="0" borderId="0" xfId="3" applyNumberFormat="1" applyFont="1" applyFill="1" applyBorder="1" applyAlignment="1">
      <alignment horizontal="right"/>
    </xf>
    <xf numFmtId="4" fontId="0" fillId="0" borderId="0" xfId="0" applyNumberFormat="1" applyFill="1"/>
    <xf numFmtId="0" fontId="62" fillId="0" borderId="0" xfId="0" applyFont="1"/>
    <xf numFmtId="0" fontId="86" fillId="0" borderId="0" xfId="0" applyFont="1"/>
    <xf numFmtId="0" fontId="18" fillId="0" borderId="0" xfId="0" applyFont="1" applyAlignment="1">
      <alignment vertical="top" wrapText="1"/>
    </xf>
    <xf numFmtId="0" fontId="87" fillId="0" borderId="0" xfId="0" applyFont="1" applyAlignment="1">
      <alignment vertical="top" wrapText="1"/>
    </xf>
    <xf numFmtId="0" fontId="53" fillId="0" borderId="51" xfId="0" applyFont="1" applyBorder="1" applyAlignment="1">
      <alignment horizontal="center" vertical="top" wrapText="1"/>
    </xf>
    <xf numFmtId="0" fontId="87" fillId="0" borderId="5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3" fillId="20" borderId="12" xfId="0" applyFont="1" applyFill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20" borderId="12" xfId="0" applyFont="1" applyFill="1" applyBorder="1" applyAlignment="1">
      <alignment horizontal="center" vertical="center" wrapText="1"/>
    </xf>
    <xf numFmtId="0" fontId="87" fillId="0" borderId="51" xfId="0" applyFont="1" applyBorder="1" applyAlignment="1">
      <alignment horizontal="center" vertical="center" wrapText="1"/>
    </xf>
    <xf numFmtId="2" fontId="18" fillId="0" borderId="51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2" fontId="26" fillId="0" borderId="51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2" fontId="10" fillId="0" borderId="51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9" fillId="2" borderId="0" xfId="0" applyFont="1" applyFill="1" applyAlignment="1">
      <alignment horizontal="center" vertical="center" wrapText="1"/>
    </xf>
    <xf numFmtId="167" fontId="74" fillId="0" borderId="0" xfId="3" applyNumberFormat="1" applyFont="1" applyAlignment="1">
      <alignment vertical="center" wrapText="1"/>
    </xf>
    <xf numFmtId="167" fontId="33" fillId="0" borderId="0" xfId="0" applyNumberFormat="1" applyFont="1" applyAlignment="1">
      <alignment wrapText="1"/>
    </xf>
    <xf numFmtId="10" fontId="91" fillId="20" borderId="0" xfId="0" applyNumberFormat="1" applyFont="1" applyFill="1" applyAlignment="1">
      <alignment wrapText="1"/>
    </xf>
    <xf numFmtId="3" fontId="10" fillId="0" borderId="0" xfId="5" applyNumberFormat="1" applyFont="1" applyAlignment="1">
      <alignment vertical="center" wrapText="1"/>
    </xf>
    <xf numFmtId="0" fontId="56" fillId="0" borderId="0" xfId="5" applyFont="1" applyAlignment="1">
      <alignment vertical="center" wrapText="1"/>
    </xf>
    <xf numFmtId="3" fontId="56" fillId="0" borderId="0" xfId="5" applyNumberFormat="1" applyFont="1" applyAlignment="1">
      <alignment vertical="center" wrapText="1"/>
    </xf>
    <xf numFmtId="0" fontId="93" fillId="0" borderId="0" xfId="0" applyFont="1" applyAlignment="1">
      <alignment wrapText="1"/>
    </xf>
    <xf numFmtId="0" fontId="94" fillId="0" borderId="0" xfId="0" applyFont="1" applyAlignment="1">
      <alignment wrapText="1"/>
    </xf>
    <xf numFmtId="3" fontId="94" fillId="0" borderId="0" xfId="0" applyNumberFormat="1" applyFont="1" applyAlignment="1">
      <alignment wrapText="1"/>
    </xf>
    <xf numFmtId="2" fontId="4" fillId="0" borderId="12" xfId="4" quotePrefix="1" applyNumberFormat="1" applyFont="1" applyBorder="1" applyAlignment="1">
      <alignment horizontal="center"/>
    </xf>
    <xf numFmtId="2" fontId="5" fillId="0" borderId="19" xfId="4" applyNumberFormat="1" applyFont="1" applyBorder="1" applyAlignment="1">
      <alignment horizontal="center"/>
    </xf>
    <xf numFmtId="4" fontId="4" fillId="9" borderId="34" xfId="0" applyNumberFormat="1" applyFont="1" applyFill="1" applyBorder="1"/>
    <xf numFmtId="0" fontId="4" fillId="9" borderId="11" xfId="4" applyFont="1" applyFill="1" applyBorder="1" applyAlignment="1">
      <alignment horizontal="left" vertical="center" wrapText="1"/>
    </xf>
    <xf numFmtId="16" fontId="4" fillId="9" borderId="12" xfId="4" quotePrefix="1" applyNumberFormat="1" applyFont="1" applyFill="1" applyBorder="1" applyAlignment="1">
      <alignment horizontal="center"/>
    </xf>
    <xf numFmtId="2" fontId="11" fillId="9" borderId="12" xfId="4" applyNumberFormat="1" applyFont="1" applyFill="1" applyBorder="1" applyAlignment="1">
      <alignment horizontal="center"/>
    </xf>
    <xf numFmtId="3" fontId="4" fillId="0" borderId="12" xfId="4" applyNumberFormat="1" applyFont="1" applyBorder="1" applyAlignment="1">
      <alignment horizontal="center"/>
    </xf>
    <xf numFmtId="2" fontId="4" fillId="0" borderId="12" xfId="0" quotePrefix="1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0" fontId="4" fillId="9" borderId="35" xfId="4" quotePrefix="1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/>
    </xf>
    <xf numFmtId="2" fontId="4" fillId="9" borderId="35" xfId="0" applyNumberFormat="1" applyFont="1" applyFill="1" applyBorder="1" applyAlignment="1">
      <alignment horizontal="center"/>
    </xf>
    <xf numFmtId="3" fontId="11" fillId="9" borderId="36" xfId="0" applyNumberFormat="1" applyFont="1" applyFill="1" applyBorder="1" applyAlignment="1">
      <alignment horizontal="center" vertical="center"/>
    </xf>
    <xf numFmtId="4" fontId="4" fillId="9" borderId="52" xfId="0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4" fontId="4" fillId="0" borderId="12" xfId="4" quotePrefix="1" applyNumberFormat="1" applyFont="1" applyBorder="1" applyAlignment="1">
      <alignment horizontal="center"/>
    </xf>
    <xf numFmtId="4" fontId="4" fillId="0" borderId="12" xfId="4" applyNumberFormat="1" applyFont="1" applyBorder="1" applyAlignment="1">
      <alignment horizontal="center"/>
    </xf>
    <xf numFmtId="4" fontId="4" fillId="9" borderId="12" xfId="4" quotePrefix="1" applyNumberFormat="1" applyFont="1" applyFill="1" applyBorder="1" applyAlignment="1">
      <alignment horizontal="center"/>
    </xf>
    <xf numFmtId="4" fontId="11" fillId="9" borderId="12" xfId="4" applyNumberFormat="1" applyFont="1" applyFill="1" applyBorder="1" applyAlignment="1">
      <alignment horizontal="center"/>
    </xf>
    <xf numFmtId="4" fontId="11" fillId="9" borderId="19" xfId="4" applyNumberFormat="1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11" fillId="9" borderId="11" xfId="0" applyFont="1" applyFill="1" applyBorder="1" applyAlignment="1">
      <alignment wrapText="1"/>
    </xf>
    <xf numFmtId="0" fontId="11" fillId="9" borderId="12" xfId="0" quotePrefix="1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2" xfId="0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/>
    </xf>
    <xf numFmtId="0" fontId="4" fillId="9" borderId="34" xfId="0" applyFont="1" applyFill="1" applyBorder="1"/>
    <xf numFmtId="0" fontId="11" fillId="9" borderId="11" xfId="0" applyFont="1" applyFill="1" applyBorder="1"/>
    <xf numFmtId="0" fontId="11" fillId="9" borderId="12" xfId="0" quotePrefix="1" applyNumberFormat="1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2" xfId="0" applyNumberFormat="1" applyFont="1" applyFill="1" applyBorder="1" applyAlignment="1">
      <alignment horizontal="center"/>
    </xf>
    <xf numFmtId="4" fontId="4" fillId="0" borderId="15" xfId="4" applyNumberFormat="1" applyFont="1" applyBorder="1" applyAlignment="1">
      <alignment horizontal="center"/>
    </xf>
    <xf numFmtId="0" fontId="6" fillId="6" borderId="21" xfId="0" applyFont="1" applyFill="1" applyBorder="1" applyAlignment="1">
      <alignment horizontal="right"/>
    </xf>
    <xf numFmtId="0" fontId="4" fillId="12" borderId="13" xfId="0" applyFont="1" applyFill="1" applyBorder="1" applyAlignment="1">
      <alignment horizontal="center" vertical="center"/>
    </xf>
    <xf numFmtId="0" fontId="7" fillId="16" borderId="21" xfId="4" applyFont="1" applyFill="1" applyBorder="1" applyAlignment="1">
      <alignment vertical="center" wrapText="1"/>
    </xf>
    <xf numFmtId="4" fontId="7" fillId="16" borderId="12" xfId="4" applyNumberFormat="1" applyFont="1" applyFill="1" applyBorder="1" applyAlignment="1">
      <alignment horizontal="center" vertical="center"/>
    </xf>
    <xf numFmtId="0" fontId="4" fillId="16" borderId="34" xfId="0" applyFont="1" applyFill="1" applyBorder="1"/>
    <xf numFmtId="4" fontId="4" fillId="4" borderId="12" xfId="4" quotePrefix="1" applyNumberFormat="1" applyFont="1" applyFill="1" applyBorder="1" applyAlignment="1">
      <alignment horizontal="center"/>
    </xf>
    <xf numFmtId="4" fontId="11" fillId="4" borderId="12" xfId="4" applyNumberFormat="1" applyFont="1" applyFill="1" applyBorder="1" applyAlignment="1">
      <alignment horizontal="center"/>
    </xf>
    <xf numFmtId="4" fontId="7" fillId="16" borderId="19" xfId="4" applyNumberFormat="1" applyFont="1" applyFill="1" applyBorder="1" applyAlignment="1">
      <alignment horizontal="center" vertical="center"/>
    </xf>
    <xf numFmtId="0" fontId="4" fillId="4" borderId="11" xfId="4" applyFont="1" applyFill="1" applyBorder="1" applyAlignment="1">
      <alignment horizontal="left" vertical="center" wrapText="1"/>
    </xf>
    <xf numFmtId="2" fontId="10" fillId="0" borderId="46" xfId="1" applyNumberFormat="1" applyFont="1" applyBorder="1" applyAlignment="1">
      <alignment horizontal="center" vertical="center"/>
    </xf>
    <xf numFmtId="4" fontId="19" fillId="21" borderId="6" xfId="0" applyNumberFormat="1" applyFont="1" applyFill="1" applyBorder="1" applyAlignment="1">
      <alignment horizontal="center" vertical="center"/>
    </xf>
    <xf numFmtId="2" fontId="11" fillId="0" borderId="12" xfId="1" applyNumberFormat="1" applyFont="1" applyBorder="1" applyAlignment="1">
      <alignment horizontal="center" vertical="center"/>
    </xf>
    <xf numFmtId="0" fontId="10" fillId="0" borderId="11" xfId="11" quotePrefix="1" applyFont="1" applyBorder="1" applyAlignment="1">
      <alignment vertical="top" wrapText="1"/>
    </xf>
    <xf numFmtId="0" fontId="74" fillId="0" borderId="0" xfId="3" applyNumberFormat="1" applyFont="1" applyAlignment="1">
      <alignment vertical="center" wrapText="1"/>
    </xf>
    <xf numFmtId="4" fontId="4" fillId="10" borderId="34" xfId="0" applyNumberFormat="1" applyFont="1" applyFill="1" applyBorder="1"/>
    <xf numFmtId="4" fontId="6" fillId="10" borderId="34" xfId="0" applyNumberFormat="1" applyFont="1" applyFill="1" applyBorder="1"/>
    <xf numFmtId="4" fontId="6" fillId="9" borderId="34" xfId="0" applyNumberFormat="1" applyFont="1" applyFill="1" applyBorder="1"/>
    <xf numFmtId="4" fontId="6" fillId="16" borderId="34" xfId="0" applyNumberFormat="1" applyFont="1" applyFill="1" applyBorder="1"/>
    <xf numFmtId="4" fontId="6" fillId="14" borderId="23" xfId="0" applyNumberFormat="1" applyFont="1" applyFill="1" applyBorder="1" applyAlignment="1">
      <alignment vertical="center" wrapText="1"/>
    </xf>
    <xf numFmtId="4" fontId="6" fillId="14" borderId="23" xfId="4" applyNumberFormat="1" applyFont="1" applyFill="1" applyBorder="1" applyAlignment="1">
      <alignment vertical="center" wrapText="1"/>
    </xf>
    <xf numFmtId="10" fontId="74" fillId="0" borderId="0" xfId="3" applyNumberFormat="1" applyFont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horizontal="right" vertical="center" wrapText="1"/>
    </xf>
    <xf numFmtId="3" fontId="32" fillId="0" borderId="0" xfId="0" applyNumberFormat="1" applyFont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4" fontId="32" fillId="8" borderId="12" xfId="0" applyNumberFormat="1" applyFont="1" applyFill="1" applyBorder="1" applyAlignment="1">
      <alignment horizontal="left" vertical="center" wrapText="1"/>
    </xf>
    <xf numFmtId="3" fontId="32" fillId="8" borderId="12" xfId="0" applyNumberFormat="1" applyFont="1" applyFill="1" applyBorder="1" applyAlignment="1">
      <alignment horizontal="center" vertical="center" wrapText="1"/>
    </xf>
    <xf numFmtId="4" fontId="32" fillId="11" borderId="12" xfId="0" applyNumberFormat="1" applyFont="1" applyFill="1" applyBorder="1" applyAlignment="1">
      <alignment horizontal="left" vertical="center" wrapText="1"/>
    </xf>
    <xf numFmtId="3" fontId="32" fillId="11" borderId="12" xfId="0" applyNumberFormat="1" applyFont="1" applyFill="1" applyBorder="1" applyAlignment="1">
      <alignment horizontal="center" vertical="center" wrapText="1"/>
    </xf>
    <xf numFmtId="4" fontId="95" fillId="0" borderId="12" xfId="0" applyNumberFormat="1" applyFont="1" applyBorder="1" applyAlignment="1">
      <alignment horizontal="right" vertical="center" wrapText="1"/>
    </xf>
    <xf numFmtId="3" fontId="96" fillId="0" borderId="12" xfId="0" applyNumberFormat="1" applyFont="1" applyBorder="1" applyAlignment="1">
      <alignment horizontal="center" vertical="center" wrapText="1"/>
    </xf>
    <xf numFmtId="3" fontId="96" fillId="0" borderId="0" xfId="0" applyNumberFormat="1" applyFont="1" applyAlignment="1">
      <alignment horizontal="center" vertical="center" wrapText="1"/>
    </xf>
    <xf numFmtId="4" fontId="96" fillId="0" borderId="0" xfId="0" applyNumberFormat="1" applyFont="1" applyAlignment="1">
      <alignment horizontal="center" vertical="center" wrapText="1"/>
    </xf>
    <xf numFmtId="3" fontId="95" fillId="0" borderId="12" xfId="0" applyNumberFormat="1" applyFont="1" applyBorder="1" applyAlignment="1">
      <alignment horizontal="center" vertical="center" wrapText="1"/>
    </xf>
    <xf numFmtId="3" fontId="95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95" fillId="0" borderId="0" xfId="0" applyNumberFormat="1" applyFont="1" applyAlignment="1">
      <alignment horizontal="center" vertical="center" wrapText="1"/>
    </xf>
    <xf numFmtId="4" fontId="28" fillId="0" borderId="12" xfId="0" quotePrefix="1" applyNumberFormat="1" applyFont="1" applyBorder="1" applyAlignment="1">
      <alignment horizontal="center" vertical="center" wrapText="1"/>
    </xf>
    <xf numFmtId="4" fontId="32" fillId="16" borderId="12" xfId="0" applyNumberFormat="1" applyFont="1" applyFill="1" applyBorder="1" applyAlignment="1">
      <alignment horizontal="left" vertical="center" wrapText="1"/>
    </xf>
    <xf numFmtId="3" fontId="32" fillId="16" borderId="12" xfId="0" applyNumberFormat="1" applyFont="1" applyFill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 horizontal="left" vertical="center" wrapText="1"/>
    </xf>
    <xf numFmtId="1" fontId="67" fillId="0" borderId="12" xfId="0" applyNumberFormat="1" applyFont="1" applyBorder="1" applyAlignment="1">
      <alignment horizontal="center" vertical="center"/>
    </xf>
    <xf numFmtId="4" fontId="35" fillId="4" borderId="12" xfId="0" applyNumberFormat="1" applyFont="1" applyFill="1" applyBorder="1" applyAlignment="1">
      <alignment horizontal="center"/>
    </xf>
    <xf numFmtId="4" fontId="35" fillId="0" borderId="12" xfId="0" applyNumberFormat="1" applyFont="1" applyBorder="1" applyAlignment="1">
      <alignment horizontal="center"/>
    </xf>
    <xf numFmtId="0" fontId="37" fillId="18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wrapText="1" readingOrder="1"/>
    </xf>
    <xf numFmtId="4" fontId="35" fillId="0" borderId="12" xfId="0" applyNumberFormat="1" applyFont="1" applyBorder="1" applyAlignment="1">
      <alignment horizontal="center" vertical="center" wrapText="1"/>
    </xf>
    <xf numFmtId="164" fontId="35" fillId="0" borderId="12" xfId="0" applyNumberFormat="1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right" vertical="center" wrapText="1" indent="1" readingOrder="1"/>
    </xf>
    <xf numFmtId="3" fontId="34" fillId="4" borderId="0" xfId="0" applyNumberFormat="1" applyFont="1" applyFill="1" applyAlignment="1">
      <alignment horizontal="center" vertical="center" wrapText="1"/>
    </xf>
    <xf numFmtId="0" fontId="38" fillId="5" borderId="12" xfId="0" applyFont="1" applyFill="1" applyBorder="1" applyAlignment="1">
      <alignment horizontal="center" vertical="center" wrapText="1"/>
    </xf>
    <xf numFmtId="2" fontId="63" fillId="0" borderId="0" xfId="0" applyNumberFormat="1" applyFont="1"/>
    <xf numFmtId="2" fontId="10" fillId="0" borderId="12" xfId="0" applyNumberFormat="1" applyFont="1" applyBorder="1" applyAlignment="1">
      <alignment horizontal="center" vertical="center" wrapText="1"/>
    </xf>
    <xf numFmtId="2" fontId="13" fillId="0" borderId="51" xfId="0" applyNumberFormat="1" applyFont="1" applyBorder="1" applyAlignment="1">
      <alignment horizontal="center" vertical="center" wrapText="1"/>
    </xf>
    <xf numFmtId="2" fontId="10" fillId="0" borderId="51" xfId="0" applyNumberFormat="1" applyFont="1" applyBorder="1" applyAlignment="1">
      <alignment horizontal="center" vertical="center" wrapText="1"/>
    </xf>
    <xf numFmtId="4" fontId="63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97" fillId="2" borderId="0" xfId="0" applyFont="1" applyFill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28" fillId="0" borderId="12" xfId="0" applyFont="1" applyBorder="1" applyAlignment="1">
      <alignment horizontal="right" vertical="center" wrapText="1"/>
    </xf>
    <xf numFmtId="3" fontId="28" fillId="0" borderId="12" xfId="0" applyNumberFormat="1" applyFont="1" applyBorder="1" applyAlignment="1">
      <alignment horizontal="right" vertical="center" wrapText="1"/>
    </xf>
    <xf numFmtId="0" fontId="28" fillId="24" borderId="12" xfId="0" applyFont="1" applyFill="1" applyBorder="1" applyAlignment="1">
      <alignment horizontal="right" vertical="center" wrapText="1"/>
    </xf>
    <xf numFmtId="3" fontId="28" fillId="24" borderId="12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3" fontId="32" fillId="24" borderId="12" xfId="0" applyNumberFormat="1" applyFont="1" applyFill="1" applyBorder="1" applyAlignment="1">
      <alignment horizontal="center" vertical="center" wrapText="1"/>
    </xf>
    <xf numFmtId="3" fontId="32" fillId="2" borderId="0" xfId="0" applyNumberFormat="1" applyFont="1" applyFill="1" applyAlignment="1">
      <alignment horizontal="center" vertical="center" wrapText="1"/>
    </xf>
    <xf numFmtId="3" fontId="32" fillId="0" borderId="0" xfId="0" applyNumberFormat="1" applyFont="1" applyAlignment="1">
      <alignment horizontal="right" vertical="center" wrapText="1"/>
    </xf>
    <xf numFmtId="4" fontId="28" fillId="2" borderId="0" xfId="0" applyNumberFormat="1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3" fontId="35" fillId="23" borderId="12" xfId="0" applyNumberFormat="1" applyFont="1" applyFill="1" applyBorder="1" applyAlignment="1">
      <alignment horizontal="center" vertical="center" wrapText="1" readingOrder="1"/>
    </xf>
    <xf numFmtId="3" fontId="98" fillId="15" borderId="12" xfId="0" applyNumberFormat="1" applyFont="1" applyFill="1" applyBorder="1" applyAlignment="1">
      <alignment horizontal="center" vertical="center" wrapText="1" readingOrder="1"/>
    </xf>
    <xf numFmtId="3" fontId="32" fillId="0" borderId="0" xfId="0" applyNumberFormat="1" applyFont="1" applyFill="1" applyAlignment="1">
      <alignment horizontal="center" vertical="center" wrapText="1"/>
    </xf>
    <xf numFmtId="4" fontId="32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4" fontId="38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2" fontId="11" fillId="0" borderId="16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30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horizontal="right" vertical="center" wrapText="1"/>
    </xf>
    <xf numFmtId="4" fontId="18" fillId="0" borderId="12" xfId="0" applyNumberFormat="1" applyFont="1" applyBorder="1" applyAlignment="1">
      <alignment horizontal="center" vertical="center"/>
    </xf>
    <xf numFmtId="3" fontId="28" fillId="26" borderId="12" xfId="0" applyNumberFormat="1" applyFont="1" applyFill="1" applyBorder="1" applyAlignment="1">
      <alignment horizontal="center" vertical="center" wrapText="1"/>
    </xf>
    <xf numFmtId="3" fontId="96" fillId="26" borderId="12" xfId="0" applyNumberFormat="1" applyFont="1" applyFill="1" applyBorder="1" applyAlignment="1">
      <alignment horizontal="center" vertical="center" wrapText="1"/>
    </xf>
    <xf numFmtId="3" fontId="95" fillId="26" borderId="12" xfId="0" applyNumberFormat="1" applyFont="1" applyFill="1" applyBorder="1" applyAlignment="1">
      <alignment horizontal="center" vertical="center" wrapText="1"/>
    </xf>
    <xf numFmtId="3" fontId="28" fillId="12" borderId="12" xfId="0" applyNumberFormat="1" applyFont="1" applyFill="1" applyBorder="1" applyAlignment="1">
      <alignment horizontal="center" vertical="center" wrapText="1"/>
    </xf>
    <xf numFmtId="3" fontId="95" fillId="12" borderId="12" xfId="0" applyNumberFormat="1" applyFont="1" applyFill="1" applyBorder="1" applyAlignment="1">
      <alignment horizontal="center" vertical="center" wrapText="1"/>
    </xf>
    <xf numFmtId="3" fontId="28" fillId="24" borderId="12" xfId="0" applyNumberFormat="1" applyFont="1" applyFill="1" applyBorder="1" applyAlignment="1">
      <alignment horizontal="center" vertical="center" wrapText="1"/>
    </xf>
    <xf numFmtId="3" fontId="95" fillId="24" borderId="12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3" fontId="34" fillId="0" borderId="0" xfId="0" applyNumberFormat="1" applyFont="1" applyFill="1"/>
    <xf numFmtId="0" fontId="34" fillId="0" borderId="0" xfId="0" applyFont="1" applyFill="1"/>
    <xf numFmtId="0" fontId="39" fillId="0" borderId="0" xfId="0" applyFont="1" applyFill="1" applyAlignment="1">
      <alignment horizontal="center" vertical="center"/>
    </xf>
    <xf numFmtId="0" fontId="69" fillId="0" borderId="0" xfId="0" applyFont="1" applyFill="1"/>
    <xf numFmtId="3" fontId="69" fillId="0" borderId="0" xfId="0" applyNumberFormat="1" applyFont="1" applyFill="1"/>
    <xf numFmtId="0" fontId="69" fillId="0" borderId="0" xfId="0" quotePrefix="1" applyFont="1" applyFill="1"/>
    <xf numFmtId="3" fontId="39" fillId="0" borderId="0" xfId="0" applyNumberFormat="1" applyFont="1" applyFill="1" applyAlignment="1">
      <alignment horizontal="center" vertical="center"/>
    </xf>
    <xf numFmtId="3" fontId="28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vertical="center" wrapText="1"/>
    </xf>
    <xf numFmtId="4" fontId="30" fillId="0" borderId="0" xfId="0" applyNumberFormat="1" applyFont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18" fillId="0" borderId="0" xfId="5" applyFont="1" applyFill="1" applyBorder="1" applyAlignment="1">
      <alignment vertical="center" wrapText="1"/>
    </xf>
    <xf numFmtId="3" fontId="18" fillId="0" borderId="0" xfId="5" applyNumberFormat="1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3" fontId="39" fillId="0" borderId="0" xfId="0" applyNumberFormat="1" applyFont="1" applyFill="1" applyBorder="1" applyAlignment="1">
      <alignment vertical="top" wrapText="1"/>
    </xf>
    <xf numFmtId="0" fontId="33" fillId="0" borderId="0" xfId="5" applyFill="1" applyBorder="1" applyAlignment="1">
      <alignment wrapText="1"/>
    </xf>
    <xf numFmtId="168" fontId="33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center" wrapText="1"/>
    </xf>
    <xf numFmtId="167" fontId="57" fillId="0" borderId="0" xfId="0" applyNumberFormat="1" applyFont="1" applyFill="1" applyBorder="1" applyAlignment="1">
      <alignment horizontal="center" vertical="center" wrapText="1"/>
    </xf>
    <xf numFmtId="9" fontId="57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wrapText="1"/>
    </xf>
    <xf numFmtId="3" fontId="5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wrapText="1"/>
    </xf>
    <xf numFmtId="3" fontId="45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horizontal="right" vertical="center" wrapText="1"/>
    </xf>
    <xf numFmtId="3" fontId="46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3" fontId="72" fillId="0" borderId="0" xfId="0" applyNumberFormat="1" applyFont="1" applyFill="1" applyBorder="1" applyAlignment="1">
      <alignment vertical="center" wrapText="1"/>
    </xf>
    <xf numFmtId="3" fontId="79" fillId="0" borderId="0" xfId="0" applyNumberFormat="1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vertical="center" wrapText="1"/>
    </xf>
    <xf numFmtId="3" fontId="77" fillId="0" borderId="0" xfId="0" applyNumberFormat="1" applyFont="1" applyFill="1" applyBorder="1" applyAlignment="1">
      <alignment wrapText="1"/>
    </xf>
    <xf numFmtId="3" fontId="80" fillId="0" borderId="0" xfId="0" applyNumberFormat="1" applyFont="1" applyFill="1" applyBorder="1" applyAlignment="1">
      <alignment wrapText="1"/>
    </xf>
    <xf numFmtId="3" fontId="47" fillId="0" borderId="0" xfId="0" applyNumberFormat="1" applyFont="1" applyFill="1" applyBorder="1" applyAlignment="1">
      <alignment wrapText="1"/>
    </xf>
    <xf numFmtId="3" fontId="84" fillId="0" borderId="0" xfId="0" applyNumberFormat="1" applyFont="1" applyFill="1" applyBorder="1" applyAlignment="1">
      <alignment horizontal="left" vertical="center" wrapText="1"/>
    </xf>
    <xf numFmtId="3" fontId="82" fillId="0" borderId="0" xfId="0" applyNumberFormat="1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horizontal="right" wrapText="1"/>
    </xf>
    <xf numFmtId="2" fontId="80" fillId="0" borderId="0" xfId="0" applyNumberFormat="1" applyFont="1" applyFill="1" applyBorder="1" applyAlignment="1">
      <alignment horizontal="right" wrapText="1"/>
    </xf>
    <xf numFmtId="0" fontId="56" fillId="0" borderId="0" xfId="0" applyNumberFormat="1" applyFont="1" applyFill="1" applyBorder="1" applyAlignment="1">
      <alignment horizontal="right" vertical="center" wrapText="1"/>
    </xf>
    <xf numFmtId="2" fontId="56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wrapText="1"/>
    </xf>
    <xf numFmtId="3" fontId="83" fillId="0" borderId="0" xfId="0" applyNumberFormat="1" applyFont="1" applyFill="1" applyBorder="1" applyAlignment="1">
      <alignment horizontal="right"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wrapText="1"/>
    </xf>
    <xf numFmtId="3" fontId="49" fillId="0" borderId="0" xfId="0" applyNumberFormat="1" applyFont="1" applyFill="1" applyBorder="1" applyAlignment="1">
      <alignment wrapText="1"/>
    </xf>
    <xf numFmtId="3" fontId="32" fillId="0" borderId="13" xfId="0" applyNumberFormat="1" applyFont="1" applyBorder="1" applyAlignment="1">
      <alignment horizontal="center" vertical="center" wrapText="1"/>
    </xf>
    <xf numFmtId="3" fontId="32" fillId="0" borderId="28" xfId="0" applyNumberFormat="1" applyFont="1" applyBorder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 wrapText="1"/>
    </xf>
    <xf numFmtId="49" fontId="38" fillId="0" borderId="36" xfId="0" applyNumberFormat="1" applyFont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top" wrapText="1"/>
    </xf>
    <xf numFmtId="49" fontId="48" fillId="0" borderId="0" xfId="0" applyNumberFormat="1" applyFont="1" applyFill="1" applyBorder="1" applyAlignment="1">
      <alignment horizontal="right" vertical="top"/>
    </xf>
    <xf numFmtId="49" fontId="45" fillId="0" borderId="0" xfId="0" applyNumberFormat="1" applyFont="1" applyFill="1" applyBorder="1" applyAlignment="1">
      <alignment horizontal="left" vertical="top" wrapText="1" indent="2"/>
    </xf>
    <xf numFmtId="49" fontId="10" fillId="0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left" vertical="top" wrapText="1" indent="1"/>
    </xf>
    <xf numFmtId="49" fontId="52" fillId="0" borderId="0" xfId="0" applyNumberFormat="1" applyFont="1" applyFill="1" applyBorder="1" applyAlignment="1">
      <alignment horizontal="left" vertical="top" wrapText="1" indent="1"/>
    </xf>
    <xf numFmtId="0" fontId="37" fillId="0" borderId="0" xfId="5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5" applyFont="1" applyFill="1" applyBorder="1" applyAlignment="1">
      <alignment horizontal="left" vertical="top" wrapText="1"/>
    </xf>
    <xf numFmtId="0" fontId="18" fillId="0" borderId="0" xfId="5" applyFont="1" applyFill="1" applyBorder="1" applyAlignment="1">
      <alignment horizontal="justify" vertical="center" wrapText="1"/>
    </xf>
    <xf numFmtId="3" fontId="75" fillId="0" borderId="0" xfId="0" applyNumberFormat="1" applyFont="1" applyAlignment="1">
      <alignment horizontal="right" vertical="center" wrapText="1"/>
    </xf>
    <xf numFmtId="0" fontId="44" fillId="0" borderId="0" xfId="0" quotePrefix="1" applyFont="1" applyFill="1" applyBorder="1" applyAlignment="1">
      <alignment horizontal="right" wrapText="1"/>
    </xf>
    <xf numFmtId="2" fontId="26" fillId="0" borderId="0" xfId="0" applyNumberFormat="1" applyFont="1" applyFill="1" applyBorder="1" applyAlignment="1">
      <alignment horizontal="left" vertical="top" wrapText="1" indent="1"/>
    </xf>
    <xf numFmtId="0" fontId="72" fillId="19" borderId="0" xfId="0" applyFont="1" applyFill="1" applyAlignment="1">
      <alignment horizontal="center" vertical="center" wrapText="1"/>
    </xf>
    <xf numFmtId="3" fontId="90" fillId="20" borderId="0" xfId="0" applyNumberFormat="1" applyFont="1" applyFill="1" applyAlignment="1">
      <alignment horizontal="center" vertical="center" wrapText="1"/>
    </xf>
    <xf numFmtId="0" fontId="44" fillId="0" borderId="0" xfId="0" quotePrefix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 vertical="top" wrapText="1"/>
    </xf>
    <xf numFmtId="3" fontId="48" fillId="0" borderId="0" xfId="0" quotePrefix="1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wrapText="1"/>
    </xf>
    <xf numFmtId="0" fontId="73" fillId="0" borderId="0" xfId="0" applyFont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top"/>
    </xf>
    <xf numFmtId="49" fontId="42" fillId="0" borderId="0" xfId="0" applyNumberFormat="1" applyFont="1" applyFill="1" applyBorder="1" applyAlignment="1">
      <alignment horizontal="right" vertical="top"/>
    </xf>
    <xf numFmtId="49" fontId="18" fillId="0" borderId="0" xfId="0" applyNumberFormat="1" applyFont="1" applyFill="1" applyBorder="1" applyAlignment="1">
      <alignment horizontal="left" vertical="top" wrapText="1" indent="1"/>
    </xf>
    <xf numFmtId="0" fontId="41" fillId="19" borderId="0" xfId="0" applyFont="1" applyFill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wrapText="1"/>
    </xf>
    <xf numFmtId="4" fontId="47" fillId="0" borderId="0" xfId="0" applyNumberFormat="1" applyFont="1" applyFill="1" applyBorder="1" applyAlignment="1">
      <alignment horizontal="center" wrapText="1"/>
    </xf>
    <xf numFmtId="2" fontId="52" fillId="0" borderId="0" xfId="0" applyNumberFormat="1" applyFont="1" applyFill="1" applyBorder="1" applyAlignment="1">
      <alignment horizontal="left" vertical="top" wrapText="1" indent="1"/>
    </xf>
    <xf numFmtId="3" fontId="81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right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5" borderId="12" xfId="0" applyFont="1" applyFill="1" applyBorder="1" applyAlignment="1">
      <alignment horizontal="left" vertical="center" wrapText="1"/>
    </xf>
    <xf numFmtId="0" fontId="35" fillId="0" borderId="12" xfId="0" applyFont="1" applyBorder="1" applyAlignment="1">
      <alignment horizontal="right" wrapText="1" readingOrder="1"/>
    </xf>
    <xf numFmtId="14" fontId="34" fillId="0" borderId="0" xfId="0" quotePrefix="1" applyNumberFormat="1" applyFont="1" applyAlignment="1">
      <alignment horizontal="left" wrapText="1"/>
    </xf>
    <xf numFmtId="4" fontId="38" fillId="0" borderId="15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19" fillId="25" borderId="0" xfId="0" applyNumberFormat="1" applyFont="1" applyFill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87" fillId="15" borderId="12" xfId="0" applyFont="1" applyFill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16" fontId="6" fillId="5" borderId="21" xfId="0" quotePrefix="1" applyNumberFormat="1" applyFont="1" applyFill="1" applyBorder="1" applyAlignment="1">
      <alignment horizontal="left"/>
    </xf>
    <xf numFmtId="16" fontId="6" fillId="5" borderId="22" xfId="0" quotePrefix="1" applyNumberFormat="1" applyFont="1" applyFill="1" applyBorder="1" applyAlignment="1">
      <alignment horizontal="left"/>
    </xf>
    <xf numFmtId="0" fontId="6" fillId="3" borderId="39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left" vertical="center" wrapText="1"/>
    </xf>
    <xf numFmtId="0" fontId="6" fillId="14" borderId="22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7" fillId="14" borderId="21" xfId="4" applyFont="1" applyFill="1" applyBorder="1" applyAlignment="1">
      <alignment horizontal="center" vertical="center" wrapText="1"/>
    </xf>
    <xf numFmtId="0" fontId="7" fillId="14" borderId="22" xfId="4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164" fontId="15" fillId="0" borderId="15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22" borderId="21" xfId="0" applyFont="1" applyFill="1" applyBorder="1" applyAlignment="1">
      <alignment horizontal="left" wrapText="1"/>
    </xf>
    <xf numFmtId="0" fontId="6" fillId="22" borderId="22" xfId="0" applyFont="1" applyFill="1" applyBorder="1" applyAlignment="1">
      <alignment horizontal="left" wrapText="1"/>
    </xf>
    <xf numFmtId="0" fontId="6" fillId="22" borderId="23" xfId="0" applyFont="1" applyFill="1" applyBorder="1" applyAlignment="1">
      <alignment horizontal="left" wrapText="1"/>
    </xf>
    <xf numFmtId="0" fontId="19" fillId="22" borderId="21" xfId="0" applyFont="1" applyFill="1" applyBorder="1" applyAlignment="1">
      <alignment horizontal="left" wrapText="1"/>
    </xf>
    <xf numFmtId="0" fontId="19" fillId="22" borderId="22" xfId="0" applyFont="1" applyFill="1" applyBorder="1" applyAlignment="1">
      <alignment horizontal="left" wrapText="1"/>
    </xf>
    <xf numFmtId="0" fontId="19" fillId="22" borderId="23" xfId="0" applyFont="1" applyFill="1" applyBorder="1" applyAlignment="1">
      <alignment horizontal="left" wrapText="1"/>
    </xf>
    <xf numFmtId="0" fontId="6" fillId="22" borderId="29" xfId="0" applyFont="1" applyFill="1" applyBorder="1" applyAlignment="1">
      <alignment horizontal="left" wrapText="1"/>
    </xf>
    <xf numFmtId="0" fontId="6" fillId="22" borderId="30" xfId="0" applyFont="1" applyFill="1" applyBorder="1" applyAlignment="1">
      <alignment horizontal="left" wrapText="1"/>
    </xf>
    <xf numFmtId="0" fontId="6" fillId="22" borderId="44" xfId="0" applyFont="1" applyFill="1" applyBorder="1" applyAlignment="1">
      <alignment horizontal="left" wrapText="1"/>
    </xf>
    <xf numFmtId="0" fontId="19" fillId="22" borderId="45" xfId="0" applyFont="1" applyFill="1" applyBorder="1" applyAlignment="1">
      <alignment horizontal="left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 wrapText="1"/>
    </xf>
    <xf numFmtId="0" fontId="6" fillId="9" borderId="44" xfId="0" applyFont="1" applyFill="1" applyBorder="1" applyAlignment="1">
      <alignment horizontal="left" vertical="center" wrapText="1"/>
    </xf>
    <xf numFmtId="0" fontId="6" fillId="22" borderId="45" xfId="0" applyFont="1" applyFill="1" applyBorder="1" applyAlignment="1">
      <alignment horizontal="left" wrapText="1"/>
    </xf>
    <xf numFmtId="0" fontId="19" fillId="22" borderId="44" xfId="0" applyFont="1" applyFill="1" applyBorder="1" applyAlignment="1">
      <alignment horizontal="left" wrapText="1"/>
    </xf>
    <xf numFmtId="0" fontId="71" fillId="0" borderId="0" xfId="0" applyFont="1" applyAlignment="1">
      <alignment horizontal="center" wrapText="1"/>
    </xf>
  </cellXfs>
  <cellStyles count="20">
    <cellStyle name="Excel Built-in Normal" xfId="1" xr:uid="{14C84ADE-DD2B-4C23-953D-93DA5ECCB0BA}"/>
    <cellStyle name="Normal" xfId="0" builtinId="0"/>
    <cellStyle name="Normal 10 2" xfId="14" xr:uid="{366D8435-2694-4E3E-8552-A8503A34C34E}"/>
    <cellStyle name="Normal 14 2" xfId="12" xr:uid="{62013C79-685B-4EB1-81D3-06CF6DA1A7A6}"/>
    <cellStyle name="Normal 2" xfId="4" xr:uid="{B922C458-E73B-44A0-9912-D6193DD7A699}"/>
    <cellStyle name="Normal 2 2 2" xfId="6" xr:uid="{E3BE130D-48B6-4268-BA72-B5F020B49AE5}"/>
    <cellStyle name="Normal 2 2 2 2" xfId="10" xr:uid="{940F33D7-95EA-44DD-ADDE-1E5125BC0603}"/>
    <cellStyle name="Normal 2 3" xfId="7" xr:uid="{0C4E759A-E679-4B9E-8218-EEA7E5189F9D}"/>
    <cellStyle name="Normal 24 2 3 4 2 2 3 6 2" xfId="19" xr:uid="{86BBE06E-67BD-4B07-A427-8AFE2A2D9CBB}"/>
    <cellStyle name="Normal 24 2 3 4 2 2 3 6 3" xfId="16" xr:uid="{798B172C-2014-49CC-8D78-13BE4276FAE7}"/>
    <cellStyle name="Normal 24 2 3 4 2 2 7 3 2 2 4" xfId="18" xr:uid="{6CBCB452-5F45-4B06-BC33-0ABEC8C6FB2F}"/>
    <cellStyle name="Normal 24 2 3 4 2 2 7 3 2 4" xfId="17" xr:uid="{5078D0A5-7C44-44A4-B2BF-446E36FE8D76}"/>
    <cellStyle name="Normal 24 2 3 4 2 3 6 2 3 2 2 5" xfId="15" xr:uid="{DC7B9B23-86C9-4907-9890-B94195AC599A}"/>
    <cellStyle name="Normal 3" xfId="11" xr:uid="{74C3F255-FFFD-4C52-B762-75414AD83E1D}"/>
    <cellStyle name="Normal 4" xfId="9" xr:uid="{DB1F6146-BC69-4316-9511-C05E9AAF58BE}"/>
    <cellStyle name="Normal 5" xfId="8" xr:uid="{80AF9E37-B077-40F3-B5C3-C118354B4063}"/>
    <cellStyle name="Normal 92" xfId="13" xr:uid="{779A7C70-2F8C-4241-BAB8-5F00FE4F47F6}"/>
    <cellStyle name="Normal_Sheet1" xfId="2" xr:uid="{9F5AAA43-067A-440C-B3DC-1D79E0C5CEA8}"/>
    <cellStyle name="Normal_Sheet1 2" xfId="5" xr:uid="{F16DE1DF-8ACC-425F-8713-96237E6BA353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direct_profiles/VM_Sandra_Kasparenko/My%20Documents/Budzets_2019/Budzeta_projekts/Prioritarie_pasakumi_2019-2021/VMvestp1_xx0818_PP_2019-2021%20PR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abloni"/>
      <sheetName val="01_H"/>
      <sheetName val="02_H"/>
      <sheetName val="01_P"/>
      <sheetName val="02_P"/>
      <sheetName val="03_P"/>
      <sheetName val="04_P"/>
      <sheetName val="05_P"/>
      <sheetName val="06_P"/>
      <sheetName val="07_P"/>
      <sheetName val="08_P"/>
      <sheetName val="09_P"/>
      <sheetName val="10_P"/>
      <sheetName val="11_P"/>
      <sheetName val="12_P"/>
      <sheetName val="13_P"/>
      <sheetName val="14_P"/>
      <sheetName val="15_P"/>
      <sheetName val="16_P"/>
      <sheetName val="17_P"/>
      <sheetName val="18_P"/>
      <sheetName val="19_P"/>
      <sheetName val="20_P"/>
      <sheetName val="21_P"/>
      <sheetName val="22_P"/>
      <sheetName val="23_P"/>
      <sheetName val="24_P"/>
      <sheetName val="25_P"/>
      <sheetName val="26_P"/>
      <sheetName val="27_P"/>
      <sheetName val="28_P"/>
      <sheetName val="29_P"/>
      <sheetName val="30_P"/>
      <sheetName val="31_P"/>
      <sheetName val="32_P"/>
      <sheetName val="33_P"/>
      <sheetName val="34_P"/>
      <sheetName val="35_P"/>
      <sheetName val="36_P"/>
      <sheetName val="37_P"/>
      <sheetName val="38_P"/>
      <sheetName val="39_P"/>
      <sheetName val="40_P"/>
      <sheetName val="41_P"/>
      <sheetName val="42_P"/>
      <sheetName val="43_P"/>
      <sheetName val="44_P"/>
      <sheetName val="45_P"/>
      <sheetName val="46_P"/>
      <sheetName val="46_P (2)"/>
      <sheetName val="46_P (3)"/>
      <sheetName val="47_P"/>
      <sheetName val="48_P"/>
      <sheetName val="49_P"/>
      <sheetName val="KOP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4D5B-896F-48CF-8336-1E389F70A7E9}">
  <dimension ref="A1:J74"/>
  <sheetViews>
    <sheetView tabSelected="1" zoomScale="80" zoomScaleNormal="80" workbookViewId="0">
      <pane ySplit="6" topLeftCell="A7" activePane="bottomLeft" state="frozen"/>
      <selection pane="bottomLeft" activeCell="N18" sqref="N18"/>
    </sheetView>
  </sheetViews>
  <sheetFormatPr defaultColWidth="9.140625" defaultRowHeight="15"/>
  <cols>
    <col min="1" max="1" width="37.28515625" style="356" customWidth="1"/>
    <col min="2" max="3" width="18.85546875" style="357" customWidth="1"/>
    <col min="4" max="4" width="15.42578125" style="357" customWidth="1"/>
    <col min="5" max="5" width="13.28515625" style="357" customWidth="1"/>
    <col min="6" max="6" width="11.7109375" style="357" customWidth="1"/>
    <col min="7" max="7" width="12.28515625" style="357" customWidth="1"/>
    <col min="8" max="8" width="10.85546875" style="357" bestFit="1" customWidth="1"/>
    <col min="9" max="10" width="9.140625" style="357"/>
    <col min="11" max="16384" width="9.140625" style="356"/>
  </cols>
  <sheetData>
    <row r="1" spans="1:10">
      <c r="B1" s="426"/>
      <c r="C1" s="444" t="s">
        <v>437</v>
      </c>
    </row>
    <row r="2" spans="1:10" ht="34.5" customHeight="1">
      <c r="A2" s="506" t="s">
        <v>446</v>
      </c>
      <c r="B2" s="506"/>
      <c r="C2" s="506"/>
    </row>
    <row r="3" spans="1:10" ht="84" hidden="1" customHeight="1">
      <c r="A3" s="445"/>
      <c r="B3" s="425"/>
      <c r="C3" s="419"/>
    </row>
    <row r="4" spans="1:10">
      <c r="B4" s="504">
        <f>B6+C6</f>
        <v>34220781.083981387</v>
      </c>
      <c r="C4" s="505"/>
    </row>
    <row r="5" spans="1:10" ht="71.25" customHeight="1">
      <c r="A5" s="360" t="s">
        <v>295</v>
      </c>
      <c r="B5" s="361" t="s">
        <v>421</v>
      </c>
      <c r="C5" s="361" t="s">
        <v>435</v>
      </c>
    </row>
    <row r="6" spans="1:10" s="418" customFormat="1" ht="20.25" customHeight="1">
      <c r="A6" s="362"/>
      <c r="B6" s="363">
        <f t="shared" ref="B6" si="0">B7+B40</f>
        <v>4359533.7139813872</v>
      </c>
      <c r="C6" s="363">
        <f t="shared" ref="C6" si="1">C7+C40</f>
        <v>29861247.370000001</v>
      </c>
      <c r="D6" s="417"/>
      <c r="E6" s="417"/>
      <c r="F6" s="417"/>
      <c r="G6" s="417"/>
      <c r="H6" s="417"/>
      <c r="I6" s="417"/>
      <c r="J6" s="417"/>
    </row>
    <row r="7" spans="1:10" s="418" customFormat="1" ht="14.25">
      <c r="A7" s="364" t="s">
        <v>171</v>
      </c>
      <c r="B7" s="365">
        <f t="shared" ref="B7" si="2">B8+B10+B12+B14+B16+B18+B20+B23+B25+B27+B31+B33+B35+B37</f>
        <v>4359533.7139813872</v>
      </c>
      <c r="C7" s="365">
        <f>C8+C10+C12+C14+C16+C18+C20+C23+C25+C27+C31+C33+C35+C37</f>
        <v>29264760</v>
      </c>
      <c r="D7" s="417"/>
      <c r="E7" s="417"/>
      <c r="F7" s="417"/>
      <c r="G7" s="417"/>
      <c r="H7" s="417"/>
      <c r="I7" s="417"/>
      <c r="J7" s="417"/>
    </row>
    <row r="8" spans="1:10">
      <c r="A8" s="360" t="s">
        <v>296</v>
      </c>
      <c r="B8" s="361">
        <f t="shared" ref="B8:C8" si="3">B9</f>
        <v>0</v>
      </c>
      <c r="C8" s="428">
        <f t="shared" si="3"/>
        <v>1145722</v>
      </c>
    </row>
    <row r="9" spans="1:10" s="369" customFormat="1">
      <c r="A9" s="366" t="s">
        <v>297</v>
      </c>
      <c r="B9" s="367">
        <v>0</v>
      </c>
      <c r="C9" s="429">
        <v>1145722</v>
      </c>
      <c r="D9" s="357"/>
      <c r="E9" s="368"/>
      <c r="F9" s="368"/>
      <c r="G9" s="368"/>
      <c r="H9" s="368"/>
      <c r="I9" s="368"/>
      <c r="J9" s="368"/>
    </row>
    <row r="10" spans="1:10" ht="30">
      <c r="A10" s="360" t="s">
        <v>298</v>
      </c>
      <c r="B10" s="361">
        <f t="shared" ref="B10:C10" si="4">B11</f>
        <v>1001893</v>
      </c>
      <c r="C10" s="428">
        <f t="shared" si="4"/>
        <v>5759699</v>
      </c>
      <c r="E10" s="443"/>
      <c r="F10" s="443"/>
      <c r="G10" s="444"/>
      <c r="H10" s="444"/>
    </row>
    <row r="11" spans="1:10" s="373" customFormat="1">
      <c r="A11" s="366" t="s">
        <v>299</v>
      </c>
      <c r="B11" s="370">
        <v>1001893</v>
      </c>
      <c r="C11" s="430">
        <v>5759699</v>
      </c>
      <c r="D11" s="357"/>
      <c r="E11" s="444"/>
      <c r="F11" s="443"/>
      <c r="G11" s="444"/>
      <c r="H11" s="444"/>
      <c r="I11" s="371"/>
      <c r="J11" s="371"/>
    </row>
    <row r="12" spans="1:10" ht="30">
      <c r="A12" s="360" t="s">
        <v>300</v>
      </c>
      <c r="B12" s="361">
        <f t="shared" ref="B12:C12" si="5">B13</f>
        <v>173251</v>
      </c>
      <c r="C12" s="428">
        <f t="shared" si="5"/>
        <v>995987</v>
      </c>
      <c r="E12" s="444"/>
      <c r="F12" s="443"/>
      <c r="G12" s="444"/>
      <c r="H12" s="444"/>
    </row>
    <row r="13" spans="1:10" s="373" customFormat="1">
      <c r="A13" s="366" t="s">
        <v>299</v>
      </c>
      <c r="B13" s="370">
        <v>173251</v>
      </c>
      <c r="C13" s="430">
        <v>995987</v>
      </c>
      <c r="D13" s="357"/>
      <c r="E13" s="444"/>
      <c r="F13" s="443"/>
      <c r="G13" s="444"/>
      <c r="H13" s="444"/>
      <c r="I13" s="371"/>
      <c r="J13" s="371"/>
    </row>
    <row r="14" spans="1:10" ht="30">
      <c r="A14" s="360" t="s">
        <v>301</v>
      </c>
      <c r="B14" s="361">
        <f>B15</f>
        <v>1197680</v>
      </c>
      <c r="C14" s="428">
        <f t="shared" ref="C14" si="6">C15</f>
        <v>6885247</v>
      </c>
      <c r="E14" s="444"/>
      <c r="F14" s="443"/>
      <c r="G14" s="444"/>
      <c r="H14" s="444"/>
    </row>
    <row r="15" spans="1:10" s="373" customFormat="1">
      <c r="A15" s="366" t="s">
        <v>299</v>
      </c>
      <c r="B15" s="370">
        <v>1197680</v>
      </c>
      <c r="C15" s="430">
        <v>6885247</v>
      </c>
      <c r="D15" s="357"/>
      <c r="E15" s="444"/>
      <c r="F15" s="443"/>
      <c r="G15" s="444"/>
      <c r="H15" s="444"/>
      <c r="I15" s="371"/>
      <c r="J15" s="371"/>
    </row>
    <row r="16" spans="1:10" ht="45">
      <c r="A16" s="360" t="s">
        <v>302</v>
      </c>
      <c r="B16" s="361">
        <f t="shared" ref="B16" si="7">B17</f>
        <v>1282153</v>
      </c>
      <c r="C16" s="428">
        <f>C17</f>
        <v>7370862</v>
      </c>
      <c r="E16" s="444"/>
      <c r="F16" s="443"/>
      <c r="G16" s="444"/>
      <c r="H16" s="444"/>
    </row>
    <row r="17" spans="1:10" s="373" customFormat="1">
      <c r="A17" s="366" t="s">
        <v>299</v>
      </c>
      <c r="B17" s="370">
        <v>1282153</v>
      </c>
      <c r="C17" s="430">
        <v>7370862</v>
      </c>
      <c r="D17" s="357"/>
      <c r="E17" s="444"/>
      <c r="F17" s="443"/>
      <c r="G17" s="444"/>
      <c r="H17" s="444"/>
      <c r="I17" s="371"/>
      <c r="J17" s="371"/>
    </row>
    <row r="18" spans="1:10" ht="30">
      <c r="A18" s="360" t="s">
        <v>303</v>
      </c>
      <c r="B18" s="361">
        <f t="shared" ref="B18:C18" si="8">B19</f>
        <v>700698</v>
      </c>
      <c r="C18" s="428">
        <f t="shared" si="8"/>
        <v>4028187</v>
      </c>
      <c r="E18" s="444"/>
      <c r="F18" s="443"/>
      <c r="G18" s="444"/>
      <c r="H18" s="444"/>
    </row>
    <row r="19" spans="1:10" s="373" customFormat="1">
      <c r="A19" s="366" t="s">
        <v>299</v>
      </c>
      <c r="B19" s="370">
        <v>700698</v>
      </c>
      <c r="C19" s="430">
        <v>4028187</v>
      </c>
      <c r="D19" s="357"/>
      <c r="E19" s="372"/>
      <c r="F19" s="443"/>
      <c r="G19" s="372"/>
      <c r="H19" s="372"/>
      <c r="I19" s="371"/>
      <c r="J19" s="371"/>
    </row>
    <row r="20" spans="1:10" ht="30">
      <c r="A20" s="360" t="s">
        <v>304</v>
      </c>
      <c r="B20" s="361">
        <f t="shared" ref="B20" si="9">SUM(B21:B22)</f>
        <v>0</v>
      </c>
      <c r="C20" s="431">
        <f>SUM(C21:C22)</f>
        <v>110203</v>
      </c>
      <c r="E20" s="372"/>
      <c r="F20" s="372"/>
      <c r="G20" s="372"/>
      <c r="H20" s="372"/>
    </row>
    <row r="21" spans="1:10" s="373" customFormat="1" ht="12">
      <c r="A21" s="366" t="s">
        <v>305</v>
      </c>
      <c r="B21" s="370"/>
      <c r="C21" s="432">
        <v>94162</v>
      </c>
      <c r="E21" s="371"/>
      <c r="F21" s="371"/>
      <c r="G21" s="371"/>
      <c r="H21" s="371"/>
      <c r="I21" s="371"/>
      <c r="J21" s="371"/>
    </row>
    <row r="22" spans="1:10" s="373" customFormat="1" ht="12">
      <c r="A22" s="366" t="s">
        <v>306</v>
      </c>
      <c r="B22" s="370"/>
      <c r="C22" s="432">
        <v>16041</v>
      </c>
      <c r="E22" s="371"/>
      <c r="F22" s="371"/>
      <c r="G22" s="371"/>
      <c r="H22" s="371"/>
      <c r="I22" s="371"/>
      <c r="J22" s="371"/>
    </row>
    <row r="23" spans="1:10" ht="30">
      <c r="A23" s="360" t="s">
        <v>307</v>
      </c>
      <c r="B23" s="361">
        <f t="shared" ref="B23" si="10">B24</f>
        <v>0</v>
      </c>
      <c r="C23" s="431">
        <f>C24</f>
        <v>2873111</v>
      </c>
    </row>
    <row r="24" spans="1:10" s="373" customFormat="1" ht="12">
      <c r="A24" s="366" t="s">
        <v>305</v>
      </c>
      <c r="B24" s="370"/>
      <c r="C24" s="432">
        <v>2873111</v>
      </c>
      <c r="D24" s="371"/>
      <c r="E24" s="371"/>
      <c r="F24" s="371"/>
      <c r="G24" s="371"/>
      <c r="H24" s="371"/>
      <c r="I24" s="371"/>
      <c r="J24" s="371"/>
    </row>
    <row r="25" spans="1:10">
      <c r="A25" s="360" t="s">
        <v>308</v>
      </c>
      <c r="B25" s="361">
        <f t="shared" ref="B25" si="11">B26</f>
        <v>0</v>
      </c>
      <c r="C25" s="431">
        <f>C26</f>
        <v>73559</v>
      </c>
    </row>
    <row r="26" spans="1:10" s="373" customFormat="1" ht="12">
      <c r="A26" s="366" t="s">
        <v>305</v>
      </c>
      <c r="B26" s="370"/>
      <c r="C26" s="432">
        <v>73559</v>
      </c>
      <c r="D26" s="371"/>
      <c r="E26" s="371"/>
      <c r="F26" s="371"/>
      <c r="G26" s="371"/>
      <c r="H26" s="371"/>
      <c r="I26" s="371"/>
      <c r="J26" s="371"/>
    </row>
    <row r="27" spans="1:10" ht="45">
      <c r="A27" s="360" t="s">
        <v>309</v>
      </c>
      <c r="B27" s="361">
        <f t="shared" ref="B27" si="12">SUM(B28:B30)</f>
        <v>3858.7139813875815</v>
      </c>
      <c r="C27" s="433">
        <f t="shared" ref="C27" si="13">SUM(C28:C30)</f>
        <v>22183</v>
      </c>
    </row>
    <row r="28" spans="1:10" s="373" customFormat="1" ht="12" hidden="1" customHeight="1">
      <c r="A28" s="366" t="s">
        <v>305</v>
      </c>
      <c r="B28" s="370"/>
      <c r="C28" s="434"/>
      <c r="D28" s="371"/>
      <c r="E28" s="371"/>
      <c r="F28" s="371"/>
      <c r="G28" s="371"/>
      <c r="H28" s="371"/>
      <c r="I28" s="371"/>
      <c r="J28" s="371"/>
    </row>
    <row r="29" spans="1:10" s="373" customFormat="1" ht="12">
      <c r="A29" s="366" t="s">
        <v>305</v>
      </c>
      <c r="B29" s="370"/>
      <c r="C29" s="434">
        <v>0</v>
      </c>
      <c r="D29" s="371"/>
      <c r="E29" s="371"/>
      <c r="F29" s="371"/>
      <c r="G29" s="371"/>
      <c r="H29" s="371"/>
      <c r="I29" s="371"/>
      <c r="J29" s="371"/>
    </row>
    <row r="30" spans="1:10" s="373" customFormat="1">
      <c r="A30" s="366" t="s">
        <v>299</v>
      </c>
      <c r="B30" s="370">
        <v>3858.7139813875815</v>
      </c>
      <c r="C30" s="434">
        <v>22183</v>
      </c>
      <c r="D30" s="357"/>
      <c r="E30" s="371"/>
      <c r="F30" s="443"/>
      <c r="G30" s="371"/>
      <c r="H30" s="371"/>
      <c r="I30" s="371"/>
      <c r="J30" s="371"/>
    </row>
    <row r="31" spans="1:10" hidden="1">
      <c r="A31" s="360" t="s">
        <v>310</v>
      </c>
      <c r="B31" s="361">
        <f t="shared" ref="B31:C31" si="14">B32</f>
        <v>0</v>
      </c>
      <c r="C31" s="361">
        <f t="shared" si="14"/>
        <v>0</v>
      </c>
    </row>
    <row r="32" spans="1:10" s="373" customFormat="1" ht="12" hidden="1">
      <c r="A32" s="366" t="s">
        <v>305</v>
      </c>
      <c r="B32" s="370"/>
      <c r="C32" s="370">
        <v>0</v>
      </c>
      <c r="D32" s="371"/>
      <c r="E32" s="371"/>
      <c r="F32" s="371"/>
      <c r="G32" s="371"/>
      <c r="H32" s="371"/>
      <c r="I32" s="371"/>
      <c r="J32" s="371"/>
    </row>
    <row r="33" spans="1:10" ht="30" hidden="1">
      <c r="A33" s="360" t="s">
        <v>311</v>
      </c>
      <c r="B33" s="361">
        <f t="shared" ref="B33:C37" si="15">B34</f>
        <v>0</v>
      </c>
      <c r="C33" s="361">
        <f t="shared" si="15"/>
        <v>0</v>
      </c>
    </row>
    <row r="34" spans="1:10" s="373" customFormat="1" ht="12" hidden="1">
      <c r="A34" s="366" t="s">
        <v>305</v>
      </c>
      <c r="B34" s="370"/>
      <c r="C34" s="370">
        <v>0</v>
      </c>
      <c r="D34" s="371"/>
      <c r="E34" s="371"/>
      <c r="F34" s="371"/>
      <c r="G34" s="371"/>
      <c r="H34" s="371"/>
      <c r="I34" s="371"/>
      <c r="J34" s="371"/>
    </row>
    <row r="35" spans="1:10" ht="30" hidden="1" customHeight="1">
      <c r="A35" s="360" t="s">
        <v>312</v>
      </c>
      <c r="B35" s="361">
        <f t="shared" si="15"/>
        <v>0</v>
      </c>
      <c r="C35" s="361">
        <f t="shared" si="15"/>
        <v>0</v>
      </c>
    </row>
    <row r="36" spans="1:10" s="373" customFormat="1" ht="12" hidden="1" customHeight="1">
      <c r="A36" s="366" t="s">
        <v>305</v>
      </c>
      <c r="B36" s="370"/>
      <c r="C36" s="370"/>
      <c r="D36" s="371"/>
      <c r="E36" s="371"/>
      <c r="F36" s="371"/>
      <c r="G36" s="371"/>
      <c r="H36" s="371"/>
      <c r="I36" s="371"/>
      <c r="J36" s="371"/>
    </row>
    <row r="37" spans="1:10" ht="15" hidden="1" customHeight="1">
      <c r="A37" s="374" t="s">
        <v>313</v>
      </c>
      <c r="B37" s="361">
        <f t="shared" si="15"/>
        <v>0</v>
      </c>
      <c r="C37" s="361">
        <f t="shared" si="15"/>
        <v>0</v>
      </c>
    </row>
    <row r="38" spans="1:10" s="373" customFormat="1" ht="12" hidden="1" customHeight="1">
      <c r="A38" s="366" t="s">
        <v>305</v>
      </c>
      <c r="B38" s="370"/>
      <c r="C38" s="370"/>
      <c r="D38" s="371"/>
      <c r="E38" s="371"/>
      <c r="F38" s="371"/>
      <c r="G38" s="371"/>
      <c r="H38" s="371"/>
      <c r="I38" s="371"/>
      <c r="J38" s="371"/>
    </row>
    <row r="39" spans="1:10" ht="6" customHeight="1"/>
    <row r="40" spans="1:10">
      <c r="A40" s="364" t="s">
        <v>314</v>
      </c>
      <c r="B40" s="365">
        <f t="shared" ref="B40" si="16">B41+B44+B51+B53+B64+B67</f>
        <v>0</v>
      </c>
      <c r="C40" s="365">
        <f>C41+C44+C51+C53+C64+C67</f>
        <v>596487.37000000011</v>
      </c>
    </row>
    <row r="41" spans="1:10" hidden="1">
      <c r="A41" s="375" t="s">
        <v>239</v>
      </c>
      <c r="B41" s="376">
        <v>0</v>
      </c>
      <c r="C41" s="376">
        <v>0</v>
      </c>
    </row>
    <row r="42" spans="1:10" ht="45" hidden="1">
      <c r="A42" s="360" t="s">
        <v>315</v>
      </c>
      <c r="B42" s="361">
        <v>0</v>
      </c>
      <c r="C42" s="361">
        <v>0</v>
      </c>
    </row>
    <row r="43" spans="1:10" hidden="1">
      <c r="A43" s="366" t="s">
        <v>305</v>
      </c>
      <c r="B43" s="370"/>
      <c r="C43" s="370">
        <v>0</v>
      </c>
    </row>
    <row r="44" spans="1:10" hidden="1">
      <c r="A44" s="375" t="s">
        <v>316</v>
      </c>
      <c r="B44" s="376">
        <v>0</v>
      </c>
      <c r="C44" s="376">
        <v>0</v>
      </c>
    </row>
    <row r="45" spans="1:10" ht="30" hidden="1">
      <c r="A45" s="360" t="s">
        <v>172</v>
      </c>
      <c r="B45" s="361">
        <v>0</v>
      </c>
      <c r="C45" s="361">
        <v>0</v>
      </c>
    </row>
    <row r="46" spans="1:10" hidden="1">
      <c r="A46" s="366" t="s">
        <v>305</v>
      </c>
      <c r="B46" s="370"/>
      <c r="C46" s="370">
        <v>0</v>
      </c>
    </row>
    <row r="47" spans="1:10" ht="30" hidden="1">
      <c r="A47" s="360" t="s">
        <v>173</v>
      </c>
      <c r="B47" s="361">
        <v>0</v>
      </c>
      <c r="C47" s="361">
        <v>0</v>
      </c>
    </row>
    <row r="48" spans="1:10" hidden="1">
      <c r="A48" s="366" t="s">
        <v>305</v>
      </c>
      <c r="B48" s="370"/>
      <c r="C48" s="370">
        <v>0</v>
      </c>
    </row>
    <row r="49" spans="1:4" hidden="1">
      <c r="A49" s="360" t="s">
        <v>160</v>
      </c>
      <c r="B49" s="361">
        <v>0</v>
      </c>
      <c r="C49" s="361">
        <v>0</v>
      </c>
    </row>
    <row r="50" spans="1:4" hidden="1">
      <c r="A50" s="366" t="s">
        <v>305</v>
      </c>
      <c r="B50" s="370"/>
      <c r="C50" s="370">
        <v>0</v>
      </c>
    </row>
    <row r="51" spans="1:4" ht="28.5" hidden="1">
      <c r="A51" s="375" t="s">
        <v>181</v>
      </c>
      <c r="B51" s="376">
        <v>0</v>
      </c>
      <c r="C51" s="376">
        <v>0</v>
      </c>
    </row>
    <row r="52" spans="1:4" hidden="1">
      <c r="A52" s="366" t="s">
        <v>317</v>
      </c>
      <c r="B52" s="377"/>
      <c r="C52" s="377">
        <v>0</v>
      </c>
    </row>
    <row r="53" spans="1:4">
      <c r="A53" s="375" t="s">
        <v>318</v>
      </c>
      <c r="B53" s="376">
        <v>0</v>
      </c>
      <c r="C53" s="376">
        <f>C54+C56+C58+C60+C62</f>
        <v>435191.37000000005</v>
      </c>
    </row>
    <row r="54" spans="1:4" ht="30" hidden="1">
      <c r="A54" s="360" t="s">
        <v>114</v>
      </c>
      <c r="B54" s="361">
        <v>0</v>
      </c>
      <c r="C54" s="361">
        <f>C55</f>
        <v>0</v>
      </c>
      <c r="D54" s="378"/>
    </row>
    <row r="55" spans="1:4" hidden="1">
      <c r="A55" s="366" t="s">
        <v>305</v>
      </c>
      <c r="B55" s="370"/>
      <c r="C55" s="370">
        <f>915-915</f>
        <v>0</v>
      </c>
    </row>
    <row r="56" spans="1:4" ht="30">
      <c r="A56" s="360" t="s">
        <v>115</v>
      </c>
      <c r="B56" s="361">
        <v>0</v>
      </c>
      <c r="C56" s="433">
        <f>C57</f>
        <v>305116.98000000004</v>
      </c>
    </row>
    <row r="57" spans="1:4">
      <c r="A57" s="366" t="s">
        <v>305</v>
      </c>
      <c r="B57" s="370"/>
      <c r="C57" s="434">
        <v>305116.98000000004</v>
      </c>
      <c r="D57" s="378"/>
    </row>
    <row r="58" spans="1:4" ht="60">
      <c r="A58" s="360" t="s">
        <v>134</v>
      </c>
      <c r="B58" s="361">
        <v>0</v>
      </c>
      <c r="C58" s="433">
        <f>C59</f>
        <v>52359.390000000007</v>
      </c>
    </row>
    <row r="59" spans="1:4">
      <c r="A59" s="366" t="s">
        <v>305</v>
      </c>
      <c r="B59" s="370"/>
      <c r="C59" s="434">
        <v>52359.390000000007</v>
      </c>
    </row>
    <row r="60" spans="1:4" ht="45" hidden="1">
      <c r="A60" s="360" t="s">
        <v>174</v>
      </c>
      <c r="B60" s="361">
        <v>0</v>
      </c>
      <c r="C60" s="361">
        <v>0</v>
      </c>
    </row>
    <row r="61" spans="1:4" hidden="1">
      <c r="A61" s="366" t="s">
        <v>305</v>
      </c>
      <c r="B61" s="370"/>
      <c r="C61" s="370">
        <v>0</v>
      </c>
    </row>
    <row r="62" spans="1:4" ht="45">
      <c r="A62" s="360" t="s">
        <v>175</v>
      </c>
      <c r="B62" s="361">
        <v>0</v>
      </c>
      <c r="C62" s="431">
        <f>C63</f>
        <v>77715</v>
      </c>
    </row>
    <row r="63" spans="1:4">
      <c r="A63" s="366" t="s">
        <v>319</v>
      </c>
      <c r="B63" s="370"/>
      <c r="C63" s="432">
        <v>77715</v>
      </c>
    </row>
    <row r="64" spans="1:4">
      <c r="A64" s="375" t="s">
        <v>320</v>
      </c>
      <c r="B64" s="376">
        <v>0</v>
      </c>
      <c r="C64" s="376">
        <f>C65</f>
        <v>130647</v>
      </c>
    </row>
    <row r="65" spans="1:4">
      <c r="A65" s="360" t="s">
        <v>176</v>
      </c>
      <c r="B65" s="361">
        <v>0</v>
      </c>
      <c r="C65" s="431">
        <f>C66</f>
        <v>130647</v>
      </c>
    </row>
    <row r="66" spans="1:4">
      <c r="A66" s="366" t="s">
        <v>305</v>
      </c>
      <c r="B66" s="370"/>
      <c r="C66" s="432">
        <v>130647</v>
      </c>
    </row>
    <row r="67" spans="1:4">
      <c r="A67" s="375" t="s">
        <v>321</v>
      </c>
      <c r="B67" s="376">
        <v>0</v>
      </c>
      <c r="C67" s="376">
        <f>C72</f>
        <v>30649</v>
      </c>
    </row>
    <row r="68" spans="1:4" hidden="1">
      <c r="A68" s="360" t="s">
        <v>177</v>
      </c>
      <c r="B68" s="361">
        <v>0</v>
      </c>
      <c r="C68" s="361">
        <v>0</v>
      </c>
    </row>
    <row r="69" spans="1:4" hidden="1">
      <c r="A69" s="366" t="s">
        <v>305</v>
      </c>
      <c r="B69" s="370"/>
      <c r="C69" s="370">
        <v>0</v>
      </c>
    </row>
    <row r="70" spans="1:4" hidden="1">
      <c r="A70" s="360" t="s">
        <v>143</v>
      </c>
      <c r="B70" s="361">
        <v>0</v>
      </c>
      <c r="C70" s="361">
        <v>0</v>
      </c>
    </row>
    <row r="71" spans="1:4" hidden="1">
      <c r="A71" s="366" t="s">
        <v>305</v>
      </c>
      <c r="B71" s="370"/>
      <c r="C71" s="370">
        <v>0</v>
      </c>
    </row>
    <row r="72" spans="1:4" ht="30">
      <c r="A72" s="360" t="s">
        <v>178</v>
      </c>
      <c r="B72" s="361">
        <v>0</v>
      </c>
      <c r="C72" s="431">
        <f>SUM(C73:C74)</f>
        <v>30649</v>
      </c>
    </row>
    <row r="73" spans="1:4">
      <c r="A73" s="366" t="s">
        <v>305</v>
      </c>
      <c r="B73" s="370"/>
      <c r="C73" s="432">
        <v>0</v>
      </c>
    </row>
    <row r="74" spans="1:4">
      <c r="A74" s="366" t="s">
        <v>322</v>
      </c>
      <c r="B74" s="370"/>
      <c r="C74" s="432">
        <v>30649</v>
      </c>
      <c r="D74" s="356"/>
    </row>
  </sheetData>
  <mergeCells count="2">
    <mergeCell ref="B4:C4"/>
    <mergeCell ref="A2:C2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F4A98-D5AE-419A-ADFD-E7B2AA10BACD}">
  <sheetPr>
    <tabColor theme="6" tint="0.79998168889431442"/>
  </sheetPr>
  <dimension ref="A1:N514"/>
  <sheetViews>
    <sheetView zoomScale="85" zoomScaleNormal="85" workbookViewId="0">
      <selection activeCell="M5" sqref="M5"/>
    </sheetView>
  </sheetViews>
  <sheetFormatPr defaultColWidth="9.140625" defaultRowHeight="15"/>
  <cols>
    <col min="1" max="1" width="7.85546875" style="54" customWidth="1"/>
    <col min="2" max="2" width="29.7109375" style="54" customWidth="1"/>
    <col min="3" max="3" width="11.5703125" style="54" customWidth="1"/>
    <col min="4" max="4" width="10.28515625" style="54" customWidth="1"/>
    <col min="5" max="5" width="11.85546875" style="60" customWidth="1"/>
    <col min="6" max="6" width="10" style="54" customWidth="1"/>
    <col min="7" max="7" width="13.42578125" style="54" bestFit="1" customWidth="1"/>
    <col min="8" max="8" width="15.28515625" style="54" customWidth="1"/>
    <col min="9" max="9" width="0" style="54" hidden="1" customWidth="1"/>
    <col min="10" max="10" width="9.140625" style="54"/>
    <col min="11" max="11" width="9.5703125" style="54" bestFit="1" customWidth="1"/>
    <col min="12" max="12" width="9.140625" style="54"/>
    <col min="13" max="13" width="28.5703125" style="54" customWidth="1"/>
    <col min="14" max="14" width="15.42578125" style="54" customWidth="1"/>
    <col min="15" max="15" width="14.5703125" style="54" customWidth="1"/>
    <col min="16" max="16" width="11.5703125" style="54" customWidth="1"/>
    <col min="17" max="18" width="9.140625" style="54"/>
    <col min="19" max="19" width="14.85546875" style="54" customWidth="1"/>
    <col min="20" max="16384" width="9.140625" style="54"/>
  </cols>
  <sheetData>
    <row r="1" spans="1:11" ht="21" customHeight="1">
      <c r="A1" s="52"/>
      <c r="B1" s="53"/>
      <c r="C1" s="53"/>
      <c r="D1" s="598"/>
      <c r="E1" s="598"/>
      <c r="G1" s="542" t="s">
        <v>442</v>
      </c>
      <c r="H1" s="542"/>
      <c r="I1" s="52"/>
      <c r="J1" s="52"/>
      <c r="K1" s="52"/>
    </row>
    <row r="2" spans="1:11" s="55" customFormat="1" ht="53.25" customHeight="1">
      <c r="A2" s="599" t="s">
        <v>230</v>
      </c>
      <c r="B2" s="599"/>
      <c r="C2" s="599"/>
      <c r="D2" s="599"/>
      <c r="E2" s="599"/>
      <c r="F2" s="599"/>
      <c r="G2" s="599"/>
      <c r="H2" s="599"/>
    </row>
    <row r="3" spans="1:11" s="55" customFormat="1" ht="16.5" thickBot="1">
      <c r="B3" s="127"/>
      <c r="C3" s="127"/>
      <c r="D3" s="127"/>
      <c r="E3" s="127"/>
      <c r="F3" s="127"/>
      <c r="G3" s="127"/>
      <c r="H3" s="136" t="s">
        <v>228</v>
      </c>
    </row>
    <row r="4" spans="1:11" s="56" customFormat="1" ht="16.5" customHeight="1">
      <c r="B4" s="582" t="s">
        <v>0</v>
      </c>
      <c r="C4" s="583"/>
      <c r="D4" s="583"/>
      <c r="E4" s="583"/>
      <c r="F4" s="583"/>
      <c r="G4" s="583"/>
      <c r="H4" s="584"/>
    </row>
    <row r="5" spans="1:11" s="57" customFormat="1" ht="36.75" customHeight="1">
      <c r="B5" s="590" t="s">
        <v>27</v>
      </c>
      <c r="C5" s="592" t="s">
        <v>28</v>
      </c>
      <c r="D5" s="594" t="s">
        <v>29</v>
      </c>
      <c r="E5" s="594" t="s">
        <v>30</v>
      </c>
      <c r="F5" s="594" t="s">
        <v>144</v>
      </c>
      <c r="G5" s="596" t="s">
        <v>31</v>
      </c>
      <c r="H5" s="580" t="s">
        <v>323</v>
      </c>
    </row>
    <row r="6" spans="1:11" s="57" customFormat="1" ht="36" customHeight="1" thickBot="1">
      <c r="B6" s="591"/>
      <c r="C6" s="593"/>
      <c r="D6" s="595"/>
      <c r="E6" s="595"/>
      <c r="F6" s="595"/>
      <c r="G6" s="597"/>
      <c r="H6" s="581"/>
    </row>
    <row r="7" spans="1:11" s="57" customFormat="1" ht="12" customHeight="1" thickBot="1">
      <c r="B7" s="585" t="s">
        <v>145</v>
      </c>
      <c r="C7" s="586"/>
      <c r="D7" s="586"/>
      <c r="E7" s="586"/>
      <c r="F7" s="586"/>
      <c r="G7" s="586"/>
      <c r="H7" s="144"/>
    </row>
    <row r="8" spans="1:11" s="58" customFormat="1" ht="53.25" customHeight="1">
      <c r="B8" s="613" t="s">
        <v>409</v>
      </c>
      <c r="C8" s="614"/>
      <c r="D8" s="614"/>
      <c r="E8" s="614"/>
      <c r="F8" s="614"/>
      <c r="G8" s="614"/>
      <c r="H8" s="615"/>
    </row>
    <row r="9" spans="1:11" s="130" customFormat="1">
      <c r="B9" s="603" t="s">
        <v>32</v>
      </c>
      <c r="C9" s="604"/>
      <c r="D9" s="604"/>
      <c r="E9" s="604"/>
      <c r="F9" s="604"/>
      <c r="G9" s="604"/>
      <c r="H9" s="605"/>
    </row>
    <row r="10" spans="1:11" s="130" customFormat="1">
      <c r="B10" s="13" t="s">
        <v>92</v>
      </c>
      <c r="C10" s="11"/>
      <c r="D10" s="12"/>
      <c r="E10" s="12"/>
      <c r="F10" s="12"/>
      <c r="G10" s="138"/>
      <c r="H10" s="146"/>
    </row>
    <row r="11" spans="1:11" s="130" customFormat="1">
      <c r="B11" s="160" t="s">
        <v>59</v>
      </c>
      <c r="C11" s="343">
        <v>0.5</v>
      </c>
      <c r="D11" s="110">
        <v>1647</v>
      </c>
      <c r="E11" s="44">
        <v>24.71</v>
      </c>
      <c r="F11" s="44">
        <v>165</v>
      </c>
      <c r="G11" s="135">
        <f>D11+E11+F11</f>
        <v>1836.71</v>
      </c>
      <c r="H11" s="120">
        <f>ROUND((D11+E11+F11)*('29_01_H_2020'!$O$10)*C11*12*(1+'29_01_H_2020'!$O$25),2)</f>
        <v>599.28</v>
      </c>
    </row>
    <row r="12" spans="1:11" s="130" customFormat="1">
      <c r="B12" s="160" t="s">
        <v>153</v>
      </c>
      <c r="C12" s="180">
        <v>0.7</v>
      </c>
      <c r="D12" s="110">
        <v>1647</v>
      </c>
      <c r="E12" s="44">
        <v>23.06</v>
      </c>
      <c r="F12" s="44">
        <v>247.1</v>
      </c>
      <c r="G12" s="135">
        <f t="shared" ref="G12:G13" si="0">D12+E12+F12</f>
        <v>1917.1599999999999</v>
      </c>
      <c r="H12" s="120">
        <f>ROUND((D12+E12+F12)*('29_01_H_2020'!$O$10)*C12*12*(1+'29_01_H_2020'!$O$25),2)</f>
        <v>875.74</v>
      </c>
    </row>
    <row r="13" spans="1:11" s="130" customFormat="1">
      <c r="B13" s="160" t="s">
        <v>153</v>
      </c>
      <c r="C13" s="180">
        <v>0.25</v>
      </c>
      <c r="D13" s="110">
        <v>1647</v>
      </c>
      <c r="E13" s="44"/>
      <c r="F13" s="44">
        <v>82.5</v>
      </c>
      <c r="G13" s="135">
        <f t="shared" si="0"/>
        <v>1729.5</v>
      </c>
      <c r="H13" s="120">
        <f>ROUND((D13+E13+F13)*('29_01_H_2020'!$O$10)*C13*12*(1+'29_01_H_2020'!$O$25),2)</f>
        <v>282.14999999999998</v>
      </c>
    </row>
    <row r="14" spans="1:11" s="130" customFormat="1" ht="62.25" customHeight="1">
      <c r="B14" s="10" t="s">
        <v>248</v>
      </c>
      <c r="C14" s="23"/>
      <c r="D14" s="14"/>
      <c r="E14" s="14"/>
      <c r="F14" s="14"/>
      <c r="G14" s="139"/>
      <c r="H14" s="146"/>
    </row>
    <row r="15" spans="1:11" s="130" customFormat="1">
      <c r="B15" s="162" t="s">
        <v>263</v>
      </c>
      <c r="C15" s="163">
        <v>1</v>
      </c>
      <c r="D15" s="164">
        <v>1382</v>
      </c>
      <c r="E15" s="164">
        <v>96.74</v>
      </c>
      <c r="F15" s="164">
        <v>270</v>
      </c>
      <c r="G15" s="135">
        <f>D15+E15+F15</f>
        <v>1748.74</v>
      </c>
      <c r="H15" s="120">
        <f>ROUND((D15+E15+F15)*('29_01_H_2020'!$O$10)*C15*12*(1+'29_01_H_2020'!$O$25),2)</f>
        <v>1141.1500000000001</v>
      </c>
    </row>
    <row r="16" spans="1:11" s="130" customFormat="1">
      <c r="B16" s="162" t="s">
        <v>264</v>
      </c>
      <c r="C16" s="163">
        <v>1</v>
      </c>
      <c r="D16" s="164">
        <v>1190</v>
      </c>
      <c r="E16" s="164">
        <v>47.6</v>
      </c>
      <c r="F16" s="164">
        <v>265</v>
      </c>
      <c r="G16" s="135">
        <f t="shared" ref="G16:G22" si="1">D16+E16+F16</f>
        <v>1502.6</v>
      </c>
      <c r="H16" s="120">
        <f>ROUND((D16+E16+F16)*('29_01_H_2020'!$O$10)*C16*12*(1+'29_01_H_2020'!$O$25),2)</f>
        <v>980.53</v>
      </c>
    </row>
    <row r="17" spans="2:8" s="130" customFormat="1">
      <c r="B17" s="162" t="s">
        <v>155</v>
      </c>
      <c r="C17" s="163">
        <v>1</v>
      </c>
      <c r="D17" s="164">
        <v>1287</v>
      </c>
      <c r="E17" s="164"/>
      <c r="F17" s="164">
        <v>265</v>
      </c>
      <c r="G17" s="135">
        <f t="shared" si="1"/>
        <v>1552</v>
      </c>
      <c r="H17" s="120">
        <f>ROUND((D17+E17+F17)*('29_01_H_2020'!$O$10)*C17*12*(1+'29_01_H_2020'!$O$25),2)</f>
        <v>1012.77</v>
      </c>
    </row>
    <row r="18" spans="2:8" s="130" customFormat="1">
      <c r="B18" s="162" t="s">
        <v>156</v>
      </c>
      <c r="C18" s="163">
        <v>1</v>
      </c>
      <c r="D18" s="164">
        <v>1190</v>
      </c>
      <c r="E18" s="164">
        <v>23.8</v>
      </c>
      <c r="F18" s="164">
        <v>265</v>
      </c>
      <c r="G18" s="135">
        <f t="shared" si="1"/>
        <v>1478.8</v>
      </c>
      <c r="H18" s="120">
        <f>ROUND((D18+E18+F18)*('29_01_H_2020'!$O$10)*C18*12*(1+'29_01_H_2020'!$O$25),2)</f>
        <v>965</v>
      </c>
    </row>
    <row r="19" spans="2:8" s="130" customFormat="1">
      <c r="B19" s="162" t="s">
        <v>156</v>
      </c>
      <c r="C19" s="163">
        <v>0.75</v>
      </c>
      <c r="D19" s="164">
        <v>1190</v>
      </c>
      <c r="E19" s="164"/>
      <c r="F19" s="164">
        <v>198.75</v>
      </c>
      <c r="G19" s="135">
        <f t="shared" si="1"/>
        <v>1388.75</v>
      </c>
      <c r="H19" s="120">
        <f>ROUND((D19+E19+F19)*('29_01_H_2020'!$O$10)*C19*12*(1+'29_01_H_2020'!$O$25),2)</f>
        <v>679.68</v>
      </c>
    </row>
    <row r="20" spans="2:8" s="130" customFormat="1" ht="25.5">
      <c r="B20" s="162" t="s">
        <v>157</v>
      </c>
      <c r="C20" s="163">
        <v>1</v>
      </c>
      <c r="D20" s="164">
        <v>1287</v>
      </c>
      <c r="E20" s="164">
        <v>64.349999999999994</v>
      </c>
      <c r="F20" s="164">
        <v>270</v>
      </c>
      <c r="G20" s="135">
        <f t="shared" si="1"/>
        <v>1621.35</v>
      </c>
      <c r="H20" s="120">
        <f>ROUND((D20+E20+F20)*('29_01_H_2020'!$O$10)*C20*12*(1+'29_01_H_2020'!$O$25),2)</f>
        <v>1058.02</v>
      </c>
    </row>
    <row r="21" spans="2:8" s="130" customFormat="1">
      <c r="B21" s="162" t="s">
        <v>158</v>
      </c>
      <c r="C21" s="163">
        <v>1</v>
      </c>
      <c r="D21" s="164">
        <v>1190</v>
      </c>
      <c r="E21" s="164"/>
      <c r="F21" s="164">
        <v>265</v>
      </c>
      <c r="G21" s="135">
        <f t="shared" si="1"/>
        <v>1455</v>
      </c>
      <c r="H21" s="120">
        <f>ROUND((D21+E21+F21)*('29_01_H_2020'!$O$10)*C21*12*(1+'29_01_H_2020'!$O$25),2)</f>
        <v>949.47</v>
      </c>
    </row>
    <row r="22" spans="2:8" s="130" customFormat="1">
      <c r="B22" s="162" t="s">
        <v>266</v>
      </c>
      <c r="C22" s="163">
        <v>0.2</v>
      </c>
      <c r="D22" s="164">
        <v>1190</v>
      </c>
      <c r="E22" s="164">
        <v>4.76</v>
      </c>
      <c r="F22" s="164">
        <v>53</v>
      </c>
      <c r="G22" s="135">
        <f t="shared" si="1"/>
        <v>1247.76</v>
      </c>
      <c r="H22" s="120">
        <f>ROUND((D22+E22+F22)*('29_01_H_2020'!$O$10)*C22*12*(1+'29_01_H_2020'!$O$25),2)</f>
        <v>162.85</v>
      </c>
    </row>
    <row r="23" spans="2:8" s="130" customFormat="1">
      <c r="B23" s="606" t="s">
        <v>82</v>
      </c>
      <c r="C23" s="607"/>
      <c r="D23" s="607"/>
      <c r="E23" s="607"/>
      <c r="F23" s="607"/>
      <c r="G23" s="607"/>
      <c r="H23" s="608"/>
    </row>
    <row r="24" spans="2:8" s="130" customFormat="1" ht="51">
      <c r="B24" s="17" t="s">
        <v>95</v>
      </c>
      <c r="C24" s="15"/>
      <c r="D24" s="14"/>
      <c r="E24" s="14"/>
      <c r="F24" s="14"/>
      <c r="G24" s="139"/>
      <c r="H24" s="146"/>
    </row>
    <row r="25" spans="2:8" s="130" customFormat="1">
      <c r="B25" s="342" t="s">
        <v>154</v>
      </c>
      <c r="C25" s="104">
        <v>1</v>
      </c>
      <c r="D25" s="44">
        <v>1237</v>
      </c>
      <c r="E25" s="44">
        <v>61.85</v>
      </c>
      <c r="F25" s="44">
        <v>218</v>
      </c>
      <c r="G25" s="135">
        <f t="shared" ref="G25" si="2">D25+E25+F25</f>
        <v>1516.85</v>
      </c>
      <c r="H25" s="149">
        <f>ROUND((D25+E25+F25)*('29_01_H_2020'!$O$10)*C25*12*(1+'29_01_H_2020'!$O$25),2)</f>
        <v>989.83</v>
      </c>
    </row>
    <row r="26" spans="2:8" s="130" customFormat="1">
      <c r="B26" s="342" t="s">
        <v>265</v>
      </c>
      <c r="C26" s="104">
        <v>1</v>
      </c>
      <c r="D26" s="44">
        <v>1237</v>
      </c>
      <c r="E26" s="44"/>
      <c r="F26" s="44">
        <v>218</v>
      </c>
      <c r="G26" s="135">
        <f t="shared" ref="G26:G31" si="3">D26+E26+F26</f>
        <v>1455</v>
      </c>
      <c r="H26" s="149">
        <f>ROUND((D26+E26+F26)*('29_01_H_2020'!$O$10)*C26*12*(1+'29_01_H_2020'!$O$25),2)</f>
        <v>949.47</v>
      </c>
    </row>
    <row r="27" spans="2:8" s="130" customFormat="1">
      <c r="B27" s="152" t="s">
        <v>139</v>
      </c>
      <c r="C27" s="104">
        <v>1</v>
      </c>
      <c r="D27" s="44">
        <v>1080</v>
      </c>
      <c r="E27" s="44">
        <v>54</v>
      </c>
      <c r="F27" s="44">
        <v>218</v>
      </c>
      <c r="G27" s="135">
        <f t="shared" si="3"/>
        <v>1352</v>
      </c>
      <c r="H27" s="149">
        <f>ROUND((D27+E27+F27)*('29_01_H_2020'!$O$10)*C27*12*(1+'29_01_H_2020'!$O$25),2)</f>
        <v>882.25</v>
      </c>
    </row>
    <row r="28" spans="2:8" s="130" customFormat="1">
      <c r="B28" s="152" t="s">
        <v>139</v>
      </c>
      <c r="C28" s="104">
        <v>1</v>
      </c>
      <c r="D28" s="44">
        <v>1080</v>
      </c>
      <c r="E28" s="44"/>
      <c r="F28" s="44">
        <v>218</v>
      </c>
      <c r="G28" s="135">
        <f t="shared" si="3"/>
        <v>1298</v>
      </c>
      <c r="H28" s="149">
        <f>ROUND((D28+E28+F28)*('29_01_H_2020'!$O$10)*C28*12*(1+'29_01_H_2020'!$O$25),2)</f>
        <v>847.02</v>
      </c>
    </row>
    <row r="29" spans="2:8" s="130" customFormat="1">
      <c r="B29" s="152" t="s">
        <v>121</v>
      </c>
      <c r="C29" s="104">
        <v>1</v>
      </c>
      <c r="D29" s="44">
        <v>1080</v>
      </c>
      <c r="E29" s="44"/>
      <c r="F29" s="44">
        <v>218</v>
      </c>
      <c r="G29" s="135">
        <f t="shared" si="3"/>
        <v>1298</v>
      </c>
      <c r="H29" s="149">
        <f>ROUND((D29+E29+F29)*('29_01_H_2020'!$O$10)*C29*12*(1+'29_01_H_2020'!$O$25),2)</f>
        <v>847.02</v>
      </c>
    </row>
    <row r="30" spans="2:8" s="130" customFormat="1">
      <c r="B30" s="152" t="s">
        <v>121</v>
      </c>
      <c r="C30" s="104">
        <v>1</v>
      </c>
      <c r="D30" s="44">
        <v>1080</v>
      </c>
      <c r="E30" s="44"/>
      <c r="F30" s="44">
        <v>218</v>
      </c>
      <c r="G30" s="135">
        <f t="shared" si="3"/>
        <v>1298</v>
      </c>
      <c r="H30" s="149">
        <f>ROUND((D30+E30+F30)*('29_01_H_2020'!$O$10)*C30*12*(1+'29_01_H_2020'!$O$25),2)</f>
        <v>847.02</v>
      </c>
    </row>
    <row r="31" spans="2:8" s="130" customFormat="1">
      <c r="B31" s="152" t="s">
        <v>121</v>
      </c>
      <c r="C31" s="104">
        <v>1</v>
      </c>
      <c r="D31" s="44">
        <v>1080</v>
      </c>
      <c r="E31" s="44"/>
      <c r="F31" s="44">
        <v>218</v>
      </c>
      <c r="G31" s="135">
        <f t="shared" si="3"/>
        <v>1298</v>
      </c>
      <c r="H31" s="149">
        <f>ROUND((D31+E31+F31)*('29_01_H_2020'!$O$10)*C31*12*(1+'29_01_H_2020'!$O$25),2)</f>
        <v>847.02</v>
      </c>
    </row>
    <row r="32" spans="2:8" s="130" customFormat="1" ht="63.75">
      <c r="B32" s="17" t="s">
        <v>97</v>
      </c>
      <c r="C32" s="15"/>
      <c r="D32" s="14"/>
      <c r="E32" s="14"/>
      <c r="F32" s="14"/>
      <c r="G32" s="139"/>
      <c r="H32" s="146"/>
    </row>
    <row r="33" spans="2:8" s="130" customFormat="1" ht="15.75" thickBot="1">
      <c r="B33" s="161" t="s">
        <v>410</v>
      </c>
      <c r="C33" s="153">
        <v>1</v>
      </c>
      <c r="D33" s="134">
        <v>980</v>
      </c>
      <c r="E33" s="134"/>
      <c r="F33" s="134"/>
      <c r="G33" s="135">
        <f t="shared" ref="G33" si="4">D33+E33+F33</f>
        <v>980</v>
      </c>
      <c r="H33" s="149">
        <f>ROUND((D33+E33+F33)*('29_01_H_2020'!$O$17)*C33*12*(1+'29_01_H_2020'!$O$25),2)</f>
        <v>0</v>
      </c>
    </row>
    <row r="34" spans="2:8" s="130" customFormat="1" ht="15.75" thickBot="1">
      <c r="B34" s="167" t="s">
        <v>146</v>
      </c>
      <c r="C34" s="168">
        <f>SUM(C25:C31,C15:C22,C11:C12:C13)</f>
        <v>15.399999999999999</v>
      </c>
      <c r="D34" s="169" t="s">
        <v>17</v>
      </c>
      <c r="E34" s="169" t="s">
        <v>17</v>
      </c>
      <c r="F34" s="169" t="s">
        <v>17</v>
      </c>
      <c r="G34" s="170" t="s">
        <v>17</v>
      </c>
      <c r="H34" s="183">
        <f>SUM(H25:H31,H15:H22,H11:H13,H33)</f>
        <v>14916.270000000002</v>
      </c>
    </row>
    <row r="35" spans="2:8" s="58" customFormat="1" ht="53.25" customHeight="1">
      <c r="B35" s="613" t="s">
        <v>267</v>
      </c>
      <c r="C35" s="614"/>
      <c r="D35" s="614"/>
      <c r="E35" s="614"/>
      <c r="F35" s="614"/>
      <c r="G35" s="614"/>
      <c r="H35" s="615"/>
    </row>
    <row r="36" spans="2:8" s="130" customFormat="1">
      <c r="B36" s="603" t="s">
        <v>32</v>
      </c>
      <c r="C36" s="604"/>
      <c r="D36" s="604"/>
      <c r="E36" s="604"/>
      <c r="F36" s="604"/>
      <c r="G36" s="604"/>
      <c r="H36" s="605"/>
    </row>
    <row r="37" spans="2:8" s="130" customFormat="1">
      <c r="B37" s="13" t="s">
        <v>92</v>
      </c>
      <c r="C37" s="11"/>
      <c r="D37" s="12"/>
      <c r="E37" s="12"/>
      <c r="F37" s="12"/>
      <c r="G37" s="138"/>
      <c r="H37" s="146"/>
    </row>
    <row r="38" spans="2:8" s="130" customFormat="1">
      <c r="B38" s="151" t="s">
        <v>116</v>
      </c>
      <c r="C38" s="102">
        <v>0.25</v>
      </c>
      <c r="D38" s="110">
        <v>1287</v>
      </c>
      <c r="E38" s="44"/>
      <c r="F38" s="44">
        <v>202</v>
      </c>
      <c r="G38" s="135">
        <f>D38+E38+F38</f>
        <v>1489</v>
      </c>
      <c r="H38" s="120">
        <f>ROUND((D38+E38+F38)*('29_01_H_2020'!$O$10)*C38*12*(1+'29_01_H_2020'!$O$25),2)</f>
        <v>242.91</v>
      </c>
    </row>
    <row r="39" spans="2:8" s="130" customFormat="1" ht="62.25" customHeight="1">
      <c r="B39" s="10" t="s">
        <v>248</v>
      </c>
      <c r="C39" s="23"/>
      <c r="D39" s="14"/>
      <c r="E39" s="14"/>
      <c r="F39" s="14"/>
      <c r="G39" s="139"/>
      <c r="H39" s="146"/>
    </row>
    <row r="40" spans="2:8" s="130" customFormat="1">
      <c r="B40" s="162" t="s">
        <v>129</v>
      </c>
      <c r="C40" s="163">
        <v>0.25</v>
      </c>
      <c r="D40" s="164">
        <v>1190</v>
      </c>
      <c r="E40" s="164"/>
      <c r="F40" s="164">
        <v>121</v>
      </c>
      <c r="G40" s="135">
        <f>D40+E40+F40</f>
        <v>1311</v>
      </c>
      <c r="H40" s="120">
        <f>ROUND((D40+E40+F40)*('29_01_H_2020'!$O$10)*C40*12*(1+'29_01_H_2020'!$O$25),2)</f>
        <v>213.87</v>
      </c>
    </row>
    <row r="41" spans="2:8" s="130" customFormat="1">
      <c r="B41" s="162" t="s">
        <v>119</v>
      </c>
      <c r="C41" s="163">
        <v>1</v>
      </c>
      <c r="D41" s="164">
        <v>1190</v>
      </c>
      <c r="E41" s="164"/>
      <c r="F41" s="164">
        <v>121</v>
      </c>
      <c r="G41" s="135">
        <f t="shared" ref="G41" si="5">D41+E41+F41</f>
        <v>1311</v>
      </c>
      <c r="H41" s="120">
        <f>ROUND((D41+E41+F41)*('29_01_H_2020'!$O$10)*C41*12*(1+'29_01_H_2020'!$O$25),2)</f>
        <v>855.5</v>
      </c>
    </row>
    <row r="42" spans="2:8" s="130" customFormat="1" ht="51">
      <c r="B42" s="13" t="s">
        <v>411</v>
      </c>
      <c r="C42" s="11"/>
      <c r="D42" s="12"/>
      <c r="E42" s="12"/>
      <c r="F42" s="12"/>
      <c r="G42" s="138"/>
      <c r="H42" s="146"/>
    </row>
    <row r="43" spans="2:8" s="130" customFormat="1">
      <c r="B43" s="161" t="s">
        <v>14</v>
      </c>
      <c r="C43" s="102">
        <v>1</v>
      </c>
      <c r="D43" s="110">
        <v>996</v>
      </c>
      <c r="E43" s="44"/>
      <c r="F43" s="44">
        <v>158</v>
      </c>
      <c r="G43" s="135">
        <f>D43+E43+F43</f>
        <v>1154</v>
      </c>
      <c r="H43" s="120">
        <f>ROUND((D43+E43+F43)*('29_01_H_2020'!$O$14)*C43*12*(1+'29_01_H_2020'!$O$25),2)</f>
        <v>811.24</v>
      </c>
    </row>
    <row r="44" spans="2:8" s="130" customFormat="1">
      <c r="B44" s="606" t="s">
        <v>82</v>
      </c>
      <c r="C44" s="607"/>
      <c r="D44" s="607"/>
      <c r="E44" s="607"/>
      <c r="F44" s="607"/>
      <c r="G44" s="607"/>
      <c r="H44" s="608"/>
    </row>
    <row r="45" spans="2:8" s="130" customFormat="1" ht="51">
      <c r="B45" s="17" t="s">
        <v>96</v>
      </c>
      <c r="C45" s="15"/>
      <c r="D45" s="14"/>
      <c r="E45" s="14"/>
      <c r="F45" s="14"/>
      <c r="G45" s="139"/>
      <c r="H45" s="146"/>
    </row>
    <row r="46" spans="2:8" s="130" customFormat="1">
      <c r="B46" s="342" t="s">
        <v>102</v>
      </c>
      <c r="C46" s="104">
        <v>0.5</v>
      </c>
      <c r="D46" s="44">
        <v>1200</v>
      </c>
      <c r="E46" s="44"/>
      <c r="F46" s="44"/>
      <c r="G46" s="135">
        <f t="shared" ref="G46:G47" si="6">D46+E46+F46</f>
        <v>1200</v>
      </c>
      <c r="H46" s="149">
        <f>ROUND((D46+E46+F46)*('29_01_H_2020'!$O$14)*C46*12*(1+'29_01_H_2020'!$O$25),2)</f>
        <v>421.79</v>
      </c>
    </row>
    <row r="47" spans="2:8" s="130" customFormat="1">
      <c r="B47" s="342" t="s">
        <v>247</v>
      </c>
      <c r="C47" s="104">
        <v>3.5</v>
      </c>
      <c r="D47" s="44">
        <v>896</v>
      </c>
      <c r="E47" s="44"/>
      <c r="F47" s="44">
        <v>128</v>
      </c>
      <c r="G47" s="135">
        <f t="shared" si="6"/>
        <v>1024</v>
      </c>
      <c r="H47" s="149">
        <f>ROUND((D47+E47+F47)*('29_01_H_2020'!$O$14)*C47*12*(1+'29_01_H_2020'!$O$25),2)</f>
        <v>2519.48</v>
      </c>
    </row>
    <row r="48" spans="2:8" s="130" customFormat="1" ht="38.25">
      <c r="B48" s="17" t="s">
        <v>420</v>
      </c>
      <c r="C48" s="15"/>
      <c r="D48" s="14"/>
      <c r="E48" s="14"/>
      <c r="F48" s="14"/>
      <c r="G48" s="139"/>
      <c r="H48" s="146"/>
    </row>
    <row r="49" spans="1:8" s="130" customFormat="1" ht="15.75" thickBot="1">
      <c r="B49" s="161" t="s">
        <v>268</v>
      </c>
      <c r="C49" s="153">
        <v>5</v>
      </c>
      <c r="D49" s="134">
        <v>628</v>
      </c>
      <c r="E49" s="134"/>
      <c r="F49" s="134">
        <v>96</v>
      </c>
      <c r="G49" s="135">
        <f t="shared" ref="G49" si="7">D49+E49+F49</f>
        <v>724</v>
      </c>
      <c r="H49" s="149">
        <f>ROUND((D49+E49+F49)*('29_01_H_2020'!$O$17)*C49*12*(1+'29_01_H_2020'!$O$25),2)</f>
        <v>0</v>
      </c>
    </row>
    <row r="50" spans="1:8" s="130" customFormat="1" ht="15.75" thickBot="1">
      <c r="B50" s="167" t="s">
        <v>146</v>
      </c>
      <c r="C50" s="168">
        <f>SUM(C46:C47,C40:C41,C38:C38,C43,C49)</f>
        <v>11.5</v>
      </c>
      <c r="D50" s="169" t="s">
        <v>17</v>
      </c>
      <c r="E50" s="169" t="s">
        <v>17</v>
      </c>
      <c r="F50" s="169" t="s">
        <v>17</v>
      </c>
      <c r="G50" s="170" t="s">
        <v>17</v>
      </c>
      <c r="H50" s="344">
        <f>SUM(H46:H47,H40:H41,H38:H38,H43,H49)</f>
        <v>5064.79</v>
      </c>
    </row>
    <row r="51" spans="1:8" s="58" customFormat="1" ht="53.25" customHeight="1">
      <c r="B51" s="616" t="s">
        <v>147</v>
      </c>
      <c r="C51" s="617"/>
      <c r="D51" s="617"/>
      <c r="E51" s="617"/>
      <c r="F51" s="617"/>
      <c r="G51" s="617"/>
      <c r="H51" s="618"/>
    </row>
    <row r="52" spans="1:8">
      <c r="B52" s="603" t="s">
        <v>32</v>
      </c>
      <c r="C52" s="604"/>
      <c r="D52" s="604"/>
      <c r="E52" s="604"/>
      <c r="F52" s="604"/>
      <c r="G52" s="604"/>
      <c r="H52" s="605"/>
    </row>
    <row r="53" spans="1:8">
      <c r="B53" s="13" t="s">
        <v>92</v>
      </c>
      <c r="C53" s="11"/>
      <c r="D53" s="12"/>
      <c r="E53" s="12"/>
      <c r="F53" s="12"/>
      <c r="G53" s="138"/>
      <c r="H53" s="146"/>
    </row>
    <row r="54" spans="1:8">
      <c r="A54" s="130"/>
      <c r="B54" s="160" t="s">
        <v>116</v>
      </c>
      <c r="C54" s="102">
        <v>0.5</v>
      </c>
      <c r="D54" s="110">
        <v>1880</v>
      </c>
      <c r="E54" s="44">
        <v>75.2</v>
      </c>
      <c r="F54" s="44">
        <v>124</v>
      </c>
      <c r="G54" s="135">
        <f>D54+E54+F54</f>
        <v>2079.1999999999998</v>
      </c>
      <c r="H54" s="120">
        <f>ROUND((D54+E54+F54)*('29_01_H_2020'!$O$10)*C54*12*(1+'29_01_H_2020'!$O$25),2)</f>
        <v>678.4</v>
      </c>
    </row>
    <row r="55" spans="1:8" ht="51" customHeight="1">
      <c r="B55" s="10" t="s">
        <v>249</v>
      </c>
      <c r="C55" s="23"/>
      <c r="D55" s="14"/>
      <c r="E55" s="14"/>
      <c r="F55" s="14"/>
      <c r="G55" s="139"/>
      <c r="H55" s="146"/>
    </row>
    <row r="56" spans="1:8" s="130" customFormat="1">
      <c r="B56" s="162" t="s">
        <v>102</v>
      </c>
      <c r="C56" s="163">
        <v>1</v>
      </c>
      <c r="D56" s="164">
        <v>1315</v>
      </c>
      <c r="E56" s="164">
        <v>52.6</v>
      </c>
      <c r="F56" s="164">
        <v>65.75</v>
      </c>
      <c r="G56" s="135">
        <f>D56+E56+F56</f>
        <v>1433.35</v>
      </c>
      <c r="H56" s="120">
        <f>ROUND((D56+E56+F56)*('29_01_H_2020'!$O$14)*C56*12*(1+'29_01_H_2020'!$O$25),2)</f>
        <v>1007.62</v>
      </c>
    </row>
    <row r="57" spans="1:8" s="130" customFormat="1">
      <c r="B57" s="162" t="s">
        <v>247</v>
      </c>
      <c r="C57" s="163">
        <v>2</v>
      </c>
      <c r="D57" s="164">
        <v>1122</v>
      </c>
      <c r="E57" s="164">
        <v>44.88</v>
      </c>
      <c r="F57" s="164">
        <v>254.57</v>
      </c>
      <c r="G57" s="135">
        <f t="shared" ref="G57:G58" si="8">D57+E57+F57</f>
        <v>1421.45</v>
      </c>
      <c r="H57" s="120">
        <f>ROUND((D57+E57+F57)*('29_01_H_2020'!$O$14)*C57*12*(1+'29_01_H_2020'!$O$25),2)</f>
        <v>1998.5</v>
      </c>
    </row>
    <row r="58" spans="1:8" s="130" customFormat="1">
      <c r="B58" s="162" t="s">
        <v>247</v>
      </c>
      <c r="C58" s="163">
        <v>1</v>
      </c>
      <c r="D58" s="164">
        <v>1086</v>
      </c>
      <c r="E58" s="164">
        <v>43.44</v>
      </c>
      <c r="F58" s="164">
        <v>223.33</v>
      </c>
      <c r="G58" s="135">
        <f t="shared" si="8"/>
        <v>1352.77</v>
      </c>
      <c r="H58" s="120">
        <f>ROUND((D58+E58+F58)*('29_01_H_2020'!$O$14)*C58*12*(1+'29_01_H_2020'!$O$25),2)</f>
        <v>950.97</v>
      </c>
    </row>
    <row r="59" spans="1:8">
      <c r="A59" s="130"/>
      <c r="B59" s="606" t="s">
        <v>82</v>
      </c>
      <c r="C59" s="607"/>
      <c r="D59" s="607"/>
      <c r="E59" s="607"/>
      <c r="F59" s="607"/>
      <c r="G59" s="607"/>
      <c r="H59" s="608"/>
    </row>
    <row r="60" spans="1:8" ht="51">
      <c r="B60" s="17" t="s">
        <v>96</v>
      </c>
      <c r="C60" s="15"/>
      <c r="D60" s="14"/>
      <c r="E60" s="14"/>
      <c r="F60" s="14"/>
      <c r="G60" s="139"/>
      <c r="H60" s="146"/>
    </row>
    <row r="61" spans="1:8">
      <c r="B61" s="156" t="s">
        <v>247</v>
      </c>
      <c r="C61" s="104">
        <v>1.5</v>
      </c>
      <c r="D61" s="44">
        <v>1090</v>
      </c>
      <c r="E61" s="44">
        <v>43.6</v>
      </c>
      <c r="F61" s="44">
        <v>210.76</v>
      </c>
      <c r="G61" s="135">
        <f t="shared" ref="G61:G62" si="9">D61+E61+F61</f>
        <v>1344.36</v>
      </c>
      <c r="H61" s="149">
        <f>ROUND((D61+E61+F61)*('29_01_H_2020'!$O$14)*C61*12*(1+'29_01_H_2020'!$O$25),2)</f>
        <v>1417.59</v>
      </c>
    </row>
    <row r="62" spans="1:8" ht="15.75" thickBot="1">
      <c r="A62" s="130"/>
      <c r="B62" s="156" t="s">
        <v>14</v>
      </c>
      <c r="C62" s="104">
        <v>1</v>
      </c>
      <c r="D62" s="44">
        <v>1054</v>
      </c>
      <c r="E62" s="44"/>
      <c r="F62" s="44">
        <v>203.8</v>
      </c>
      <c r="G62" s="135">
        <f t="shared" si="9"/>
        <v>1257.8</v>
      </c>
      <c r="H62" s="149">
        <f>ROUND((D62+E62+F62)*('29_01_H_2020'!$O$14)*C62*12*(1+'29_01_H_2020'!$O$25),2)</f>
        <v>884.21</v>
      </c>
    </row>
    <row r="63" spans="1:8" s="130" customFormat="1" ht="15.75" thickBot="1">
      <c r="B63" s="167" t="s">
        <v>146</v>
      </c>
      <c r="C63" s="168">
        <f>SUM(C61:C62,C56:C58,C54)</f>
        <v>7</v>
      </c>
      <c r="D63" s="169" t="s">
        <v>17</v>
      </c>
      <c r="E63" s="169" t="s">
        <v>17</v>
      </c>
      <c r="F63" s="169" t="s">
        <v>17</v>
      </c>
      <c r="G63" s="170" t="s">
        <v>17</v>
      </c>
      <c r="H63" s="183">
        <f>SUM(H61:H62,H56:H58,H54)</f>
        <v>6937.29</v>
      </c>
    </row>
    <row r="64" spans="1:8" ht="53.25" customHeight="1" thickBot="1">
      <c r="A64" s="130"/>
      <c r="B64" s="600" t="s">
        <v>150</v>
      </c>
      <c r="C64" s="601"/>
      <c r="D64" s="601"/>
      <c r="E64" s="601"/>
      <c r="F64" s="601"/>
      <c r="G64" s="601"/>
      <c r="H64" s="602"/>
    </row>
    <row r="65" spans="1:8" ht="15.75" thickBot="1">
      <c r="A65" s="130"/>
      <c r="B65" s="609" t="s">
        <v>32</v>
      </c>
      <c r="C65" s="610"/>
      <c r="D65" s="610"/>
      <c r="E65" s="610"/>
      <c r="F65" s="610"/>
      <c r="G65" s="610"/>
      <c r="H65" s="611"/>
    </row>
    <row r="66" spans="1:8">
      <c r="A66" s="130"/>
      <c r="B66" s="13" t="s">
        <v>92</v>
      </c>
      <c r="C66" s="11"/>
      <c r="D66" s="12"/>
      <c r="E66" s="12"/>
      <c r="F66" s="12"/>
      <c r="G66" s="138"/>
      <c r="H66" s="203"/>
    </row>
    <row r="67" spans="1:8">
      <c r="B67" s="160" t="s">
        <v>116</v>
      </c>
      <c r="C67" s="153">
        <v>1</v>
      </c>
      <c r="D67" s="307"/>
      <c r="E67" s="154"/>
      <c r="F67" s="154">
        <v>100</v>
      </c>
      <c r="G67" s="135">
        <f>F67</f>
        <v>100</v>
      </c>
      <c r="H67" s="120">
        <f>ROUND((D67+E67+F67)*('29_01_H_2020'!$O$10)*C67*12*(1+'29_01_H_2020'!$O$25),2)</f>
        <v>65.260000000000005</v>
      </c>
    </row>
    <row r="68" spans="1:8" ht="54" customHeight="1">
      <c r="B68" s="10" t="s">
        <v>248</v>
      </c>
      <c r="C68" s="23"/>
      <c r="D68" s="14"/>
      <c r="E68" s="14"/>
      <c r="F68" s="14"/>
      <c r="G68" s="139"/>
      <c r="H68" s="146"/>
    </row>
    <row r="69" spans="1:8">
      <c r="B69" s="160" t="s">
        <v>119</v>
      </c>
      <c r="C69" s="163">
        <v>0.5</v>
      </c>
      <c r="D69" s="164">
        <v>1722</v>
      </c>
      <c r="E69" s="164">
        <v>172.2</v>
      </c>
      <c r="F69" s="178">
        <v>86.1</v>
      </c>
      <c r="G69" s="165">
        <f>D69+E69+F69</f>
        <v>1980.3</v>
      </c>
      <c r="H69" s="120">
        <f>ROUND((D69+E69+F69)*('29_01_H_2020'!$O$10)*C69*12*(1+'29_01_H_2020'!$O$25),2)</f>
        <v>646.13</v>
      </c>
    </row>
    <row r="70" spans="1:8">
      <c r="A70" s="130"/>
      <c r="B70" s="160" t="s">
        <v>129</v>
      </c>
      <c r="C70" s="308">
        <v>0.25</v>
      </c>
      <c r="D70" s="164">
        <v>1722</v>
      </c>
      <c r="E70" s="164">
        <v>172.2</v>
      </c>
      <c r="F70" s="178">
        <v>86.1</v>
      </c>
      <c r="G70" s="165">
        <f>D70+E70+F70</f>
        <v>1980.3</v>
      </c>
      <c r="H70" s="120">
        <f>ROUND((D70+E70+F70)*('29_01_H_2020'!$O$10)*C70*12*(1+'29_01_H_2020'!$O$25),2)</f>
        <v>323.06</v>
      </c>
    </row>
    <row r="71" spans="1:8" ht="51">
      <c r="B71" s="10" t="s">
        <v>249</v>
      </c>
      <c r="C71" s="24"/>
      <c r="D71" s="14"/>
      <c r="E71" s="14"/>
      <c r="F71" s="14"/>
      <c r="G71" s="139"/>
      <c r="H71" s="204"/>
    </row>
    <row r="72" spans="1:8">
      <c r="A72" s="130"/>
      <c r="B72" s="129" t="s">
        <v>102</v>
      </c>
      <c r="C72" s="163">
        <v>1</v>
      </c>
      <c r="D72" s="164">
        <v>1510</v>
      </c>
      <c r="E72" s="164">
        <v>151</v>
      </c>
      <c r="F72" s="178">
        <v>75.5</v>
      </c>
      <c r="G72" s="165">
        <f>D72+E72+F72</f>
        <v>1736.5</v>
      </c>
      <c r="H72" s="120">
        <f>ROUND((D72+E72+F72)*('29_01_H_2020'!$O$14)*C72*12*(1+'29_01_H_2020'!$O$25),2)</f>
        <v>1220.72</v>
      </c>
    </row>
    <row r="73" spans="1:8" s="130" customFormat="1">
      <c r="B73" s="129" t="s">
        <v>14</v>
      </c>
      <c r="C73" s="163">
        <v>1</v>
      </c>
      <c r="D73" s="164">
        <v>1165</v>
      </c>
      <c r="E73" s="164">
        <v>116.5</v>
      </c>
      <c r="F73" s="178">
        <v>58.25</v>
      </c>
      <c r="G73" s="165">
        <f t="shared" ref="G73:G74" si="10">D73+E73+F73</f>
        <v>1339.75</v>
      </c>
      <c r="H73" s="120">
        <f>ROUND((D73+E73+F73)*('29_01_H_2020'!$O$14)*C73*12*(1+'29_01_H_2020'!$O$25),2)</f>
        <v>941.82</v>
      </c>
    </row>
    <row r="74" spans="1:8">
      <c r="A74" s="130"/>
      <c r="B74" s="160" t="s">
        <v>120</v>
      </c>
      <c r="C74" s="163">
        <v>3</v>
      </c>
      <c r="D74" s="164">
        <v>1170</v>
      </c>
      <c r="E74" s="164">
        <v>117</v>
      </c>
      <c r="F74" s="178">
        <v>58.5</v>
      </c>
      <c r="G74" s="165">
        <f t="shared" si="10"/>
        <v>1345.5</v>
      </c>
      <c r="H74" s="120">
        <f>ROUND((D74+E74+F74)*('29_01_H_2020'!$O$14)*C74*12*(1+'29_01_H_2020'!$O$25),2)</f>
        <v>2837.58</v>
      </c>
    </row>
    <row r="75" spans="1:8">
      <c r="B75" s="606" t="s">
        <v>82</v>
      </c>
      <c r="C75" s="607"/>
      <c r="D75" s="607"/>
      <c r="E75" s="607"/>
      <c r="F75" s="607"/>
      <c r="G75" s="607"/>
      <c r="H75" s="612"/>
    </row>
    <row r="76" spans="1:8" ht="50.25" customHeight="1">
      <c r="B76" s="17" t="s">
        <v>96</v>
      </c>
      <c r="C76" s="15"/>
      <c r="D76" s="14"/>
      <c r="E76" s="14"/>
      <c r="F76" s="14"/>
      <c r="G76" s="139"/>
      <c r="H76" s="146"/>
    </row>
    <row r="77" spans="1:8" ht="15.75" thickBot="1">
      <c r="B77" s="156" t="s">
        <v>247</v>
      </c>
      <c r="C77" s="104">
        <v>1.8</v>
      </c>
      <c r="D77" s="44">
        <v>1060</v>
      </c>
      <c r="E77" s="44">
        <v>106</v>
      </c>
      <c r="F77" s="44">
        <v>53</v>
      </c>
      <c r="G77" s="165">
        <f t="shared" ref="G77" si="11">D77+E77+F77</f>
        <v>1219</v>
      </c>
      <c r="H77" s="182">
        <f>ROUND((D77+E77+F77)*('29_01_H_2020'!$O$14)*C77*12*(1+'29_01_H_2020'!$O$25),2)</f>
        <v>1542.48</v>
      </c>
    </row>
    <row r="78" spans="1:8" ht="15.75" thickBot="1">
      <c r="A78" s="130"/>
      <c r="B78" s="167" t="s">
        <v>146</v>
      </c>
      <c r="C78" s="168">
        <f>SUM(C67,C69:C70,C72:C74,C77)</f>
        <v>8.5500000000000007</v>
      </c>
      <c r="D78" s="169" t="s">
        <v>17</v>
      </c>
      <c r="E78" s="169" t="s">
        <v>17</v>
      </c>
      <c r="F78" s="169" t="s">
        <v>17</v>
      </c>
      <c r="G78" s="170" t="s">
        <v>17</v>
      </c>
      <c r="H78" s="183">
        <f>SUM(H67,H69:H70,H72:H74,H77)</f>
        <v>7577.0499999999993</v>
      </c>
    </row>
    <row r="79" spans="1:8" ht="48.75" customHeight="1" thickBot="1">
      <c r="A79" s="130"/>
      <c r="B79" s="600" t="s">
        <v>250</v>
      </c>
      <c r="C79" s="601"/>
      <c r="D79" s="601"/>
      <c r="E79" s="601"/>
      <c r="F79" s="601"/>
      <c r="G79" s="601"/>
      <c r="H79" s="602"/>
    </row>
    <row r="80" spans="1:8" ht="15.75" thickBot="1">
      <c r="A80" s="130"/>
      <c r="B80" s="609" t="s">
        <v>32</v>
      </c>
      <c r="C80" s="610"/>
      <c r="D80" s="610"/>
      <c r="E80" s="610"/>
      <c r="F80" s="610"/>
      <c r="G80" s="610"/>
      <c r="H80" s="611"/>
    </row>
    <row r="81" spans="1:8" ht="51">
      <c r="B81" s="10" t="s">
        <v>248</v>
      </c>
      <c r="C81" s="23"/>
      <c r="D81" s="14"/>
      <c r="E81" s="14"/>
      <c r="F81" s="14"/>
      <c r="G81" s="139"/>
      <c r="H81" s="203"/>
    </row>
    <row r="82" spans="1:8">
      <c r="A82" s="130"/>
      <c r="B82" s="160" t="s">
        <v>129</v>
      </c>
      <c r="C82" s="163">
        <v>1</v>
      </c>
      <c r="D82" s="164">
        <v>1311</v>
      </c>
      <c r="E82" s="178"/>
      <c r="F82" s="164">
        <v>20</v>
      </c>
      <c r="G82" s="165">
        <f>D82+E82+F82</f>
        <v>1331</v>
      </c>
      <c r="H82" s="120">
        <f>ROUND((D82+E82+F82)*('29_01_H_2020'!$O$10)*C82*12*(1+'29_01_H_2020'!$O$25),2)</f>
        <v>868.55</v>
      </c>
    </row>
    <row r="83" spans="1:8">
      <c r="A83" s="130"/>
      <c r="B83" s="160" t="s">
        <v>251</v>
      </c>
      <c r="C83" s="308">
        <v>0.75</v>
      </c>
      <c r="D83" s="164">
        <v>1311</v>
      </c>
      <c r="E83" s="164">
        <v>26.22</v>
      </c>
      <c r="F83" s="164">
        <v>20</v>
      </c>
      <c r="G83" s="165">
        <f>D83+E83+F83</f>
        <v>1357.22</v>
      </c>
      <c r="H83" s="120">
        <f>ROUND((D83+E83+F83)*('29_01_H_2020'!$O$10)*C83*12*(1+'29_01_H_2020'!$O$25),2)</f>
        <v>664.25</v>
      </c>
    </row>
    <row r="84" spans="1:8" ht="51">
      <c r="A84" s="130"/>
      <c r="B84" s="10" t="s">
        <v>249</v>
      </c>
      <c r="C84" s="24"/>
      <c r="D84" s="14"/>
      <c r="E84" s="14"/>
      <c r="F84" s="14"/>
      <c r="G84" s="139"/>
      <c r="H84" s="204"/>
    </row>
    <row r="85" spans="1:8">
      <c r="A85" s="130"/>
      <c r="B85" s="161" t="s">
        <v>252</v>
      </c>
      <c r="C85" s="163">
        <v>1</v>
      </c>
      <c r="D85" s="164">
        <v>1079</v>
      </c>
      <c r="E85" s="164">
        <v>21.58</v>
      </c>
      <c r="F85" s="164">
        <v>20</v>
      </c>
      <c r="G85" s="165">
        <f>D85+E85+F85</f>
        <v>1120.58</v>
      </c>
      <c r="H85" s="120">
        <f>ROUND((D85+E85+F85)*('29_01_H_2020'!$O$14)*C85*12*(1+'29_01_H_2020'!$O$25),2)</f>
        <v>787.75</v>
      </c>
    </row>
    <row r="86" spans="1:8" ht="25.5">
      <c r="A86" s="130"/>
      <c r="B86" s="171" t="s">
        <v>253</v>
      </c>
      <c r="C86" s="163">
        <v>1</v>
      </c>
      <c r="D86" s="164">
        <v>1409</v>
      </c>
      <c r="E86" s="164">
        <v>112.72</v>
      </c>
      <c r="F86" s="164">
        <v>20</v>
      </c>
      <c r="G86" s="165">
        <f t="shared" ref="G86:G91" si="12">D86+E86+F86</f>
        <v>1541.72</v>
      </c>
      <c r="H86" s="120">
        <f>ROUND((D86+E86+F86)*('29_01_H_2020'!$O$14)*C86*12*(1+'29_01_H_2020'!$O$25),2)</f>
        <v>1083.8</v>
      </c>
    </row>
    <row r="87" spans="1:8">
      <c r="A87" s="130"/>
      <c r="B87" s="207" t="s">
        <v>120</v>
      </c>
      <c r="C87" s="172">
        <v>3</v>
      </c>
      <c r="D87" s="172">
        <v>985</v>
      </c>
      <c r="E87" s="172">
        <v>78.8</v>
      </c>
      <c r="F87" s="172">
        <v>199.44</v>
      </c>
      <c r="G87" s="165">
        <f t="shared" si="12"/>
        <v>1263.24</v>
      </c>
      <c r="H87" s="120">
        <f>ROUND((D87+E87+F87)*('29_01_H_2020'!$O$14)*C87*12*(1+'29_01_H_2020'!$O$25),2)</f>
        <v>2664.1</v>
      </c>
    </row>
    <row r="88" spans="1:8" s="130" customFormat="1">
      <c r="B88" s="207" t="s">
        <v>120</v>
      </c>
      <c r="C88" s="172">
        <v>1</v>
      </c>
      <c r="D88" s="172">
        <v>985</v>
      </c>
      <c r="E88" s="172">
        <v>19.7</v>
      </c>
      <c r="F88" s="172">
        <v>198.39</v>
      </c>
      <c r="G88" s="165">
        <f t="shared" si="12"/>
        <v>1203.0900000000001</v>
      </c>
      <c r="H88" s="120">
        <f>ROUND((D88+E88+F88)*('29_01_H_2020'!$O$14)*C88*12*(1+'29_01_H_2020'!$O$25),2)</f>
        <v>845.75</v>
      </c>
    </row>
    <row r="89" spans="1:8">
      <c r="A89" s="130"/>
      <c r="B89" s="207" t="s">
        <v>120</v>
      </c>
      <c r="C89" s="172">
        <v>2</v>
      </c>
      <c r="D89" s="172">
        <v>1010</v>
      </c>
      <c r="E89" s="172">
        <v>40.4</v>
      </c>
      <c r="F89" s="172">
        <v>167.01</v>
      </c>
      <c r="G89" s="165">
        <f t="shared" si="12"/>
        <v>1217.4100000000001</v>
      </c>
      <c r="H89" s="120">
        <f>ROUND((D89+E89+F89)*('29_01_H_2020'!$O$14)*C89*12*(1+'29_01_H_2020'!$O$25),2)</f>
        <v>1711.63</v>
      </c>
    </row>
    <row r="90" spans="1:8">
      <c r="A90" s="130"/>
      <c r="B90" s="207" t="s">
        <v>120</v>
      </c>
      <c r="C90" s="172">
        <v>2</v>
      </c>
      <c r="D90" s="172">
        <v>1010</v>
      </c>
      <c r="E90" s="172">
        <v>20.2</v>
      </c>
      <c r="F90" s="172">
        <v>169.07</v>
      </c>
      <c r="G90" s="165">
        <f t="shared" si="12"/>
        <v>1199.27</v>
      </c>
      <c r="H90" s="120">
        <f>ROUND((D90+E90+F90)*('29_01_H_2020'!$O$14)*C90*12*(1+'29_01_H_2020'!$O$25),2)</f>
        <v>1686.13</v>
      </c>
    </row>
    <row r="91" spans="1:8">
      <c r="B91" s="207" t="s">
        <v>120</v>
      </c>
      <c r="C91" s="172">
        <v>2</v>
      </c>
      <c r="D91" s="172">
        <v>1010</v>
      </c>
      <c r="E91" s="172">
        <v>80.8</v>
      </c>
      <c r="F91" s="172">
        <v>199.35</v>
      </c>
      <c r="G91" s="165">
        <f t="shared" si="12"/>
        <v>1290.1499999999999</v>
      </c>
      <c r="H91" s="120">
        <f>ROUND((D91+E91+F91)*('29_01_H_2020'!$O$14)*C91*12*(1+'29_01_H_2020'!$O$25),2)</f>
        <v>1813.9</v>
      </c>
    </row>
    <row r="92" spans="1:8" ht="63.75">
      <c r="A92" s="130"/>
      <c r="B92" s="17" t="s">
        <v>93</v>
      </c>
      <c r="C92" s="24"/>
      <c r="D92" s="14"/>
      <c r="E92" s="14"/>
      <c r="F92" s="14"/>
      <c r="G92" s="139"/>
      <c r="H92" s="206"/>
    </row>
    <row r="93" spans="1:8" ht="15.75" thickBot="1">
      <c r="A93" s="130"/>
      <c r="B93" s="161" t="s">
        <v>254</v>
      </c>
      <c r="C93" s="153">
        <v>1</v>
      </c>
      <c r="D93" s="309">
        <v>1004</v>
      </c>
      <c r="E93" s="134">
        <v>80.319999999999993</v>
      </c>
      <c r="F93" s="134">
        <v>20</v>
      </c>
      <c r="G93" s="165">
        <f t="shared" ref="G93" si="13">D93+E93+F93</f>
        <v>1104.32</v>
      </c>
      <c r="H93" s="205">
        <f>ROUND((D93+E93+F93)*('29_01_H_2020'!$O$14)*C93*12*(1+'29_01_H_2020'!$O$25),2)</f>
        <v>776.31</v>
      </c>
    </row>
    <row r="94" spans="1:8" ht="15.75" thickBot="1">
      <c r="A94" s="130"/>
      <c r="B94" s="606" t="s">
        <v>82</v>
      </c>
      <c r="C94" s="607"/>
      <c r="D94" s="607"/>
      <c r="E94" s="607"/>
      <c r="F94" s="607"/>
      <c r="G94" s="607"/>
      <c r="H94" s="623"/>
    </row>
    <row r="95" spans="1:8" s="130" customFormat="1" ht="51">
      <c r="B95" s="17" t="s">
        <v>95</v>
      </c>
      <c r="C95" s="24"/>
      <c r="D95" s="14"/>
      <c r="E95" s="14"/>
      <c r="F95" s="14"/>
      <c r="G95" s="139"/>
      <c r="H95" s="201"/>
    </row>
    <row r="96" spans="1:8" s="130" customFormat="1">
      <c r="B96" s="173" t="s">
        <v>119</v>
      </c>
      <c r="C96" s="174">
        <v>0.75</v>
      </c>
      <c r="D96" s="175">
        <v>1220</v>
      </c>
      <c r="E96" s="175">
        <v>24.4</v>
      </c>
      <c r="F96" s="175">
        <v>20</v>
      </c>
      <c r="G96" s="165">
        <f t="shared" ref="G96:G105" si="14">D96+E96+F96</f>
        <v>1264.4000000000001</v>
      </c>
      <c r="H96" s="120">
        <f>ROUND((D96+E96+F96)*('29_01_H_2020'!$O$10)*C96*12*(1+'29_01_H_2020'!$O$25),2)</f>
        <v>618.82000000000005</v>
      </c>
    </row>
    <row r="97" spans="1:8" s="130" customFormat="1">
      <c r="B97" s="173" t="s">
        <v>255</v>
      </c>
      <c r="C97" s="174">
        <v>0.5</v>
      </c>
      <c r="D97" s="175">
        <v>985</v>
      </c>
      <c r="E97" s="45">
        <v>19.7</v>
      </c>
      <c r="F97" s="175">
        <v>20</v>
      </c>
      <c r="G97" s="165">
        <f t="shared" si="14"/>
        <v>1024.7</v>
      </c>
      <c r="H97" s="120">
        <f>ROUND((D97+E97+F97)*('29_01_H_2020'!$O$10)*C97*12*(1+'29_01_H_2020'!$O$25),2)</f>
        <v>334.34</v>
      </c>
    </row>
    <row r="98" spans="1:8" ht="51">
      <c r="A98" s="130"/>
      <c r="B98" s="17" t="s">
        <v>96</v>
      </c>
      <c r="C98" s="15"/>
      <c r="D98" s="14"/>
      <c r="E98" s="14"/>
      <c r="F98" s="14"/>
      <c r="G98" s="139"/>
      <c r="H98" s="146"/>
    </row>
    <row r="99" spans="1:8">
      <c r="B99" s="161" t="s">
        <v>247</v>
      </c>
      <c r="C99" s="345">
        <v>1</v>
      </c>
      <c r="D99" s="176">
        <v>924</v>
      </c>
      <c r="E99" s="176"/>
      <c r="F99" s="176">
        <v>127.29</v>
      </c>
      <c r="G99" s="165">
        <f t="shared" si="14"/>
        <v>1051.29</v>
      </c>
      <c r="H99" s="149">
        <f>ROUND((D99+E99+F99)*('29_01_H_2020'!$O$14)*C99*12*(1+'29_01_H_2020'!$O$25),2)</f>
        <v>739.04</v>
      </c>
    </row>
    <row r="100" spans="1:8" s="130" customFormat="1">
      <c r="B100" s="161" t="s">
        <v>247</v>
      </c>
      <c r="C100" s="345">
        <v>3.5</v>
      </c>
      <c r="D100" s="176">
        <v>924</v>
      </c>
      <c r="E100" s="176">
        <v>73.92</v>
      </c>
      <c r="F100" s="176">
        <v>178.14</v>
      </c>
      <c r="G100" s="165">
        <f t="shared" si="14"/>
        <v>1176.06</v>
      </c>
      <c r="H100" s="149">
        <f>ROUND((D100+E100+F100)*('29_01_H_2020'!$O$14)*C100*12*(1+'29_01_H_2020'!$O$25),2)</f>
        <v>2893.61</v>
      </c>
    </row>
    <row r="101" spans="1:8">
      <c r="B101" s="161" t="s">
        <v>247</v>
      </c>
      <c r="C101" s="177">
        <v>0.5</v>
      </c>
      <c r="D101" s="177">
        <v>985</v>
      </c>
      <c r="E101" s="177">
        <v>78.8</v>
      </c>
      <c r="F101" s="177">
        <v>201.9</v>
      </c>
      <c r="G101" s="165">
        <f t="shared" si="14"/>
        <v>1265.7</v>
      </c>
      <c r="H101" s="149">
        <f>ROUND((D101+E101+F101)*('29_01_H_2020'!$O$14)*C101*12*(1+'29_01_H_2020'!$O$25),2)</f>
        <v>444.88</v>
      </c>
    </row>
    <row r="102" spans="1:8" ht="38.25">
      <c r="B102" s="17" t="s">
        <v>98</v>
      </c>
      <c r="C102" s="24"/>
      <c r="D102" s="14"/>
      <c r="E102" s="14"/>
      <c r="F102" s="14"/>
      <c r="G102" s="139"/>
      <c r="H102" s="146"/>
    </row>
    <row r="103" spans="1:8">
      <c r="A103" s="130"/>
      <c r="B103" s="161" t="s">
        <v>16</v>
      </c>
      <c r="C103" s="177">
        <v>8</v>
      </c>
      <c r="D103" s="177">
        <v>723</v>
      </c>
      <c r="E103" s="177">
        <v>14.46</v>
      </c>
      <c r="F103" s="177">
        <v>141.66999999999999</v>
      </c>
      <c r="G103" s="165">
        <f t="shared" si="14"/>
        <v>879.13</v>
      </c>
      <c r="H103" s="198">
        <f>ROUND((D103+E103+F103)*('29_01_H_2020'!$O$17)*C103*12*(1+'29_01_H_2020'!$O$25),2)</f>
        <v>0</v>
      </c>
    </row>
    <row r="104" spans="1:8">
      <c r="B104" s="161" t="s">
        <v>16</v>
      </c>
      <c r="C104" s="177">
        <v>5</v>
      </c>
      <c r="D104" s="177">
        <v>723</v>
      </c>
      <c r="E104" s="177">
        <v>28.92</v>
      </c>
      <c r="F104" s="177">
        <v>139.4</v>
      </c>
      <c r="G104" s="165">
        <f t="shared" si="14"/>
        <v>891.31999999999994</v>
      </c>
      <c r="H104" s="198">
        <f>ROUND((D104+E104+F104)*('29_01_H_2020'!$O$17)*C104*12*(1+'29_01_H_2020'!$O$25),2)</f>
        <v>0</v>
      </c>
    </row>
    <row r="105" spans="1:8" ht="15.75" thickBot="1">
      <c r="B105" s="161" t="s">
        <v>16</v>
      </c>
      <c r="C105" s="177">
        <v>1</v>
      </c>
      <c r="D105" s="177">
        <v>723</v>
      </c>
      <c r="E105" s="177">
        <v>57.84</v>
      </c>
      <c r="F105" s="177">
        <v>127.84</v>
      </c>
      <c r="G105" s="165">
        <f t="shared" si="14"/>
        <v>908.68000000000006</v>
      </c>
      <c r="H105" s="198">
        <f>ROUND((D105+E105+F105)*('29_01_H_2020'!$O$17)*C105*12*(1+'29_01_H_2020'!$O$25),2)</f>
        <v>0</v>
      </c>
    </row>
    <row r="106" spans="1:8" ht="15.75" thickBot="1">
      <c r="B106" s="167" t="s">
        <v>146</v>
      </c>
      <c r="C106" s="168">
        <f>SUM(C82:C83,C85:C91,C93,C96:C97,C99:C101,C103:C105)</f>
        <v>35</v>
      </c>
      <c r="D106" s="169" t="s">
        <v>17</v>
      </c>
      <c r="E106" s="169" t="s">
        <v>17</v>
      </c>
      <c r="F106" s="169" t="s">
        <v>17</v>
      </c>
      <c r="G106" s="170" t="s">
        <v>17</v>
      </c>
      <c r="H106" s="183">
        <f>SUM(H82:H83,H85:H91,H93,H96:H97,H99:H101,H103:H105,)</f>
        <v>17932.860000000004</v>
      </c>
    </row>
    <row r="107" spans="1:8" ht="46.5" customHeight="1" thickBot="1">
      <c r="B107" s="600" t="s">
        <v>256</v>
      </c>
      <c r="C107" s="601"/>
      <c r="D107" s="601"/>
      <c r="E107" s="601"/>
      <c r="F107" s="601"/>
      <c r="G107" s="601"/>
      <c r="H107" s="602"/>
    </row>
    <row r="108" spans="1:8" ht="15.75" thickBot="1">
      <c r="B108" s="609" t="s">
        <v>32</v>
      </c>
      <c r="C108" s="610"/>
      <c r="D108" s="610"/>
      <c r="E108" s="610"/>
      <c r="F108" s="610"/>
      <c r="G108" s="610"/>
      <c r="H108" s="611"/>
    </row>
    <row r="109" spans="1:8">
      <c r="B109" s="13" t="s">
        <v>92</v>
      </c>
      <c r="C109" s="11"/>
      <c r="D109" s="12"/>
      <c r="E109" s="12"/>
      <c r="F109" s="12"/>
      <c r="G109" s="138"/>
      <c r="H109" s="203"/>
    </row>
    <row r="110" spans="1:8">
      <c r="B110" s="160" t="s">
        <v>116</v>
      </c>
      <c r="C110" s="102">
        <v>1</v>
      </c>
      <c r="D110" s="110">
        <v>1489</v>
      </c>
      <c r="E110" s="44"/>
      <c r="F110" s="44"/>
      <c r="G110" s="165">
        <f t="shared" ref="G110:G117" si="15">D110+E110+F110</f>
        <v>1489</v>
      </c>
      <c r="H110" s="120">
        <f>ROUND((D110+E110+F110)*('29_01_H_2020'!$O$10)*C110*12*(1+'29_01_H_2020'!$O$25),2)</f>
        <v>971.65</v>
      </c>
    </row>
    <row r="111" spans="1:8" ht="51">
      <c r="A111" s="130"/>
      <c r="B111" s="10" t="s">
        <v>248</v>
      </c>
      <c r="C111" s="23"/>
      <c r="D111" s="14"/>
      <c r="E111" s="14"/>
      <c r="F111" s="14"/>
      <c r="G111" s="139"/>
      <c r="H111" s="146"/>
    </row>
    <row r="112" spans="1:8">
      <c r="B112" s="160" t="s">
        <v>129</v>
      </c>
      <c r="C112" s="163">
        <v>0.75</v>
      </c>
      <c r="D112" s="164">
        <v>1311</v>
      </c>
      <c r="E112" s="164"/>
      <c r="F112" s="164"/>
      <c r="G112" s="165">
        <f t="shared" si="15"/>
        <v>1311</v>
      </c>
      <c r="H112" s="120">
        <f>ROUND((D112+E112+F112)*('29_01_H_2020'!$O$10)*C112*12*(1+'29_01_H_2020'!$O$25),2)</f>
        <v>641.62</v>
      </c>
    </row>
    <row r="113" spans="1:8">
      <c r="B113" s="160" t="s">
        <v>119</v>
      </c>
      <c r="C113" s="163">
        <v>0.5</v>
      </c>
      <c r="D113" s="164">
        <v>1311</v>
      </c>
      <c r="E113" s="178"/>
      <c r="F113" s="178"/>
      <c r="G113" s="165">
        <f t="shared" si="15"/>
        <v>1311</v>
      </c>
      <c r="H113" s="120">
        <f>ROUND((D113+E113+F113)*('29_01_H_2020'!$O$10)*C113*12*(1+'29_01_H_2020'!$O$25),2)</f>
        <v>427.75</v>
      </c>
    </row>
    <row r="114" spans="1:8" ht="51" customHeight="1">
      <c r="B114" s="10" t="s">
        <v>249</v>
      </c>
      <c r="C114" s="24"/>
      <c r="D114" s="14"/>
      <c r="E114" s="14"/>
      <c r="F114" s="14"/>
      <c r="G114" s="139"/>
      <c r="H114" s="204"/>
    </row>
    <row r="115" spans="1:8">
      <c r="B115" s="129" t="s">
        <v>102</v>
      </c>
      <c r="C115" s="163">
        <v>1</v>
      </c>
      <c r="D115" s="164">
        <v>1070</v>
      </c>
      <c r="E115" s="178"/>
      <c r="F115" s="178"/>
      <c r="G115" s="165">
        <f t="shared" si="15"/>
        <v>1070</v>
      </c>
      <c r="H115" s="120">
        <f>ROUND((D115+E115+F115)*('29_01_H_2020'!$O$14)*C115*12*(1+'29_01_H_2020'!$O$25),2)</f>
        <v>752.19</v>
      </c>
    </row>
    <row r="116" spans="1:8">
      <c r="A116" s="130"/>
      <c r="B116" s="161" t="s">
        <v>14</v>
      </c>
      <c r="C116" s="163">
        <v>2</v>
      </c>
      <c r="D116" s="164">
        <v>985</v>
      </c>
      <c r="E116" s="178"/>
      <c r="F116" s="178"/>
      <c r="G116" s="165">
        <f t="shared" si="15"/>
        <v>985</v>
      </c>
      <c r="H116" s="120">
        <f>ROUND((D116+E116+F116)*('29_01_H_2020'!$O$14)*C116*12*(1+'29_01_H_2020'!$O$25),2)</f>
        <v>1384.87</v>
      </c>
    </row>
    <row r="117" spans="1:8">
      <c r="A117" s="130"/>
      <c r="B117" s="161" t="s">
        <v>101</v>
      </c>
      <c r="C117" s="172">
        <v>0.75</v>
      </c>
      <c r="D117" s="172">
        <v>985</v>
      </c>
      <c r="E117" s="178"/>
      <c r="F117" s="178"/>
      <c r="G117" s="165">
        <f t="shared" si="15"/>
        <v>985</v>
      </c>
      <c r="H117" s="120">
        <f>ROUND((D117+E117+F117)*('29_01_H_2020'!$O$14)*C117*12*(1+'29_01_H_2020'!$O$25),2)</f>
        <v>519.33000000000004</v>
      </c>
    </row>
    <row r="118" spans="1:8" ht="15.75" thickBot="1">
      <c r="A118" s="130"/>
      <c r="B118" s="606" t="s">
        <v>82</v>
      </c>
      <c r="C118" s="607"/>
      <c r="D118" s="607"/>
      <c r="E118" s="607"/>
      <c r="F118" s="607"/>
      <c r="G118" s="607"/>
      <c r="H118" s="623"/>
    </row>
    <row r="119" spans="1:8" ht="51">
      <c r="B119" s="17" t="s">
        <v>95</v>
      </c>
      <c r="C119" s="24"/>
      <c r="D119" s="14"/>
      <c r="E119" s="14"/>
      <c r="F119" s="14"/>
      <c r="G119" s="139"/>
      <c r="H119" s="201"/>
    </row>
    <row r="120" spans="1:8" ht="15" customHeight="1">
      <c r="B120" s="173" t="s">
        <v>119</v>
      </c>
      <c r="C120" s="174">
        <v>0.5</v>
      </c>
      <c r="D120" s="175">
        <v>985</v>
      </c>
      <c r="E120" s="45"/>
      <c r="F120" s="45"/>
      <c r="G120" s="165">
        <f t="shared" ref="G120:G126" si="16">D120+E120+F120</f>
        <v>985</v>
      </c>
      <c r="H120" s="120">
        <f>ROUND((D120+E120+F120)*('29_01_H_2020'!$O$10)*C120*12*(1+'29_01_H_2020'!$O$25),2)</f>
        <v>321.38</v>
      </c>
    </row>
    <row r="121" spans="1:8" ht="51">
      <c r="B121" s="17" t="s">
        <v>96</v>
      </c>
      <c r="C121" s="15"/>
      <c r="D121" s="14"/>
      <c r="E121" s="14"/>
      <c r="F121" s="14"/>
      <c r="G121" s="139"/>
      <c r="H121" s="146"/>
    </row>
    <row r="122" spans="1:8">
      <c r="B122" s="161" t="s">
        <v>247</v>
      </c>
      <c r="C122" s="153">
        <v>2</v>
      </c>
      <c r="D122" s="128">
        <v>867</v>
      </c>
      <c r="E122" s="134"/>
      <c r="F122" s="134"/>
      <c r="G122" s="165">
        <f t="shared" si="16"/>
        <v>867</v>
      </c>
      <c r="H122" s="149">
        <f>ROUND((D122+E122+F122)*('29_01_H_2020'!$O$14)*C122*12*(1+'29_01_H_2020'!$O$25),2)</f>
        <v>1218.97</v>
      </c>
    </row>
    <row r="123" spans="1:8" ht="63.75">
      <c r="B123" s="17" t="s">
        <v>97</v>
      </c>
      <c r="C123" s="24"/>
      <c r="D123" s="14"/>
      <c r="E123" s="14"/>
      <c r="F123" s="14"/>
      <c r="G123" s="139"/>
      <c r="H123" s="146"/>
    </row>
    <row r="124" spans="1:8" ht="15.75" thickBot="1">
      <c r="B124" s="161" t="s">
        <v>127</v>
      </c>
      <c r="C124" s="153">
        <v>0.25</v>
      </c>
      <c r="D124" s="128">
        <v>867</v>
      </c>
      <c r="E124" s="134"/>
      <c r="F124" s="134"/>
      <c r="G124" s="165">
        <f t="shared" si="16"/>
        <v>867</v>
      </c>
      <c r="H124" s="202">
        <f>ROUND((D124+E124+F124)*('29_01_H_2020'!$O$14)*C124*12*(1+'29_01_H_2020'!$O$25),2)</f>
        <v>152.37</v>
      </c>
    </row>
    <row r="125" spans="1:8" s="130" customFormat="1" ht="39" thickBot="1">
      <c r="B125" s="304" t="s">
        <v>331</v>
      </c>
      <c r="C125" s="310"/>
      <c r="D125" s="311"/>
      <c r="E125" s="312"/>
      <c r="F125" s="312"/>
      <c r="G125" s="313"/>
      <c r="H125" s="314"/>
    </row>
    <row r="126" spans="1:8" s="130" customFormat="1" ht="15.75" thickBot="1">
      <c r="B126" s="161" t="s">
        <v>16</v>
      </c>
      <c r="C126" s="153">
        <v>1</v>
      </c>
      <c r="D126" s="128">
        <v>723</v>
      </c>
      <c r="E126" s="134"/>
      <c r="F126" s="134"/>
      <c r="G126" s="165">
        <f t="shared" si="16"/>
        <v>723</v>
      </c>
      <c r="H126" s="202">
        <f>ROUND((D126+E126+F126)*('29_01_H_2020'!$O$17)*C126*12*(1+'29_01_H_2020'!$O$25),2)</f>
        <v>0</v>
      </c>
    </row>
    <row r="127" spans="1:8" ht="15.75" thickBot="1">
      <c r="A127" s="130"/>
      <c r="B127" s="167" t="s">
        <v>146</v>
      </c>
      <c r="C127" s="168">
        <f>SUM(C110,C113,C115:C117,C120,C122,C124,C126,C112)</f>
        <v>9.75</v>
      </c>
      <c r="D127" s="169" t="s">
        <v>17</v>
      </c>
      <c r="E127" s="169" t="s">
        <v>17</v>
      </c>
      <c r="F127" s="169" t="s">
        <v>17</v>
      </c>
      <c r="G127" s="170" t="s">
        <v>17</v>
      </c>
      <c r="H127" s="183">
        <f>SUM(H110,H113,H115:H117,H120,H122,H124,H112,H126)</f>
        <v>6390.13</v>
      </c>
    </row>
    <row r="128" spans="1:8" ht="48.75" customHeight="1" thickBot="1">
      <c r="B128" s="600" t="s">
        <v>332</v>
      </c>
      <c r="C128" s="601"/>
      <c r="D128" s="601"/>
      <c r="E128" s="601"/>
      <c r="F128" s="601"/>
      <c r="G128" s="601"/>
      <c r="H128" s="602"/>
    </row>
    <row r="129" spans="1:8" ht="15.75" thickBot="1">
      <c r="B129" s="609" t="s">
        <v>32</v>
      </c>
      <c r="C129" s="610"/>
      <c r="D129" s="610"/>
      <c r="E129" s="610"/>
      <c r="F129" s="610"/>
      <c r="G129" s="610"/>
      <c r="H129" s="611"/>
    </row>
    <row r="130" spans="1:8">
      <c r="B130" s="13" t="s">
        <v>92</v>
      </c>
      <c r="C130" s="11"/>
      <c r="D130" s="12"/>
      <c r="E130" s="12"/>
      <c r="F130" s="12"/>
      <c r="G130" s="138"/>
      <c r="H130" s="203"/>
    </row>
    <row r="131" spans="1:8">
      <c r="A131" s="130"/>
      <c r="B131" s="160" t="s">
        <v>149</v>
      </c>
      <c r="C131" s="102">
        <v>1</v>
      </c>
      <c r="D131" s="102"/>
      <c r="E131" s="102"/>
      <c r="F131" s="44">
        <v>365.04</v>
      </c>
      <c r="G131" s="165">
        <f t="shared" ref="G131:G134" si="17">D131+E131+F131</f>
        <v>365.04</v>
      </c>
      <c r="H131" s="120">
        <f>ROUND((D131+E131+F131)*('29_01_H_2020'!$O$10)*C131*12*(1+'29_01_H_2020'!$O$25),2)</f>
        <v>238.21</v>
      </c>
    </row>
    <row r="132" spans="1:8" s="130" customFormat="1">
      <c r="B132" s="160" t="s">
        <v>116</v>
      </c>
      <c r="C132" s="102">
        <v>1</v>
      </c>
      <c r="D132" s="102"/>
      <c r="E132" s="102"/>
      <c r="F132" s="44">
        <v>365.04</v>
      </c>
      <c r="G132" s="165">
        <f t="shared" si="17"/>
        <v>365.04</v>
      </c>
      <c r="H132" s="120">
        <f>ROUND((D132+E132+F132)*('29_01_H_2020'!$O$10)*C132*12*(1+'29_01_H_2020'!$O$25),2)</f>
        <v>238.21</v>
      </c>
    </row>
    <row r="133" spans="1:8" ht="51">
      <c r="A133" s="130"/>
      <c r="B133" s="10" t="s">
        <v>249</v>
      </c>
      <c r="C133" s="24"/>
      <c r="D133" s="14"/>
      <c r="E133" s="14"/>
      <c r="F133" s="14"/>
      <c r="G133" s="139"/>
      <c r="H133" s="204"/>
    </row>
    <row r="134" spans="1:8" ht="15.75" thickBot="1">
      <c r="A134" s="130"/>
      <c r="B134" s="160" t="s">
        <v>120</v>
      </c>
      <c r="C134" s="163">
        <v>0.1</v>
      </c>
      <c r="D134" s="164">
        <v>1605</v>
      </c>
      <c r="E134" s="164">
        <v>160.5</v>
      </c>
      <c r="F134" s="164">
        <v>80.25</v>
      </c>
      <c r="G134" s="165">
        <f t="shared" si="17"/>
        <v>1845.75</v>
      </c>
      <c r="H134" s="205">
        <f>ROUND((D134+E134+F134)*('29_01_H_2020'!$O$14)*C134*12*(1+'29_01_H_2020'!$O$25),2)</f>
        <v>129.75</v>
      </c>
    </row>
    <row r="135" spans="1:8" ht="15.75" thickBot="1">
      <c r="B135" s="167" t="s">
        <v>146</v>
      </c>
      <c r="C135" s="168">
        <f>SUM(C131:C132,C134)</f>
        <v>2.1</v>
      </c>
      <c r="D135" s="169" t="s">
        <v>17</v>
      </c>
      <c r="E135" s="169" t="s">
        <v>17</v>
      </c>
      <c r="F135" s="169" t="s">
        <v>17</v>
      </c>
      <c r="G135" s="170" t="s">
        <v>17</v>
      </c>
      <c r="H135" s="183">
        <f>SUM(H131:H132,H134)</f>
        <v>606.17000000000007</v>
      </c>
    </row>
    <row r="136" spans="1:8" ht="33" customHeight="1" thickBot="1">
      <c r="B136" s="600" t="s">
        <v>257</v>
      </c>
      <c r="C136" s="601"/>
      <c r="D136" s="601"/>
      <c r="E136" s="601"/>
      <c r="F136" s="601"/>
      <c r="G136" s="601"/>
      <c r="H136" s="602"/>
    </row>
    <row r="137" spans="1:8" ht="15" customHeight="1">
      <c r="A137" s="130"/>
      <c r="B137" s="609" t="s">
        <v>32</v>
      </c>
      <c r="C137" s="610"/>
      <c r="D137" s="610"/>
      <c r="E137" s="610"/>
      <c r="F137" s="610"/>
      <c r="G137" s="610"/>
      <c r="H137" s="622"/>
    </row>
    <row r="138" spans="1:8">
      <c r="A138" s="130"/>
      <c r="B138" s="13" t="s">
        <v>92</v>
      </c>
      <c r="C138" s="11"/>
      <c r="D138" s="12"/>
      <c r="E138" s="12"/>
      <c r="F138" s="12"/>
      <c r="G138" s="138"/>
      <c r="H138" s="146"/>
    </row>
    <row r="139" spans="1:8">
      <c r="B139" s="160" t="s">
        <v>149</v>
      </c>
      <c r="C139" s="102">
        <v>0.25</v>
      </c>
      <c r="D139" s="102">
        <v>2215</v>
      </c>
      <c r="E139" s="102">
        <v>221.5</v>
      </c>
      <c r="F139" s="44">
        <v>88.6</v>
      </c>
      <c r="G139" s="165">
        <f>D139+E139+F139</f>
        <v>2525.1</v>
      </c>
      <c r="H139" s="120">
        <f>ROUND((D139+E139+F139)*('29_01_H_2020'!$O$10)*C139*12*(1+'29_01_H_2020'!$O$25),2)</f>
        <v>411.94</v>
      </c>
    </row>
    <row r="140" spans="1:8" ht="51">
      <c r="B140" s="10" t="s">
        <v>248</v>
      </c>
      <c r="C140" s="23"/>
      <c r="D140" s="14"/>
      <c r="E140" s="14"/>
      <c r="F140" s="14"/>
      <c r="G140" s="139"/>
      <c r="H140" s="146"/>
    </row>
    <row r="141" spans="1:8" ht="15.75" thickBot="1">
      <c r="A141" s="130"/>
      <c r="B141" s="160" t="s">
        <v>123</v>
      </c>
      <c r="C141" s="308">
        <v>0.25</v>
      </c>
      <c r="D141" s="164">
        <v>1722</v>
      </c>
      <c r="E141" s="164">
        <v>172.2</v>
      </c>
      <c r="F141" s="164">
        <v>68.88</v>
      </c>
      <c r="G141" s="165">
        <f>D141+E141+F141</f>
        <v>1963.08</v>
      </c>
      <c r="H141" s="184">
        <f>ROUND((D141+E141+F141)*('29_01_H_2020'!$O$10)*C141*12*(1+'29_01_H_2020'!$O$25),2)</f>
        <v>320.25</v>
      </c>
    </row>
    <row r="142" spans="1:8" ht="15.75" thickBot="1">
      <c r="B142" s="167" t="s">
        <v>146</v>
      </c>
      <c r="C142" s="168">
        <f>SUM(C139,C141)</f>
        <v>0.5</v>
      </c>
      <c r="D142" s="169" t="s">
        <v>17</v>
      </c>
      <c r="E142" s="169" t="s">
        <v>17</v>
      </c>
      <c r="F142" s="169" t="s">
        <v>17</v>
      </c>
      <c r="G142" s="170" t="s">
        <v>17</v>
      </c>
      <c r="H142" s="183">
        <f>SUM(H139,H141)</f>
        <v>732.19</v>
      </c>
    </row>
    <row r="143" spans="1:8" s="130" customFormat="1" ht="46.5" customHeight="1" thickBot="1">
      <c r="B143" s="600" t="s">
        <v>258</v>
      </c>
      <c r="C143" s="601"/>
      <c r="D143" s="601"/>
      <c r="E143" s="601"/>
      <c r="F143" s="601"/>
      <c r="G143" s="601"/>
      <c r="H143" s="602"/>
    </row>
    <row r="144" spans="1:8" s="130" customFormat="1" ht="15.75" thickBot="1">
      <c r="B144" s="609" t="s">
        <v>32</v>
      </c>
      <c r="C144" s="610"/>
      <c r="D144" s="610"/>
      <c r="E144" s="610"/>
      <c r="F144" s="610"/>
      <c r="G144" s="610"/>
      <c r="H144" s="611"/>
    </row>
    <row r="145" spans="2:8" s="130" customFormat="1">
      <c r="B145" s="13" t="s">
        <v>92</v>
      </c>
      <c r="C145" s="11"/>
      <c r="D145" s="12"/>
      <c r="E145" s="12"/>
      <c r="F145" s="12"/>
      <c r="G145" s="138"/>
      <c r="H145" s="203"/>
    </row>
    <row r="146" spans="2:8" s="130" customFormat="1">
      <c r="B146" s="160" t="s">
        <v>116</v>
      </c>
      <c r="C146" s="102">
        <v>1.25</v>
      </c>
      <c r="D146" s="110">
        <v>1450</v>
      </c>
      <c r="E146" s="44">
        <v>15</v>
      </c>
      <c r="F146" s="44"/>
      <c r="G146" s="165">
        <f t="shared" ref="G146" si="18">D146+E146+F146</f>
        <v>1465</v>
      </c>
      <c r="H146" s="120">
        <f>ROUND((D146+E146+F146)*('29_01_H_2020'!$O$10)*C146*12*(1+'29_01_H_2020'!$O$25),2)</f>
        <v>1194.99</v>
      </c>
    </row>
    <row r="147" spans="2:8" s="130" customFormat="1" ht="51" customHeight="1">
      <c r="B147" s="10" t="s">
        <v>249</v>
      </c>
      <c r="C147" s="24"/>
      <c r="D147" s="14"/>
      <c r="E147" s="14"/>
      <c r="F147" s="14"/>
      <c r="G147" s="139"/>
      <c r="H147" s="204"/>
    </row>
    <row r="148" spans="2:8" s="130" customFormat="1">
      <c r="B148" s="129" t="s">
        <v>102</v>
      </c>
      <c r="C148" s="163">
        <v>1</v>
      </c>
      <c r="D148" s="164">
        <v>1400</v>
      </c>
      <c r="E148" s="178">
        <v>28</v>
      </c>
      <c r="F148" s="178"/>
      <c r="G148" s="165">
        <f t="shared" ref="G148:G149" si="19">D148+E148+F148</f>
        <v>1428</v>
      </c>
      <c r="H148" s="120">
        <f>ROUND((D148+E148+F148)*('29_01_H_2020'!$O$14)*C148*12*(1+'29_01_H_2020'!$O$25),2)</f>
        <v>1003.86</v>
      </c>
    </row>
    <row r="149" spans="2:8" s="130" customFormat="1">
      <c r="B149" s="161" t="s">
        <v>14</v>
      </c>
      <c r="C149" s="163">
        <v>9</v>
      </c>
      <c r="D149" s="164">
        <v>950</v>
      </c>
      <c r="E149" s="178">
        <v>11</v>
      </c>
      <c r="F149" s="178">
        <v>239</v>
      </c>
      <c r="G149" s="165">
        <f t="shared" si="19"/>
        <v>1200</v>
      </c>
      <c r="H149" s="120">
        <f>ROUND((D149+E149+F149)*('29_01_H_2020'!$O$14)*C149*12*(1+'29_01_H_2020'!$O$25),2)</f>
        <v>7592.18</v>
      </c>
    </row>
    <row r="150" spans="2:8" s="130" customFormat="1">
      <c r="B150" s="606" t="s">
        <v>82</v>
      </c>
      <c r="C150" s="607"/>
      <c r="D150" s="607"/>
      <c r="E150" s="607"/>
      <c r="F150" s="607"/>
      <c r="G150" s="607"/>
      <c r="H150" s="623"/>
    </row>
    <row r="151" spans="2:8" s="130" customFormat="1" ht="51">
      <c r="B151" s="17" t="s">
        <v>96</v>
      </c>
      <c r="C151" s="15"/>
      <c r="D151" s="14"/>
      <c r="E151" s="14"/>
      <c r="F151" s="14"/>
      <c r="G151" s="139"/>
      <c r="H151" s="146"/>
    </row>
    <row r="152" spans="2:8" s="130" customFormat="1" ht="15.75" thickBot="1">
      <c r="B152" s="161" t="s">
        <v>247</v>
      </c>
      <c r="C152" s="153">
        <v>4</v>
      </c>
      <c r="D152" s="128">
        <v>950</v>
      </c>
      <c r="E152" s="134">
        <v>11</v>
      </c>
      <c r="F152" s="134">
        <v>239</v>
      </c>
      <c r="G152" s="165">
        <f t="shared" ref="G152" si="20">D152+E152+F152</f>
        <v>1200</v>
      </c>
      <c r="H152" s="149">
        <f>ROUND((D152+E152+F152)*('29_01_H_2020'!$O$14)*C152*12*(1+'29_01_H_2020'!$O$25),2)</f>
        <v>3374.3</v>
      </c>
    </row>
    <row r="153" spans="2:8" s="130" customFormat="1" ht="15.75" thickBot="1">
      <c r="B153" s="167" t="s">
        <v>146</v>
      </c>
      <c r="C153" s="168">
        <f>C146+C148+C149+C152</f>
        <v>15.25</v>
      </c>
      <c r="D153" s="169" t="s">
        <v>17</v>
      </c>
      <c r="E153" s="169" t="s">
        <v>17</v>
      </c>
      <c r="F153" s="169" t="s">
        <v>17</v>
      </c>
      <c r="G153" s="170" t="s">
        <v>17</v>
      </c>
      <c r="H153" s="344">
        <f>H146+H148+H149+H152</f>
        <v>13165.330000000002</v>
      </c>
    </row>
    <row r="154" spans="2:8" s="130" customFormat="1" ht="33" customHeight="1" thickBot="1">
      <c r="B154" s="600" t="s">
        <v>259</v>
      </c>
      <c r="C154" s="601"/>
      <c r="D154" s="601"/>
      <c r="E154" s="601"/>
      <c r="F154" s="601"/>
      <c r="G154" s="601"/>
      <c r="H154" s="602"/>
    </row>
    <row r="155" spans="2:8" s="130" customFormat="1" ht="15" customHeight="1">
      <c r="B155" s="609" t="s">
        <v>32</v>
      </c>
      <c r="C155" s="610"/>
      <c r="D155" s="610"/>
      <c r="E155" s="610"/>
      <c r="F155" s="610"/>
      <c r="G155" s="610"/>
      <c r="H155" s="622"/>
    </row>
    <row r="156" spans="2:8" s="130" customFormat="1">
      <c r="B156" s="13" t="s">
        <v>92</v>
      </c>
      <c r="C156" s="11"/>
      <c r="D156" s="12"/>
      <c r="E156" s="12"/>
      <c r="F156" s="12"/>
      <c r="G156" s="138"/>
      <c r="H156" s="146"/>
    </row>
    <row r="157" spans="2:8" s="130" customFormat="1">
      <c r="B157" s="151" t="s">
        <v>151</v>
      </c>
      <c r="C157" s="102">
        <v>3.05</v>
      </c>
      <c r="D157" s="102">
        <v>1260</v>
      </c>
      <c r="E157" s="102"/>
      <c r="F157" s="44">
        <v>126</v>
      </c>
      <c r="G157" s="165">
        <f>D157+E157+F157</f>
        <v>1386</v>
      </c>
      <c r="H157" s="120">
        <f>ROUND((D157+E157+F157)*('29_01_H_2020'!$O$10)*C157*12*(1+'29_01_H_2020'!$O$25),2)</f>
        <v>2758.55</v>
      </c>
    </row>
    <row r="158" spans="2:8" s="130" customFormat="1" ht="51">
      <c r="B158" s="10" t="s">
        <v>248</v>
      </c>
      <c r="C158" s="23"/>
      <c r="D158" s="14"/>
      <c r="E158" s="14"/>
      <c r="F158" s="14"/>
      <c r="G158" s="139"/>
      <c r="H158" s="146"/>
    </row>
    <row r="159" spans="2:8" s="130" customFormat="1" ht="15.75" thickBot="1">
      <c r="B159" s="346" t="s">
        <v>152</v>
      </c>
      <c r="C159" s="308">
        <v>1</v>
      </c>
      <c r="D159" s="164">
        <v>1220</v>
      </c>
      <c r="E159" s="164"/>
      <c r="F159" s="164">
        <v>122</v>
      </c>
      <c r="G159" s="165">
        <f>D159+E159+F159</f>
        <v>1342</v>
      </c>
      <c r="H159" s="184">
        <f>ROUND((D159+E159+F159)*('29_01_H_2020'!$O$10)*C159*12*(1+'29_01_H_2020'!$O$25),2)</f>
        <v>875.73</v>
      </c>
    </row>
    <row r="160" spans="2:8" s="130" customFormat="1" ht="15.75" thickBot="1">
      <c r="B160" s="167" t="s">
        <v>146</v>
      </c>
      <c r="C160" s="168">
        <f>SUM(C157,C159)</f>
        <v>4.05</v>
      </c>
      <c r="D160" s="169" t="s">
        <v>17</v>
      </c>
      <c r="E160" s="169" t="s">
        <v>17</v>
      </c>
      <c r="F160" s="169" t="s">
        <v>17</v>
      </c>
      <c r="G160" s="170" t="s">
        <v>17</v>
      </c>
      <c r="H160" s="183">
        <f>SUM(H157,H159)</f>
        <v>3634.28</v>
      </c>
    </row>
    <row r="161" spans="2:14" ht="36.75" customHeight="1" thickBot="1">
      <c r="B161" s="600" t="s">
        <v>333</v>
      </c>
      <c r="C161" s="601"/>
      <c r="D161" s="601"/>
      <c r="E161" s="601"/>
      <c r="F161" s="601"/>
      <c r="G161" s="601"/>
      <c r="H161" s="602"/>
      <c r="I161" s="59"/>
      <c r="J161" s="59"/>
    </row>
    <row r="162" spans="2:14" ht="15.75" thickBot="1">
      <c r="B162" s="619" t="s">
        <v>2</v>
      </c>
      <c r="C162" s="620"/>
      <c r="D162" s="620"/>
      <c r="E162" s="620"/>
      <c r="F162" s="620"/>
      <c r="G162" s="620"/>
      <c r="H162" s="621"/>
      <c r="I162" s="59"/>
      <c r="J162" s="59"/>
    </row>
    <row r="163" spans="2:14" ht="15.75" thickBot="1">
      <c r="B163" s="181" t="s">
        <v>260</v>
      </c>
      <c r="C163" s="180">
        <v>1</v>
      </c>
      <c r="D163" s="180"/>
      <c r="E163" s="180"/>
      <c r="F163" s="180">
        <v>512.5</v>
      </c>
      <c r="G163" s="165">
        <f t="shared" ref="G163:G164" si="21">D163+E163+F163</f>
        <v>512.5</v>
      </c>
      <c r="H163" s="208">
        <f>ROUND((D163+E163+F163)*('29_01_H_2020'!$O$10)*C163*12*(1+'29_01_H_2020'!$O$25),2)</f>
        <v>334.43</v>
      </c>
      <c r="I163" s="59"/>
      <c r="J163" s="59"/>
    </row>
    <row r="164" spans="2:14" ht="15.75" thickBot="1">
      <c r="B164" s="181" t="s">
        <v>261</v>
      </c>
      <c r="C164" s="180">
        <v>1</v>
      </c>
      <c r="D164" s="180"/>
      <c r="E164" s="180"/>
      <c r="F164" s="44">
        <v>649.35</v>
      </c>
      <c r="G164" s="165">
        <f t="shared" si="21"/>
        <v>649.35</v>
      </c>
      <c r="H164" s="208">
        <f>ROUND((D164+E164+F164)*('29_01_H_2020'!$O$10)*C164*12*(1+'29_01_H_2020'!$O$25),2)</f>
        <v>423.74</v>
      </c>
      <c r="I164" s="59"/>
      <c r="J164" s="59"/>
    </row>
    <row r="165" spans="2:14" ht="15.75" thickBot="1">
      <c r="B165" s="185" t="s">
        <v>146</v>
      </c>
      <c r="C165" s="186">
        <f>C163+C164</f>
        <v>2</v>
      </c>
      <c r="D165" s="187"/>
      <c r="E165" s="187"/>
      <c r="F165" s="187">
        <v>649.35</v>
      </c>
      <c r="G165" s="188" t="s">
        <v>17</v>
      </c>
      <c r="H165" s="189">
        <f>SUM(H163:H164)</f>
        <v>758.17000000000007</v>
      </c>
      <c r="I165" s="59"/>
      <c r="J165" s="59"/>
    </row>
    <row r="166" spans="2:14" ht="20.25" thickTop="1" thickBot="1">
      <c r="B166" s="190" t="s">
        <v>262</v>
      </c>
      <c r="C166" s="193">
        <f>C165+C160+C153+C142+C135+C127+C106+C78+C63+C50+C34</f>
        <v>111.1</v>
      </c>
      <c r="D166" s="191" t="s">
        <v>17</v>
      </c>
      <c r="E166" s="191" t="s">
        <v>17</v>
      </c>
      <c r="F166" s="192" t="s">
        <v>17</v>
      </c>
      <c r="G166" s="192" t="s">
        <v>17</v>
      </c>
      <c r="H166" s="194">
        <f>H165+H160+H153+H142+H135+H127+H106+H78+H63+H50+H34</f>
        <v>77714.530000000013</v>
      </c>
      <c r="I166" s="59"/>
      <c r="J166" s="59"/>
    </row>
    <row r="167" spans="2:14" ht="15.75" thickBot="1">
      <c r="F167" s="59"/>
      <c r="G167" s="59"/>
      <c r="H167" s="59"/>
      <c r="I167" s="59"/>
      <c r="J167" s="59"/>
      <c r="K167" s="264"/>
    </row>
    <row r="168" spans="2:14">
      <c r="F168" s="59"/>
      <c r="G168" s="59"/>
      <c r="H168" s="59"/>
      <c r="I168" s="59"/>
      <c r="J168" s="59"/>
      <c r="M168" s="113"/>
      <c r="N168" s="113"/>
    </row>
    <row r="169" spans="2:14">
      <c r="F169" s="59"/>
      <c r="G169" s="59"/>
      <c r="H169" s="59"/>
      <c r="I169" s="59"/>
      <c r="J169" s="59"/>
    </row>
    <row r="170" spans="2:14">
      <c r="F170" s="59"/>
      <c r="G170" s="59"/>
      <c r="H170" s="59"/>
      <c r="I170" s="59"/>
      <c r="J170" s="59"/>
    </row>
    <row r="171" spans="2:14">
      <c r="F171" s="59"/>
      <c r="G171" s="59"/>
      <c r="H171" s="59"/>
      <c r="I171" s="59"/>
      <c r="J171" s="59"/>
    </row>
    <row r="172" spans="2:14">
      <c r="F172" s="59"/>
      <c r="G172" s="59"/>
      <c r="H172" s="59"/>
      <c r="I172" s="59"/>
      <c r="J172" s="59"/>
    </row>
    <row r="173" spans="2:14">
      <c r="F173" s="59"/>
      <c r="G173" s="59"/>
      <c r="H173" s="59"/>
      <c r="I173" s="59"/>
      <c r="J173" s="59"/>
    </row>
    <row r="174" spans="2:14">
      <c r="F174" s="59"/>
      <c r="G174" s="59"/>
      <c r="H174" s="59"/>
      <c r="I174" s="59"/>
      <c r="J174" s="59"/>
    </row>
    <row r="175" spans="2:14">
      <c r="F175" s="59"/>
      <c r="G175" s="59"/>
      <c r="H175" s="59"/>
      <c r="I175" s="59"/>
      <c r="J175" s="59"/>
    </row>
    <row r="176" spans="2:14">
      <c r="F176" s="59"/>
      <c r="G176" s="59"/>
      <c r="H176" s="59"/>
      <c r="I176" s="59"/>
      <c r="J176" s="59"/>
    </row>
    <row r="177" spans="6:10">
      <c r="F177" s="59"/>
      <c r="G177" s="59"/>
      <c r="H177" s="59"/>
      <c r="I177" s="59"/>
      <c r="J177" s="59"/>
    </row>
    <row r="178" spans="6:10">
      <c r="F178" s="59"/>
      <c r="G178" s="59"/>
      <c r="H178" s="59"/>
      <c r="I178" s="59"/>
      <c r="J178" s="59"/>
    </row>
    <row r="179" spans="6:10">
      <c r="F179" s="59"/>
      <c r="G179" s="59"/>
      <c r="H179" s="59"/>
      <c r="I179" s="59"/>
      <c r="J179" s="59"/>
    </row>
    <row r="180" spans="6:10">
      <c r="F180" s="59"/>
      <c r="G180" s="59"/>
      <c r="H180" s="59"/>
      <c r="I180" s="59"/>
      <c r="J180" s="59"/>
    </row>
    <row r="181" spans="6:10">
      <c r="F181" s="59"/>
      <c r="G181" s="59"/>
      <c r="H181" s="59"/>
      <c r="I181" s="59"/>
      <c r="J181" s="59"/>
    </row>
    <row r="182" spans="6:10">
      <c r="F182" s="59"/>
      <c r="G182" s="59"/>
      <c r="H182" s="59"/>
      <c r="I182" s="59"/>
      <c r="J182" s="59"/>
    </row>
    <row r="183" spans="6:10">
      <c r="F183" s="59"/>
      <c r="G183" s="59"/>
      <c r="H183" s="59"/>
      <c r="I183" s="59"/>
      <c r="J183" s="59"/>
    </row>
    <row r="184" spans="6:10">
      <c r="F184" s="59"/>
      <c r="G184" s="59"/>
      <c r="H184" s="59"/>
      <c r="I184" s="59"/>
      <c r="J184" s="59"/>
    </row>
    <row r="185" spans="6:10">
      <c r="F185" s="59"/>
      <c r="G185" s="59"/>
      <c r="H185" s="59"/>
      <c r="I185" s="59"/>
      <c r="J185" s="59"/>
    </row>
    <row r="186" spans="6:10">
      <c r="F186" s="59"/>
      <c r="G186" s="59"/>
      <c r="H186" s="59"/>
      <c r="I186" s="59"/>
      <c r="J186" s="59"/>
    </row>
    <row r="187" spans="6:10">
      <c r="F187" s="59"/>
      <c r="G187" s="59"/>
      <c r="H187" s="59"/>
      <c r="I187" s="59"/>
      <c r="J187" s="59"/>
    </row>
    <row r="188" spans="6:10">
      <c r="F188" s="59"/>
      <c r="G188" s="59"/>
      <c r="H188" s="59"/>
      <c r="I188" s="59"/>
      <c r="J188" s="59"/>
    </row>
    <row r="189" spans="6:10">
      <c r="F189" s="59"/>
      <c r="G189" s="59"/>
      <c r="H189" s="59"/>
      <c r="I189" s="59"/>
      <c r="J189" s="59"/>
    </row>
    <row r="190" spans="6:10">
      <c r="F190" s="59"/>
      <c r="G190" s="59"/>
      <c r="H190" s="59"/>
      <c r="I190" s="59"/>
      <c r="J190" s="59"/>
    </row>
    <row r="191" spans="6:10">
      <c r="F191" s="59"/>
      <c r="G191" s="59"/>
      <c r="H191" s="59"/>
      <c r="I191" s="59"/>
      <c r="J191" s="59"/>
    </row>
    <row r="192" spans="6:10">
      <c r="F192" s="59"/>
      <c r="G192" s="59"/>
      <c r="H192" s="59"/>
      <c r="I192" s="59"/>
      <c r="J192" s="59"/>
    </row>
    <row r="193" spans="6:10">
      <c r="F193" s="59"/>
      <c r="G193" s="59"/>
      <c r="H193" s="59"/>
      <c r="I193" s="59"/>
      <c r="J193" s="59"/>
    </row>
    <row r="194" spans="6:10">
      <c r="F194" s="59"/>
      <c r="G194" s="59"/>
      <c r="H194" s="59"/>
      <c r="I194" s="59"/>
      <c r="J194" s="59"/>
    </row>
    <row r="195" spans="6:10">
      <c r="F195" s="59"/>
      <c r="G195" s="59"/>
      <c r="H195" s="59"/>
      <c r="I195" s="59"/>
      <c r="J195" s="59"/>
    </row>
    <row r="196" spans="6:10">
      <c r="F196" s="59"/>
      <c r="G196" s="59"/>
      <c r="H196" s="59"/>
      <c r="I196" s="59"/>
      <c r="J196" s="59"/>
    </row>
    <row r="197" spans="6:10">
      <c r="F197" s="59"/>
      <c r="G197" s="59"/>
      <c r="H197" s="59"/>
      <c r="I197" s="59"/>
      <c r="J197" s="59"/>
    </row>
    <row r="198" spans="6:10">
      <c r="F198" s="59"/>
      <c r="G198" s="59"/>
      <c r="H198" s="59"/>
      <c r="I198" s="59"/>
      <c r="J198" s="59"/>
    </row>
    <row r="199" spans="6:10">
      <c r="F199" s="59"/>
      <c r="G199" s="59"/>
      <c r="H199" s="59"/>
      <c r="I199" s="59"/>
      <c r="J199" s="59"/>
    </row>
    <row r="200" spans="6:10">
      <c r="F200" s="59"/>
      <c r="G200" s="59"/>
      <c r="H200" s="59"/>
      <c r="I200" s="59"/>
      <c r="J200" s="59"/>
    </row>
    <row r="201" spans="6:10">
      <c r="F201" s="59"/>
      <c r="G201" s="59"/>
      <c r="H201" s="59"/>
      <c r="I201" s="59"/>
      <c r="J201" s="59"/>
    </row>
    <row r="202" spans="6:10">
      <c r="F202" s="59"/>
      <c r="G202" s="59"/>
      <c r="H202" s="59"/>
      <c r="I202" s="59"/>
      <c r="J202" s="59"/>
    </row>
    <row r="203" spans="6:10">
      <c r="F203" s="59"/>
      <c r="G203" s="59"/>
      <c r="H203" s="59"/>
      <c r="I203" s="59"/>
      <c r="J203" s="59"/>
    </row>
    <row r="204" spans="6:10">
      <c r="F204" s="59"/>
      <c r="G204" s="59"/>
      <c r="H204" s="59"/>
      <c r="I204" s="59"/>
      <c r="J204" s="59"/>
    </row>
    <row r="205" spans="6:10">
      <c r="F205" s="59"/>
      <c r="G205" s="59"/>
      <c r="H205" s="59"/>
      <c r="I205" s="59"/>
      <c r="J205" s="59"/>
    </row>
    <row r="206" spans="6:10">
      <c r="F206" s="59"/>
      <c r="G206" s="59"/>
      <c r="H206" s="59"/>
      <c r="I206" s="59"/>
      <c r="J206" s="59"/>
    </row>
    <row r="207" spans="6:10">
      <c r="F207" s="59"/>
      <c r="G207" s="59"/>
      <c r="H207" s="59"/>
      <c r="I207" s="59"/>
      <c r="J207" s="59"/>
    </row>
    <row r="208" spans="6:10">
      <c r="F208" s="59"/>
      <c r="G208" s="59"/>
      <c r="H208" s="59"/>
      <c r="I208" s="59"/>
      <c r="J208" s="59"/>
    </row>
    <row r="209" spans="6:10">
      <c r="F209" s="59"/>
      <c r="G209" s="59"/>
      <c r="H209" s="59"/>
      <c r="I209" s="59"/>
      <c r="J209" s="59"/>
    </row>
    <row r="210" spans="6:10">
      <c r="F210" s="59"/>
      <c r="G210" s="59"/>
      <c r="H210" s="59"/>
      <c r="I210" s="59"/>
      <c r="J210" s="59"/>
    </row>
    <row r="211" spans="6:10">
      <c r="F211" s="59"/>
      <c r="G211" s="59"/>
      <c r="H211" s="59"/>
      <c r="I211" s="59"/>
      <c r="J211" s="59"/>
    </row>
    <row r="212" spans="6:10">
      <c r="F212" s="59"/>
      <c r="G212" s="59"/>
      <c r="H212" s="59"/>
      <c r="I212" s="59"/>
      <c r="J212" s="59"/>
    </row>
    <row r="213" spans="6:10">
      <c r="F213" s="59"/>
      <c r="G213" s="59"/>
      <c r="H213" s="59"/>
      <c r="I213" s="59"/>
      <c r="J213" s="59"/>
    </row>
    <row r="214" spans="6:10">
      <c r="F214" s="59"/>
      <c r="G214" s="59"/>
      <c r="H214" s="59"/>
      <c r="I214" s="59"/>
      <c r="J214" s="59"/>
    </row>
    <row r="215" spans="6:10">
      <c r="F215" s="59"/>
      <c r="G215" s="59"/>
      <c r="H215" s="59"/>
      <c r="I215" s="59"/>
      <c r="J215" s="59"/>
    </row>
    <row r="216" spans="6:10">
      <c r="F216" s="59"/>
      <c r="G216" s="59"/>
      <c r="H216" s="59"/>
      <c r="I216" s="59"/>
      <c r="J216" s="59"/>
    </row>
    <row r="217" spans="6:10">
      <c r="F217" s="59"/>
      <c r="G217" s="59"/>
      <c r="H217" s="59"/>
      <c r="I217" s="59"/>
      <c r="J217" s="59"/>
    </row>
    <row r="218" spans="6:10">
      <c r="F218" s="59"/>
      <c r="G218" s="59"/>
      <c r="H218" s="59"/>
      <c r="I218" s="59"/>
      <c r="J218" s="59"/>
    </row>
    <row r="219" spans="6:10">
      <c r="F219" s="59"/>
      <c r="G219" s="59"/>
      <c r="H219" s="59"/>
      <c r="I219" s="59"/>
      <c r="J219" s="59"/>
    </row>
    <row r="220" spans="6:10">
      <c r="F220" s="59"/>
      <c r="G220" s="59"/>
      <c r="H220" s="59"/>
      <c r="I220" s="59"/>
      <c r="J220" s="59"/>
    </row>
    <row r="221" spans="6:10">
      <c r="F221" s="59"/>
      <c r="G221" s="59"/>
      <c r="H221" s="59"/>
      <c r="I221" s="59"/>
      <c r="J221" s="59"/>
    </row>
    <row r="222" spans="6:10">
      <c r="F222" s="59"/>
      <c r="G222" s="59"/>
      <c r="H222" s="59"/>
      <c r="I222" s="59"/>
      <c r="J222" s="59"/>
    </row>
    <row r="223" spans="6:10">
      <c r="F223" s="59"/>
      <c r="G223" s="59"/>
      <c r="H223" s="59"/>
      <c r="I223" s="59"/>
      <c r="J223" s="59"/>
    </row>
    <row r="224" spans="6:10">
      <c r="F224" s="59"/>
      <c r="G224" s="59"/>
      <c r="H224" s="59"/>
      <c r="I224" s="59"/>
      <c r="J224" s="59"/>
    </row>
    <row r="225" spans="6:10">
      <c r="F225" s="59"/>
      <c r="G225" s="59"/>
      <c r="H225" s="59"/>
      <c r="I225" s="59"/>
      <c r="J225" s="59"/>
    </row>
    <row r="226" spans="6:10">
      <c r="F226" s="59"/>
      <c r="G226" s="59"/>
      <c r="H226" s="59"/>
      <c r="I226" s="59"/>
      <c r="J226" s="59"/>
    </row>
    <row r="227" spans="6:10">
      <c r="F227" s="59"/>
      <c r="G227" s="59"/>
      <c r="H227" s="59"/>
      <c r="I227" s="59"/>
      <c r="J227" s="59"/>
    </row>
    <row r="228" spans="6:10">
      <c r="F228" s="59"/>
      <c r="G228" s="59"/>
      <c r="H228" s="59"/>
      <c r="I228" s="59"/>
      <c r="J228" s="59"/>
    </row>
    <row r="229" spans="6:10">
      <c r="F229" s="59"/>
      <c r="G229" s="59"/>
      <c r="H229" s="59"/>
      <c r="I229" s="59"/>
      <c r="J229" s="59"/>
    </row>
    <row r="230" spans="6:10">
      <c r="F230" s="59"/>
      <c r="G230" s="59"/>
      <c r="H230" s="59"/>
      <c r="I230" s="59"/>
      <c r="J230" s="59"/>
    </row>
    <row r="231" spans="6:10">
      <c r="F231" s="59"/>
      <c r="G231" s="59"/>
      <c r="H231" s="59"/>
      <c r="I231" s="59"/>
      <c r="J231" s="59"/>
    </row>
    <row r="232" spans="6:10">
      <c r="F232" s="59"/>
      <c r="G232" s="59"/>
      <c r="H232" s="59"/>
      <c r="I232" s="59"/>
      <c r="J232" s="59"/>
    </row>
    <row r="233" spans="6:10">
      <c r="F233" s="59"/>
      <c r="G233" s="59"/>
      <c r="H233" s="59"/>
      <c r="I233" s="59"/>
      <c r="J233" s="59"/>
    </row>
    <row r="234" spans="6:10">
      <c r="F234" s="59"/>
      <c r="G234" s="59"/>
      <c r="H234" s="59"/>
      <c r="I234" s="59"/>
      <c r="J234" s="59"/>
    </row>
    <row r="235" spans="6:10">
      <c r="F235" s="59"/>
      <c r="G235" s="59"/>
      <c r="H235" s="59"/>
      <c r="I235" s="59"/>
      <c r="J235" s="59"/>
    </row>
    <row r="236" spans="6:10">
      <c r="F236" s="59"/>
      <c r="G236" s="59"/>
      <c r="H236" s="59"/>
      <c r="I236" s="59"/>
      <c r="J236" s="59"/>
    </row>
    <row r="237" spans="6:10">
      <c r="F237" s="59"/>
      <c r="G237" s="59"/>
      <c r="H237" s="59"/>
      <c r="I237" s="59"/>
      <c r="J237" s="59"/>
    </row>
    <row r="238" spans="6:10">
      <c r="F238" s="59"/>
      <c r="G238" s="59"/>
      <c r="H238" s="59"/>
      <c r="I238" s="59"/>
      <c r="J238" s="59"/>
    </row>
    <row r="239" spans="6:10">
      <c r="F239" s="59"/>
      <c r="G239" s="59"/>
      <c r="H239" s="59"/>
      <c r="I239" s="59"/>
      <c r="J239" s="59"/>
    </row>
    <row r="240" spans="6:10">
      <c r="F240" s="59"/>
      <c r="G240" s="59"/>
      <c r="H240" s="59"/>
      <c r="I240" s="59"/>
      <c r="J240" s="59"/>
    </row>
    <row r="241" spans="6:10">
      <c r="F241" s="59"/>
      <c r="G241" s="59"/>
      <c r="H241" s="59"/>
      <c r="I241" s="59"/>
      <c r="J241" s="59"/>
    </row>
    <row r="242" spans="6:10">
      <c r="F242" s="59"/>
      <c r="G242" s="59"/>
      <c r="H242" s="59"/>
      <c r="I242" s="59"/>
      <c r="J242" s="59"/>
    </row>
    <row r="243" spans="6:10">
      <c r="F243" s="59"/>
      <c r="G243" s="59"/>
      <c r="H243" s="59"/>
      <c r="I243" s="59"/>
      <c r="J243" s="59"/>
    </row>
    <row r="244" spans="6:10">
      <c r="F244" s="59"/>
      <c r="G244" s="59"/>
      <c r="H244" s="59"/>
      <c r="I244" s="59"/>
      <c r="J244" s="59"/>
    </row>
    <row r="245" spans="6:10">
      <c r="F245" s="59"/>
      <c r="G245" s="59"/>
      <c r="H245" s="59"/>
      <c r="I245" s="59"/>
      <c r="J245" s="59"/>
    </row>
    <row r="246" spans="6:10">
      <c r="F246" s="59"/>
      <c r="G246" s="59"/>
      <c r="H246" s="59"/>
      <c r="I246" s="59"/>
      <c r="J246" s="59"/>
    </row>
    <row r="247" spans="6:10">
      <c r="F247" s="59"/>
      <c r="G247" s="59"/>
      <c r="H247" s="59"/>
      <c r="I247" s="59"/>
      <c r="J247" s="59"/>
    </row>
    <row r="248" spans="6:10">
      <c r="F248" s="59"/>
      <c r="G248" s="59"/>
      <c r="H248" s="59"/>
      <c r="I248" s="59"/>
      <c r="J248" s="59"/>
    </row>
    <row r="249" spans="6:10">
      <c r="F249" s="59"/>
      <c r="G249" s="59"/>
      <c r="H249" s="59"/>
      <c r="I249" s="59"/>
      <c r="J249" s="59"/>
    </row>
    <row r="250" spans="6:10">
      <c r="F250" s="59"/>
      <c r="G250" s="59"/>
      <c r="H250" s="59"/>
      <c r="I250" s="59"/>
      <c r="J250" s="59"/>
    </row>
    <row r="251" spans="6:10">
      <c r="F251" s="59"/>
      <c r="G251" s="59"/>
      <c r="H251" s="59"/>
      <c r="I251" s="59"/>
      <c r="J251" s="59"/>
    </row>
    <row r="252" spans="6:10">
      <c r="F252" s="59"/>
      <c r="G252" s="59"/>
      <c r="H252" s="59"/>
      <c r="I252" s="59"/>
      <c r="J252" s="59"/>
    </row>
    <row r="253" spans="6:10">
      <c r="F253" s="59"/>
      <c r="G253" s="59"/>
      <c r="H253" s="59"/>
      <c r="I253" s="59"/>
      <c r="J253" s="59"/>
    </row>
    <row r="254" spans="6:10">
      <c r="F254" s="59"/>
      <c r="G254" s="59"/>
      <c r="H254" s="59"/>
      <c r="I254" s="59"/>
      <c r="J254" s="59"/>
    </row>
    <row r="255" spans="6:10">
      <c r="F255" s="59"/>
      <c r="G255" s="59"/>
      <c r="H255" s="59"/>
      <c r="I255" s="59"/>
      <c r="J255" s="59"/>
    </row>
    <row r="256" spans="6:10">
      <c r="F256" s="59"/>
      <c r="G256" s="59"/>
      <c r="H256" s="59"/>
      <c r="I256" s="59"/>
      <c r="J256" s="59"/>
    </row>
    <row r="257" spans="6:10">
      <c r="F257" s="59"/>
      <c r="G257" s="59"/>
      <c r="H257" s="59"/>
      <c r="I257" s="59"/>
      <c r="J257" s="59"/>
    </row>
    <row r="258" spans="6:10">
      <c r="F258" s="59"/>
      <c r="G258" s="59"/>
      <c r="H258" s="59"/>
      <c r="I258" s="59"/>
      <c r="J258" s="59"/>
    </row>
    <row r="259" spans="6:10">
      <c r="F259" s="59"/>
      <c r="G259" s="59"/>
      <c r="H259" s="59"/>
      <c r="I259" s="59"/>
      <c r="J259" s="59"/>
    </row>
    <row r="260" spans="6:10">
      <c r="F260" s="59"/>
      <c r="G260" s="59"/>
      <c r="H260" s="59"/>
      <c r="I260" s="59"/>
      <c r="J260" s="59"/>
    </row>
    <row r="261" spans="6:10">
      <c r="F261" s="59"/>
      <c r="G261" s="59"/>
      <c r="H261" s="59"/>
      <c r="I261" s="59"/>
      <c r="J261" s="59"/>
    </row>
    <row r="262" spans="6:10">
      <c r="F262" s="59"/>
      <c r="G262" s="59"/>
      <c r="H262" s="59"/>
      <c r="I262" s="59"/>
      <c r="J262" s="59"/>
    </row>
    <row r="263" spans="6:10">
      <c r="F263" s="59"/>
      <c r="G263" s="59"/>
      <c r="H263" s="59"/>
      <c r="I263" s="59"/>
      <c r="J263" s="59"/>
    </row>
    <row r="264" spans="6:10">
      <c r="F264" s="59"/>
      <c r="G264" s="59"/>
      <c r="H264" s="59"/>
      <c r="I264" s="59"/>
      <c r="J264" s="59"/>
    </row>
    <row r="265" spans="6:10">
      <c r="F265" s="59"/>
      <c r="G265" s="59"/>
      <c r="H265" s="59"/>
      <c r="I265" s="59"/>
      <c r="J265" s="59"/>
    </row>
    <row r="266" spans="6:10">
      <c r="F266" s="59"/>
      <c r="G266" s="59"/>
      <c r="H266" s="59"/>
      <c r="I266" s="59"/>
      <c r="J266" s="59"/>
    </row>
    <row r="267" spans="6:10">
      <c r="F267" s="59"/>
      <c r="G267" s="59"/>
      <c r="H267" s="59"/>
      <c r="I267" s="59"/>
      <c r="J267" s="59"/>
    </row>
    <row r="268" spans="6:10">
      <c r="F268" s="59"/>
      <c r="G268" s="59"/>
      <c r="H268" s="59"/>
      <c r="I268" s="59"/>
      <c r="J268" s="59"/>
    </row>
    <row r="269" spans="6:10">
      <c r="F269" s="59"/>
      <c r="G269" s="59"/>
      <c r="H269" s="59"/>
      <c r="I269" s="59"/>
      <c r="J269" s="59"/>
    </row>
    <row r="270" spans="6:10">
      <c r="F270" s="59"/>
      <c r="G270" s="59"/>
      <c r="H270" s="59"/>
      <c r="I270" s="59"/>
      <c r="J270" s="59"/>
    </row>
    <row r="271" spans="6:10">
      <c r="F271" s="59"/>
      <c r="G271" s="59"/>
      <c r="H271" s="59"/>
      <c r="I271" s="59"/>
      <c r="J271" s="59"/>
    </row>
    <row r="272" spans="6:10">
      <c r="F272" s="59"/>
      <c r="G272" s="59"/>
      <c r="H272" s="59"/>
      <c r="I272" s="59"/>
      <c r="J272" s="59"/>
    </row>
    <row r="273" spans="6:10">
      <c r="F273" s="59"/>
      <c r="G273" s="59"/>
      <c r="H273" s="59"/>
      <c r="I273" s="59"/>
      <c r="J273" s="59"/>
    </row>
    <row r="274" spans="6:10">
      <c r="F274" s="59"/>
      <c r="G274" s="59"/>
      <c r="H274" s="59"/>
      <c r="I274" s="59"/>
      <c r="J274" s="59"/>
    </row>
    <row r="275" spans="6:10">
      <c r="F275" s="59"/>
      <c r="G275" s="59"/>
      <c r="H275" s="59"/>
      <c r="I275" s="59"/>
      <c r="J275" s="59"/>
    </row>
    <row r="276" spans="6:10">
      <c r="F276" s="59"/>
      <c r="G276" s="59"/>
      <c r="H276" s="59"/>
      <c r="I276" s="59"/>
      <c r="J276" s="59"/>
    </row>
    <row r="277" spans="6:10">
      <c r="F277" s="59"/>
      <c r="G277" s="59"/>
      <c r="H277" s="59"/>
      <c r="I277" s="59"/>
      <c r="J277" s="59"/>
    </row>
    <row r="278" spans="6:10">
      <c r="F278" s="59"/>
      <c r="G278" s="59"/>
      <c r="H278" s="59"/>
      <c r="I278" s="59"/>
      <c r="J278" s="59"/>
    </row>
    <row r="279" spans="6:10">
      <c r="F279" s="59"/>
      <c r="G279" s="59"/>
      <c r="H279" s="59"/>
      <c r="I279" s="59"/>
      <c r="J279" s="59"/>
    </row>
    <row r="280" spans="6:10">
      <c r="F280" s="59"/>
      <c r="G280" s="59"/>
      <c r="H280" s="59"/>
      <c r="I280" s="59"/>
      <c r="J280" s="59"/>
    </row>
    <row r="281" spans="6:10">
      <c r="F281" s="59"/>
      <c r="G281" s="59"/>
      <c r="H281" s="59"/>
      <c r="I281" s="59"/>
      <c r="J281" s="59"/>
    </row>
    <row r="282" spans="6:10">
      <c r="F282" s="59"/>
      <c r="G282" s="59"/>
      <c r="H282" s="59"/>
      <c r="I282" s="59"/>
      <c r="J282" s="59"/>
    </row>
    <row r="283" spans="6:10">
      <c r="F283" s="59"/>
      <c r="G283" s="59"/>
      <c r="H283" s="59"/>
      <c r="I283" s="59"/>
      <c r="J283" s="59"/>
    </row>
    <row r="284" spans="6:10">
      <c r="F284" s="59"/>
      <c r="G284" s="59"/>
      <c r="H284" s="59"/>
      <c r="I284" s="59"/>
      <c r="J284" s="59"/>
    </row>
    <row r="285" spans="6:10">
      <c r="F285" s="59"/>
      <c r="G285" s="59"/>
      <c r="H285" s="59"/>
      <c r="I285" s="59"/>
      <c r="J285" s="59"/>
    </row>
    <row r="286" spans="6:10">
      <c r="F286" s="59"/>
      <c r="G286" s="59"/>
      <c r="H286" s="59"/>
      <c r="I286" s="59"/>
      <c r="J286" s="59"/>
    </row>
    <row r="287" spans="6:10">
      <c r="F287" s="59"/>
      <c r="G287" s="59"/>
      <c r="H287" s="59"/>
      <c r="I287" s="59"/>
      <c r="J287" s="59"/>
    </row>
    <row r="288" spans="6:10">
      <c r="F288" s="59"/>
      <c r="G288" s="59"/>
      <c r="H288" s="59"/>
      <c r="I288" s="59"/>
      <c r="J288" s="59"/>
    </row>
    <row r="289" spans="6:10">
      <c r="F289" s="59"/>
      <c r="G289" s="59"/>
      <c r="H289" s="59"/>
      <c r="I289" s="59"/>
      <c r="J289" s="59"/>
    </row>
    <row r="290" spans="6:10">
      <c r="F290" s="59"/>
      <c r="G290" s="59"/>
      <c r="H290" s="59"/>
      <c r="I290" s="59"/>
      <c r="J290" s="59"/>
    </row>
    <row r="291" spans="6:10">
      <c r="F291" s="59"/>
      <c r="G291" s="59"/>
      <c r="H291" s="59"/>
      <c r="I291" s="59"/>
      <c r="J291" s="59"/>
    </row>
    <row r="292" spans="6:10">
      <c r="F292" s="59"/>
      <c r="G292" s="59"/>
      <c r="H292" s="59"/>
      <c r="I292" s="59"/>
      <c r="J292" s="59"/>
    </row>
    <row r="293" spans="6:10">
      <c r="F293" s="59"/>
      <c r="G293" s="59"/>
      <c r="H293" s="59"/>
      <c r="I293" s="59"/>
      <c r="J293" s="59"/>
    </row>
    <row r="294" spans="6:10">
      <c r="F294" s="59"/>
      <c r="G294" s="59"/>
      <c r="H294" s="59"/>
      <c r="I294" s="59"/>
      <c r="J294" s="59"/>
    </row>
    <row r="295" spans="6:10">
      <c r="F295" s="59"/>
      <c r="G295" s="59"/>
      <c r="H295" s="59"/>
      <c r="I295" s="59"/>
      <c r="J295" s="59"/>
    </row>
    <row r="296" spans="6:10">
      <c r="F296" s="59"/>
      <c r="G296" s="59"/>
      <c r="H296" s="59"/>
      <c r="I296" s="59"/>
      <c r="J296" s="59"/>
    </row>
    <row r="297" spans="6:10">
      <c r="F297" s="59"/>
      <c r="G297" s="59"/>
      <c r="H297" s="59"/>
      <c r="I297" s="59"/>
      <c r="J297" s="59"/>
    </row>
    <row r="298" spans="6:10">
      <c r="F298" s="59"/>
      <c r="G298" s="59"/>
      <c r="H298" s="59"/>
      <c r="I298" s="59"/>
      <c r="J298" s="59"/>
    </row>
    <row r="299" spans="6:10">
      <c r="F299" s="59"/>
      <c r="G299" s="59"/>
      <c r="H299" s="59"/>
      <c r="I299" s="59"/>
      <c r="J299" s="59"/>
    </row>
    <row r="300" spans="6:10">
      <c r="F300" s="59"/>
      <c r="G300" s="59"/>
      <c r="H300" s="59"/>
      <c r="I300" s="59"/>
      <c r="J300" s="59"/>
    </row>
    <row r="301" spans="6:10">
      <c r="F301" s="59"/>
      <c r="G301" s="59"/>
      <c r="H301" s="59"/>
      <c r="I301" s="59"/>
      <c r="J301" s="59"/>
    </row>
    <row r="302" spans="6:10">
      <c r="F302" s="59"/>
      <c r="G302" s="59"/>
      <c r="H302" s="59"/>
      <c r="I302" s="59"/>
      <c r="J302" s="59"/>
    </row>
    <row r="303" spans="6:10">
      <c r="F303" s="59"/>
      <c r="G303" s="59"/>
      <c r="H303" s="59"/>
      <c r="I303" s="59"/>
      <c r="J303" s="59"/>
    </row>
    <row r="304" spans="6:10">
      <c r="F304" s="59"/>
      <c r="G304" s="59"/>
      <c r="H304" s="59"/>
      <c r="I304" s="59"/>
      <c r="J304" s="59"/>
    </row>
    <row r="305" spans="6:10">
      <c r="F305" s="59"/>
      <c r="G305" s="59"/>
      <c r="H305" s="59"/>
      <c r="I305" s="59"/>
      <c r="J305" s="59"/>
    </row>
    <row r="306" spans="6:10">
      <c r="F306" s="59"/>
      <c r="G306" s="59"/>
      <c r="H306" s="59"/>
      <c r="I306" s="59"/>
      <c r="J306" s="59"/>
    </row>
    <row r="307" spans="6:10">
      <c r="F307" s="59"/>
      <c r="G307" s="59"/>
      <c r="H307" s="59"/>
      <c r="I307" s="59"/>
      <c r="J307" s="59"/>
    </row>
    <row r="308" spans="6:10">
      <c r="F308" s="59"/>
      <c r="G308" s="59"/>
      <c r="H308" s="59"/>
      <c r="I308" s="59"/>
      <c r="J308" s="59"/>
    </row>
    <row r="309" spans="6:10">
      <c r="F309" s="59"/>
      <c r="G309" s="59"/>
      <c r="H309" s="59"/>
      <c r="I309" s="59"/>
      <c r="J309" s="59"/>
    </row>
    <row r="310" spans="6:10">
      <c r="F310" s="59"/>
      <c r="G310" s="59"/>
      <c r="H310" s="59"/>
      <c r="I310" s="59"/>
      <c r="J310" s="59"/>
    </row>
    <row r="311" spans="6:10">
      <c r="F311" s="59"/>
      <c r="G311" s="59"/>
      <c r="H311" s="59"/>
      <c r="I311" s="59"/>
      <c r="J311" s="59"/>
    </row>
    <row r="312" spans="6:10">
      <c r="F312" s="59"/>
      <c r="G312" s="59"/>
      <c r="H312" s="59"/>
      <c r="I312" s="59"/>
      <c r="J312" s="59"/>
    </row>
    <row r="313" spans="6:10">
      <c r="F313" s="59"/>
      <c r="G313" s="59"/>
      <c r="H313" s="59"/>
      <c r="I313" s="59"/>
      <c r="J313" s="59"/>
    </row>
    <row r="314" spans="6:10">
      <c r="F314" s="59"/>
      <c r="G314" s="59"/>
      <c r="H314" s="59"/>
      <c r="I314" s="59"/>
      <c r="J314" s="59"/>
    </row>
    <row r="315" spans="6:10">
      <c r="F315" s="59"/>
      <c r="G315" s="59"/>
      <c r="H315" s="59"/>
      <c r="I315" s="59"/>
      <c r="J315" s="59"/>
    </row>
    <row r="316" spans="6:10">
      <c r="F316" s="59"/>
      <c r="G316" s="59"/>
      <c r="H316" s="59"/>
      <c r="I316" s="59"/>
      <c r="J316" s="59"/>
    </row>
    <row r="317" spans="6:10">
      <c r="F317" s="59"/>
      <c r="G317" s="59"/>
      <c r="H317" s="59"/>
      <c r="I317" s="59"/>
      <c r="J317" s="59"/>
    </row>
    <row r="318" spans="6:10">
      <c r="F318" s="59"/>
      <c r="G318" s="59"/>
      <c r="H318" s="59"/>
      <c r="I318" s="59"/>
      <c r="J318" s="59"/>
    </row>
    <row r="319" spans="6:10">
      <c r="F319" s="59"/>
      <c r="G319" s="59"/>
      <c r="H319" s="59"/>
      <c r="I319" s="59"/>
      <c r="J319" s="59"/>
    </row>
    <row r="320" spans="6:10">
      <c r="F320" s="59"/>
      <c r="G320" s="59"/>
      <c r="H320" s="59"/>
      <c r="I320" s="59"/>
      <c r="J320" s="59"/>
    </row>
    <row r="321" spans="6:10">
      <c r="F321" s="59"/>
      <c r="G321" s="59"/>
      <c r="H321" s="59"/>
      <c r="I321" s="59"/>
      <c r="J321" s="59"/>
    </row>
    <row r="322" spans="6:10">
      <c r="F322" s="59"/>
      <c r="G322" s="59"/>
      <c r="H322" s="59"/>
      <c r="I322" s="59"/>
      <c r="J322" s="59"/>
    </row>
    <row r="323" spans="6:10">
      <c r="F323" s="59"/>
      <c r="G323" s="59"/>
      <c r="H323" s="59"/>
      <c r="I323" s="59"/>
      <c r="J323" s="59"/>
    </row>
    <row r="324" spans="6:10">
      <c r="F324" s="59"/>
      <c r="G324" s="59"/>
      <c r="H324" s="59"/>
      <c r="I324" s="59"/>
      <c r="J324" s="59"/>
    </row>
    <row r="325" spans="6:10">
      <c r="F325" s="59"/>
      <c r="G325" s="59"/>
      <c r="H325" s="59"/>
      <c r="I325" s="59"/>
      <c r="J325" s="59"/>
    </row>
    <row r="326" spans="6:10">
      <c r="F326" s="59"/>
      <c r="G326" s="59"/>
      <c r="H326" s="59"/>
      <c r="I326" s="59"/>
      <c r="J326" s="59"/>
    </row>
    <row r="327" spans="6:10">
      <c r="F327" s="59"/>
      <c r="G327" s="59"/>
      <c r="H327" s="59"/>
      <c r="I327" s="59"/>
      <c r="J327" s="59"/>
    </row>
    <row r="328" spans="6:10">
      <c r="F328" s="59"/>
      <c r="G328" s="59"/>
      <c r="H328" s="59"/>
      <c r="I328" s="59"/>
      <c r="J328" s="59"/>
    </row>
    <row r="329" spans="6:10">
      <c r="F329" s="59"/>
      <c r="G329" s="59"/>
      <c r="H329" s="59"/>
      <c r="I329" s="59"/>
      <c r="J329" s="59"/>
    </row>
    <row r="330" spans="6:10">
      <c r="F330" s="59"/>
      <c r="G330" s="59"/>
      <c r="H330" s="59"/>
      <c r="I330" s="59"/>
      <c r="J330" s="59"/>
    </row>
    <row r="331" spans="6:10">
      <c r="F331" s="59"/>
      <c r="G331" s="59"/>
      <c r="H331" s="59"/>
      <c r="I331" s="59"/>
      <c r="J331" s="59"/>
    </row>
    <row r="332" spans="6:10">
      <c r="F332" s="59"/>
      <c r="G332" s="59"/>
      <c r="H332" s="59"/>
      <c r="I332" s="59"/>
      <c r="J332" s="59"/>
    </row>
    <row r="333" spans="6:10">
      <c r="F333" s="59"/>
      <c r="G333" s="59"/>
      <c r="H333" s="59"/>
      <c r="I333" s="59"/>
      <c r="J333" s="59"/>
    </row>
    <row r="334" spans="6:10">
      <c r="F334" s="59"/>
      <c r="G334" s="59"/>
      <c r="H334" s="59"/>
      <c r="I334" s="59"/>
      <c r="J334" s="59"/>
    </row>
    <row r="335" spans="6:10">
      <c r="F335" s="59"/>
      <c r="G335" s="59"/>
      <c r="H335" s="59"/>
      <c r="I335" s="59"/>
      <c r="J335" s="59"/>
    </row>
    <row r="336" spans="6:10">
      <c r="F336" s="59"/>
      <c r="G336" s="59"/>
      <c r="H336" s="59"/>
      <c r="I336" s="59"/>
      <c r="J336" s="59"/>
    </row>
    <row r="337" spans="6:10">
      <c r="F337" s="59"/>
      <c r="G337" s="59"/>
      <c r="H337" s="59"/>
      <c r="I337" s="59"/>
      <c r="J337" s="59"/>
    </row>
    <row r="338" spans="6:10">
      <c r="F338" s="59"/>
      <c r="G338" s="59"/>
      <c r="H338" s="59"/>
      <c r="I338" s="59"/>
      <c r="J338" s="59"/>
    </row>
    <row r="339" spans="6:10">
      <c r="F339" s="59"/>
      <c r="G339" s="59"/>
      <c r="H339" s="59"/>
      <c r="I339" s="59"/>
      <c r="J339" s="59"/>
    </row>
    <row r="340" spans="6:10">
      <c r="F340" s="59"/>
      <c r="G340" s="59"/>
      <c r="H340" s="59"/>
      <c r="I340" s="59"/>
      <c r="J340" s="59"/>
    </row>
    <row r="341" spans="6:10">
      <c r="F341" s="59"/>
      <c r="G341" s="59"/>
      <c r="H341" s="59"/>
      <c r="I341" s="59"/>
      <c r="J341" s="59"/>
    </row>
    <row r="342" spans="6:10">
      <c r="F342" s="59"/>
      <c r="G342" s="59"/>
      <c r="H342" s="59"/>
      <c r="I342" s="59"/>
      <c r="J342" s="59"/>
    </row>
    <row r="343" spans="6:10">
      <c r="F343" s="59"/>
      <c r="G343" s="59"/>
      <c r="H343" s="59"/>
      <c r="I343" s="59"/>
      <c r="J343" s="59"/>
    </row>
    <row r="344" spans="6:10">
      <c r="F344" s="59"/>
      <c r="G344" s="59"/>
      <c r="H344" s="59"/>
      <c r="I344" s="59"/>
      <c r="J344" s="59"/>
    </row>
    <row r="345" spans="6:10">
      <c r="F345" s="59"/>
      <c r="G345" s="59"/>
      <c r="H345" s="59"/>
      <c r="I345" s="59"/>
      <c r="J345" s="59"/>
    </row>
    <row r="346" spans="6:10">
      <c r="F346" s="59"/>
      <c r="G346" s="59"/>
      <c r="H346" s="59"/>
      <c r="I346" s="59"/>
      <c r="J346" s="59"/>
    </row>
    <row r="347" spans="6:10">
      <c r="F347" s="59"/>
      <c r="G347" s="59"/>
      <c r="H347" s="59"/>
      <c r="I347" s="59"/>
      <c r="J347" s="59"/>
    </row>
    <row r="348" spans="6:10">
      <c r="F348" s="59"/>
      <c r="G348" s="59"/>
      <c r="H348" s="59"/>
      <c r="I348" s="59"/>
      <c r="J348" s="59"/>
    </row>
    <row r="349" spans="6:10">
      <c r="F349" s="59"/>
      <c r="G349" s="59"/>
      <c r="H349" s="59"/>
      <c r="I349" s="59"/>
      <c r="J349" s="59"/>
    </row>
    <row r="350" spans="6:10">
      <c r="F350" s="59"/>
      <c r="G350" s="59"/>
      <c r="H350" s="59"/>
      <c r="I350" s="59"/>
      <c r="J350" s="59"/>
    </row>
    <row r="351" spans="6:10">
      <c r="F351" s="59"/>
      <c r="G351" s="59"/>
      <c r="H351" s="59"/>
      <c r="I351" s="59"/>
      <c r="J351" s="59"/>
    </row>
    <row r="352" spans="6:10">
      <c r="F352" s="59"/>
      <c r="G352" s="59"/>
      <c r="H352" s="59"/>
      <c r="I352" s="59"/>
      <c r="J352" s="59"/>
    </row>
    <row r="353" spans="6:10">
      <c r="F353" s="59"/>
      <c r="G353" s="59"/>
      <c r="H353" s="59"/>
      <c r="I353" s="59"/>
      <c r="J353" s="59"/>
    </row>
    <row r="354" spans="6:10">
      <c r="F354" s="59"/>
      <c r="G354" s="59"/>
      <c r="H354" s="59"/>
      <c r="I354" s="59"/>
      <c r="J354" s="59"/>
    </row>
    <row r="355" spans="6:10">
      <c r="F355" s="59"/>
      <c r="G355" s="59"/>
      <c r="H355" s="59"/>
      <c r="I355" s="59"/>
      <c r="J355" s="59"/>
    </row>
    <row r="356" spans="6:10">
      <c r="F356" s="59"/>
      <c r="G356" s="59"/>
      <c r="H356" s="59"/>
      <c r="I356" s="59"/>
      <c r="J356" s="59"/>
    </row>
    <row r="357" spans="6:10">
      <c r="F357" s="59"/>
      <c r="G357" s="59"/>
      <c r="H357" s="59"/>
      <c r="I357" s="59"/>
      <c r="J357" s="59"/>
    </row>
    <row r="358" spans="6:10">
      <c r="F358" s="59"/>
      <c r="G358" s="59"/>
      <c r="H358" s="59"/>
      <c r="I358" s="59"/>
      <c r="J358" s="59"/>
    </row>
    <row r="359" spans="6:10">
      <c r="F359" s="59"/>
      <c r="G359" s="59"/>
      <c r="H359" s="59"/>
      <c r="I359" s="59"/>
      <c r="J359" s="59"/>
    </row>
    <row r="360" spans="6:10">
      <c r="F360" s="59"/>
      <c r="G360" s="59"/>
      <c r="H360" s="59"/>
      <c r="I360" s="59"/>
      <c r="J360" s="59"/>
    </row>
    <row r="361" spans="6:10">
      <c r="F361" s="59"/>
      <c r="G361" s="59"/>
      <c r="H361" s="59"/>
      <c r="I361" s="59"/>
      <c r="J361" s="59"/>
    </row>
    <row r="362" spans="6:10">
      <c r="F362" s="59"/>
      <c r="G362" s="59"/>
      <c r="H362" s="59"/>
      <c r="I362" s="59"/>
      <c r="J362" s="59"/>
    </row>
    <row r="363" spans="6:10">
      <c r="F363" s="59"/>
      <c r="G363" s="59"/>
      <c r="H363" s="59"/>
      <c r="I363" s="59"/>
      <c r="J363" s="59"/>
    </row>
    <row r="364" spans="6:10">
      <c r="F364" s="59"/>
      <c r="G364" s="59"/>
      <c r="H364" s="59"/>
      <c r="I364" s="59"/>
      <c r="J364" s="59"/>
    </row>
    <row r="365" spans="6:10">
      <c r="F365" s="59"/>
      <c r="G365" s="59"/>
      <c r="H365" s="59"/>
      <c r="I365" s="59"/>
      <c r="J365" s="59"/>
    </row>
    <row r="366" spans="6:10">
      <c r="F366" s="59"/>
      <c r="G366" s="59"/>
      <c r="H366" s="59"/>
      <c r="I366" s="59"/>
      <c r="J366" s="59"/>
    </row>
    <row r="367" spans="6:10">
      <c r="F367" s="59"/>
      <c r="G367" s="59"/>
      <c r="H367" s="59"/>
      <c r="I367" s="59"/>
      <c r="J367" s="59"/>
    </row>
    <row r="368" spans="6:10">
      <c r="F368" s="59"/>
      <c r="G368" s="59"/>
      <c r="H368" s="59"/>
      <c r="I368" s="59"/>
      <c r="J368" s="59"/>
    </row>
    <row r="369" spans="6:10">
      <c r="F369" s="59"/>
      <c r="G369" s="59"/>
      <c r="H369" s="59"/>
      <c r="I369" s="59"/>
      <c r="J369" s="59"/>
    </row>
    <row r="370" spans="6:10">
      <c r="F370" s="59"/>
      <c r="G370" s="59"/>
      <c r="H370" s="59"/>
      <c r="I370" s="59"/>
      <c r="J370" s="59"/>
    </row>
    <row r="371" spans="6:10">
      <c r="F371" s="59"/>
      <c r="G371" s="59"/>
      <c r="H371" s="59"/>
      <c r="I371" s="59"/>
      <c r="J371" s="59"/>
    </row>
    <row r="372" spans="6:10">
      <c r="F372" s="59"/>
      <c r="G372" s="59"/>
      <c r="H372" s="59"/>
      <c r="I372" s="59"/>
      <c r="J372" s="59"/>
    </row>
    <row r="373" spans="6:10">
      <c r="F373" s="59"/>
      <c r="G373" s="59"/>
      <c r="H373" s="59"/>
      <c r="I373" s="59"/>
      <c r="J373" s="59"/>
    </row>
    <row r="374" spans="6:10">
      <c r="F374" s="59"/>
      <c r="G374" s="59"/>
      <c r="H374" s="59"/>
      <c r="I374" s="59"/>
      <c r="J374" s="59"/>
    </row>
    <row r="375" spans="6:10">
      <c r="F375" s="59"/>
      <c r="G375" s="59"/>
      <c r="H375" s="59"/>
      <c r="I375" s="59"/>
      <c r="J375" s="59"/>
    </row>
    <row r="376" spans="6:10">
      <c r="F376" s="59"/>
      <c r="G376" s="59"/>
      <c r="H376" s="59"/>
      <c r="I376" s="59"/>
      <c r="J376" s="59"/>
    </row>
    <row r="377" spans="6:10">
      <c r="F377" s="59"/>
      <c r="G377" s="59"/>
      <c r="H377" s="59"/>
      <c r="I377" s="59"/>
      <c r="J377" s="59"/>
    </row>
    <row r="378" spans="6:10">
      <c r="F378" s="59"/>
      <c r="G378" s="59"/>
      <c r="H378" s="59"/>
      <c r="I378" s="59"/>
      <c r="J378" s="59"/>
    </row>
    <row r="379" spans="6:10">
      <c r="F379" s="59"/>
      <c r="G379" s="59"/>
      <c r="H379" s="59"/>
      <c r="I379" s="59"/>
      <c r="J379" s="59"/>
    </row>
    <row r="380" spans="6:10">
      <c r="F380" s="59"/>
      <c r="G380" s="59"/>
      <c r="H380" s="59"/>
      <c r="I380" s="59"/>
      <c r="J380" s="59"/>
    </row>
    <row r="381" spans="6:10">
      <c r="F381" s="59"/>
      <c r="G381" s="59"/>
      <c r="H381" s="59"/>
      <c r="I381" s="59"/>
      <c r="J381" s="59"/>
    </row>
    <row r="382" spans="6:10">
      <c r="F382" s="59"/>
      <c r="G382" s="59"/>
      <c r="H382" s="59"/>
      <c r="I382" s="59"/>
      <c r="J382" s="59"/>
    </row>
    <row r="383" spans="6:10">
      <c r="F383" s="59"/>
      <c r="G383" s="59"/>
      <c r="H383" s="59"/>
      <c r="I383" s="59"/>
      <c r="J383" s="59"/>
    </row>
    <row r="384" spans="6:10">
      <c r="F384" s="59"/>
      <c r="G384" s="59"/>
      <c r="H384" s="59"/>
      <c r="I384" s="59"/>
      <c r="J384" s="59"/>
    </row>
    <row r="385" spans="6:10">
      <c r="F385" s="59"/>
      <c r="G385" s="59"/>
      <c r="H385" s="59"/>
      <c r="I385" s="59"/>
      <c r="J385" s="59"/>
    </row>
    <row r="386" spans="6:10">
      <c r="F386" s="59"/>
      <c r="G386" s="59"/>
      <c r="H386" s="59"/>
      <c r="I386" s="59"/>
      <c r="J386" s="59"/>
    </row>
    <row r="387" spans="6:10">
      <c r="F387" s="59"/>
      <c r="G387" s="59"/>
      <c r="H387" s="59"/>
      <c r="I387" s="59"/>
      <c r="J387" s="59"/>
    </row>
    <row r="388" spans="6:10">
      <c r="F388" s="59"/>
      <c r="G388" s="59"/>
      <c r="H388" s="59"/>
      <c r="I388" s="59"/>
      <c r="J388" s="59"/>
    </row>
    <row r="389" spans="6:10">
      <c r="F389" s="59"/>
      <c r="G389" s="59"/>
      <c r="H389" s="59"/>
      <c r="I389" s="59"/>
      <c r="J389" s="59"/>
    </row>
    <row r="390" spans="6:10">
      <c r="F390" s="59"/>
      <c r="G390" s="59"/>
      <c r="H390" s="59"/>
      <c r="I390" s="59"/>
      <c r="J390" s="59"/>
    </row>
    <row r="391" spans="6:10">
      <c r="F391" s="59"/>
      <c r="G391" s="59"/>
      <c r="H391" s="59"/>
      <c r="I391" s="59"/>
      <c r="J391" s="59"/>
    </row>
    <row r="392" spans="6:10">
      <c r="F392" s="59"/>
      <c r="G392" s="59"/>
      <c r="H392" s="59"/>
      <c r="I392" s="59"/>
      <c r="J392" s="59"/>
    </row>
    <row r="393" spans="6:10">
      <c r="F393" s="59"/>
      <c r="G393" s="59"/>
      <c r="H393" s="59"/>
      <c r="I393" s="59"/>
      <c r="J393" s="59"/>
    </row>
    <row r="394" spans="6:10">
      <c r="F394" s="59"/>
      <c r="G394" s="59"/>
      <c r="H394" s="59"/>
      <c r="I394" s="59"/>
      <c r="J394" s="59"/>
    </row>
    <row r="395" spans="6:10">
      <c r="F395" s="59"/>
      <c r="G395" s="59"/>
      <c r="H395" s="59"/>
      <c r="I395" s="59"/>
      <c r="J395" s="59"/>
    </row>
    <row r="396" spans="6:10">
      <c r="F396" s="59"/>
      <c r="G396" s="59"/>
      <c r="H396" s="59"/>
      <c r="I396" s="59"/>
      <c r="J396" s="59"/>
    </row>
    <row r="397" spans="6:10">
      <c r="F397" s="59"/>
      <c r="G397" s="59"/>
      <c r="H397" s="59"/>
      <c r="I397" s="59"/>
      <c r="J397" s="59"/>
    </row>
    <row r="398" spans="6:10">
      <c r="F398" s="59"/>
      <c r="G398" s="59"/>
      <c r="H398" s="59"/>
      <c r="I398" s="59"/>
      <c r="J398" s="59"/>
    </row>
    <row r="399" spans="6:10">
      <c r="F399" s="59"/>
      <c r="G399" s="59"/>
      <c r="H399" s="59"/>
      <c r="I399" s="59"/>
      <c r="J399" s="59"/>
    </row>
    <row r="400" spans="6:10">
      <c r="F400" s="59"/>
      <c r="G400" s="59"/>
      <c r="H400" s="59"/>
      <c r="I400" s="59"/>
      <c r="J400" s="59"/>
    </row>
    <row r="401" spans="6:10">
      <c r="F401" s="59"/>
      <c r="G401" s="59"/>
      <c r="H401" s="59"/>
      <c r="I401" s="59"/>
      <c r="J401" s="59"/>
    </row>
    <row r="402" spans="6:10">
      <c r="F402" s="59"/>
      <c r="G402" s="59"/>
      <c r="H402" s="59"/>
      <c r="I402" s="59"/>
      <c r="J402" s="59"/>
    </row>
    <row r="403" spans="6:10">
      <c r="F403" s="59"/>
      <c r="G403" s="59"/>
      <c r="H403" s="59"/>
      <c r="I403" s="59"/>
      <c r="J403" s="59"/>
    </row>
    <row r="404" spans="6:10">
      <c r="F404" s="59"/>
      <c r="G404" s="59"/>
      <c r="H404" s="59"/>
      <c r="I404" s="59"/>
      <c r="J404" s="59"/>
    </row>
    <row r="405" spans="6:10">
      <c r="F405" s="59"/>
      <c r="G405" s="59"/>
      <c r="H405" s="59"/>
      <c r="I405" s="59"/>
      <c r="J405" s="59"/>
    </row>
    <row r="406" spans="6:10">
      <c r="F406" s="59"/>
      <c r="G406" s="59"/>
      <c r="H406" s="59"/>
      <c r="I406" s="59"/>
      <c r="J406" s="59"/>
    </row>
    <row r="407" spans="6:10">
      <c r="F407" s="59"/>
      <c r="G407" s="59"/>
      <c r="H407" s="59"/>
      <c r="I407" s="59"/>
      <c r="J407" s="59"/>
    </row>
    <row r="408" spans="6:10">
      <c r="F408" s="59"/>
      <c r="G408" s="59"/>
      <c r="H408" s="59"/>
      <c r="I408" s="59"/>
      <c r="J408" s="59"/>
    </row>
    <row r="409" spans="6:10">
      <c r="F409" s="59"/>
      <c r="G409" s="59"/>
      <c r="H409" s="59"/>
      <c r="I409" s="59"/>
      <c r="J409" s="59"/>
    </row>
    <row r="410" spans="6:10">
      <c r="F410" s="59"/>
      <c r="G410" s="59"/>
      <c r="H410" s="59"/>
      <c r="I410" s="59"/>
      <c r="J410" s="59"/>
    </row>
    <row r="411" spans="6:10">
      <c r="F411" s="59"/>
      <c r="G411" s="59"/>
      <c r="H411" s="59"/>
      <c r="I411" s="59"/>
      <c r="J411" s="59"/>
    </row>
    <row r="412" spans="6:10">
      <c r="F412" s="59"/>
      <c r="G412" s="59"/>
      <c r="H412" s="59"/>
      <c r="I412" s="59"/>
      <c r="J412" s="59"/>
    </row>
    <row r="413" spans="6:10">
      <c r="F413" s="59"/>
      <c r="G413" s="59"/>
      <c r="H413" s="59"/>
      <c r="I413" s="59"/>
      <c r="J413" s="59"/>
    </row>
    <row r="414" spans="6:10">
      <c r="F414" s="59"/>
      <c r="G414" s="59"/>
      <c r="H414" s="59"/>
      <c r="I414" s="59"/>
      <c r="J414" s="59"/>
    </row>
    <row r="415" spans="6:10">
      <c r="F415" s="59"/>
      <c r="G415" s="59"/>
      <c r="H415" s="59"/>
      <c r="I415" s="59"/>
      <c r="J415" s="59"/>
    </row>
    <row r="416" spans="6:10">
      <c r="F416" s="59"/>
      <c r="G416" s="59"/>
      <c r="H416" s="59"/>
      <c r="I416" s="59"/>
      <c r="J416" s="59"/>
    </row>
    <row r="417" spans="6:10">
      <c r="F417" s="59"/>
      <c r="G417" s="59"/>
      <c r="H417" s="59"/>
      <c r="I417" s="59"/>
      <c r="J417" s="59"/>
    </row>
    <row r="418" spans="6:10">
      <c r="F418" s="59"/>
      <c r="G418" s="59"/>
      <c r="H418" s="59"/>
      <c r="I418" s="59"/>
      <c r="J418" s="59"/>
    </row>
    <row r="419" spans="6:10">
      <c r="F419" s="59"/>
      <c r="G419" s="59"/>
      <c r="H419" s="59"/>
      <c r="I419" s="59"/>
      <c r="J419" s="59"/>
    </row>
    <row r="420" spans="6:10">
      <c r="F420" s="59"/>
      <c r="G420" s="59"/>
      <c r="H420" s="59"/>
      <c r="I420" s="59"/>
      <c r="J420" s="59"/>
    </row>
    <row r="421" spans="6:10">
      <c r="F421" s="59"/>
      <c r="G421" s="59"/>
      <c r="H421" s="59"/>
      <c r="I421" s="59"/>
      <c r="J421" s="59"/>
    </row>
    <row r="422" spans="6:10">
      <c r="F422" s="59"/>
      <c r="G422" s="59"/>
      <c r="H422" s="59"/>
      <c r="I422" s="59"/>
      <c r="J422" s="59"/>
    </row>
    <row r="423" spans="6:10">
      <c r="F423" s="59"/>
      <c r="G423" s="59"/>
      <c r="H423" s="59"/>
      <c r="I423" s="59"/>
      <c r="J423" s="59"/>
    </row>
    <row r="424" spans="6:10">
      <c r="F424" s="59"/>
      <c r="G424" s="59"/>
      <c r="H424" s="59"/>
      <c r="I424" s="59"/>
      <c r="J424" s="59"/>
    </row>
    <row r="425" spans="6:10">
      <c r="F425" s="59"/>
      <c r="G425" s="59"/>
      <c r="H425" s="59"/>
      <c r="I425" s="59"/>
      <c r="J425" s="59"/>
    </row>
    <row r="426" spans="6:10">
      <c r="F426" s="59"/>
      <c r="G426" s="59"/>
      <c r="H426" s="59"/>
      <c r="I426" s="59"/>
      <c r="J426" s="59"/>
    </row>
    <row r="427" spans="6:10">
      <c r="F427" s="59"/>
      <c r="G427" s="59"/>
      <c r="H427" s="59"/>
      <c r="I427" s="59"/>
      <c r="J427" s="59"/>
    </row>
    <row r="428" spans="6:10">
      <c r="F428" s="59"/>
      <c r="G428" s="59"/>
      <c r="H428" s="59"/>
      <c r="I428" s="59"/>
      <c r="J428" s="59"/>
    </row>
    <row r="429" spans="6:10">
      <c r="F429" s="59"/>
      <c r="G429" s="59"/>
      <c r="H429" s="59"/>
      <c r="I429" s="59"/>
      <c r="J429" s="59"/>
    </row>
    <row r="430" spans="6:10">
      <c r="F430" s="59"/>
      <c r="G430" s="59"/>
      <c r="H430" s="59"/>
      <c r="I430" s="59"/>
      <c r="J430" s="59"/>
    </row>
    <row r="431" spans="6:10">
      <c r="F431" s="59"/>
      <c r="G431" s="59"/>
      <c r="H431" s="59"/>
      <c r="I431" s="59"/>
      <c r="J431" s="59"/>
    </row>
    <row r="432" spans="6:10">
      <c r="F432" s="59"/>
      <c r="G432" s="59"/>
      <c r="H432" s="59"/>
      <c r="I432" s="59"/>
      <c r="J432" s="59"/>
    </row>
    <row r="433" spans="6:10">
      <c r="F433" s="59"/>
      <c r="G433" s="59"/>
      <c r="H433" s="59"/>
      <c r="I433" s="59"/>
      <c r="J433" s="59"/>
    </row>
    <row r="434" spans="6:10">
      <c r="F434" s="59"/>
      <c r="G434" s="59"/>
      <c r="H434" s="59"/>
      <c r="I434" s="59"/>
      <c r="J434" s="59"/>
    </row>
    <row r="435" spans="6:10">
      <c r="F435" s="59"/>
      <c r="G435" s="59"/>
      <c r="H435" s="59"/>
      <c r="I435" s="59"/>
      <c r="J435" s="59"/>
    </row>
    <row r="436" spans="6:10">
      <c r="F436" s="59"/>
      <c r="G436" s="59"/>
      <c r="H436" s="59"/>
      <c r="I436" s="59"/>
      <c r="J436" s="59"/>
    </row>
    <row r="437" spans="6:10">
      <c r="F437" s="59"/>
      <c r="G437" s="59"/>
      <c r="H437" s="59"/>
      <c r="I437" s="59"/>
      <c r="J437" s="59"/>
    </row>
    <row r="438" spans="6:10">
      <c r="F438" s="59"/>
      <c r="G438" s="59"/>
      <c r="H438" s="59"/>
      <c r="I438" s="59"/>
      <c r="J438" s="59"/>
    </row>
    <row r="439" spans="6:10">
      <c r="F439" s="59"/>
      <c r="G439" s="59"/>
      <c r="H439" s="59"/>
      <c r="I439" s="59"/>
      <c r="J439" s="59"/>
    </row>
    <row r="440" spans="6:10">
      <c r="F440" s="59"/>
      <c r="G440" s="59"/>
      <c r="H440" s="59"/>
      <c r="I440" s="59"/>
      <c r="J440" s="59"/>
    </row>
    <row r="441" spans="6:10">
      <c r="F441" s="59"/>
      <c r="G441" s="59"/>
      <c r="H441" s="59"/>
      <c r="I441" s="59"/>
      <c r="J441" s="59"/>
    </row>
    <row r="442" spans="6:10">
      <c r="F442" s="59"/>
      <c r="G442" s="59"/>
      <c r="H442" s="59"/>
      <c r="I442" s="59"/>
      <c r="J442" s="59"/>
    </row>
    <row r="443" spans="6:10">
      <c r="F443" s="59"/>
      <c r="G443" s="59"/>
      <c r="H443" s="59"/>
      <c r="I443" s="59"/>
      <c r="J443" s="59"/>
    </row>
    <row r="444" spans="6:10">
      <c r="F444" s="59"/>
      <c r="G444" s="59"/>
      <c r="H444" s="59"/>
      <c r="I444" s="59"/>
      <c r="J444" s="59"/>
    </row>
    <row r="445" spans="6:10">
      <c r="F445" s="59"/>
      <c r="G445" s="59"/>
      <c r="H445" s="59"/>
      <c r="I445" s="59"/>
      <c r="J445" s="59"/>
    </row>
    <row r="446" spans="6:10">
      <c r="F446" s="59"/>
      <c r="G446" s="59"/>
      <c r="H446" s="59"/>
      <c r="I446" s="59"/>
      <c r="J446" s="59"/>
    </row>
    <row r="447" spans="6:10">
      <c r="F447" s="59"/>
      <c r="G447" s="59"/>
      <c r="H447" s="59"/>
      <c r="I447" s="59"/>
      <c r="J447" s="59"/>
    </row>
    <row r="448" spans="6:10">
      <c r="F448" s="59"/>
      <c r="G448" s="59"/>
      <c r="H448" s="59"/>
      <c r="I448" s="59"/>
      <c r="J448" s="59"/>
    </row>
    <row r="449" spans="6:10">
      <c r="F449" s="59"/>
      <c r="G449" s="59"/>
      <c r="H449" s="59"/>
      <c r="I449" s="59"/>
      <c r="J449" s="59"/>
    </row>
    <row r="450" spans="6:10">
      <c r="F450" s="59"/>
      <c r="G450" s="59"/>
      <c r="H450" s="59"/>
      <c r="I450" s="59"/>
      <c r="J450" s="59"/>
    </row>
    <row r="451" spans="6:10">
      <c r="F451" s="59"/>
      <c r="G451" s="59"/>
      <c r="H451" s="59"/>
      <c r="I451" s="59"/>
      <c r="J451" s="59"/>
    </row>
    <row r="452" spans="6:10">
      <c r="F452" s="59"/>
      <c r="G452" s="59"/>
      <c r="H452" s="59"/>
      <c r="I452" s="59"/>
      <c r="J452" s="59"/>
    </row>
    <row r="453" spans="6:10">
      <c r="F453" s="59"/>
      <c r="G453" s="59"/>
      <c r="H453" s="59"/>
      <c r="I453" s="59"/>
      <c r="J453" s="59"/>
    </row>
    <row r="454" spans="6:10">
      <c r="F454" s="59"/>
      <c r="G454" s="59"/>
      <c r="H454" s="59"/>
      <c r="I454" s="59"/>
      <c r="J454" s="59"/>
    </row>
    <row r="455" spans="6:10">
      <c r="F455" s="59"/>
      <c r="G455" s="59"/>
      <c r="H455" s="59"/>
      <c r="I455" s="59"/>
      <c r="J455" s="59"/>
    </row>
    <row r="456" spans="6:10">
      <c r="F456" s="59"/>
      <c r="G456" s="59"/>
      <c r="H456" s="59"/>
      <c r="I456" s="59"/>
      <c r="J456" s="59"/>
    </row>
    <row r="457" spans="6:10">
      <c r="F457" s="59"/>
      <c r="G457" s="59"/>
      <c r="H457" s="59"/>
      <c r="I457" s="59"/>
      <c r="J457" s="59"/>
    </row>
    <row r="458" spans="6:10">
      <c r="F458" s="59"/>
      <c r="G458" s="59"/>
      <c r="H458" s="59"/>
      <c r="I458" s="59"/>
      <c r="J458" s="59"/>
    </row>
    <row r="459" spans="6:10">
      <c r="F459" s="59"/>
      <c r="G459" s="59"/>
      <c r="H459" s="59"/>
      <c r="I459" s="59"/>
      <c r="J459" s="59"/>
    </row>
    <row r="460" spans="6:10">
      <c r="F460" s="59"/>
      <c r="G460" s="59"/>
      <c r="H460" s="59"/>
      <c r="I460" s="59"/>
      <c r="J460" s="59"/>
    </row>
    <row r="461" spans="6:10">
      <c r="F461" s="59"/>
      <c r="G461" s="59"/>
      <c r="H461" s="59"/>
      <c r="I461" s="59"/>
      <c r="J461" s="59"/>
    </row>
    <row r="462" spans="6:10">
      <c r="F462" s="59"/>
      <c r="G462" s="59"/>
      <c r="H462" s="59"/>
      <c r="I462" s="59"/>
      <c r="J462" s="59"/>
    </row>
    <row r="463" spans="6:10">
      <c r="F463" s="59"/>
      <c r="G463" s="59"/>
      <c r="H463" s="59"/>
      <c r="I463" s="59"/>
      <c r="J463" s="59"/>
    </row>
    <row r="464" spans="6:10">
      <c r="F464" s="59"/>
      <c r="G464" s="59"/>
      <c r="H464" s="59"/>
      <c r="I464" s="59"/>
      <c r="J464" s="59"/>
    </row>
    <row r="465" spans="6:10">
      <c r="F465" s="59"/>
      <c r="G465" s="59"/>
      <c r="H465" s="59"/>
      <c r="I465" s="59"/>
      <c r="J465" s="59"/>
    </row>
    <row r="466" spans="6:10">
      <c r="F466" s="59"/>
      <c r="G466" s="59"/>
      <c r="H466" s="59"/>
      <c r="I466" s="59"/>
      <c r="J466" s="59"/>
    </row>
    <row r="467" spans="6:10">
      <c r="F467" s="59"/>
      <c r="G467" s="59"/>
      <c r="H467" s="59"/>
      <c r="I467" s="59"/>
      <c r="J467" s="59"/>
    </row>
    <row r="468" spans="6:10">
      <c r="F468" s="59"/>
      <c r="G468" s="59"/>
      <c r="H468" s="59"/>
      <c r="I468" s="59"/>
      <c r="J468" s="59"/>
    </row>
    <row r="469" spans="6:10">
      <c r="F469" s="59"/>
      <c r="G469" s="59"/>
      <c r="H469" s="59"/>
      <c r="I469" s="59"/>
      <c r="J469" s="59"/>
    </row>
    <row r="470" spans="6:10">
      <c r="F470" s="59"/>
      <c r="G470" s="59"/>
      <c r="H470" s="59"/>
      <c r="I470" s="59"/>
      <c r="J470" s="59"/>
    </row>
    <row r="471" spans="6:10">
      <c r="F471" s="59"/>
      <c r="G471" s="59"/>
      <c r="H471" s="59"/>
      <c r="I471" s="59"/>
      <c r="J471" s="59"/>
    </row>
    <row r="472" spans="6:10">
      <c r="F472" s="59"/>
      <c r="G472" s="59"/>
      <c r="H472" s="59"/>
      <c r="I472" s="59"/>
      <c r="J472" s="59"/>
    </row>
    <row r="473" spans="6:10">
      <c r="F473" s="59"/>
      <c r="G473" s="59"/>
      <c r="H473" s="59"/>
      <c r="I473" s="59"/>
      <c r="J473" s="59"/>
    </row>
    <row r="474" spans="6:10">
      <c r="F474" s="59"/>
      <c r="G474" s="59"/>
      <c r="H474" s="59"/>
      <c r="I474" s="59"/>
      <c r="J474" s="59"/>
    </row>
    <row r="475" spans="6:10">
      <c r="F475" s="59"/>
      <c r="G475" s="59"/>
      <c r="H475" s="59"/>
      <c r="I475" s="59"/>
      <c r="J475" s="59"/>
    </row>
    <row r="476" spans="6:10">
      <c r="F476" s="59"/>
      <c r="G476" s="59"/>
      <c r="H476" s="59"/>
      <c r="I476" s="59"/>
      <c r="J476" s="59"/>
    </row>
    <row r="477" spans="6:10">
      <c r="F477" s="59"/>
      <c r="G477" s="59"/>
      <c r="H477" s="59"/>
      <c r="I477" s="59"/>
      <c r="J477" s="59"/>
    </row>
    <row r="478" spans="6:10">
      <c r="F478" s="59"/>
      <c r="G478" s="59"/>
      <c r="H478" s="59"/>
      <c r="I478" s="59"/>
      <c r="J478" s="59"/>
    </row>
    <row r="479" spans="6:10">
      <c r="F479" s="59"/>
      <c r="G479" s="59"/>
      <c r="H479" s="59"/>
      <c r="I479" s="59"/>
      <c r="J479" s="59"/>
    </row>
    <row r="480" spans="6:10">
      <c r="F480" s="59"/>
      <c r="G480" s="59"/>
      <c r="H480" s="59"/>
      <c r="I480" s="59"/>
      <c r="J480" s="59"/>
    </row>
    <row r="481" spans="6:10">
      <c r="F481" s="59"/>
      <c r="G481" s="59"/>
      <c r="H481" s="59"/>
      <c r="I481" s="59"/>
      <c r="J481" s="59"/>
    </row>
    <row r="482" spans="6:10">
      <c r="F482" s="59"/>
      <c r="G482" s="59"/>
      <c r="H482" s="59"/>
      <c r="I482" s="59"/>
      <c r="J482" s="59"/>
    </row>
    <row r="483" spans="6:10">
      <c r="F483" s="59"/>
      <c r="G483" s="59"/>
      <c r="H483" s="59"/>
      <c r="I483" s="59"/>
      <c r="J483" s="59"/>
    </row>
    <row r="484" spans="6:10">
      <c r="F484" s="59"/>
      <c r="G484" s="59"/>
      <c r="H484" s="59"/>
      <c r="I484" s="59"/>
      <c r="J484" s="59"/>
    </row>
    <row r="485" spans="6:10">
      <c r="F485" s="59"/>
      <c r="G485" s="59"/>
      <c r="H485" s="59"/>
      <c r="I485" s="59"/>
      <c r="J485" s="59"/>
    </row>
    <row r="486" spans="6:10">
      <c r="F486" s="59"/>
      <c r="G486" s="59"/>
      <c r="H486" s="59"/>
      <c r="I486" s="59"/>
      <c r="J486" s="59"/>
    </row>
    <row r="487" spans="6:10">
      <c r="F487" s="59"/>
      <c r="G487" s="59"/>
      <c r="H487" s="59"/>
      <c r="I487" s="59"/>
      <c r="J487" s="59"/>
    </row>
    <row r="488" spans="6:10">
      <c r="F488" s="59"/>
      <c r="G488" s="59"/>
      <c r="H488" s="59"/>
      <c r="I488" s="59"/>
      <c r="J488" s="59"/>
    </row>
    <row r="489" spans="6:10">
      <c r="F489" s="59"/>
      <c r="G489" s="59"/>
      <c r="H489" s="59"/>
      <c r="I489" s="59"/>
      <c r="J489" s="59"/>
    </row>
    <row r="490" spans="6:10">
      <c r="F490" s="59"/>
      <c r="G490" s="59"/>
      <c r="H490" s="59"/>
      <c r="I490" s="59"/>
      <c r="J490" s="59"/>
    </row>
    <row r="491" spans="6:10">
      <c r="F491" s="59"/>
      <c r="G491" s="59"/>
      <c r="H491" s="59"/>
      <c r="I491" s="59"/>
      <c r="J491" s="59"/>
    </row>
    <row r="492" spans="6:10">
      <c r="F492" s="59"/>
      <c r="G492" s="59"/>
      <c r="H492" s="59"/>
      <c r="I492" s="59"/>
      <c r="J492" s="59"/>
    </row>
    <row r="493" spans="6:10">
      <c r="F493" s="59"/>
      <c r="G493" s="59"/>
      <c r="H493" s="59"/>
      <c r="I493" s="59"/>
      <c r="J493" s="59"/>
    </row>
    <row r="494" spans="6:10">
      <c r="F494" s="59"/>
      <c r="G494" s="59"/>
      <c r="H494" s="59"/>
      <c r="I494" s="59"/>
      <c r="J494" s="59"/>
    </row>
    <row r="495" spans="6:10">
      <c r="F495" s="59"/>
      <c r="G495" s="59"/>
      <c r="H495" s="59"/>
      <c r="I495" s="59"/>
      <c r="J495" s="59"/>
    </row>
    <row r="496" spans="6:10">
      <c r="F496" s="59"/>
      <c r="G496" s="59"/>
      <c r="H496" s="59"/>
      <c r="I496" s="59"/>
      <c r="J496" s="59"/>
    </row>
    <row r="497" spans="6:10">
      <c r="F497" s="59"/>
      <c r="G497" s="59"/>
      <c r="H497" s="59"/>
      <c r="I497" s="59"/>
      <c r="J497" s="59"/>
    </row>
    <row r="498" spans="6:10">
      <c r="F498" s="59"/>
      <c r="G498" s="59"/>
      <c r="H498" s="59"/>
      <c r="I498" s="59"/>
      <c r="J498" s="59"/>
    </row>
    <row r="499" spans="6:10">
      <c r="F499" s="59"/>
      <c r="G499" s="59"/>
      <c r="H499" s="59"/>
      <c r="I499" s="59"/>
      <c r="J499" s="59"/>
    </row>
    <row r="500" spans="6:10">
      <c r="F500" s="59"/>
      <c r="G500" s="59"/>
      <c r="H500" s="59"/>
      <c r="I500" s="59"/>
      <c r="J500" s="59"/>
    </row>
    <row r="501" spans="6:10">
      <c r="F501" s="59"/>
      <c r="G501" s="59"/>
      <c r="H501" s="59"/>
      <c r="I501" s="59"/>
      <c r="J501" s="59"/>
    </row>
    <row r="502" spans="6:10">
      <c r="F502" s="59"/>
      <c r="G502" s="59"/>
      <c r="H502" s="59"/>
      <c r="I502" s="59"/>
      <c r="J502" s="59"/>
    </row>
    <row r="503" spans="6:10">
      <c r="F503" s="59"/>
      <c r="G503" s="59"/>
      <c r="H503" s="59"/>
      <c r="I503" s="59"/>
      <c r="J503" s="59"/>
    </row>
    <row r="504" spans="6:10">
      <c r="F504" s="59"/>
      <c r="G504" s="59"/>
      <c r="H504" s="59"/>
      <c r="I504" s="59"/>
      <c r="J504" s="59"/>
    </row>
    <row r="505" spans="6:10">
      <c r="F505" s="59"/>
      <c r="G505" s="59"/>
      <c r="H505" s="59"/>
      <c r="I505" s="59"/>
      <c r="J505" s="59"/>
    </row>
    <row r="506" spans="6:10">
      <c r="F506" s="59"/>
      <c r="G506" s="59"/>
      <c r="H506" s="59"/>
      <c r="I506" s="59"/>
      <c r="J506" s="59"/>
    </row>
    <row r="507" spans="6:10">
      <c r="F507" s="59"/>
      <c r="G507" s="59"/>
      <c r="H507" s="59"/>
      <c r="I507" s="59"/>
      <c r="J507" s="59"/>
    </row>
    <row r="508" spans="6:10">
      <c r="F508" s="59"/>
      <c r="G508" s="59"/>
      <c r="H508" s="59"/>
      <c r="I508" s="59"/>
      <c r="J508" s="59"/>
    </row>
    <row r="509" spans="6:10">
      <c r="F509" s="59"/>
      <c r="G509" s="59"/>
      <c r="H509" s="59"/>
      <c r="I509" s="59"/>
      <c r="J509" s="59"/>
    </row>
    <row r="510" spans="6:10">
      <c r="F510" s="59"/>
      <c r="G510" s="59"/>
      <c r="H510" s="59"/>
      <c r="I510" s="59"/>
      <c r="J510" s="59"/>
    </row>
    <row r="511" spans="6:10">
      <c r="F511" s="59"/>
      <c r="G511" s="59"/>
      <c r="H511" s="59"/>
      <c r="I511" s="59"/>
      <c r="J511" s="59"/>
    </row>
    <row r="512" spans="6:10">
      <c r="F512" s="59"/>
      <c r="G512" s="59"/>
      <c r="H512" s="59"/>
      <c r="I512" s="59"/>
      <c r="J512" s="59"/>
    </row>
    <row r="513" spans="6:10">
      <c r="F513" s="59"/>
      <c r="G513" s="59"/>
      <c r="H513" s="59"/>
      <c r="I513" s="59"/>
      <c r="J513" s="59"/>
    </row>
    <row r="514" spans="6:10">
      <c r="F514" s="59"/>
      <c r="G514" s="59"/>
      <c r="H514" s="59"/>
      <c r="I514" s="59"/>
      <c r="J514" s="59"/>
    </row>
  </sheetData>
  <mergeCells count="41">
    <mergeCell ref="B94:H94"/>
    <mergeCell ref="B80:H80"/>
    <mergeCell ref="B108:H108"/>
    <mergeCell ref="B118:H118"/>
    <mergeCell ref="B128:H128"/>
    <mergeCell ref="B129:H129"/>
    <mergeCell ref="B107:H107"/>
    <mergeCell ref="B161:H161"/>
    <mergeCell ref="B162:H162"/>
    <mergeCell ref="B136:H136"/>
    <mergeCell ref="B137:H137"/>
    <mergeCell ref="B155:H155"/>
    <mergeCell ref="B143:H143"/>
    <mergeCell ref="B144:H144"/>
    <mergeCell ref="B150:H150"/>
    <mergeCell ref="B154:H154"/>
    <mergeCell ref="B7:G7"/>
    <mergeCell ref="B64:H64"/>
    <mergeCell ref="B79:H79"/>
    <mergeCell ref="B52:H52"/>
    <mergeCell ref="B59:H59"/>
    <mergeCell ref="B65:H65"/>
    <mergeCell ref="B75:H75"/>
    <mergeCell ref="B8:H8"/>
    <mergeCell ref="B9:H9"/>
    <mergeCell ref="B23:H23"/>
    <mergeCell ref="B51:H51"/>
    <mergeCell ref="B35:H35"/>
    <mergeCell ref="B36:H36"/>
    <mergeCell ref="B44:H44"/>
    <mergeCell ref="D1:E1"/>
    <mergeCell ref="A2:H2"/>
    <mergeCell ref="B4:H4"/>
    <mergeCell ref="B5:B6"/>
    <mergeCell ref="C5:C6"/>
    <mergeCell ref="D5:D6"/>
    <mergeCell ref="E5:E6"/>
    <mergeCell ref="F5:F6"/>
    <mergeCell ref="G5:G6"/>
    <mergeCell ref="H5:H6"/>
    <mergeCell ref="G1:H1"/>
  </mergeCells>
  <pageMargins left="0.11811023622047245" right="0.11811023622047245" top="0.74803149606299213" bottom="0.74803149606299213" header="0.31496062992125984" footer="0.31496062992125984"/>
  <pageSetup paperSize="9" scale="70" orientation="portrait" horizontalDpi="300" verticalDpi="300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4A5D-488C-4F10-929F-F6DA19FE103F}">
  <dimension ref="A1:L143"/>
  <sheetViews>
    <sheetView topLeftCell="B1" workbookViewId="0">
      <selection activeCell="B33" sqref="B33"/>
    </sheetView>
  </sheetViews>
  <sheetFormatPr defaultRowHeight="15"/>
  <cols>
    <col min="1" max="1" width="0" hidden="1" customWidth="1"/>
    <col min="2" max="2" width="25.5703125" customWidth="1"/>
    <col min="3" max="3" width="19.140625" customWidth="1"/>
    <col min="8" max="8" width="11.140625" customWidth="1"/>
  </cols>
  <sheetData>
    <row r="1" spans="1:12" s="127" customFormat="1">
      <c r="G1" s="542" t="s">
        <v>443</v>
      </c>
      <c r="H1" s="542"/>
    </row>
    <row r="2" spans="1:12" s="127" customFormat="1">
      <c r="B2" s="624" t="s">
        <v>229</v>
      </c>
      <c r="C2" s="624"/>
      <c r="D2" s="624"/>
      <c r="E2" s="624"/>
      <c r="F2" s="624"/>
      <c r="G2" s="624"/>
      <c r="H2" s="624"/>
      <c r="I2" s="159"/>
      <c r="J2" s="159"/>
      <c r="K2" s="159"/>
    </row>
    <row r="3" spans="1:12" s="127" customFormat="1">
      <c r="B3" s="624"/>
      <c r="C3" s="624"/>
      <c r="D3" s="624"/>
      <c r="E3" s="624"/>
      <c r="F3" s="624"/>
      <c r="G3" s="624"/>
      <c r="H3" s="624"/>
    </row>
    <row r="4" spans="1:12" ht="19.5" customHeight="1" thickBot="1">
      <c r="A4" s="48"/>
      <c r="B4" s="127"/>
      <c r="C4" s="127"/>
      <c r="D4" s="127"/>
      <c r="E4" s="127"/>
      <c r="F4" s="127"/>
      <c r="G4" s="127"/>
      <c r="H4" s="136" t="s">
        <v>228</v>
      </c>
    </row>
    <row r="5" spans="1:12" ht="15.75">
      <c r="A5" s="48"/>
      <c r="B5" s="582" t="s">
        <v>0</v>
      </c>
      <c r="C5" s="583"/>
      <c r="D5" s="583"/>
      <c r="E5" s="583"/>
      <c r="F5" s="583"/>
      <c r="G5" s="583"/>
      <c r="H5" s="584"/>
    </row>
    <row r="6" spans="1:12" ht="15" customHeight="1">
      <c r="A6" s="48"/>
      <c r="B6" s="590" t="s">
        <v>27</v>
      </c>
      <c r="C6" s="592" t="s">
        <v>28</v>
      </c>
      <c r="D6" s="594" t="s">
        <v>29</v>
      </c>
      <c r="E6" s="594" t="s">
        <v>30</v>
      </c>
      <c r="F6" s="594" t="s">
        <v>144</v>
      </c>
      <c r="G6" s="596" t="s">
        <v>31</v>
      </c>
      <c r="H6" s="580" t="s">
        <v>323</v>
      </c>
    </row>
    <row r="7" spans="1:12" ht="75" customHeight="1" thickBot="1">
      <c r="A7" s="48"/>
      <c r="B7" s="591"/>
      <c r="C7" s="593"/>
      <c r="D7" s="595"/>
      <c r="E7" s="595"/>
      <c r="F7" s="595"/>
      <c r="G7" s="597"/>
      <c r="H7" s="581"/>
      <c r="I7" s="48"/>
      <c r="J7" s="48"/>
      <c r="K7" s="48"/>
    </row>
    <row r="8" spans="1:12" ht="15.75" thickBot="1">
      <c r="A8" s="63"/>
      <c r="B8" s="585" t="s">
        <v>245</v>
      </c>
      <c r="C8" s="586"/>
      <c r="D8" s="586"/>
      <c r="E8" s="586"/>
      <c r="F8" s="586"/>
      <c r="G8" s="586"/>
      <c r="H8" s="144"/>
      <c r="I8" s="61"/>
      <c r="J8" s="62"/>
      <c r="K8" s="51"/>
      <c r="L8" s="51"/>
    </row>
    <row r="9" spans="1:12" ht="15" customHeight="1">
      <c r="A9" s="63"/>
      <c r="B9" s="587" t="s">
        <v>246</v>
      </c>
      <c r="C9" s="588"/>
      <c r="D9" s="588"/>
      <c r="E9" s="588"/>
      <c r="F9" s="588"/>
      <c r="G9" s="588"/>
      <c r="H9" s="126"/>
      <c r="I9" s="61"/>
      <c r="J9" s="62"/>
      <c r="K9" s="51"/>
      <c r="L9" s="51"/>
    </row>
    <row r="10" spans="1:12" ht="26.25">
      <c r="A10" s="63"/>
      <c r="B10" s="18" t="s">
        <v>32</v>
      </c>
      <c r="C10" s="19"/>
      <c r="D10" s="20"/>
      <c r="E10" s="20"/>
      <c r="F10" s="20"/>
      <c r="G10" s="137"/>
      <c r="H10" s="145"/>
      <c r="I10" s="61"/>
      <c r="J10" s="62"/>
      <c r="K10" s="51"/>
      <c r="L10" s="51"/>
    </row>
    <row r="11" spans="1:12">
      <c r="A11" s="63"/>
      <c r="B11" s="13" t="s">
        <v>92</v>
      </c>
      <c r="C11" s="11"/>
      <c r="D11" s="12"/>
      <c r="E11" s="12"/>
      <c r="F11" s="12"/>
      <c r="G11" s="138"/>
      <c r="H11" s="146"/>
      <c r="I11" s="61"/>
      <c r="J11" s="62"/>
      <c r="K11" s="51"/>
      <c r="L11" s="51"/>
    </row>
    <row r="12" spans="1:12">
      <c r="A12" s="63"/>
      <c r="B12" s="3" t="s">
        <v>6</v>
      </c>
      <c r="C12" s="102">
        <v>1</v>
      </c>
      <c r="D12" s="110">
        <v>2200</v>
      </c>
      <c r="E12" s="44">
        <v>66</v>
      </c>
      <c r="F12" s="44">
        <v>684</v>
      </c>
      <c r="G12" s="135">
        <f>D12+E12+F12</f>
        <v>2950</v>
      </c>
      <c r="H12" s="120">
        <f>ROUND((D12+E12+F12)*('29_01_H_2020'!$O$10)*C12*12*(1+'29_01_H_2020'!$O$25),2)</f>
        <v>1925.04</v>
      </c>
      <c r="I12" s="61"/>
      <c r="J12" s="62"/>
      <c r="K12" s="51"/>
      <c r="L12" s="51"/>
    </row>
    <row r="13" spans="1:12">
      <c r="A13" s="63"/>
      <c r="B13" s="3" t="s">
        <v>6</v>
      </c>
      <c r="C13" s="102">
        <v>0.7</v>
      </c>
      <c r="D13" s="110">
        <v>2000</v>
      </c>
      <c r="E13" s="44">
        <v>0</v>
      </c>
      <c r="F13" s="44">
        <v>500</v>
      </c>
      <c r="G13" s="135">
        <f t="shared" ref="G13:G34" si="0">D13+E13+F13</f>
        <v>2500</v>
      </c>
      <c r="H13" s="120">
        <f>ROUND((D13+E13+F13)*('29_01_H_2020'!$O$10)*C13*12*(1+'29_01_H_2020'!$O$25),2)</f>
        <v>1141.97</v>
      </c>
      <c r="I13" s="61"/>
      <c r="J13" s="62"/>
      <c r="K13" s="51"/>
      <c r="L13" s="51"/>
    </row>
    <row r="14" spans="1:12">
      <c r="A14" s="63"/>
      <c r="B14" s="3" t="s">
        <v>6</v>
      </c>
      <c r="C14" s="102">
        <v>0.8</v>
      </c>
      <c r="D14" s="110">
        <v>1950</v>
      </c>
      <c r="E14" s="44">
        <v>58.5</v>
      </c>
      <c r="F14" s="44">
        <v>491.5</v>
      </c>
      <c r="G14" s="135">
        <f t="shared" si="0"/>
        <v>2500</v>
      </c>
      <c r="H14" s="120">
        <f>ROUND((D14+E14+F14)*('29_01_H_2020'!$O$10)*C14*12*(1+'29_01_H_2020'!$O$25),2)</f>
        <v>1305.1099999999999</v>
      </c>
      <c r="I14" s="61"/>
      <c r="J14" s="62"/>
      <c r="K14" s="51"/>
      <c r="L14" s="51"/>
    </row>
    <row r="15" spans="1:12">
      <c r="A15" s="63"/>
      <c r="B15" s="3" t="s">
        <v>6</v>
      </c>
      <c r="C15" s="102">
        <v>0.4</v>
      </c>
      <c r="D15" s="110">
        <v>1900</v>
      </c>
      <c r="E15" s="44">
        <v>57</v>
      </c>
      <c r="F15" s="44">
        <v>593</v>
      </c>
      <c r="G15" s="135">
        <f t="shared" si="0"/>
        <v>2550</v>
      </c>
      <c r="H15" s="120">
        <f>ROUND((D15+E15+F15)*('29_01_H_2020'!$O$10)*C15*12*(1+'29_01_H_2020'!$O$25),2)</f>
        <v>665.61</v>
      </c>
      <c r="I15" s="61"/>
      <c r="J15" s="62"/>
      <c r="K15" s="51"/>
      <c r="L15" s="51"/>
    </row>
    <row r="16" spans="1:12">
      <c r="A16" s="63"/>
      <c r="B16" s="3" t="s">
        <v>6</v>
      </c>
      <c r="C16" s="102">
        <v>1</v>
      </c>
      <c r="D16" s="110">
        <v>1900</v>
      </c>
      <c r="E16" s="44">
        <v>57</v>
      </c>
      <c r="F16" s="44">
        <v>593</v>
      </c>
      <c r="G16" s="135">
        <f t="shared" si="0"/>
        <v>2550</v>
      </c>
      <c r="H16" s="120">
        <f>ROUND((D16+E16+F16)*('29_01_H_2020'!$O$10)*C16*12*(1+'29_01_H_2020'!$O$25),2)</f>
        <v>1664.02</v>
      </c>
      <c r="I16" s="61"/>
      <c r="J16" s="62"/>
      <c r="K16" s="51"/>
      <c r="L16" s="51"/>
    </row>
    <row r="17" spans="1:12">
      <c r="A17" s="63"/>
      <c r="B17" s="3" t="s">
        <v>6</v>
      </c>
      <c r="C17" s="102">
        <v>1</v>
      </c>
      <c r="D17" s="110">
        <v>1900</v>
      </c>
      <c r="E17" s="44">
        <v>57</v>
      </c>
      <c r="F17" s="44">
        <v>593</v>
      </c>
      <c r="G17" s="135">
        <f t="shared" si="0"/>
        <v>2550</v>
      </c>
      <c r="H17" s="120">
        <f>ROUND((D17+E17+F17)*('29_01_H_2020'!$O$10)*C17*12*(1+'29_01_H_2020'!$O$25),2)</f>
        <v>1664.02</v>
      </c>
      <c r="I17" s="61"/>
      <c r="J17" s="62"/>
      <c r="K17" s="51"/>
      <c r="L17" s="51"/>
    </row>
    <row r="18" spans="1:12">
      <c r="A18" s="63"/>
      <c r="B18" s="3" t="s">
        <v>6</v>
      </c>
      <c r="C18" s="102">
        <v>0.4</v>
      </c>
      <c r="D18" s="110">
        <v>1900</v>
      </c>
      <c r="E18" s="44">
        <v>57</v>
      </c>
      <c r="F18" s="44">
        <v>593</v>
      </c>
      <c r="G18" s="135">
        <f t="shared" si="0"/>
        <v>2550</v>
      </c>
      <c r="H18" s="120">
        <f>ROUND((D18+E18+F18)*('29_01_H_2020'!$O$10)*C18*12*(1+'29_01_H_2020'!$O$25),2)</f>
        <v>665.61</v>
      </c>
      <c r="I18" s="61"/>
      <c r="J18" s="62"/>
      <c r="K18" s="51"/>
      <c r="L18" s="51"/>
    </row>
    <row r="19" spans="1:12">
      <c r="A19" s="63"/>
      <c r="B19" s="3" t="s">
        <v>6</v>
      </c>
      <c r="C19" s="102">
        <v>0.4</v>
      </c>
      <c r="D19" s="110">
        <v>1900</v>
      </c>
      <c r="E19" s="44">
        <v>57</v>
      </c>
      <c r="F19" s="44">
        <v>593</v>
      </c>
      <c r="G19" s="135">
        <f t="shared" si="0"/>
        <v>2550</v>
      </c>
      <c r="H19" s="120">
        <f>ROUND((D19+E19+F19)*('29_01_H_2020'!$O$10)*C19*12*(1+'29_01_H_2020'!$O$25),2)</f>
        <v>665.61</v>
      </c>
      <c r="I19" s="61"/>
      <c r="J19" s="62"/>
      <c r="K19" s="51"/>
      <c r="L19" s="51"/>
    </row>
    <row r="20" spans="1:12">
      <c r="A20" s="63"/>
      <c r="B20" s="3" t="s">
        <v>6</v>
      </c>
      <c r="C20" s="102">
        <v>0.2</v>
      </c>
      <c r="D20" s="110">
        <v>1800</v>
      </c>
      <c r="E20" s="44">
        <v>54</v>
      </c>
      <c r="F20" s="44">
        <v>496</v>
      </c>
      <c r="G20" s="135">
        <f t="shared" si="0"/>
        <v>2350</v>
      </c>
      <c r="H20" s="120">
        <f>ROUND((D20+E20+F20)*('29_01_H_2020'!$O$10)*C20*12*(1+'29_01_H_2020'!$O$25),2)</f>
        <v>306.7</v>
      </c>
      <c r="I20" s="61"/>
      <c r="J20" s="62"/>
      <c r="K20" s="51"/>
      <c r="L20" s="51"/>
    </row>
    <row r="21" spans="1:12">
      <c r="A21" s="63"/>
      <c r="B21" s="3" t="s">
        <v>6</v>
      </c>
      <c r="C21" s="102">
        <v>0.2</v>
      </c>
      <c r="D21" s="110">
        <v>1800</v>
      </c>
      <c r="E21" s="44">
        <v>54</v>
      </c>
      <c r="F21" s="44">
        <v>496</v>
      </c>
      <c r="G21" s="135">
        <f t="shared" si="0"/>
        <v>2350</v>
      </c>
      <c r="H21" s="120">
        <f>ROUND((D21+E21+F21)*('29_01_H_2020'!$O$10)*C21*12*(1+'29_01_H_2020'!$O$25),2)</f>
        <v>306.7</v>
      </c>
      <c r="I21" s="61"/>
      <c r="J21" s="62"/>
      <c r="K21" s="51"/>
      <c r="L21" s="51"/>
    </row>
    <row r="22" spans="1:12" s="127" customFormat="1">
      <c r="A22" s="63"/>
      <c r="B22" s="3" t="s">
        <v>6</v>
      </c>
      <c r="C22" s="102">
        <v>0.4</v>
      </c>
      <c r="D22" s="110">
        <v>1800</v>
      </c>
      <c r="E22" s="44">
        <v>54</v>
      </c>
      <c r="F22" s="44">
        <v>496</v>
      </c>
      <c r="G22" s="135">
        <f t="shared" si="0"/>
        <v>2350</v>
      </c>
      <c r="H22" s="120">
        <f>ROUND((D22+E22+F22)*('29_01_H_2020'!$O$10)*C22*12*(1+'29_01_H_2020'!$O$25),2)</f>
        <v>613.4</v>
      </c>
      <c r="I22" s="61"/>
      <c r="J22" s="62"/>
      <c r="K22" s="51"/>
      <c r="L22" s="51"/>
    </row>
    <row r="23" spans="1:12" s="127" customFormat="1">
      <c r="A23" s="63"/>
      <c r="B23" s="3" t="s">
        <v>6</v>
      </c>
      <c r="C23" s="102">
        <v>0.2</v>
      </c>
      <c r="D23" s="110">
        <v>1800</v>
      </c>
      <c r="E23" s="44">
        <v>54</v>
      </c>
      <c r="F23" s="44">
        <v>496</v>
      </c>
      <c r="G23" s="135">
        <f t="shared" si="0"/>
        <v>2350</v>
      </c>
      <c r="H23" s="120">
        <f>ROUND((D23+E23+F23)*('29_01_H_2020'!$O$10)*C23*12*(1+'29_01_H_2020'!$O$25),2)</f>
        <v>306.7</v>
      </c>
      <c r="I23" s="61"/>
      <c r="J23" s="62"/>
      <c r="K23" s="51"/>
      <c r="L23" s="51"/>
    </row>
    <row r="24" spans="1:12" s="127" customFormat="1">
      <c r="A24" s="63"/>
      <c r="B24" s="3" t="s">
        <v>6</v>
      </c>
      <c r="C24" s="102">
        <v>0.2</v>
      </c>
      <c r="D24" s="110">
        <v>1800</v>
      </c>
      <c r="E24" s="44">
        <v>54</v>
      </c>
      <c r="F24" s="44">
        <v>496</v>
      </c>
      <c r="G24" s="135">
        <f t="shared" si="0"/>
        <v>2350</v>
      </c>
      <c r="H24" s="120">
        <f>ROUND((D24+E24+F24)*('29_01_H_2020'!$O$10)*C24*12*(1+'29_01_H_2020'!$O$25),2)</f>
        <v>306.7</v>
      </c>
      <c r="I24" s="61"/>
      <c r="J24" s="62"/>
      <c r="K24" s="51"/>
      <c r="L24" s="51"/>
    </row>
    <row r="25" spans="1:12" s="127" customFormat="1" ht="16.5" customHeight="1">
      <c r="A25" s="63"/>
      <c r="B25" s="3" t="s">
        <v>6</v>
      </c>
      <c r="C25" s="102">
        <v>1</v>
      </c>
      <c r="D25" s="110">
        <v>1800</v>
      </c>
      <c r="E25" s="44">
        <v>54</v>
      </c>
      <c r="F25" s="44">
        <v>496</v>
      </c>
      <c r="G25" s="135">
        <f t="shared" si="0"/>
        <v>2350</v>
      </c>
      <c r="H25" s="120">
        <f>ROUND((D25+E25+F25)*('29_01_H_2020'!$O$10)*C25*12*(1+'29_01_H_2020'!$O$25),2)</f>
        <v>1533.5</v>
      </c>
      <c r="I25" s="61"/>
      <c r="J25" s="62"/>
      <c r="K25" s="51"/>
      <c r="L25" s="51"/>
    </row>
    <row r="26" spans="1:12" s="127" customFormat="1" ht="16.5" customHeight="1">
      <c r="A26" s="63"/>
      <c r="B26" s="3" t="s">
        <v>6</v>
      </c>
      <c r="C26" s="102">
        <v>0.2</v>
      </c>
      <c r="D26" s="110">
        <v>1800</v>
      </c>
      <c r="E26" s="44">
        <v>54</v>
      </c>
      <c r="F26" s="44">
        <v>496</v>
      </c>
      <c r="G26" s="135">
        <f t="shared" si="0"/>
        <v>2350</v>
      </c>
      <c r="H26" s="120">
        <f>ROUND((D26+E26+F26)*('29_01_H_2020'!$O$10)*C26*12*(1+'29_01_H_2020'!$O$25),2)</f>
        <v>306.7</v>
      </c>
      <c r="I26" s="61"/>
      <c r="J26" s="62"/>
      <c r="K26" s="51"/>
      <c r="L26" s="51"/>
    </row>
    <row r="27" spans="1:12" s="127" customFormat="1" ht="16.5" customHeight="1">
      <c r="A27" s="63"/>
      <c r="B27" s="3" t="s">
        <v>6</v>
      </c>
      <c r="C27" s="102">
        <v>0.2</v>
      </c>
      <c r="D27" s="110">
        <v>1800</v>
      </c>
      <c r="E27" s="44">
        <v>54</v>
      </c>
      <c r="F27" s="44">
        <v>496</v>
      </c>
      <c r="G27" s="135">
        <f t="shared" si="0"/>
        <v>2350</v>
      </c>
      <c r="H27" s="120">
        <f>ROUND((D27+E27+F27)*('29_01_H_2020'!$O$10)*C27*12*(1+'29_01_H_2020'!$O$25),2)</f>
        <v>306.7</v>
      </c>
      <c r="I27" s="61"/>
      <c r="J27" s="62"/>
      <c r="K27" s="51"/>
      <c r="L27" s="51"/>
    </row>
    <row r="28" spans="1:12" s="127" customFormat="1" ht="16.5" customHeight="1">
      <c r="A28" s="63"/>
      <c r="B28" s="3" t="s">
        <v>6</v>
      </c>
      <c r="C28" s="102">
        <v>0.4</v>
      </c>
      <c r="D28" s="110">
        <v>1800</v>
      </c>
      <c r="E28" s="44">
        <v>54</v>
      </c>
      <c r="F28" s="44">
        <v>496</v>
      </c>
      <c r="G28" s="135">
        <f t="shared" si="0"/>
        <v>2350</v>
      </c>
      <c r="H28" s="120">
        <f>ROUND((D28+E28+F28)*('29_01_H_2020'!$O$10)*C28*12*(1+'29_01_H_2020'!$O$25),2)</f>
        <v>613.4</v>
      </c>
      <c r="I28" s="61"/>
      <c r="J28" s="62"/>
      <c r="K28" s="51"/>
      <c r="L28" s="51"/>
    </row>
    <row r="29" spans="1:12" s="127" customFormat="1" ht="16.5" customHeight="1">
      <c r="A29" s="63"/>
      <c r="B29" s="3" t="s">
        <v>6</v>
      </c>
      <c r="C29" s="102">
        <v>0.25</v>
      </c>
      <c r="D29" s="110">
        <v>1800</v>
      </c>
      <c r="E29" s="44">
        <v>54</v>
      </c>
      <c r="F29" s="44">
        <v>496</v>
      </c>
      <c r="G29" s="135">
        <f t="shared" si="0"/>
        <v>2350</v>
      </c>
      <c r="H29" s="120">
        <f>ROUND((D29+E29+F29)*('29_01_H_2020'!$O$10)*C29*12*(1+'29_01_H_2020'!$O$25),2)</f>
        <v>383.38</v>
      </c>
      <c r="I29" s="61"/>
      <c r="J29" s="62"/>
      <c r="K29" s="51"/>
      <c r="L29" s="51"/>
    </row>
    <row r="30" spans="1:12">
      <c r="A30" s="63"/>
      <c r="B30" s="3" t="s">
        <v>117</v>
      </c>
      <c r="C30" s="102">
        <v>0.75</v>
      </c>
      <c r="D30" s="110">
        <v>1800</v>
      </c>
      <c r="E30" s="44">
        <v>54</v>
      </c>
      <c r="F30" s="44">
        <v>496</v>
      </c>
      <c r="G30" s="135">
        <f t="shared" si="0"/>
        <v>2350</v>
      </c>
      <c r="H30" s="120">
        <f>ROUND((D30+E30+F30)*('29_01_H_2020'!$O$10)*C30*12*(1+'29_01_H_2020'!$O$25),2)</f>
        <v>1150.1300000000001</v>
      </c>
      <c r="I30" s="61"/>
      <c r="J30" s="62"/>
      <c r="K30" s="51"/>
      <c r="L30" s="51"/>
    </row>
    <row r="31" spans="1:12">
      <c r="A31" s="63"/>
      <c r="B31" s="3" t="s">
        <v>6</v>
      </c>
      <c r="C31" s="102">
        <v>0.6</v>
      </c>
      <c r="D31" s="110">
        <v>1600</v>
      </c>
      <c r="E31" s="44">
        <v>48</v>
      </c>
      <c r="F31" s="44">
        <v>402</v>
      </c>
      <c r="G31" s="135">
        <f t="shared" si="0"/>
        <v>2050</v>
      </c>
      <c r="H31" s="120">
        <f>ROUND((D31+E31+F31)*('29_01_H_2020'!$O$10)*C31*12*(1+'29_01_H_2020'!$O$25),2)</f>
        <v>802.64</v>
      </c>
      <c r="I31" s="61"/>
      <c r="J31" s="62"/>
      <c r="K31" s="51"/>
      <c r="L31" s="51"/>
    </row>
    <row r="32" spans="1:12">
      <c r="A32" s="63"/>
      <c r="B32" s="3" t="s">
        <v>6</v>
      </c>
      <c r="C32" s="102">
        <v>0.6</v>
      </c>
      <c r="D32" s="110">
        <v>1600</v>
      </c>
      <c r="E32" s="44">
        <v>48</v>
      </c>
      <c r="F32" s="44">
        <v>402</v>
      </c>
      <c r="G32" s="135">
        <f t="shared" si="0"/>
        <v>2050</v>
      </c>
      <c r="H32" s="120">
        <f>ROUND((D32+E32+F32)*('29_01_H_2020'!$O$10)*C32*12*(1+'29_01_H_2020'!$O$25),2)</f>
        <v>802.64</v>
      </c>
      <c r="I32" s="61"/>
      <c r="J32" s="62"/>
      <c r="K32" s="51"/>
      <c r="L32" s="51"/>
    </row>
    <row r="33" spans="1:12">
      <c r="A33" s="63"/>
      <c r="B33" s="3" t="s">
        <v>6</v>
      </c>
      <c r="C33" s="102">
        <v>0.2</v>
      </c>
      <c r="D33" s="110">
        <v>1600</v>
      </c>
      <c r="E33" s="44">
        <v>48</v>
      </c>
      <c r="F33" s="44">
        <v>402</v>
      </c>
      <c r="G33" s="135">
        <f t="shared" si="0"/>
        <v>2050</v>
      </c>
      <c r="H33" s="120">
        <f>ROUND((D33+E33+F33)*('29_01_H_2020'!$O$10)*C33*12*(1+'29_01_H_2020'!$O$25),2)</f>
        <v>267.55</v>
      </c>
      <c r="I33" s="61"/>
      <c r="J33" s="62"/>
      <c r="K33" s="51"/>
      <c r="L33" s="51"/>
    </row>
    <row r="34" spans="1:12">
      <c r="A34" s="63"/>
      <c r="B34" s="3" t="s">
        <v>6</v>
      </c>
      <c r="C34" s="102">
        <v>0.3</v>
      </c>
      <c r="D34" s="110">
        <v>1600</v>
      </c>
      <c r="E34" s="44">
        <v>0</v>
      </c>
      <c r="F34" s="44">
        <v>345</v>
      </c>
      <c r="G34" s="135">
        <f t="shared" si="0"/>
        <v>1945</v>
      </c>
      <c r="H34" s="120">
        <f>ROUND((D34+E34+F34)*('29_01_H_2020'!$O$10)*C34*12*(1+'29_01_H_2020'!$O$25),2)</f>
        <v>380.77</v>
      </c>
      <c r="I34" s="61"/>
      <c r="J34" s="62"/>
      <c r="K34" s="51"/>
      <c r="L34" s="51"/>
    </row>
    <row r="35" spans="1:12" s="127" customFormat="1" ht="63.75">
      <c r="A35" s="63"/>
      <c r="B35" s="304" t="s">
        <v>62</v>
      </c>
      <c r="C35" s="305"/>
      <c r="D35" s="306">
        <f>SUM(D36:D37)</f>
        <v>1350</v>
      </c>
      <c r="E35" s="306">
        <f>SUM(E36:E37)</f>
        <v>0</v>
      </c>
      <c r="F35" s="306">
        <v>0</v>
      </c>
      <c r="G35" s="306">
        <f>SUM(G36:G37)</f>
        <v>1550</v>
      </c>
      <c r="H35" s="303"/>
      <c r="I35" s="61"/>
      <c r="J35" s="62"/>
      <c r="K35" s="51"/>
      <c r="L35" s="51"/>
    </row>
    <row r="36" spans="1:12" s="127" customFormat="1">
      <c r="A36" s="63"/>
      <c r="B36" s="152" t="s">
        <v>161</v>
      </c>
      <c r="C36" s="301">
        <v>0.8</v>
      </c>
      <c r="D36" s="154">
        <v>1350</v>
      </c>
      <c r="E36" s="154">
        <v>0</v>
      </c>
      <c r="F36" s="154">
        <v>200</v>
      </c>
      <c r="G36" s="302">
        <f>D36+E36+F36</f>
        <v>1550</v>
      </c>
      <c r="H36" s="120">
        <f>ROUND((D36+E36+F36)*('29_01_H_2020'!$O$10)*C36*12*(1+'29_01_H_2020'!$O$25),2)</f>
        <v>809.17</v>
      </c>
      <c r="I36" s="61"/>
      <c r="J36" s="62"/>
      <c r="K36" s="51"/>
      <c r="L36" s="51"/>
    </row>
    <row r="37" spans="1:12" ht="63.75">
      <c r="A37" s="49"/>
      <c r="B37" s="10" t="s">
        <v>63</v>
      </c>
      <c r="C37" s="23"/>
      <c r="D37" s="14"/>
      <c r="E37" s="14"/>
      <c r="F37" s="14"/>
      <c r="G37" s="139"/>
      <c r="H37" s="146"/>
      <c r="I37" s="49"/>
      <c r="J37" s="49"/>
      <c r="K37" s="48"/>
    </row>
    <row r="38" spans="1:12">
      <c r="A38" s="63"/>
      <c r="B38" s="155" t="s">
        <v>12</v>
      </c>
      <c r="C38" s="102">
        <v>1</v>
      </c>
      <c r="D38" s="110">
        <v>1250</v>
      </c>
      <c r="E38" s="44">
        <v>37.5</v>
      </c>
      <c r="F38" s="44">
        <v>387.5</v>
      </c>
      <c r="G38" s="135">
        <f>SUM(D38:F38)</f>
        <v>1675</v>
      </c>
      <c r="H38" s="149">
        <f>ROUND((D38+E38+F38)*('29_01_H_2020'!$O$14)*C38*12*(1+'29_01_H_2020'!$O$25),2)</f>
        <v>1177.49</v>
      </c>
      <c r="I38" s="61"/>
      <c r="J38" s="62"/>
      <c r="K38" s="51"/>
      <c r="L38" s="51"/>
    </row>
    <row r="39" spans="1:12">
      <c r="A39" s="63"/>
      <c r="B39" s="155" t="s">
        <v>14</v>
      </c>
      <c r="C39" s="102">
        <v>1</v>
      </c>
      <c r="D39" s="110">
        <v>1150</v>
      </c>
      <c r="E39" s="44">
        <v>34.5</v>
      </c>
      <c r="F39" s="44">
        <v>335.5</v>
      </c>
      <c r="G39" s="135">
        <f t="shared" ref="G39:G55" si="1">SUM(D39:F39)</f>
        <v>1520</v>
      </c>
      <c r="H39" s="149">
        <f>ROUND((D39+E39+F39)*('29_01_H_2020'!$O$14)*C39*12*(1+'29_01_H_2020'!$O$25),2)</f>
        <v>1068.53</v>
      </c>
      <c r="I39" s="61"/>
      <c r="J39" s="62"/>
      <c r="K39" s="51"/>
      <c r="L39" s="51"/>
    </row>
    <row r="40" spans="1:12">
      <c r="A40" s="63"/>
      <c r="B40" s="155" t="s">
        <v>14</v>
      </c>
      <c r="C40" s="102">
        <v>1</v>
      </c>
      <c r="D40" s="110">
        <v>1150</v>
      </c>
      <c r="E40" s="44">
        <v>34.5</v>
      </c>
      <c r="F40" s="44">
        <v>335.5</v>
      </c>
      <c r="G40" s="135">
        <f t="shared" si="1"/>
        <v>1520</v>
      </c>
      <c r="H40" s="149">
        <f>ROUND((D40+E40+F40)*('29_01_H_2020'!$O$14)*C40*12*(1+'29_01_H_2020'!$O$25),2)</f>
        <v>1068.53</v>
      </c>
      <c r="I40" s="61"/>
      <c r="J40" s="62"/>
      <c r="K40" s="51"/>
      <c r="L40" s="51"/>
    </row>
    <row r="41" spans="1:12">
      <c r="A41" s="63"/>
      <c r="B41" s="155" t="s">
        <v>14</v>
      </c>
      <c r="C41" s="102">
        <v>1</v>
      </c>
      <c r="D41" s="110">
        <v>1150</v>
      </c>
      <c r="E41" s="44">
        <v>34.5</v>
      </c>
      <c r="F41" s="44">
        <v>335.5</v>
      </c>
      <c r="G41" s="135">
        <f t="shared" si="1"/>
        <v>1520</v>
      </c>
      <c r="H41" s="149">
        <f>ROUND((D41+E41+F41)*('29_01_H_2020'!$O$14)*C41*12*(1+'29_01_H_2020'!$O$25),2)</f>
        <v>1068.53</v>
      </c>
      <c r="I41" s="61"/>
      <c r="J41" s="62"/>
      <c r="K41" s="51"/>
      <c r="L41" s="51"/>
    </row>
    <row r="42" spans="1:12">
      <c r="A42" s="63"/>
      <c r="B42" s="155" t="s">
        <v>14</v>
      </c>
      <c r="C42" s="102">
        <v>0.5</v>
      </c>
      <c r="D42" s="110">
        <v>1150</v>
      </c>
      <c r="E42" s="44">
        <v>34.5</v>
      </c>
      <c r="F42" s="44">
        <v>335.5</v>
      </c>
      <c r="G42" s="135">
        <f t="shared" si="1"/>
        <v>1520</v>
      </c>
      <c r="H42" s="149">
        <f>ROUND((D42+E42+F42)*('29_01_H_2020'!$O$14)*C42*12*(1+'29_01_H_2020'!$O$25),2)</f>
        <v>534.26</v>
      </c>
      <c r="I42" s="61"/>
      <c r="J42" s="62"/>
      <c r="K42" s="51"/>
      <c r="L42" s="51"/>
    </row>
    <row r="43" spans="1:12">
      <c r="A43" s="63"/>
      <c r="B43" s="155" t="s">
        <v>14</v>
      </c>
      <c r="C43" s="102">
        <v>0.5</v>
      </c>
      <c r="D43" s="110">
        <v>1150</v>
      </c>
      <c r="E43" s="44">
        <v>34.5</v>
      </c>
      <c r="F43" s="44">
        <v>335.5</v>
      </c>
      <c r="G43" s="135">
        <f t="shared" si="1"/>
        <v>1520</v>
      </c>
      <c r="H43" s="149">
        <f>ROUND((D43+E43+F43)*('29_01_H_2020'!$O$14)*C43*12*(1+'29_01_H_2020'!$O$25),2)</f>
        <v>534.26</v>
      </c>
      <c r="I43" s="61"/>
      <c r="J43" s="62"/>
      <c r="K43" s="51"/>
      <c r="L43" s="51"/>
    </row>
    <row r="44" spans="1:12">
      <c r="A44" s="63"/>
      <c r="B44" s="155" t="s">
        <v>14</v>
      </c>
      <c r="C44" s="102">
        <v>0.5</v>
      </c>
      <c r="D44" s="110">
        <v>1150</v>
      </c>
      <c r="E44" s="44">
        <v>34.5</v>
      </c>
      <c r="F44" s="44">
        <v>335.5</v>
      </c>
      <c r="G44" s="135">
        <f t="shared" si="1"/>
        <v>1520</v>
      </c>
      <c r="H44" s="149">
        <f>ROUND((D44+E44+F44)*('29_01_H_2020'!$O$14)*C44*12*(1+'29_01_H_2020'!$O$25),2)</f>
        <v>534.26</v>
      </c>
      <c r="I44" s="61"/>
      <c r="J44" s="62"/>
      <c r="K44" s="51"/>
      <c r="L44" s="51"/>
    </row>
    <row r="45" spans="1:12">
      <c r="A45" s="63"/>
      <c r="B45" s="155" t="s">
        <v>14</v>
      </c>
      <c r="C45" s="102">
        <v>0.25</v>
      </c>
      <c r="D45" s="110">
        <v>1150</v>
      </c>
      <c r="E45" s="44">
        <v>34.5</v>
      </c>
      <c r="F45" s="44">
        <v>335.5</v>
      </c>
      <c r="G45" s="135">
        <f t="shared" si="1"/>
        <v>1520</v>
      </c>
      <c r="H45" s="149">
        <f>ROUND((D45+E45+F45)*('29_01_H_2020'!$O$14)*C45*12*(1+'29_01_H_2020'!$O$25),2)</f>
        <v>267.13</v>
      </c>
      <c r="I45" s="61"/>
      <c r="J45" s="62"/>
      <c r="K45" s="51"/>
      <c r="L45" s="51"/>
    </row>
    <row r="46" spans="1:12">
      <c r="A46" s="63"/>
      <c r="B46" s="155" t="s">
        <v>14</v>
      </c>
      <c r="C46" s="102">
        <v>0.25</v>
      </c>
      <c r="D46" s="110">
        <v>1150</v>
      </c>
      <c r="E46" s="44">
        <v>34.5</v>
      </c>
      <c r="F46" s="44">
        <v>335.5</v>
      </c>
      <c r="G46" s="135">
        <f t="shared" si="1"/>
        <v>1520</v>
      </c>
      <c r="H46" s="149">
        <f>ROUND((D46+E46+F46)*('29_01_H_2020'!$O$14)*C46*12*(1+'29_01_H_2020'!$O$25),2)</f>
        <v>267.13</v>
      </c>
      <c r="I46" s="61"/>
      <c r="J46" s="62"/>
      <c r="K46" s="51"/>
      <c r="L46" s="51"/>
    </row>
    <row r="47" spans="1:12">
      <c r="A47" s="63"/>
      <c r="B47" s="155" t="s">
        <v>14</v>
      </c>
      <c r="C47" s="102">
        <v>1</v>
      </c>
      <c r="D47" s="110">
        <v>1150</v>
      </c>
      <c r="E47" s="44">
        <v>34.5</v>
      </c>
      <c r="F47" s="45">
        <v>335.5</v>
      </c>
      <c r="G47" s="135">
        <f t="shared" si="1"/>
        <v>1520</v>
      </c>
      <c r="H47" s="149">
        <f>ROUND((D47+E47+F47)*('29_01_H_2020'!$O$14)*C47*12*(1+'29_01_H_2020'!$O$25),2)</f>
        <v>1068.53</v>
      </c>
      <c r="I47" s="61"/>
      <c r="J47" s="62"/>
      <c r="K47" s="51"/>
      <c r="L47" s="51"/>
    </row>
    <row r="48" spans="1:12">
      <c r="A48" s="63"/>
      <c r="B48" s="156" t="s">
        <v>104</v>
      </c>
      <c r="C48" s="104">
        <v>0.5</v>
      </c>
      <c r="D48" s="44">
        <v>1150</v>
      </c>
      <c r="E48" s="44">
        <v>92</v>
      </c>
      <c r="F48" s="44">
        <v>278</v>
      </c>
      <c r="G48" s="135">
        <f t="shared" si="1"/>
        <v>1520</v>
      </c>
      <c r="H48" s="149">
        <f>ROUND((D48+E48+F48)*('29_01_H_2020'!$O$14)*C48*12*(1+'29_01_H_2020'!$O$25),2)</f>
        <v>534.26</v>
      </c>
      <c r="I48" s="61"/>
      <c r="J48" s="62"/>
      <c r="K48" s="51"/>
      <c r="L48" s="51"/>
    </row>
    <row r="49" spans="1:12">
      <c r="A49" s="63"/>
      <c r="B49" s="156" t="s">
        <v>104</v>
      </c>
      <c r="C49" s="104">
        <v>0.5</v>
      </c>
      <c r="D49" s="44">
        <v>1150</v>
      </c>
      <c r="E49" s="44">
        <v>92</v>
      </c>
      <c r="F49" s="44">
        <v>278</v>
      </c>
      <c r="G49" s="135">
        <f t="shared" si="1"/>
        <v>1520</v>
      </c>
      <c r="H49" s="149">
        <f>ROUND((D49+E49+F49)*('29_01_H_2020'!$O$14)*C49*12*(1+'29_01_H_2020'!$O$25),2)</f>
        <v>534.26</v>
      </c>
      <c r="I49" s="61"/>
      <c r="J49" s="62"/>
      <c r="K49" s="51"/>
      <c r="L49" s="51"/>
    </row>
    <row r="50" spans="1:12">
      <c r="A50" s="63"/>
      <c r="B50" s="156" t="s">
        <v>104</v>
      </c>
      <c r="C50" s="104">
        <v>0.5</v>
      </c>
      <c r="D50" s="44">
        <v>1150</v>
      </c>
      <c r="E50" s="44">
        <v>92</v>
      </c>
      <c r="F50" s="44">
        <v>278</v>
      </c>
      <c r="G50" s="135">
        <f t="shared" si="1"/>
        <v>1520</v>
      </c>
      <c r="H50" s="149">
        <f>ROUND((D50+E50+F50)*('29_01_H_2020'!$O$14)*C50*12*(1+'29_01_H_2020'!$O$25),2)</f>
        <v>534.26</v>
      </c>
      <c r="I50" s="61"/>
      <c r="J50" s="62"/>
      <c r="K50" s="51"/>
      <c r="L50" s="51"/>
    </row>
    <row r="51" spans="1:12">
      <c r="A51" s="63"/>
      <c r="B51" s="156" t="s">
        <v>324</v>
      </c>
      <c r="C51" s="104">
        <v>0.25</v>
      </c>
      <c r="D51" s="44">
        <v>1150</v>
      </c>
      <c r="E51" s="44">
        <v>34.5</v>
      </c>
      <c r="F51" s="44">
        <v>335.5</v>
      </c>
      <c r="G51" s="135">
        <f t="shared" si="1"/>
        <v>1520</v>
      </c>
      <c r="H51" s="149">
        <f>ROUND((D51+E51+F51)*('29_01_H_2020'!$O$14)*C51*12*(1+'29_01_H_2020'!$O$25),2)</f>
        <v>267.13</v>
      </c>
      <c r="I51" s="61"/>
      <c r="J51" s="62"/>
      <c r="K51" s="51"/>
      <c r="L51" s="51"/>
    </row>
    <row r="52" spans="1:12">
      <c r="A52" s="63"/>
      <c r="B52" s="156" t="s">
        <v>324</v>
      </c>
      <c r="C52" s="104">
        <v>0.25</v>
      </c>
      <c r="D52" s="44">
        <v>1150</v>
      </c>
      <c r="E52" s="44">
        <v>34.5</v>
      </c>
      <c r="F52" s="44">
        <v>335.5</v>
      </c>
      <c r="G52" s="135">
        <f t="shared" si="1"/>
        <v>1520</v>
      </c>
      <c r="H52" s="149">
        <f>ROUND((D52+E52+F52)*('29_01_H_2020'!$O$14)*C52*12*(1+'29_01_H_2020'!$O$25),2)</f>
        <v>267.13</v>
      </c>
      <c r="I52" s="61"/>
      <c r="J52" s="62"/>
      <c r="K52" s="51"/>
      <c r="L52" s="51"/>
    </row>
    <row r="53" spans="1:12">
      <c r="A53" s="63"/>
      <c r="B53" s="156" t="s">
        <v>324</v>
      </c>
      <c r="C53" s="104">
        <v>0.6</v>
      </c>
      <c r="D53" s="44">
        <v>1150</v>
      </c>
      <c r="E53" s="44">
        <v>34.5</v>
      </c>
      <c r="F53" s="44">
        <v>335.5</v>
      </c>
      <c r="G53" s="135">
        <f t="shared" si="1"/>
        <v>1520</v>
      </c>
      <c r="H53" s="149">
        <f>ROUND((D53+E53+F53)*('29_01_H_2020'!$O$14)*C53*12*(1+'29_01_H_2020'!$O$25),2)</f>
        <v>641.12</v>
      </c>
      <c r="I53" s="61"/>
      <c r="J53" s="62"/>
      <c r="K53" s="51"/>
      <c r="L53" s="51"/>
    </row>
    <row r="54" spans="1:12">
      <c r="A54" s="63"/>
      <c r="B54" s="156" t="s">
        <v>324</v>
      </c>
      <c r="C54" s="104">
        <v>0.6</v>
      </c>
      <c r="D54" s="44">
        <v>1150</v>
      </c>
      <c r="E54" s="44">
        <v>34.5</v>
      </c>
      <c r="F54" s="44">
        <v>335.5</v>
      </c>
      <c r="G54" s="135">
        <f t="shared" si="1"/>
        <v>1520</v>
      </c>
      <c r="H54" s="149">
        <f>ROUND((D54+E54+F54)*('29_01_H_2020'!$O$14)*C54*12*(1+'29_01_H_2020'!$O$25),2)</f>
        <v>641.12</v>
      </c>
      <c r="I54" s="61"/>
      <c r="J54" s="62"/>
      <c r="K54" s="51"/>
      <c r="L54" s="51"/>
    </row>
    <row r="55" spans="1:12" ht="15.75" thickBot="1">
      <c r="A55" s="63"/>
      <c r="B55" s="156" t="s">
        <v>324</v>
      </c>
      <c r="C55" s="104">
        <v>0.7</v>
      </c>
      <c r="D55" s="44">
        <v>1150</v>
      </c>
      <c r="E55" s="44">
        <v>0</v>
      </c>
      <c r="F55" s="44">
        <v>370</v>
      </c>
      <c r="G55" s="135">
        <f t="shared" si="1"/>
        <v>1520</v>
      </c>
      <c r="H55" s="149">
        <f>ROUND((D55+E55+F55)*('29_01_H_2020'!$O$14)*C55*12*(1+'29_01_H_2020'!$O$25),2)</f>
        <v>747.97</v>
      </c>
      <c r="I55" s="61"/>
      <c r="J55" s="62"/>
      <c r="K55" s="51"/>
      <c r="L55" s="51"/>
    </row>
    <row r="56" spans="1:12" ht="15.75" thickBot="1">
      <c r="A56" s="63"/>
      <c r="B56" s="108" t="s">
        <v>20</v>
      </c>
      <c r="C56" s="157">
        <f>SUM(C12:C34,C38:C55,C36)</f>
        <v>23.1</v>
      </c>
      <c r="D56" s="109" t="s">
        <v>91</v>
      </c>
      <c r="E56" s="109" t="s">
        <v>91</v>
      </c>
      <c r="F56" s="109" t="s">
        <v>91</v>
      </c>
      <c r="G56" s="109" t="s">
        <v>91</v>
      </c>
      <c r="H56" s="158">
        <f>SUM(H12:H34,H38:H55,H36)</f>
        <v>30649.669999999991</v>
      </c>
      <c r="I56" s="61"/>
      <c r="J56" s="62"/>
      <c r="K56" s="51"/>
      <c r="L56" s="51"/>
    </row>
    <row r="57" spans="1:12">
      <c r="A57" s="63"/>
      <c r="B57" s="48"/>
      <c r="C57" s="48"/>
      <c r="D57" s="48"/>
      <c r="E57" s="48"/>
      <c r="F57" s="48"/>
      <c r="G57" s="48"/>
      <c r="H57" s="48"/>
      <c r="I57" s="61"/>
      <c r="J57" s="62"/>
      <c r="K57" s="51"/>
      <c r="L57" s="51"/>
    </row>
    <row r="58" spans="1:12">
      <c r="A58" s="63"/>
      <c r="B58" s="48"/>
      <c r="C58" s="48"/>
      <c r="D58" s="48"/>
      <c r="E58" s="48"/>
      <c r="F58" s="48"/>
      <c r="G58" s="48"/>
      <c r="H58" s="48"/>
      <c r="I58" s="265"/>
      <c r="J58" s="62"/>
      <c r="K58" s="51"/>
      <c r="L58" s="51"/>
    </row>
    <row r="59" spans="1:12">
      <c r="A59" s="63"/>
      <c r="B59" s="48"/>
      <c r="C59" s="48"/>
      <c r="D59" s="48"/>
      <c r="E59" s="48"/>
      <c r="F59" s="48"/>
      <c r="G59" s="48"/>
      <c r="H59" s="48"/>
      <c r="I59" s="61"/>
      <c r="J59" s="62"/>
      <c r="K59" s="51"/>
      <c r="L59" s="51"/>
    </row>
    <row r="60" spans="1:12">
      <c r="A60" s="63"/>
      <c r="B60" s="48"/>
      <c r="C60" s="48"/>
      <c r="D60" s="48"/>
      <c r="E60" s="48"/>
      <c r="F60" s="48"/>
      <c r="G60" s="48"/>
      <c r="H60" s="48"/>
      <c r="I60" s="61"/>
      <c r="J60" s="62"/>
      <c r="K60" s="51"/>
      <c r="L60" s="51"/>
    </row>
    <row r="61" spans="1:12">
      <c r="A61" s="49"/>
      <c r="B61" s="48"/>
      <c r="C61" s="48"/>
      <c r="D61" s="48"/>
      <c r="E61" s="48"/>
      <c r="F61" s="48"/>
      <c r="G61" s="48"/>
      <c r="H61" s="266"/>
      <c r="I61" s="49"/>
      <c r="J61" s="49"/>
      <c r="K61" s="48"/>
    </row>
    <row r="62" spans="1:12">
      <c r="A62" s="49"/>
      <c r="B62" s="48"/>
      <c r="C62" s="48"/>
      <c r="D62" s="48"/>
      <c r="E62" s="48"/>
      <c r="F62" s="48"/>
      <c r="G62" s="48"/>
      <c r="H62" s="48"/>
      <c r="I62" s="49"/>
      <c r="J62" s="49"/>
      <c r="K62" s="48"/>
    </row>
    <row r="63" spans="1:12">
      <c r="A63" s="49"/>
      <c r="B63" s="48"/>
      <c r="C63" s="48"/>
      <c r="D63" s="48"/>
      <c r="E63" s="48"/>
      <c r="F63" s="48"/>
      <c r="G63" s="48"/>
      <c r="H63" s="48"/>
      <c r="I63" s="49"/>
      <c r="J63" s="49"/>
      <c r="K63" s="48"/>
    </row>
    <row r="64" spans="1:12">
      <c r="A64" s="49"/>
      <c r="B64" s="48"/>
      <c r="C64" s="48"/>
      <c r="D64" s="48"/>
      <c r="E64" s="48"/>
      <c r="F64" s="48"/>
      <c r="G64" s="48"/>
      <c r="H64" s="48"/>
      <c r="I64" s="49"/>
      <c r="J64" s="49"/>
      <c r="K64" s="48"/>
    </row>
    <row r="65" spans="1:11">
      <c r="A65" s="49"/>
      <c r="B65" s="48"/>
      <c r="C65" s="48"/>
      <c r="D65" s="48"/>
      <c r="E65" s="48"/>
      <c r="F65" s="48"/>
      <c r="G65" s="48"/>
      <c r="H65" s="48"/>
      <c r="I65" s="49"/>
      <c r="J65" s="49"/>
      <c r="K65" s="48"/>
    </row>
    <row r="66" spans="1:11">
      <c r="A66" s="49"/>
      <c r="B66" s="48"/>
      <c r="C66" s="48"/>
      <c r="D66" s="48"/>
      <c r="E66" s="48"/>
      <c r="F66" s="48"/>
      <c r="G66" s="48"/>
      <c r="H66" s="48"/>
      <c r="I66" s="49"/>
      <c r="J66" s="49"/>
      <c r="K66" s="48"/>
    </row>
    <row r="67" spans="1:11">
      <c r="A67" s="49"/>
      <c r="B67" s="48"/>
      <c r="C67" s="48"/>
      <c r="D67" s="48"/>
      <c r="E67" s="48"/>
      <c r="F67" s="48"/>
      <c r="G67" s="48"/>
      <c r="H67" s="48"/>
      <c r="I67" s="49"/>
      <c r="J67" s="49"/>
      <c r="K67" s="48"/>
    </row>
    <row r="68" spans="1:11">
      <c r="A68" s="49"/>
      <c r="B68" s="48"/>
      <c r="C68" s="48"/>
      <c r="D68" s="48"/>
      <c r="E68" s="48"/>
      <c r="F68" s="48"/>
      <c r="G68" s="48"/>
      <c r="H68" s="48"/>
      <c r="I68" s="49"/>
      <c r="J68" s="49"/>
      <c r="K68" s="48"/>
    </row>
    <row r="69" spans="1:11">
      <c r="A69" s="49"/>
      <c r="B69" s="48"/>
      <c r="C69" s="48"/>
      <c r="D69" s="48"/>
      <c r="E69" s="48"/>
      <c r="F69" s="48"/>
      <c r="G69" s="48"/>
      <c r="H69" s="48"/>
      <c r="I69" s="49"/>
      <c r="J69" s="49"/>
      <c r="K69" s="48"/>
    </row>
    <row r="70" spans="1:11">
      <c r="A70" s="49"/>
      <c r="B70" s="48"/>
      <c r="C70" s="48"/>
      <c r="D70" s="48"/>
      <c r="E70" s="48"/>
      <c r="F70" s="48"/>
      <c r="G70" s="48"/>
      <c r="H70" s="48"/>
      <c r="I70" s="49"/>
      <c r="J70" s="49"/>
      <c r="K70" s="48"/>
    </row>
    <row r="71" spans="1:11">
      <c r="A71" s="49"/>
      <c r="B71" s="48"/>
      <c r="C71" s="48"/>
      <c r="D71" s="48"/>
      <c r="E71" s="48"/>
      <c r="F71" s="48"/>
      <c r="G71" s="48"/>
      <c r="H71" s="48"/>
      <c r="I71" s="49"/>
      <c r="J71" s="49"/>
      <c r="K71" s="48"/>
    </row>
    <row r="72" spans="1:11">
      <c r="A72" s="49"/>
      <c r="B72" s="48"/>
      <c r="C72" s="48"/>
      <c r="D72" s="48"/>
      <c r="E72" s="48"/>
      <c r="F72" s="48"/>
      <c r="G72" s="48"/>
      <c r="H72" s="48"/>
      <c r="I72" s="49"/>
      <c r="J72" s="49"/>
      <c r="K72" s="48"/>
    </row>
    <row r="73" spans="1:11">
      <c r="A73" s="49"/>
      <c r="B73" s="48"/>
      <c r="C73" s="48"/>
      <c r="D73" s="48"/>
      <c r="E73" s="48"/>
      <c r="F73" s="48"/>
      <c r="G73" s="48"/>
      <c r="H73" s="48"/>
      <c r="I73" s="49"/>
      <c r="J73" s="49"/>
      <c r="K73" s="48"/>
    </row>
    <row r="74" spans="1:11">
      <c r="A74" s="49"/>
      <c r="B74" s="48"/>
      <c r="C74" s="48"/>
      <c r="D74" s="48"/>
      <c r="E74" s="48"/>
      <c r="F74" s="48"/>
      <c r="G74" s="48"/>
      <c r="H74" s="48"/>
      <c r="I74" s="49"/>
      <c r="J74" s="49"/>
      <c r="K74" s="48"/>
    </row>
    <row r="75" spans="1:11">
      <c r="A75" s="49"/>
      <c r="B75" s="48"/>
      <c r="C75" s="48"/>
      <c r="D75" s="48"/>
      <c r="E75" s="48"/>
      <c r="F75" s="48"/>
      <c r="G75" s="48"/>
      <c r="H75" s="48"/>
      <c r="I75" s="49"/>
      <c r="J75" s="49"/>
      <c r="K75" s="48"/>
    </row>
    <row r="76" spans="1:11">
      <c r="A76" s="49"/>
      <c r="B76" s="48"/>
      <c r="C76" s="48"/>
      <c r="D76" s="48"/>
      <c r="E76" s="48"/>
      <c r="F76" s="48"/>
      <c r="G76" s="48"/>
      <c r="H76" s="48"/>
      <c r="I76" s="49"/>
      <c r="J76" s="49"/>
      <c r="K76" s="48"/>
    </row>
    <row r="77" spans="1:11">
      <c r="A77" s="49"/>
      <c r="B77" s="48"/>
      <c r="C77" s="48"/>
      <c r="D77" s="48"/>
      <c r="E77" s="48"/>
      <c r="F77" s="48"/>
      <c r="G77" s="48"/>
      <c r="H77" s="48"/>
      <c r="I77" s="49"/>
      <c r="J77" s="49"/>
      <c r="K77" s="48"/>
    </row>
    <row r="78" spans="1:11">
      <c r="A78" s="49"/>
      <c r="B78" s="48"/>
      <c r="C78" s="48"/>
      <c r="D78" s="48"/>
      <c r="E78" s="48"/>
      <c r="F78" s="48"/>
      <c r="G78" s="48"/>
      <c r="H78" s="48"/>
      <c r="I78" s="49"/>
      <c r="J78" s="49"/>
      <c r="K78" s="48"/>
    </row>
    <row r="79" spans="1:11">
      <c r="A79" s="49"/>
      <c r="B79" s="48"/>
      <c r="C79" s="48"/>
      <c r="D79" s="48"/>
      <c r="E79" s="48"/>
      <c r="F79" s="48"/>
      <c r="G79" s="48"/>
      <c r="H79" s="48"/>
      <c r="I79" s="49"/>
      <c r="J79" s="49"/>
      <c r="K79" s="48"/>
    </row>
    <row r="80" spans="1:11">
      <c r="A80" s="49"/>
      <c r="B80" s="48"/>
      <c r="C80" s="48"/>
      <c r="D80" s="48"/>
      <c r="E80" s="48"/>
      <c r="F80" s="48"/>
      <c r="G80" s="48"/>
      <c r="H80" s="48"/>
      <c r="I80" s="49"/>
      <c r="J80" s="49"/>
      <c r="K80" s="48"/>
    </row>
    <row r="81" spans="1:11">
      <c r="A81" s="49"/>
      <c r="B81" s="48"/>
      <c r="C81" s="48"/>
      <c r="D81" s="48"/>
      <c r="E81" s="48"/>
      <c r="F81" s="48"/>
      <c r="G81" s="48"/>
      <c r="H81" s="48"/>
      <c r="I81" s="49"/>
      <c r="J81" s="49"/>
      <c r="K81" s="48"/>
    </row>
    <row r="82" spans="1:11">
      <c r="A82" s="49"/>
      <c r="B82" s="48"/>
      <c r="C82" s="48"/>
      <c r="D82" s="48"/>
      <c r="E82" s="48"/>
      <c r="F82" s="48"/>
      <c r="G82" s="48"/>
      <c r="H82" s="48"/>
      <c r="I82" s="49"/>
      <c r="J82" s="49"/>
      <c r="K82" s="48"/>
    </row>
    <row r="83" spans="1:11">
      <c r="A83" s="49"/>
      <c r="B83" s="48"/>
      <c r="C83" s="48"/>
      <c r="D83" s="48"/>
      <c r="E83" s="48"/>
      <c r="F83" s="48"/>
      <c r="G83" s="48"/>
      <c r="H83" s="48"/>
      <c r="I83" s="49"/>
      <c r="J83" s="49"/>
      <c r="K83" s="48"/>
    </row>
    <row r="84" spans="1:11">
      <c r="A84" s="49"/>
      <c r="B84" s="48"/>
      <c r="C84" s="48"/>
      <c r="D84" s="48"/>
      <c r="E84" s="48"/>
      <c r="F84" s="48"/>
      <c r="G84" s="48"/>
      <c r="H84" s="48"/>
      <c r="I84" s="49"/>
      <c r="J84" s="49"/>
      <c r="K84" s="48"/>
    </row>
    <row r="85" spans="1:11">
      <c r="A85" s="49"/>
      <c r="B85" s="48"/>
      <c r="C85" s="48"/>
      <c r="D85" s="48"/>
      <c r="E85" s="48"/>
      <c r="F85" s="48"/>
      <c r="G85" s="48"/>
      <c r="H85" s="48"/>
      <c r="I85" s="49"/>
      <c r="J85" s="49"/>
      <c r="K85" s="48"/>
    </row>
    <row r="86" spans="1:11">
      <c r="A86" s="49"/>
      <c r="B86" s="48"/>
      <c r="C86" s="48"/>
      <c r="D86" s="48"/>
      <c r="E86" s="48"/>
      <c r="F86" s="48"/>
      <c r="G86" s="48"/>
      <c r="H86" s="48"/>
      <c r="I86" s="49"/>
      <c r="J86" s="49"/>
      <c r="K86" s="48"/>
    </row>
    <row r="87" spans="1:11">
      <c r="A87" s="49"/>
      <c r="B87" s="48"/>
      <c r="C87" s="48"/>
      <c r="D87" s="48"/>
      <c r="E87" s="48"/>
      <c r="F87" s="48"/>
      <c r="G87" s="48"/>
      <c r="H87" s="48"/>
      <c r="I87" s="49"/>
      <c r="J87" s="49"/>
      <c r="K87" s="48"/>
    </row>
    <row r="88" spans="1:11">
      <c r="A88" s="49"/>
      <c r="B88" s="48"/>
      <c r="C88" s="48"/>
      <c r="D88" s="48"/>
      <c r="E88" s="48"/>
      <c r="F88" s="48"/>
      <c r="G88" s="48"/>
      <c r="H88" s="48"/>
      <c r="I88" s="49"/>
      <c r="J88" s="49"/>
      <c r="K88" s="48"/>
    </row>
    <row r="89" spans="1:11">
      <c r="A89" s="49"/>
      <c r="B89" s="48"/>
      <c r="C89" s="48"/>
      <c r="D89" s="48"/>
      <c r="E89" s="48"/>
      <c r="F89" s="48"/>
      <c r="G89" s="48"/>
      <c r="H89" s="48"/>
      <c r="I89" s="49"/>
      <c r="J89" s="49"/>
      <c r="K89" s="48"/>
    </row>
    <row r="90" spans="1:11">
      <c r="A90" s="49"/>
      <c r="B90" s="48"/>
      <c r="C90" s="48"/>
      <c r="D90" s="48"/>
      <c r="E90" s="48"/>
      <c r="F90" s="48"/>
      <c r="G90" s="48"/>
      <c r="H90" s="48"/>
      <c r="I90" s="49"/>
      <c r="J90" s="49"/>
      <c r="K90" s="48"/>
    </row>
    <row r="91" spans="1:11">
      <c r="A91" s="49"/>
      <c r="B91" s="48"/>
      <c r="C91" s="48"/>
      <c r="D91" s="48"/>
      <c r="E91" s="48"/>
      <c r="F91" s="48"/>
      <c r="G91" s="48"/>
      <c r="H91" s="48"/>
      <c r="I91" s="49"/>
      <c r="J91" s="49"/>
      <c r="K91" s="48"/>
    </row>
    <row r="92" spans="1:11">
      <c r="A92" s="49"/>
      <c r="B92" s="48"/>
      <c r="C92" s="48"/>
      <c r="D92" s="48"/>
      <c r="E92" s="48"/>
      <c r="F92" s="48"/>
      <c r="G92" s="48"/>
      <c r="H92" s="48"/>
      <c r="I92" s="49"/>
      <c r="J92" s="49"/>
      <c r="K92" s="48"/>
    </row>
    <row r="93" spans="1:11">
      <c r="A93" s="49"/>
      <c r="B93" s="48"/>
      <c r="C93" s="48"/>
      <c r="D93" s="48"/>
      <c r="E93" s="48"/>
      <c r="F93" s="48"/>
      <c r="G93" s="48"/>
      <c r="H93" s="48"/>
      <c r="I93" s="49"/>
      <c r="J93" s="49"/>
      <c r="K93" s="48"/>
    </row>
    <row r="94" spans="1:11">
      <c r="A94" s="49"/>
      <c r="I94" s="49"/>
      <c r="J94" s="49"/>
      <c r="K94" s="48"/>
    </row>
    <row r="95" spans="1:11">
      <c r="A95" s="49"/>
      <c r="I95" s="49"/>
      <c r="J95" s="49"/>
      <c r="K95" s="48"/>
    </row>
    <row r="96" spans="1:11">
      <c r="A96" s="49"/>
      <c r="I96" s="49"/>
      <c r="J96" s="49"/>
      <c r="K96" s="48"/>
    </row>
    <row r="97" spans="1:11">
      <c r="A97" s="49"/>
      <c r="I97" s="49"/>
      <c r="J97" s="49"/>
      <c r="K97" s="48"/>
    </row>
    <row r="98" spans="1:11">
      <c r="A98" s="49"/>
      <c r="I98" s="49"/>
      <c r="J98" s="49"/>
      <c r="K98" s="48"/>
    </row>
    <row r="99" spans="1:11">
      <c r="A99" s="49"/>
      <c r="I99" s="49"/>
      <c r="J99" s="49"/>
      <c r="K99" s="48"/>
    </row>
    <row r="100" spans="1:11">
      <c r="A100" s="49"/>
      <c r="I100" s="49"/>
      <c r="J100" s="49"/>
      <c r="K100" s="48"/>
    </row>
    <row r="101" spans="1:11">
      <c r="A101" s="49"/>
      <c r="I101" s="49"/>
      <c r="J101" s="49"/>
      <c r="K101" s="48"/>
    </row>
    <row r="102" spans="1:11">
      <c r="A102" s="49"/>
      <c r="I102" s="49"/>
      <c r="J102" s="49"/>
      <c r="K102" s="48"/>
    </row>
    <row r="103" spans="1:11">
      <c r="A103" s="49"/>
      <c r="I103" s="49"/>
      <c r="J103" s="49"/>
      <c r="K103" s="48"/>
    </row>
    <row r="104" spans="1:11">
      <c r="A104" s="49"/>
      <c r="I104" s="49"/>
      <c r="J104" s="49"/>
      <c r="K104" s="48"/>
    </row>
    <row r="105" spans="1:11">
      <c r="A105" s="48"/>
      <c r="I105" s="48"/>
      <c r="J105" s="48"/>
      <c r="K105" s="48"/>
    </row>
    <row r="106" spans="1:11">
      <c r="A106" s="48"/>
      <c r="I106" s="48"/>
      <c r="J106" s="48"/>
      <c r="K106" s="48"/>
    </row>
    <row r="107" spans="1:11">
      <c r="A107" s="48"/>
      <c r="I107" s="48"/>
      <c r="J107" s="48"/>
      <c r="K107" s="48"/>
    </row>
    <row r="108" spans="1:11">
      <c r="A108" s="48"/>
      <c r="I108" s="48"/>
      <c r="J108" s="48"/>
      <c r="K108" s="48"/>
    </row>
    <row r="109" spans="1:11">
      <c r="A109" s="48"/>
      <c r="I109" s="48"/>
      <c r="J109" s="48"/>
      <c r="K109" s="48"/>
    </row>
    <row r="110" spans="1:11">
      <c r="A110" s="48"/>
      <c r="I110" s="48"/>
      <c r="J110" s="48"/>
      <c r="K110" s="48"/>
    </row>
    <row r="111" spans="1:11">
      <c r="A111" s="48"/>
      <c r="I111" s="48"/>
      <c r="J111" s="48"/>
      <c r="K111" s="48"/>
    </row>
    <row r="112" spans="1:11">
      <c r="A112" s="48"/>
      <c r="I112" s="48"/>
      <c r="J112" s="48"/>
      <c r="K112" s="48"/>
    </row>
    <row r="113" spans="1:11">
      <c r="A113" s="48"/>
      <c r="I113" s="48"/>
      <c r="J113" s="48"/>
      <c r="K113" s="48"/>
    </row>
    <row r="114" spans="1:11">
      <c r="A114" s="48"/>
      <c r="I114" s="48"/>
      <c r="J114" s="48"/>
      <c r="K114" s="48"/>
    </row>
    <row r="115" spans="1:11">
      <c r="A115" s="48"/>
      <c r="I115" s="48"/>
      <c r="J115" s="48"/>
      <c r="K115" s="48"/>
    </row>
    <row r="116" spans="1:11">
      <c r="A116" s="48"/>
      <c r="I116" s="48"/>
      <c r="J116" s="48"/>
      <c r="K116" s="48"/>
    </row>
    <row r="117" spans="1:11">
      <c r="A117" s="48"/>
      <c r="I117" s="48"/>
      <c r="J117" s="48"/>
      <c r="K117" s="48"/>
    </row>
    <row r="118" spans="1:11">
      <c r="A118" s="48"/>
      <c r="I118" s="48"/>
      <c r="J118" s="48"/>
      <c r="K118" s="48"/>
    </row>
    <row r="119" spans="1:11">
      <c r="A119" s="48"/>
      <c r="I119" s="48"/>
      <c r="J119" s="48"/>
      <c r="K119" s="48"/>
    </row>
    <row r="120" spans="1:11">
      <c r="A120" s="48"/>
      <c r="I120" s="48"/>
      <c r="J120" s="48"/>
      <c r="K120" s="48"/>
    </row>
    <row r="121" spans="1:11">
      <c r="A121" s="48"/>
      <c r="I121" s="48"/>
      <c r="J121" s="48"/>
      <c r="K121" s="48"/>
    </row>
    <row r="122" spans="1:11">
      <c r="A122" s="48"/>
      <c r="I122" s="48"/>
      <c r="J122" s="48"/>
      <c r="K122" s="48"/>
    </row>
    <row r="123" spans="1:11">
      <c r="A123" s="48"/>
      <c r="I123" s="48"/>
      <c r="J123" s="48"/>
      <c r="K123" s="48"/>
    </row>
    <row r="124" spans="1:11">
      <c r="A124" s="48"/>
      <c r="I124" s="48"/>
      <c r="J124" s="48"/>
      <c r="K124" s="48"/>
    </row>
    <row r="125" spans="1:11">
      <c r="A125" s="48"/>
      <c r="I125" s="48"/>
      <c r="J125" s="48"/>
      <c r="K125" s="48"/>
    </row>
    <row r="126" spans="1:11">
      <c r="A126" s="48"/>
      <c r="I126" s="48"/>
      <c r="J126" s="48"/>
      <c r="K126" s="48"/>
    </row>
    <row r="127" spans="1:11">
      <c r="A127" s="48"/>
      <c r="I127" s="48"/>
      <c r="J127" s="48"/>
      <c r="K127" s="48"/>
    </row>
    <row r="128" spans="1:11">
      <c r="A128" s="48"/>
      <c r="I128" s="48"/>
      <c r="J128" s="48"/>
      <c r="K128" s="48"/>
    </row>
    <row r="129" spans="1:11">
      <c r="A129" s="48"/>
      <c r="I129" s="48"/>
      <c r="J129" s="48"/>
      <c r="K129" s="48"/>
    </row>
    <row r="130" spans="1:11">
      <c r="A130" s="48"/>
      <c r="I130" s="48"/>
      <c r="J130" s="48"/>
      <c r="K130" s="48"/>
    </row>
    <row r="131" spans="1:11">
      <c r="A131" s="48"/>
      <c r="I131" s="48"/>
      <c r="J131" s="48"/>
      <c r="K131" s="48"/>
    </row>
    <row r="132" spans="1:11">
      <c r="A132" s="48"/>
      <c r="I132" s="48"/>
      <c r="J132" s="48"/>
      <c r="K132" s="48"/>
    </row>
    <row r="133" spans="1:11">
      <c r="A133" s="48"/>
      <c r="I133" s="48"/>
      <c r="J133" s="48"/>
      <c r="K133" s="48"/>
    </row>
    <row r="134" spans="1:11">
      <c r="A134" s="48"/>
      <c r="I134" s="48"/>
      <c r="J134" s="48"/>
      <c r="K134" s="48"/>
    </row>
    <row r="135" spans="1:11">
      <c r="A135" s="48"/>
      <c r="I135" s="48"/>
      <c r="J135" s="48"/>
      <c r="K135" s="48"/>
    </row>
    <row r="136" spans="1:11">
      <c r="A136" s="48"/>
      <c r="I136" s="48"/>
      <c r="J136" s="48"/>
      <c r="K136" s="48"/>
    </row>
    <row r="137" spans="1:11">
      <c r="A137" s="48"/>
      <c r="I137" s="48"/>
      <c r="J137" s="48"/>
      <c r="K137" s="48"/>
    </row>
    <row r="138" spans="1:11">
      <c r="A138" s="48"/>
      <c r="I138" s="48"/>
      <c r="J138" s="48"/>
      <c r="K138" s="48"/>
    </row>
    <row r="139" spans="1:11">
      <c r="A139" s="48"/>
      <c r="I139" s="48"/>
      <c r="J139" s="48"/>
      <c r="K139" s="48"/>
    </row>
    <row r="140" spans="1:11">
      <c r="A140" s="48"/>
      <c r="I140" s="48"/>
      <c r="J140" s="48"/>
      <c r="K140" s="48"/>
    </row>
    <row r="141" spans="1:11">
      <c r="A141" s="48"/>
      <c r="I141" s="48"/>
      <c r="J141" s="48"/>
      <c r="K141" s="48"/>
    </row>
    <row r="142" spans="1:11">
      <c r="A142" s="48"/>
      <c r="I142" s="48"/>
      <c r="J142" s="48"/>
      <c r="K142" s="48"/>
    </row>
    <row r="143" spans="1:11">
      <c r="A143" s="48"/>
      <c r="I143" s="48"/>
      <c r="J143" s="48"/>
      <c r="K143" s="48"/>
    </row>
  </sheetData>
  <mergeCells count="12">
    <mergeCell ref="G1:H1"/>
    <mergeCell ref="B8:G8"/>
    <mergeCell ref="B9:G9"/>
    <mergeCell ref="B2:H3"/>
    <mergeCell ref="B5:H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A15F3-ED32-4F97-B1A6-9E329E372FA7}">
  <sheetPr>
    <tabColor rgb="FF92D050"/>
  </sheetPr>
  <dimension ref="A1:W84"/>
  <sheetViews>
    <sheetView topLeftCell="C2" workbookViewId="0">
      <selection activeCell="G28" sqref="G28"/>
    </sheetView>
  </sheetViews>
  <sheetFormatPr defaultColWidth="8.85546875" defaultRowHeight="12.75"/>
  <cols>
    <col min="1" max="1" width="1" style="211" customWidth="1"/>
    <col min="2" max="2" width="25.7109375" style="448" customWidth="1"/>
    <col min="3" max="3" width="13.7109375" style="448" customWidth="1"/>
    <col min="4" max="4" width="10.7109375" style="448" customWidth="1"/>
    <col min="5" max="8" width="14.28515625" style="448" customWidth="1"/>
    <col min="9" max="9" width="12.28515625" style="448" customWidth="1"/>
    <col min="10" max="11" width="8.85546875" style="211" customWidth="1"/>
    <col min="12" max="12" width="9.5703125" style="211" customWidth="1"/>
    <col min="13" max="13" width="8.85546875" style="211" customWidth="1"/>
    <col min="14" max="14" width="8.85546875" style="211"/>
    <col min="15" max="15" width="17.140625" style="211" customWidth="1"/>
    <col min="16" max="16" width="11.7109375" style="211" bestFit="1" customWidth="1"/>
    <col min="17" max="19" width="11.7109375" style="211" customWidth="1"/>
    <col min="20" max="16384" width="8.85546875" style="211"/>
  </cols>
  <sheetData>
    <row r="1" spans="1:23" hidden="1">
      <c r="A1" s="210" t="s">
        <v>168</v>
      </c>
      <c r="B1" s="447"/>
      <c r="C1" s="447"/>
      <c r="D1" s="447"/>
      <c r="E1" s="447"/>
      <c r="F1" s="447"/>
      <c r="G1" s="447"/>
      <c r="K1" s="210" t="s">
        <v>169</v>
      </c>
      <c r="L1" s="210" t="s">
        <v>170</v>
      </c>
    </row>
    <row r="2" spans="1:23" ht="15.75" customHeight="1">
      <c r="B2" s="517"/>
      <c r="C2" s="517"/>
      <c r="D2" s="517"/>
      <c r="E2" s="517"/>
      <c r="F2" s="517"/>
      <c r="G2" s="517"/>
      <c r="H2" s="517"/>
    </row>
    <row r="3" spans="1:23" ht="13.5" customHeight="1">
      <c r="A3" s="212"/>
      <c r="B3" s="449"/>
      <c r="C3" s="449"/>
      <c r="D3" s="449"/>
      <c r="E3" s="449"/>
      <c r="F3" s="449"/>
      <c r="G3" s="449"/>
      <c r="H3" s="450"/>
      <c r="K3" s="296"/>
      <c r="L3" s="297"/>
      <c r="M3" s="295"/>
      <c r="O3" s="213"/>
    </row>
    <row r="4" spans="1:23" ht="13.5" customHeight="1">
      <c r="A4" s="212"/>
      <c r="B4" s="518"/>
      <c r="C4" s="518"/>
      <c r="D4" s="519"/>
      <c r="E4" s="519"/>
      <c r="F4" s="519"/>
      <c r="G4" s="519"/>
      <c r="H4" s="451"/>
      <c r="I4" s="451"/>
      <c r="K4" s="298"/>
      <c r="L4" s="297"/>
      <c r="M4" s="295"/>
    </row>
    <row r="5" spans="1:23" ht="18.75" customHeight="1">
      <c r="A5" s="212"/>
      <c r="B5" s="520"/>
      <c r="C5" s="520"/>
      <c r="D5" s="521"/>
      <c r="E5" s="521"/>
      <c r="F5" s="521"/>
      <c r="G5" s="521"/>
      <c r="H5" s="521"/>
      <c r="K5" s="299"/>
      <c r="L5" s="297"/>
      <c r="M5" s="295"/>
    </row>
    <row r="6" spans="1:23" ht="12.75" customHeight="1">
      <c r="A6" s="212"/>
      <c r="B6" s="452"/>
      <c r="C6" s="453"/>
      <c r="D6" s="454"/>
      <c r="E6" s="455"/>
      <c r="F6" s="455"/>
      <c r="G6" s="455"/>
      <c r="H6" s="455"/>
      <c r="J6" s="213"/>
      <c r="K6" s="299"/>
      <c r="L6" s="300"/>
      <c r="M6" s="295"/>
    </row>
    <row r="7" spans="1:23">
      <c r="A7" s="212"/>
      <c r="B7" s="456"/>
      <c r="C7" s="456"/>
      <c r="I7" s="457"/>
      <c r="J7" s="213"/>
    </row>
    <row r="8" spans="1:23" ht="61.5" customHeight="1">
      <c r="A8" s="507"/>
      <c r="B8" s="508"/>
      <c r="C8" s="508"/>
      <c r="D8" s="508"/>
      <c r="E8" s="458"/>
      <c r="F8" s="458"/>
      <c r="G8" s="458"/>
      <c r="H8" s="458"/>
      <c r="I8" s="458"/>
      <c r="J8" s="214"/>
      <c r="K8" s="214"/>
      <c r="L8" s="214"/>
      <c r="M8" s="214"/>
      <c r="O8" s="215" t="s">
        <v>233</v>
      </c>
    </row>
    <row r="9" spans="1:23" hidden="1">
      <c r="A9" s="507"/>
      <c r="B9" s="509"/>
      <c r="C9" s="509"/>
      <c r="D9" s="509"/>
      <c r="E9" s="459"/>
      <c r="F9" s="460"/>
      <c r="G9" s="460"/>
      <c r="H9" s="458"/>
      <c r="I9" s="458"/>
      <c r="J9" s="214"/>
      <c r="K9" s="216"/>
      <c r="L9" s="216"/>
      <c r="M9" s="214"/>
      <c r="N9" s="217"/>
    </row>
    <row r="10" spans="1:23" ht="15.75" customHeight="1">
      <c r="A10" s="507"/>
      <c r="B10" s="510"/>
      <c r="C10" s="510"/>
      <c r="D10" s="510"/>
      <c r="E10" s="461"/>
      <c r="F10" s="461"/>
      <c r="G10" s="461"/>
      <c r="H10" s="461"/>
      <c r="I10" s="462"/>
      <c r="J10" s="522" t="s">
        <v>412</v>
      </c>
      <c r="K10" s="522"/>
      <c r="L10" s="522"/>
      <c r="M10" s="522"/>
      <c r="N10" s="522"/>
      <c r="O10" s="354">
        <v>4.3999999999999997E-2</v>
      </c>
      <c r="P10" s="525" t="s">
        <v>294</v>
      </c>
      <c r="Q10" s="525"/>
      <c r="R10" s="525"/>
      <c r="S10" s="531" t="s">
        <v>234</v>
      </c>
      <c r="T10" s="531"/>
      <c r="U10" s="531"/>
      <c r="V10" s="531"/>
      <c r="W10" s="531"/>
    </row>
    <row r="11" spans="1:23" s="219" customFormat="1" ht="13.5" customHeight="1">
      <c r="A11" s="507"/>
      <c r="B11" s="532"/>
      <c r="C11" s="532"/>
      <c r="D11" s="532"/>
      <c r="E11" s="463"/>
      <c r="F11" s="463"/>
      <c r="G11" s="463"/>
      <c r="H11" s="463"/>
      <c r="I11" s="464"/>
      <c r="J11" s="522"/>
      <c r="K11" s="522"/>
      <c r="L11" s="522"/>
      <c r="M11" s="522"/>
      <c r="N11" s="522"/>
      <c r="O11" s="292"/>
      <c r="P11" s="525"/>
      <c r="Q11" s="525"/>
      <c r="R11" s="525"/>
      <c r="S11" s="531"/>
      <c r="T11" s="531"/>
      <c r="U11" s="531"/>
      <c r="V11" s="531"/>
      <c r="W11" s="531"/>
    </row>
    <row r="12" spans="1:23" s="220" customFormat="1" ht="13.5" customHeight="1">
      <c r="A12" s="507"/>
      <c r="B12" s="533"/>
      <c r="C12" s="533"/>
      <c r="D12" s="533"/>
      <c r="E12" s="465"/>
      <c r="F12" s="465"/>
      <c r="G12" s="465"/>
      <c r="H12" s="465"/>
      <c r="I12" s="464"/>
      <c r="J12" s="522"/>
      <c r="K12" s="522"/>
      <c r="L12" s="522"/>
      <c r="M12" s="522"/>
      <c r="N12" s="522"/>
      <c r="O12" s="292"/>
      <c r="P12" s="525"/>
      <c r="Q12" s="525"/>
      <c r="R12" s="525"/>
      <c r="S12" s="531"/>
      <c r="T12" s="531"/>
      <c r="U12" s="531"/>
      <c r="V12" s="531"/>
      <c r="W12" s="531"/>
    </row>
    <row r="13" spans="1:23" ht="13.5" customHeight="1">
      <c r="A13" s="507"/>
      <c r="B13" s="534"/>
      <c r="C13" s="534"/>
      <c r="D13" s="534"/>
      <c r="E13" s="461"/>
      <c r="F13" s="461"/>
      <c r="G13" s="461"/>
      <c r="H13" s="461"/>
      <c r="I13" s="466"/>
      <c r="O13" s="293"/>
      <c r="S13" s="531"/>
      <c r="T13" s="531"/>
      <c r="U13" s="531"/>
      <c r="V13" s="531"/>
      <c r="W13" s="531"/>
    </row>
    <row r="14" spans="1:23" s="219" customFormat="1" ht="30.75" customHeight="1">
      <c r="A14" s="507"/>
      <c r="B14" s="524"/>
      <c r="C14" s="524"/>
      <c r="D14" s="524"/>
      <c r="E14" s="463"/>
      <c r="F14" s="463"/>
      <c r="G14" s="463"/>
      <c r="H14" s="463"/>
      <c r="I14" s="464"/>
      <c r="J14" s="522" t="s">
        <v>413</v>
      </c>
      <c r="K14" s="522"/>
      <c r="L14" s="522"/>
      <c r="M14" s="522"/>
      <c r="N14" s="522"/>
      <c r="O14" s="354">
        <v>4.7399999999999998E-2</v>
      </c>
      <c r="P14" s="535" t="s">
        <v>415</v>
      </c>
      <c r="Q14" s="535"/>
      <c r="R14" s="535"/>
      <c r="S14" s="531"/>
      <c r="T14" s="531"/>
      <c r="U14" s="531"/>
      <c r="V14" s="531"/>
      <c r="W14" s="531"/>
    </row>
    <row r="15" spans="1:23" s="222" customFormat="1" ht="13.5" customHeight="1">
      <c r="A15" s="507"/>
      <c r="B15" s="513"/>
      <c r="C15" s="513"/>
      <c r="D15" s="513"/>
      <c r="E15" s="467"/>
      <c r="F15" s="467"/>
      <c r="G15" s="467"/>
      <c r="H15" s="467"/>
      <c r="I15" s="468"/>
      <c r="J15" s="522"/>
      <c r="K15" s="522"/>
      <c r="L15" s="522"/>
      <c r="M15" s="522"/>
      <c r="N15" s="522"/>
      <c r="O15" s="218"/>
      <c r="P15" s="535"/>
      <c r="Q15" s="535"/>
      <c r="R15" s="535"/>
      <c r="S15" s="531"/>
      <c r="T15" s="531"/>
      <c r="U15" s="531"/>
      <c r="V15" s="531"/>
      <c r="W15" s="531"/>
    </row>
    <row r="16" spans="1:23" s="222" customFormat="1" ht="13.5" customHeight="1">
      <c r="A16" s="507"/>
      <c r="B16" s="511"/>
      <c r="C16" s="511"/>
      <c r="D16" s="511"/>
      <c r="E16" s="469"/>
      <c r="F16" s="469"/>
      <c r="G16" s="469"/>
      <c r="H16" s="470"/>
      <c r="I16" s="468"/>
      <c r="J16" s="221"/>
      <c r="K16" s="223"/>
      <c r="L16" s="223"/>
      <c r="M16" s="224"/>
    </row>
    <row r="17" spans="1:23" s="222" customFormat="1" ht="13.5" customHeight="1">
      <c r="A17" s="507"/>
      <c r="B17" s="511"/>
      <c r="C17" s="511"/>
      <c r="D17" s="511"/>
      <c r="E17" s="469"/>
      <c r="F17" s="469"/>
      <c r="G17" s="469"/>
      <c r="H17" s="470"/>
      <c r="I17" s="468"/>
      <c r="J17" s="522" t="s">
        <v>414</v>
      </c>
      <c r="K17" s="522"/>
      <c r="L17" s="522"/>
      <c r="M17" s="522"/>
      <c r="N17" s="522"/>
      <c r="O17" s="218">
        <v>0</v>
      </c>
      <c r="P17" s="538" t="s">
        <v>416</v>
      </c>
      <c r="Q17" s="538"/>
      <c r="R17" s="538"/>
    </row>
    <row r="18" spans="1:23" s="222" customFormat="1" ht="13.5" customHeight="1">
      <c r="A18" s="507"/>
      <c r="B18" s="511"/>
      <c r="C18" s="511"/>
      <c r="D18" s="511"/>
      <c r="E18" s="469"/>
      <c r="F18" s="469"/>
      <c r="G18" s="469"/>
      <c r="H18" s="470"/>
      <c r="I18" s="468"/>
      <c r="J18" s="522"/>
      <c r="K18" s="522"/>
      <c r="L18" s="522"/>
      <c r="M18" s="522"/>
      <c r="N18" s="522"/>
      <c r="O18" s="347"/>
      <c r="P18" s="538"/>
      <c r="Q18" s="538"/>
      <c r="R18" s="538"/>
    </row>
    <row r="19" spans="1:23" s="222" customFormat="1" ht="13.5" customHeight="1">
      <c r="A19" s="507"/>
      <c r="B19" s="511"/>
      <c r="C19" s="511"/>
      <c r="D19" s="511"/>
      <c r="E19" s="469"/>
      <c r="F19" s="469"/>
      <c r="G19" s="469"/>
      <c r="H19" s="470"/>
      <c r="I19" s="468"/>
      <c r="J19" s="221"/>
      <c r="K19" s="223"/>
      <c r="L19" s="223"/>
      <c r="M19" s="224"/>
    </row>
    <row r="20" spans="1:23" s="222" customFormat="1" ht="13.5" customHeight="1">
      <c r="A20" s="507"/>
      <c r="B20" s="511"/>
      <c r="C20" s="511"/>
      <c r="D20" s="511"/>
      <c r="E20" s="469"/>
      <c r="F20" s="469"/>
      <c r="G20" s="469"/>
      <c r="H20" s="470"/>
      <c r="I20" s="468"/>
      <c r="J20" s="221"/>
      <c r="K20" s="223"/>
      <c r="L20" s="223"/>
      <c r="M20" s="224"/>
    </row>
    <row r="21" spans="1:23" s="222" customFormat="1" ht="13.5" customHeight="1">
      <c r="A21" s="507"/>
      <c r="B21" s="513"/>
      <c r="C21" s="513"/>
      <c r="D21" s="513"/>
      <c r="E21" s="469"/>
      <c r="F21" s="469"/>
      <c r="G21" s="469"/>
      <c r="H21" s="470"/>
      <c r="I21" s="468"/>
      <c r="J21" s="221"/>
      <c r="K21" s="223"/>
      <c r="L21" s="223"/>
      <c r="M21" s="224"/>
    </row>
    <row r="22" spans="1:23" s="222" customFormat="1" ht="13.5" customHeight="1">
      <c r="A22" s="507"/>
      <c r="B22" s="524"/>
      <c r="C22" s="524"/>
      <c r="D22" s="524"/>
      <c r="E22" s="463"/>
      <c r="F22" s="463"/>
      <c r="G22" s="463"/>
      <c r="H22" s="463"/>
      <c r="I22" s="468"/>
      <c r="J22" s="221"/>
      <c r="K22" s="223"/>
      <c r="L22" s="223"/>
      <c r="M22" s="224"/>
    </row>
    <row r="23" spans="1:23" s="222" customFormat="1" ht="13.5" customHeight="1">
      <c r="A23" s="507"/>
      <c r="B23" s="513"/>
      <c r="C23" s="513"/>
      <c r="D23" s="513"/>
      <c r="E23" s="469"/>
      <c r="F23" s="469"/>
      <c r="G23" s="469"/>
      <c r="H23" s="469"/>
      <c r="I23" s="468"/>
      <c r="J23" s="221"/>
      <c r="K23" s="223"/>
      <c r="L23" s="223"/>
      <c r="M23" s="224"/>
    </row>
    <row r="24" spans="1:23" s="222" customFormat="1" ht="13.5" customHeight="1">
      <c r="A24" s="507"/>
      <c r="B24" s="512"/>
      <c r="C24" s="512"/>
      <c r="D24" s="512"/>
      <c r="E24" s="471"/>
      <c r="F24" s="471"/>
      <c r="G24" s="471"/>
      <c r="H24" s="471"/>
      <c r="I24" s="468"/>
      <c r="J24" s="221"/>
      <c r="K24" s="223"/>
      <c r="L24" s="223"/>
      <c r="M24" s="224"/>
    </row>
    <row r="25" spans="1:23" s="222" customFormat="1" ht="13.5" customHeight="1">
      <c r="A25" s="507"/>
      <c r="B25" s="524"/>
      <c r="C25" s="524"/>
      <c r="D25" s="524"/>
      <c r="E25" s="463"/>
      <c r="F25" s="463"/>
      <c r="G25" s="463"/>
      <c r="H25" s="463"/>
      <c r="I25" s="468"/>
      <c r="J25" s="221"/>
      <c r="K25" s="526" t="s">
        <v>293</v>
      </c>
      <c r="L25" s="526"/>
      <c r="M25" s="526"/>
      <c r="N25" s="526"/>
      <c r="O25" s="294">
        <v>0.2359</v>
      </c>
    </row>
    <row r="26" spans="1:23" s="222" customFormat="1" ht="13.5" customHeight="1">
      <c r="A26" s="507"/>
      <c r="B26" s="513"/>
      <c r="C26" s="513"/>
      <c r="D26" s="513"/>
      <c r="E26" s="469"/>
      <c r="F26" s="469"/>
      <c r="G26" s="469"/>
      <c r="H26" s="470"/>
      <c r="I26" s="472"/>
      <c r="J26" s="221"/>
      <c r="K26" s="223"/>
      <c r="L26" s="223"/>
      <c r="M26" s="224"/>
      <c r="Q26" s="225"/>
      <c r="R26" s="225"/>
      <c r="S26" s="225"/>
    </row>
    <row r="27" spans="1:23" s="222" customFormat="1" ht="13.5" customHeight="1">
      <c r="A27" s="507"/>
      <c r="B27" s="513"/>
      <c r="C27" s="513"/>
      <c r="D27" s="513"/>
      <c r="E27" s="469"/>
      <c r="F27" s="469"/>
      <c r="G27" s="469"/>
      <c r="H27" s="470"/>
      <c r="I27" s="468"/>
      <c r="J27" s="221"/>
      <c r="K27" s="223"/>
      <c r="L27" s="223"/>
      <c r="M27" s="224"/>
      <c r="Q27" s="226"/>
      <c r="R27" s="227"/>
      <c r="S27" s="227"/>
    </row>
    <row r="28" spans="1:23" s="222" customFormat="1" ht="13.5" customHeight="1">
      <c r="A28" s="507"/>
      <c r="B28" s="512"/>
      <c r="C28" s="512"/>
      <c r="D28" s="512"/>
      <c r="E28" s="471"/>
      <c r="F28" s="471"/>
      <c r="G28" s="471"/>
      <c r="H28" s="471"/>
      <c r="I28" s="468"/>
      <c r="J28" s="468"/>
      <c r="K28" s="469"/>
      <c r="L28" s="469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</row>
    <row r="29" spans="1:23" s="222" customFormat="1" ht="26.25" customHeight="1">
      <c r="A29" s="507"/>
      <c r="B29" s="524"/>
      <c r="C29" s="524"/>
      <c r="D29" s="524"/>
      <c r="E29" s="461"/>
      <c r="F29" s="461"/>
      <c r="G29" s="461"/>
      <c r="H29" s="461"/>
      <c r="I29" s="468"/>
      <c r="J29" s="537"/>
      <c r="K29" s="537"/>
      <c r="L29" s="537"/>
      <c r="M29" s="537"/>
      <c r="N29" s="537"/>
      <c r="O29" s="537"/>
      <c r="P29" s="537"/>
      <c r="Q29" s="478"/>
      <c r="R29" s="478"/>
      <c r="S29" s="478"/>
      <c r="T29" s="446"/>
      <c r="U29" s="446"/>
      <c r="V29" s="446"/>
      <c r="W29" s="446"/>
    </row>
    <row r="30" spans="1:23" s="219" customFormat="1" ht="13.5">
      <c r="A30" s="507"/>
      <c r="B30" s="512"/>
      <c r="C30" s="512"/>
      <c r="D30" s="512"/>
      <c r="E30" s="471"/>
      <c r="F30" s="471"/>
      <c r="G30" s="471"/>
      <c r="H30" s="471"/>
      <c r="I30" s="464"/>
      <c r="J30" s="529"/>
      <c r="K30" s="529"/>
      <c r="L30" s="529"/>
      <c r="M30" s="529"/>
      <c r="N30" s="529"/>
      <c r="O30" s="529"/>
      <c r="P30" s="529"/>
      <c r="Q30" s="479"/>
      <c r="R30" s="479"/>
      <c r="S30" s="479"/>
      <c r="T30" s="480"/>
      <c r="U30" s="480"/>
      <c r="V30" s="480"/>
      <c r="W30" s="480"/>
    </row>
    <row r="31" spans="1:23" s="222" customFormat="1" ht="13.5" customHeight="1">
      <c r="A31" s="507"/>
      <c r="B31" s="513"/>
      <c r="C31" s="513"/>
      <c r="D31" s="513"/>
      <c r="E31" s="473"/>
      <c r="F31" s="473"/>
      <c r="G31" s="473"/>
      <c r="H31" s="474"/>
      <c r="I31" s="468"/>
      <c r="J31" s="523"/>
      <c r="K31" s="523"/>
      <c r="L31" s="523"/>
      <c r="M31" s="523"/>
      <c r="N31" s="523"/>
      <c r="O31" s="523"/>
      <c r="P31" s="523"/>
      <c r="Q31" s="481"/>
      <c r="R31" s="481"/>
      <c r="S31" s="481"/>
      <c r="T31" s="536"/>
      <c r="U31" s="536"/>
      <c r="V31" s="536"/>
      <c r="W31" s="536"/>
    </row>
    <row r="32" spans="1:23" s="228" customFormat="1" ht="12" customHeight="1">
      <c r="A32" s="507"/>
      <c r="B32" s="512"/>
      <c r="C32" s="512"/>
      <c r="D32" s="512"/>
      <c r="E32" s="471"/>
      <c r="F32" s="471"/>
      <c r="G32" s="471"/>
      <c r="H32" s="475"/>
      <c r="I32" s="476"/>
      <c r="J32" s="482"/>
      <c r="K32" s="469"/>
      <c r="L32" s="469"/>
      <c r="M32" s="469"/>
      <c r="N32" s="483"/>
      <c r="O32" s="483"/>
      <c r="P32" s="484"/>
      <c r="Q32" s="483"/>
      <c r="R32" s="483"/>
      <c r="S32" s="483"/>
      <c r="T32" s="536"/>
      <c r="U32" s="536"/>
      <c r="V32" s="536"/>
      <c r="W32" s="536"/>
    </row>
    <row r="33" spans="1:23" s="219" customFormat="1" ht="30" customHeight="1">
      <c r="A33" s="507"/>
      <c r="B33" s="513"/>
      <c r="C33" s="513"/>
      <c r="D33" s="513"/>
      <c r="E33" s="473"/>
      <c r="F33" s="473"/>
      <c r="G33" s="473"/>
      <c r="H33" s="474"/>
      <c r="I33" s="464"/>
      <c r="J33" s="485"/>
      <c r="K33" s="463"/>
      <c r="L33" s="463"/>
      <c r="M33" s="463"/>
      <c r="N33" s="480"/>
      <c r="O33" s="480"/>
      <c r="P33" s="480"/>
      <c r="Q33" s="480"/>
      <c r="R33" s="480"/>
      <c r="S33" s="480"/>
      <c r="T33" s="536"/>
      <c r="U33" s="536"/>
      <c r="V33" s="536"/>
      <c r="W33" s="536"/>
    </row>
    <row r="34" spans="1:23" s="222" customFormat="1" ht="13.5" customHeight="1">
      <c r="A34" s="507"/>
      <c r="B34" s="512"/>
      <c r="C34" s="512"/>
      <c r="D34" s="512"/>
      <c r="E34" s="471"/>
      <c r="F34" s="471"/>
      <c r="G34" s="471"/>
      <c r="H34" s="471"/>
      <c r="I34" s="468"/>
      <c r="J34" s="486"/>
      <c r="K34" s="469"/>
      <c r="L34" s="469"/>
      <c r="M34" s="470"/>
      <c r="N34" s="446"/>
      <c r="O34" s="446"/>
      <c r="P34" s="446"/>
      <c r="Q34" s="446"/>
      <c r="R34" s="446"/>
      <c r="S34" s="446"/>
      <c r="T34" s="536"/>
      <c r="U34" s="536"/>
      <c r="V34" s="536"/>
      <c r="W34" s="536"/>
    </row>
    <row r="35" spans="1:23" s="222" customFormat="1" ht="13.5" customHeight="1">
      <c r="A35" s="507"/>
      <c r="B35" s="513"/>
      <c r="C35" s="513"/>
      <c r="D35" s="513"/>
      <c r="E35" s="473"/>
      <c r="F35" s="473"/>
      <c r="G35" s="473"/>
      <c r="H35" s="474"/>
      <c r="I35" s="468"/>
      <c r="J35" s="486"/>
      <c r="K35" s="469"/>
      <c r="L35" s="469"/>
      <c r="M35" s="470"/>
      <c r="N35" s="446"/>
      <c r="O35" s="446"/>
      <c r="P35" s="446"/>
      <c r="Q35" s="446"/>
      <c r="R35" s="446"/>
      <c r="S35" s="446"/>
      <c r="T35" s="536"/>
      <c r="U35" s="536"/>
      <c r="V35" s="536"/>
      <c r="W35" s="536"/>
    </row>
    <row r="36" spans="1:23" s="228" customFormat="1" ht="12" customHeight="1">
      <c r="A36" s="507"/>
      <c r="B36" s="512"/>
      <c r="C36" s="512"/>
      <c r="D36" s="512"/>
      <c r="E36" s="471"/>
      <c r="F36" s="471"/>
      <c r="G36" s="471"/>
      <c r="H36" s="471"/>
      <c r="I36" s="476"/>
      <c r="J36" s="482"/>
      <c r="K36" s="469"/>
      <c r="L36" s="469"/>
      <c r="M36" s="469"/>
      <c r="N36" s="483"/>
      <c r="O36" s="483"/>
      <c r="P36" s="484"/>
      <c r="Q36" s="483"/>
      <c r="R36" s="483"/>
      <c r="S36" s="483"/>
      <c r="T36" s="536"/>
      <c r="U36" s="536"/>
      <c r="V36" s="536"/>
      <c r="W36" s="536"/>
    </row>
    <row r="37" spans="1:23" s="219" customFormat="1" ht="28.5" customHeight="1">
      <c r="A37" s="507"/>
      <c r="B37" s="513"/>
      <c r="C37" s="513"/>
      <c r="D37" s="513"/>
      <c r="E37" s="473"/>
      <c r="F37" s="473"/>
      <c r="G37" s="473"/>
      <c r="H37" s="473"/>
      <c r="I37" s="477"/>
      <c r="J37" s="527"/>
      <c r="K37" s="527"/>
      <c r="L37" s="527"/>
      <c r="M37" s="527"/>
      <c r="N37" s="527"/>
      <c r="O37" s="527"/>
      <c r="P37" s="527"/>
      <c r="Q37" s="487"/>
      <c r="R37" s="487"/>
      <c r="S37" s="487"/>
      <c r="T37" s="536"/>
      <c r="U37" s="536"/>
      <c r="V37" s="536"/>
      <c r="W37" s="536"/>
    </row>
    <row r="38" spans="1:23" s="228" customFormat="1" ht="12">
      <c r="A38" s="507"/>
      <c r="B38" s="512"/>
      <c r="C38" s="512"/>
      <c r="D38" s="512"/>
      <c r="E38" s="471"/>
      <c r="F38" s="471"/>
      <c r="G38" s="471"/>
      <c r="H38" s="471"/>
      <c r="I38" s="476"/>
      <c r="J38" s="482"/>
      <c r="K38" s="471"/>
      <c r="L38" s="471"/>
      <c r="M38" s="471"/>
      <c r="N38" s="483"/>
      <c r="O38" s="483"/>
      <c r="P38" s="484"/>
      <c r="Q38" s="483"/>
      <c r="R38" s="483"/>
      <c r="S38" s="483"/>
      <c r="T38" s="484"/>
      <c r="U38" s="484"/>
      <c r="V38" s="484"/>
      <c r="W38" s="484"/>
    </row>
    <row r="39" spans="1:23" s="222" customFormat="1" ht="12.75" customHeight="1">
      <c r="A39" s="507"/>
      <c r="B39" s="513"/>
      <c r="C39" s="513"/>
      <c r="D39" s="513"/>
      <c r="E39" s="473"/>
      <c r="F39" s="473"/>
      <c r="G39" s="473"/>
      <c r="H39" s="474"/>
      <c r="I39" s="476"/>
      <c r="J39" s="527"/>
      <c r="K39" s="527"/>
      <c r="L39" s="527"/>
      <c r="M39" s="527"/>
      <c r="N39" s="527"/>
      <c r="O39" s="527"/>
      <c r="P39" s="527"/>
      <c r="Q39" s="488"/>
      <c r="R39" s="488"/>
      <c r="S39" s="488"/>
      <c r="T39" s="446"/>
      <c r="U39" s="446"/>
      <c r="V39" s="446"/>
      <c r="W39" s="446"/>
    </row>
    <row r="40" spans="1:23" s="222" customFormat="1" ht="12.75" customHeight="1">
      <c r="A40" s="507"/>
      <c r="B40" s="512"/>
      <c r="C40" s="512"/>
      <c r="D40" s="512"/>
      <c r="E40" s="471"/>
      <c r="F40" s="471"/>
      <c r="G40" s="471"/>
      <c r="H40" s="471"/>
      <c r="I40" s="468"/>
      <c r="J40" s="529"/>
      <c r="K40" s="529"/>
      <c r="L40" s="529"/>
      <c r="M40" s="529"/>
      <c r="N40" s="529"/>
      <c r="O40" s="529"/>
      <c r="P40" s="529"/>
      <c r="Q40" s="489"/>
      <c r="R40" s="489"/>
      <c r="S40" s="489"/>
      <c r="T40" s="446"/>
      <c r="U40" s="446"/>
      <c r="V40" s="446"/>
      <c r="W40" s="446"/>
    </row>
    <row r="41" spans="1:23" s="222" customFormat="1" ht="13.5" customHeight="1">
      <c r="A41" s="507"/>
      <c r="B41" s="513"/>
      <c r="C41" s="513"/>
      <c r="D41" s="513"/>
      <c r="E41" s="473"/>
      <c r="F41" s="473"/>
      <c r="G41" s="473"/>
      <c r="H41" s="474"/>
      <c r="I41" s="464"/>
      <c r="J41" s="486"/>
      <c r="K41" s="473"/>
      <c r="L41" s="474"/>
      <c r="M41" s="474"/>
      <c r="N41" s="446"/>
      <c r="O41" s="490"/>
      <c r="P41" s="446"/>
      <c r="Q41" s="446"/>
      <c r="R41" s="446"/>
      <c r="S41" s="446"/>
      <c r="T41" s="446"/>
      <c r="U41" s="446"/>
      <c r="V41" s="446"/>
      <c r="W41" s="446"/>
    </row>
    <row r="42" spans="1:23" s="222" customFormat="1" ht="13.5" customHeight="1">
      <c r="A42" s="507"/>
      <c r="B42" s="512"/>
      <c r="C42" s="512"/>
      <c r="D42" s="512"/>
      <c r="E42" s="471"/>
      <c r="F42" s="471"/>
      <c r="G42" s="471"/>
      <c r="H42" s="471"/>
      <c r="I42" s="464"/>
      <c r="J42" s="527"/>
      <c r="K42" s="527"/>
      <c r="L42" s="527"/>
      <c r="M42" s="527"/>
      <c r="N42" s="527"/>
      <c r="O42" s="527"/>
      <c r="P42" s="527"/>
      <c r="Q42" s="488"/>
      <c r="R42" s="488"/>
      <c r="S42" s="488"/>
      <c r="T42" s="446"/>
      <c r="U42" s="446"/>
      <c r="V42" s="446"/>
      <c r="W42" s="446"/>
    </row>
    <row r="43" spans="1:23" s="222" customFormat="1" ht="13.5" customHeight="1">
      <c r="A43" s="507"/>
      <c r="B43" s="515"/>
      <c r="C43" s="515"/>
      <c r="D43" s="515"/>
      <c r="E43" s="461"/>
      <c r="F43" s="461"/>
      <c r="G43" s="461"/>
      <c r="H43" s="461"/>
      <c r="I43" s="468"/>
      <c r="J43" s="529"/>
      <c r="K43" s="529"/>
      <c r="L43" s="529"/>
      <c r="M43" s="529"/>
      <c r="N43" s="529"/>
      <c r="O43" s="529"/>
      <c r="P43" s="529"/>
      <c r="Q43" s="489"/>
      <c r="R43" s="489"/>
      <c r="S43" s="489"/>
      <c r="T43" s="446"/>
      <c r="U43" s="446"/>
      <c r="V43" s="446"/>
      <c r="W43" s="446"/>
    </row>
    <row r="44" spans="1:23" s="222" customFormat="1" ht="13.5" customHeight="1">
      <c r="A44" s="507"/>
      <c r="B44" s="516"/>
      <c r="C44" s="516"/>
      <c r="D44" s="516"/>
      <c r="E44" s="461"/>
      <c r="F44" s="461"/>
      <c r="G44" s="461"/>
      <c r="H44" s="461"/>
      <c r="I44" s="468"/>
      <c r="J44" s="486"/>
      <c r="K44" s="471"/>
      <c r="L44" s="471"/>
      <c r="M44" s="471"/>
      <c r="N44" s="446"/>
      <c r="O44" s="446"/>
      <c r="P44" s="446"/>
      <c r="Q44" s="446"/>
      <c r="R44" s="446"/>
      <c r="S44" s="446"/>
      <c r="T44" s="446"/>
      <c r="U44" s="446"/>
      <c r="V44" s="446"/>
      <c r="W44" s="446"/>
    </row>
    <row r="45" spans="1:23" s="222" customFormat="1" ht="25.5" customHeight="1">
      <c r="A45" s="507"/>
      <c r="B45" s="528"/>
      <c r="C45" s="528"/>
      <c r="D45" s="528"/>
      <c r="E45" s="474"/>
      <c r="F45" s="474"/>
      <c r="G45" s="474"/>
      <c r="H45" s="474"/>
      <c r="I45" s="468"/>
      <c r="J45" s="486"/>
      <c r="K45" s="473"/>
      <c r="L45" s="473"/>
      <c r="M45" s="474"/>
      <c r="N45" s="446"/>
      <c r="O45" s="446"/>
      <c r="P45" s="446"/>
      <c r="Q45" s="446"/>
      <c r="R45" s="446"/>
      <c r="S45" s="446"/>
      <c r="T45" s="446"/>
      <c r="U45" s="446"/>
      <c r="V45" s="446"/>
      <c r="W45" s="446"/>
    </row>
    <row r="46" spans="1:23" s="222" customFormat="1" ht="15.75" customHeight="1">
      <c r="A46" s="507"/>
      <c r="B46" s="512"/>
      <c r="C46" s="512"/>
      <c r="D46" s="512"/>
      <c r="E46" s="471"/>
      <c r="F46" s="471"/>
      <c r="G46" s="471"/>
      <c r="H46" s="471"/>
      <c r="I46" s="468"/>
      <c r="J46" s="486"/>
      <c r="K46" s="541"/>
      <c r="L46" s="541"/>
      <c r="M46" s="541"/>
      <c r="N46" s="541"/>
      <c r="O46" s="541"/>
      <c r="P46" s="446"/>
      <c r="Q46" s="446"/>
      <c r="R46" s="446"/>
      <c r="S46" s="446"/>
      <c r="T46" s="446"/>
      <c r="U46" s="446"/>
      <c r="V46" s="446"/>
      <c r="W46" s="446"/>
    </row>
    <row r="47" spans="1:23" s="222" customFormat="1" ht="13.5" customHeight="1">
      <c r="A47" s="507"/>
      <c r="B47" s="540"/>
      <c r="C47" s="540"/>
      <c r="D47" s="540"/>
      <c r="E47" s="461"/>
      <c r="F47" s="461"/>
      <c r="G47" s="461"/>
      <c r="H47" s="461"/>
      <c r="I47" s="468"/>
      <c r="J47" s="486"/>
      <c r="K47" s="473"/>
      <c r="L47" s="473"/>
      <c r="M47" s="474"/>
      <c r="N47" s="530"/>
      <c r="O47" s="530"/>
      <c r="P47" s="446"/>
      <c r="Q47" s="446"/>
      <c r="R47" s="446"/>
      <c r="S47" s="446"/>
      <c r="T47" s="446"/>
      <c r="U47" s="446"/>
      <c r="V47" s="446"/>
      <c r="W47" s="446"/>
    </row>
    <row r="48" spans="1:23" s="222" customFormat="1" ht="13.5" customHeight="1">
      <c r="A48" s="507"/>
      <c r="B48" s="514"/>
      <c r="C48" s="514"/>
      <c r="D48" s="514"/>
      <c r="E48" s="474"/>
      <c r="F48" s="474"/>
      <c r="G48" s="474"/>
      <c r="H48" s="474"/>
      <c r="I48" s="468"/>
      <c r="J48" s="486"/>
      <c r="K48" s="491"/>
      <c r="L48" s="471"/>
      <c r="M48" s="471"/>
      <c r="N48" s="446"/>
      <c r="O48" s="446"/>
      <c r="P48" s="446"/>
      <c r="Q48" s="446"/>
      <c r="R48" s="446"/>
      <c r="S48" s="446"/>
      <c r="T48" s="446"/>
      <c r="U48" s="446"/>
      <c r="V48" s="446"/>
      <c r="W48" s="446"/>
    </row>
    <row r="49" spans="1:23" s="222" customFormat="1" ht="12.75" customHeight="1">
      <c r="A49" s="507"/>
      <c r="B49" s="512"/>
      <c r="C49" s="512"/>
      <c r="D49" s="512"/>
      <c r="E49" s="471"/>
      <c r="F49" s="471"/>
      <c r="G49" s="471"/>
      <c r="H49" s="471"/>
      <c r="I49" s="468"/>
      <c r="J49" s="486"/>
      <c r="K49" s="492"/>
      <c r="L49" s="493"/>
      <c r="M49" s="494"/>
      <c r="N49" s="539"/>
      <c r="O49" s="539"/>
      <c r="P49" s="446"/>
      <c r="Q49" s="446"/>
      <c r="R49" s="446"/>
      <c r="S49" s="446"/>
      <c r="T49" s="446"/>
      <c r="U49" s="446"/>
      <c r="V49" s="446"/>
      <c r="W49" s="446"/>
    </row>
    <row r="50" spans="1:23" s="222" customFormat="1" ht="12.75" customHeight="1">
      <c r="A50" s="507"/>
      <c r="B50" s="514"/>
      <c r="C50" s="514"/>
      <c r="D50" s="514"/>
      <c r="E50" s="474"/>
      <c r="F50" s="474"/>
      <c r="G50" s="474"/>
      <c r="H50" s="474"/>
      <c r="I50" s="468"/>
      <c r="J50" s="486"/>
      <c r="K50" s="492"/>
      <c r="L50" s="495"/>
      <c r="M50" s="496"/>
      <c r="N50" s="539"/>
      <c r="O50" s="539"/>
      <c r="P50" s="446"/>
      <c r="Q50" s="446"/>
      <c r="R50" s="446"/>
      <c r="S50" s="446"/>
      <c r="T50" s="446"/>
      <c r="U50" s="446"/>
      <c r="V50" s="446"/>
      <c r="W50" s="446"/>
    </row>
    <row r="51" spans="1:23" s="229" customFormat="1" ht="30.75" customHeight="1">
      <c r="A51" s="507"/>
      <c r="B51" s="512"/>
      <c r="C51" s="512"/>
      <c r="D51" s="512"/>
      <c r="E51" s="471"/>
      <c r="F51" s="471"/>
      <c r="G51" s="471"/>
      <c r="H51" s="471"/>
      <c r="I51" s="477"/>
      <c r="J51" s="497"/>
      <c r="K51" s="498"/>
      <c r="L51" s="499"/>
      <c r="M51" s="499"/>
      <c r="N51" s="539"/>
      <c r="O51" s="539"/>
      <c r="P51" s="500"/>
      <c r="Q51" s="500"/>
      <c r="R51" s="500"/>
      <c r="S51" s="500"/>
      <c r="T51" s="500"/>
      <c r="U51" s="500"/>
      <c r="V51" s="500"/>
      <c r="W51" s="500"/>
    </row>
    <row r="52" spans="1:23" s="229" customFormat="1">
      <c r="A52" s="507"/>
      <c r="B52" s="514"/>
      <c r="C52" s="514"/>
      <c r="D52" s="514"/>
      <c r="E52" s="474"/>
      <c r="F52" s="474"/>
      <c r="G52" s="474"/>
      <c r="H52" s="474"/>
      <c r="I52" s="477"/>
      <c r="J52" s="497"/>
      <c r="K52" s="498"/>
      <c r="L52" s="499"/>
      <c r="M52" s="499"/>
      <c r="N52" s="539"/>
      <c r="O52" s="539"/>
      <c r="P52" s="500"/>
      <c r="Q52" s="500"/>
      <c r="R52" s="500"/>
      <c r="S52" s="500"/>
      <c r="T52" s="500"/>
      <c r="U52" s="500"/>
      <c r="V52" s="500"/>
      <c r="W52" s="500"/>
    </row>
    <row r="53" spans="1:23" s="229" customFormat="1" ht="28.5" customHeight="1">
      <c r="A53" s="507"/>
      <c r="B53" s="512"/>
      <c r="C53" s="512"/>
      <c r="D53" s="512"/>
      <c r="E53" s="471"/>
      <c r="F53" s="471"/>
      <c r="G53" s="471"/>
      <c r="H53" s="471"/>
      <c r="I53" s="477"/>
      <c r="J53" s="497"/>
      <c r="K53" s="498"/>
      <c r="L53" s="499"/>
      <c r="M53" s="499"/>
      <c r="N53" s="539"/>
      <c r="O53" s="539"/>
      <c r="P53" s="500"/>
      <c r="Q53" s="500"/>
      <c r="R53" s="500"/>
      <c r="S53" s="500"/>
      <c r="T53" s="500"/>
      <c r="U53" s="500"/>
      <c r="V53" s="500"/>
      <c r="W53" s="500"/>
    </row>
    <row r="54" spans="1:23" s="229" customFormat="1">
      <c r="A54" s="507"/>
      <c r="B54" s="514"/>
      <c r="C54" s="514"/>
      <c r="D54" s="514"/>
      <c r="E54" s="474"/>
      <c r="F54" s="474"/>
      <c r="G54" s="474"/>
      <c r="H54" s="474"/>
      <c r="I54" s="477"/>
      <c r="J54" s="497"/>
      <c r="K54" s="471"/>
      <c r="L54" s="501"/>
      <c r="M54" s="501"/>
      <c r="N54" s="539"/>
      <c r="O54" s="539"/>
      <c r="P54" s="500"/>
      <c r="Q54" s="500"/>
      <c r="R54" s="500"/>
      <c r="S54" s="500"/>
      <c r="T54" s="500"/>
      <c r="U54" s="500"/>
      <c r="V54" s="500"/>
      <c r="W54" s="500"/>
    </row>
    <row r="55" spans="1:23" ht="27" customHeight="1">
      <c r="A55" s="507"/>
      <c r="B55" s="512"/>
      <c r="C55" s="512"/>
      <c r="D55" s="512"/>
      <c r="E55" s="471"/>
      <c r="F55" s="471"/>
      <c r="G55" s="471"/>
      <c r="H55" s="471"/>
      <c r="I55" s="466"/>
      <c r="J55" s="502"/>
      <c r="K55" s="461"/>
      <c r="L55" s="499"/>
      <c r="M55" s="499"/>
      <c r="N55" s="539"/>
      <c r="O55" s="539"/>
      <c r="P55" s="448"/>
      <c r="Q55" s="448"/>
      <c r="R55" s="448"/>
      <c r="S55" s="448"/>
      <c r="T55" s="448"/>
      <c r="U55" s="448"/>
      <c r="V55" s="448"/>
      <c r="W55" s="448"/>
    </row>
    <row r="56" spans="1:23" ht="13.5" customHeight="1">
      <c r="A56" s="507"/>
      <c r="B56" s="516"/>
      <c r="C56" s="516"/>
      <c r="D56" s="516"/>
      <c r="E56" s="461"/>
      <c r="F56" s="461"/>
      <c r="G56" s="461"/>
      <c r="H56" s="461"/>
      <c r="I56" s="466"/>
      <c r="J56" s="502"/>
      <c r="K56" s="498"/>
      <c r="L56" s="499"/>
      <c r="M56" s="499"/>
      <c r="N56" s="539"/>
      <c r="O56" s="539"/>
      <c r="P56" s="448"/>
      <c r="Q56" s="448"/>
      <c r="R56" s="448"/>
      <c r="S56" s="448"/>
      <c r="T56" s="448"/>
      <c r="U56" s="448"/>
      <c r="V56" s="448"/>
      <c r="W56" s="448"/>
    </row>
    <row r="57" spans="1:23" s="228" customFormat="1">
      <c r="A57" s="507"/>
      <c r="B57" s="514"/>
      <c r="C57" s="514"/>
      <c r="D57" s="514"/>
      <c r="E57" s="474"/>
      <c r="F57" s="474"/>
      <c r="G57" s="474"/>
      <c r="H57" s="474"/>
      <c r="I57" s="476"/>
      <c r="J57" s="482"/>
      <c r="K57" s="492"/>
      <c r="L57" s="501"/>
      <c r="M57" s="501"/>
      <c r="N57" s="539"/>
      <c r="O57" s="539"/>
      <c r="P57" s="483"/>
      <c r="Q57" s="484"/>
      <c r="R57" s="484"/>
      <c r="S57" s="484"/>
      <c r="T57" s="484"/>
      <c r="U57" s="484"/>
      <c r="V57" s="484"/>
      <c r="W57" s="484"/>
    </row>
    <row r="58" spans="1:23" ht="13.5" customHeight="1">
      <c r="A58" s="507"/>
      <c r="B58" s="512"/>
      <c r="C58" s="512"/>
      <c r="D58" s="512"/>
      <c r="E58" s="471"/>
      <c r="F58" s="471"/>
      <c r="G58" s="471"/>
      <c r="H58" s="471"/>
      <c r="I58" s="466"/>
      <c r="J58" s="502"/>
      <c r="K58" s="498"/>
      <c r="L58" s="499"/>
      <c r="M58" s="499"/>
      <c r="N58" s="539"/>
      <c r="O58" s="539"/>
      <c r="P58" s="448"/>
      <c r="Q58" s="448"/>
      <c r="R58" s="448"/>
      <c r="S58" s="448"/>
      <c r="T58" s="448"/>
      <c r="U58" s="448"/>
      <c r="V58" s="448"/>
      <c r="W58" s="448"/>
    </row>
    <row r="59" spans="1:23" s="228" customFormat="1">
      <c r="A59" s="507"/>
      <c r="B59" s="514"/>
      <c r="C59" s="514"/>
      <c r="D59" s="514"/>
      <c r="E59" s="474"/>
      <c r="F59" s="474"/>
      <c r="G59" s="474"/>
      <c r="H59" s="474"/>
      <c r="I59" s="476"/>
      <c r="J59" s="482"/>
      <c r="K59" s="492"/>
      <c r="L59" s="501"/>
      <c r="M59" s="501"/>
      <c r="N59" s="539"/>
      <c r="O59" s="539"/>
      <c r="P59" s="483"/>
      <c r="Q59" s="484"/>
      <c r="R59" s="484"/>
      <c r="S59" s="484"/>
      <c r="T59" s="484"/>
      <c r="U59" s="484"/>
      <c r="V59" s="484"/>
      <c r="W59" s="484"/>
    </row>
    <row r="60" spans="1:23" ht="13.5" customHeight="1">
      <c r="A60" s="507"/>
      <c r="B60" s="512"/>
      <c r="C60" s="512"/>
      <c r="D60" s="512"/>
      <c r="E60" s="471"/>
      <c r="F60" s="471"/>
      <c r="G60" s="471"/>
      <c r="H60" s="471"/>
      <c r="I60" s="466"/>
      <c r="J60" s="502"/>
      <c r="K60" s="498"/>
      <c r="L60" s="499"/>
      <c r="M60" s="499"/>
      <c r="N60" s="539"/>
      <c r="O60" s="539"/>
      <c r="P60" s="448"/>
      <c r="Q60" s="448"/>
      <c r="R60" s="448"/>
      <c r="S60" s="448"/>
      <c r="T60" s="448"/>
      <c r="U60" s="448"/>
      <c r="V60" s="448"/>
      <c r="W60" s="448"/>
    </row>
    <row r="61" spans="1:23" s="228" customFormat="1">
      <c r="A61" s="507"/>
      <c r="B61" s="514"/>
      <c r="C61" s="514"/>
      <c r="D61" s="514"/>
      <c r="E61" s="474"/>
      <c r="F61" s="474"/>
      <c r="G61" s="474"/>
      <c r="H61" s="474"/>
      <c r="I61" s="476"/>
      <c r="J61" s="482"/>
      <c r="K61" s="492"/>
      <c r="L61" s="501"/>
      <c r="M61" s="501"/>
      <c r="N61" s="539"/>
      <c r="O61" s="539"/>
      <c r="P61" s="483"/>
      <c r="Q61" s="484"/>
      <c r="R61" s="484"/>
      <c r="S61" s="484"/>
      <c r="T61" s="484"/>
      <c r="U61" s="484"/>
      <c r="V61" s="484"/>
      <c r="W61" s="484"/>
    </row>
    <row r="62" spans="1:23" ht="13.5" customHeight="1">
      <c r="A62" s="507"/>
      <c r="B62" s="512"/>
      <c r="C62" s="512"/>
      <c r="D62" s="512"/>
      <c r="E62" s="471"/>
      <c r="F62" s="471"/>
      <c r="G62" s="471"/>
      <c r="H62" s="471"/>
      <c r="I62" s="466"/>
      <c r="J62" s="502"/>
      <c r="K62" s="474"/>
      <c r="L62" s="474"/>
      <c r="M62" s="474"/>
      <c r="N62" s="448"/>
      <c r="O62" s="448"/>
      <c r="P62" s="448"/>
      <c r="Q62" s="448"/>
      <c r="R62" s="448"/>
      <c r="S62" s="448"/>
      <c r="T62" s="448"/>
      <c r="U62" s="448"/>
      <c r="V62" s="448"/>
      <c r="W62" s="448"/>
    </row>
    <row r="63" spans="1:23" s="228" customFormat="1">
      <c r="A63" s="507"/>
      <c r="B63" s="514"/>
      <c r="C63" s="514"/>
      <c r="D63" s="514"/>
      <c r="E63" s="474"/>
      <c r="F63" s="474"/>
      <c r="G63" s="474"/>
      <c r="H63" s="474"/>
      <c r="I63" s="476"/>
      <c r="J63" s="482"/>
      <c r="K63" s="471"/>
      <c r="L63" s="471"/>
      <c r="M63" s="471"/>
      <c r="N63" s="483"/>
      <c r="O63" s="483"/>
      <c r="P63" s="483"/>
      <c r="Q63" s="484"/>
      <c r="R63" s="484"/>
      <c r="S63" s="484"/>
      <c r="T63" s="484"/>
      <c r="U63" s="484"/>
      <c r="V63" s="484"/>
      <c r="W63" s="484"/>
    </row>
    <row r="64" spans="1:23" s="229" customFormat="1" ht="13.5" customHeight="1">
      <c r="A64" s="507"/>
      <c r="B64" s="516"/>
      <c r="C64" s="516"/>
      <c r="D64" s="516"/>
      <c r="E64" s="461"/>
      <c r="F64" s="461"/>
      <c r="G64" s="461"/>
      <c r="H64" s="461"/>
      <c r="I64" s="477"/>
      <c r="J64" s="497"/>
      <c r="K64" s="461"/>
      <c r="L64" s="461"/>
      <c r="M64" s="461"/>
      <c r="N64" s="500"/>
      <c r="O64" s="500"/>
      <c r="P64" s="500"/>
      <c r="Q64" s="500"/>
      <c r="R64" s="500"/>
      <c r="S64" s="500"/>
      <c r="T64" s="500"/>
      <c r="U64" s="500"/>
      <c r="V64" s="500"/>
      <c r="W64" s="500"/>
    </row>
    <row r="65" spans="1:23" ht="29.25" customHeight="1">
      <c r="A65" s="507"/>
      <c r="B65" s="514"/>
      <c r="C65" s="514"/>
      <c r="D65" s="514"/>
      <c r="E65" s="474"/>
      <c r="F65" s="474"/>
      <c r="G65" s="474"/>
      <c r="H65" s="474"/>
      <c r="I65" s="466"/>
      <c r="J65" s="502"/>
      <c r="K65" s="474"/>
      <c r="L65" s="474"/>
      <c r="M65" s="474"/>
      <c r="N65" s="448"/>
      <c r="O65" s="448"/>
      <c r="P65" s="448"/>
      <c r="Q65" s="448"/>
      <c r="R65" s="448"/>
      <c r="S65" s="448"/>
      <c r="T65" s="448"/>
      <c r="U65" s="448"/>
      <c r="V65" s="448"/>
      <c r="W65" s="448"/>
    </row>
    <row r="66" spans="1:23" s="228" customFormat="1" ht="12">
      <c r="A66" s="507"/>
      <c r="B66" s="512"/>
      <c r="C66" s="512"/>
      <c r="D66" s="512"/>
      <c r="E66" s="471"/>
      <c r="F66" s="471"/>
      <c r="G66" s="471"/>
      <c r="H66" s="471"/>
      <c r="I66" s="476"/>
      <c r="J66" s="482"/>
      <c r="K66" s="471"/>
      <c r="L66" s="471"/>
      <c r="M66" s="471"/>
      <c r="N66" s="483"/>
      <c r="O66" s="483"/>
      <c r="P66" s="483"/>
      <c r="Q66" s="484"/>
      <c r="R66" s="484"/>
      <c r="S66" s="484"/>
      <c r="T66" s="484"/>
      <c r="U66" s="484"/>
      <c r="V66" s="484"/>
      <c r="W66" s="484"/>
    </row>
    <row r="67" spans="1:23" ht="17.25" customHeight="1">
      <c r="A67" s="507"/>
      <c r="B67" s="516"/>
      <c r="C67" s="516"/>
      <c r="D67" s="516"/>
      <c r="E67" s="461"/>
      <c r="F67" s="461"/>
      <c r="G67" s="461"/>
      <c r="H67" s="461"/>
      <c r="I67" s="466"/>
      <c r="J67" s="502"/>
      <c r="K67" s="474"/>
      <c r="L67" s="474"/>
      <c r="M67" s="474"/>
      <c r="N67" s="448"/>
      <c r="O67" s="448"/>
      <c r="P67" s="448"/>
      <c r="Q67" s="448"/>
      <c r="R67" s="448"/>
      <c r="S67" s="448"/>
      <c r="T67" s="448"/>
      <c r="U67" s="448"/>
      <c r="V67" s="448"/>
      <c r="W67" s="448"/>
    </row>
    <row r="68" spans="1:23" s="228" customFormat="1">
      <c r="A68" s="507"/>
      <c r="B68" s="514"/>
      <c r="C68" s="514"/>
      <c r="D68" s="514"/>
      <c r="E68" s="474"/>
      <c r="F68" s="474"/>
      <c r="G68" s="474"/>
      <c r="H68" s="474"/>
      <c r="I68" s="476"/>
      <c r="J68" s="482"/>
      <c r="K68" s="471"/>
      <c r="L68" s="471"/>
      <c r="M68" s="471"/>
      <c r="N68" s="483"/>
      <c r="O68" s="503"/>
      <c r="P68" s="483"/>
      <c r="Q68" s="484"/>
      <c r="R68" s="484"/>
      <c r="S68" s="484"/>
      <c r="T68" s="484"/>
      <c r="U68" s="484"/>
      <c r="V68" s="484"/>
      <c r="W68" s="484"/>
    </row>
    <row r="69" spans="1:23" ht="41.25" customHeight="1">
      <c r="A69" s="507"/>
      <c r="B69" s="512"/>
      <c r="C69" s="512"/>
      <c r="D69" s="512"/>
      <c r="E69" s="471"/>
      <c r="F69" s="471"/>
      <c r="G69" s="471"/>
      <c r="H69" s="471"/>
      <c r="I69" s="466"/>
      <c r="J69" s="502"/>
      <c r="K69" s="474"/>
      <c r="L69" s="474"/>
      <c r="M69" s="474"/>
      <c r="N69" s="448"/>
      <c r="O69" s="448"/>
      <c r="P69" s="448"/>
      <c r="Q69" s="448"/>
      <c r="R69" s="448"/>
      <c r="S69" s="448"/>
      <c r="T69" s="448"/>
      <c r="U69" s="448"/>
      <c r="V69" s="448"/>
      <c r="W69" s="448"/>
    </row>
    <row r="70" spans="1:23" s="228" customFormat="1">
      <c r="A70" s="507"/>
      <c r="B70" s="514"/>
      <c r="C70" s="514"/>
      <c r="D70" s="514"/>
      <c r="E70" s="474"/>
      <c r="F70" s="474"/>
      <c r="G70" s="474"/>
      <c r="H70" s="474"/>
      <c r="I70" s="476"/>
      <c r="J70" s="482"/>
      <c r="K70" s="471"/>
      <c r="L70" s="471"/>
      <c r="M70" s="471"/>
      <c r="N70" s="483"/>
      <c r="O70" s="483"/>
      <c r="P70" s="483"/>
      <c r="Q70" s="484"/>
      <c r="R70" s="484"/>
      <c r="S70" s="484"/>
      <c r="T70" s="484"/>
      <c r="U70" s="484"/>
      <c r="V70" s="484"/>
      <c r="W70" s="484"/>
    </row>
    <row r="71" spans="1:23" ht="27.75" customHeight="1">
      <c r="A71" s="507"/>
      <c r="B71" s="512"/>
      <c r="C71" s="512"/>
      <c r="D71" s="512"/>
      <c r="E71" s="471"/>
      <c r="F71" s="471"/>
      <c r="G71" s="471"/>
      <c r="H71" s="471"/>
      <c r="I71" s="466"/>
      <c r="J71" s="502"/>
      <c r="K71" s="474"/>
      <c r="L71" s="474"/>
      <c r="M71" s="474"/>
      <c r="N71" s="448"/>
      <c r="O71" s="448"/>
      <c r="P71" s="448"/>
      <c r="Q71" s="448"/>
      <c r="R71" s="448"/>
      <c r="S71" s="448"/>
      <c r="T71" s="448"/>
      <c r="U71" s="448"/>
      <c r="V71" s="448"/>
      <c r="W71" s="448"/>
    </row>
    <row r="72" spans="1:23" s="228" customFormat="1">
      <c r="A72" s="507"/>
      <c r="B72" s="514"/>
      <c r="C72" s="514"/>
      <c r="D72" s="514"/>
      <c r="E72" s="474"/>
      <c r="F72" s="474"/>
      <c r="G72" s="474"/>
      <c r="H72" s="474"/>
      <c r="I72" s="476"/>
      <c r="J72" s="482"/>
      <c r="K72" s="471"/>
      <c r="L72" s="471"/>
      <c r="M72" s="471"/>
      <c r="N72" s="483"/>
      <c r="O72" s="483"/>
      <c r="P72" s="483"/>
      <c r="Q72" s="484"/>
      <c r="R72" s="484"/>
      <c r="S72" s="484"/>
      <c r="T72" s="484"/>
      <c r="U72" s="484"/>
      <c r="V72" s="484"/>
      <c r="W72" s="484"/>
    </row>
    <row r="73" spans="1:23" ht="27.75" customHeight="1">
      <c r="A73" s="507"/>
      <c r="B73" s="512"/>
      <c r="C73" s="512"/>
      <c r="D73" s="512"/>
      <c r="E73" s="471"/>
      <c r="F73" s="471"/>
      <c r="G73" s="471"/>
      <c r="H73" s="471"/>
      <c r="I73" s="466"/>
      <c r="J73" s="502"/>
      <c r="K73" s="474"/>
      <c r="L73" s="474"/>
      <c r="M73" s="474"/>
      <c r="N73" s="448"/>
      <c r="O73" s="448"/>
      <c r="P73" s="448"/>
      <c r="Q73" s="448"/>
      <c r="R73" s="448"/>
      <c r="S73" s="448"/>
      <c r="T73" s="448"/>
      <c r="U73" s="448"/>
      <c r="V73" s="448"/>
      <c r="W73" s="448"/>
    </row>
    <row r="74" spans="1:23"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  <c r="V74" s="448"/>
      <c r="W74" s="448"/>
    </row>
    <row r="75" spans="1:23">
      <c r="D75" s="451"/>
      <c r="G75" s="451"/>
      <c r="I75" s="451"/>
      <c r="J75" s="448"/>
      <c r="K75" s="448"/>
      <c r="L75" s="448"/>
      <c r="M75" s="448"/>
      <c r="N75" s="448"/>
      <c r="O75" s="448"/>
      <c r="P75" s="448"/>
      <c r="Q75" s="448"/>
      <c r="R75" s="448"/>
      <c r="S75" s="448"/>
      <c r="T75" s="448"/>
      <c r="U75" s="448"/>
      <c r="V75" s="448"/>
      <c r="W75" s="448"/>
    </row>
    <row r="76" spans="1:23">
      <c r="I76" s="451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</row>
    <row r="77" spans="1:23">
      <c r="E77" s="451"/>
      <c r="F77" s="451"/>
      <c r="I77" s="446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</row>
    <row r="78" spans="1:23">
      <c r="I78" s="446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</row>
    <row r="79" spans="1:23">
      <c r="I79" s="446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448"/>
    </row>
    <row r="80" spans="1:23">
      <c r="I80" s="446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</row>
    <row r="82" spans="6:6">
      <c r="F82" s="451"/>
    </row>
    <row r="84" spans="6:6">
      <c r="F84" s="451"/>
    </row>
  </sheetData>
  <mergeCells count="104">
    <mergeCell ref="N61:O61"/>
    <mergeCell ref="N51:O51"/>
    <mergeCell ref="N50:O50"/>
    <mergeCell ref="N49:O49"/>
    <mergeCell ref="K46:O46"/>
    <mergeCell ref="N57:O57"/>
    <mergeCell ref="N58:O58"/>
    <mergeCell ref="N59:O59"/>
    <mergeCell ref="N60:O60"/>
    <mergeCell ref="B72:D72"/>
    <mergeCell ref="B73:D73"/>
    <mergeCell ref="B65:D65"/>
    <mergeCell ref="B66:D66"/>
    <mergeCell ref="B67:D67"/>
    <mergeCell ref="B68:D68"/>
    <mergeCell ref="B69:D69"/>
    <mergeCell ref="B70:D70"/>
    <mergeCell ref="J17:N18"/>
    <mergeCell ref="B55:D55"/>
    <mergeCell ref="B56:D56"/>
    <mergeCell ref="B57:D57"/>
    <mergeCell ref="B61:D61"/>
    <mergeCell ref="B62:D62"/>
    <mergeCell ref="B63:D63"/>
    <mergeCell ref="B71:D71"/>
    <mergeCell ref="B22:D22"/>
    <mergeCell ref="N56:O56"/>
    <mergeCell ref="N55:O55"/>
    <mergeCell ref="N54:O54"/>
    <mergeCell ref="N53:O53"/>
    <mergeCell ref="N52:O52"/>
    <mergeCell ref="B47:D47"/>
    <mergeCell ref="B35:D35"/>
    <mergeCell ref="S10:W15"/>
    <mergeCell ref="B11:D11"/>
    <mergeCell ref="B12:D12"/>
    <mergeCell ref="B13:D13"/>
    <mergeCell ref="B14:D14"/>
    <mergeCell ref="J14:N15"/>
    <mergeCell ref="P14:R15"/>
    <mergeCell ref="B15:D15"/>
    <mergeCell ref="T31:W37"/>
    <mergeCell ref="B24:D24"/>
    <mergeCell ref="B25:D25"/>
    <mergeCell ref="B26:D26"/>
    <mergeCell ref="B27:D27"/>
    <mergeCell ref="B28:D28"/>
    <mergeCell ref="J29:P29"/>
    <mergeCell ref="P17:R18"/>
    <mergeCell ref="J37:P37"/>
    <mergeCell ref="B30:D30"/>
    <mergeCell ref="B31:D31"/>
    <mergeCell ref="B36:D36"/>
    <mergeCell ref="B37:D37"/>
    <mergeCell ref="J30:P30"/>
    <mergeCell ref="J39:P39"/>
    <mergeCell ref="B45:D45"/>
    <mergeCell ref="B48:D48"/>
    <mergeCell ref="B49:D49"/>
    <mergeCell ref="B60:D60"/>
    <mergeCell ref="B50:D50"/>
    <mergeCell ref="B51:D51"/>
    <mergeCell ref="B52:D52"/>
    <mergeCell ref="B53:D53"/>
    <mergeCell ref="B46:D46"/>
    <mergeCell ref="J43:P43"/>
    <mergeCell ref="J40:P40"/>
    <mergeCell ref="J42:P42"/>
    <mergeCell ref="N47:O47"/>
    <mergeCell ref="B2:H2"/>
    <mergeCell ref="B4:C4"/>
    <mergeCell ref="D4:G4"/>
    <mergeCell ref="B5:C5"/>
    <mergeCell ref="D5:H5"/>
    <mergeCell ref="J10:N12"/>
    <mergeCell ref="B23:D23"/>
    <mergeCell ref="J31:P31"/>
    <mergeCell ref="B29:D29"/>
    <mergeCell ref="P10:R12"/>
    <mergeCell ref="K25:N25"/>
    <mergeCell ref="A8:A73"/>
    <mergeCell ref="B8:D8"/>
    <mergeCell ref="B9:D9"/>
    <mergeCell ref="B10:D10"/>
    <mergeCell ref="B16:D16"/>
    <mergeCell ref="B32:D32"/>
    <mergeCell ref="B42:D42"/>
    <mergeCell ref="B33:D33"/>
    <mergeCell ref="B34:D34"/>
    <mergeCell ref="B38:D38"/>
    <mergeCell ref="B39:D39"/>
    <mergeCell ref="B40:D40"/>
    <mergeCell ref="B41:D41"/>
    <mergeCell ref="B54:D54"/>
    <mergeCell ref="B43:D43"/>
    <mergeCell ref="B44:D44"/>
    <mergeCell ref="B58:D58"/>
    <mergeCell ref="B59:D59"/>
    <mergeCell ref="B17:D17"/>
    <mergeCell ref="B18:D18"/>
    <mergeCell ref="B19:D19"/>
    <mergeCell ref="B20:D20"/>
    <mergeCell ref="B21:D21"/>
    <mergeCell ref="B64:D64"/>
  </mergeCells>
  <phoneticPr fontId="85" type="noConversion"/>
  <dataValidations count="3">
    <dataValidation type="whole" errorStyle="information" allowBlank="1" showInputMessage="1" showErrorMessage="1" error="Jāievada skaitlis" sqref="E10:H10" xr:uid="{54316FD0-20E5-4189-897B-1E7854C65D37}">
      <formula1>-1000000000000</formula1>
      <formula2>1000000000000</formula2>
    </dataValidation>
    <dataValidation errorStyle="information" allowBlank="1" showInputMessage="1" showErrorMessage="1" sqref="D5:H5" xr:uid="{BB2C0110-A120-42ED-9266-39010BEFEDDC}"/>
    <dataValidation type="whole" errorStyle="information" allowBlank="1" showInputMessage="1" showErrorMessage="1" error="Jāievada skaitlis" sqref="J10 Q26:S26 L26:M27 K28:L28 J29:J30 K32:M38 K41:M41 J40 J43 K44:K73 L44:M45 L47:M48 L19:M24 J14 K16:M16 K19:K27 J17 L50:M73 E11:H73" xr:uid="{94CBB079-0E11-4735-93FD-8B968249178E}">
      <formula1>-100000000000000</formula1>
      <formula2>100000000000000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iespējama kļūda" prompt="Izvēlieties no saraksta iestādi" xr:uid="{43CE8B08-63A3-429A-9006-DB78BFCF9E1A}">
          <x14:formula1>
            <xm:f>'\\vnozare.pri\vm\Redirect_profiles\VM_Sandra_Kasparenko\My Documents\Budzets_2019\Budzeta_projekts\Prioritarie_pasakumi_2019-2021\[VMvestp1_xx0818_PP_2019-2021 PROJ.xlsx]Šabloni'!#REF!</xm:f>
          </x14:formula1>
          <xm:sqref>D4:G4 K4:L4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4C300-BB5C-46B7-8DCB-C142025C0C06}">
  <dimension ref="A1:S66"/>
  <sheetViews>
    <sheetView zoomScale="70" zoomScaleNormal="70" workbookViewId="0">
      <selection activeCell="J1" sqref="J1:K1"/>
    </sheetView>
  </sheetViews>
  <sheetFormatPr defaultColWidth="9.140625" defaultRowHeight="15"/>
  <cols>
    <col min="1" max="1" width="2.5703125" style="133" customWidth="1"/>
    <col min="2" max="2" width="15.85546875" style="133" customWidth="1"/>
    <col min="3" max="3" width="12.42578125" style="133" customWidth="1"/>
    <col min="4" max="4" width="17.140625" style="133" customWidth="1"/>
    <col min="5" max="5" width="12.42578125" style="133" customWidth="1"/>
    <col min="6" max="6" width="13.5703125" style="133" customWidth="1"/>
    <col min="7" max="8" width="12.42578125" style="133" customWidth="1"/>
    <col min="9" max="10" width="15.5703125" style="133" customWidth="1"/>
    <col min="11" max="11" width="15.5703125" style="90" customWidth="1"/>
    <col min="12" max="13" width="9.140625" style="133"/>
    <col min="14" max="14" width="10.7109375" style="133" bestFit="1" customWidth="1"/>
    <col min="15" max="16" width="9.140625" style="133"/>
    <col min="17" max="17" width="16.85546875" style="133" customWidth="1"/>
    <col min="18" max="16384" width="9.140625" style="133"/>
  </cols>
  <sheetData>
    <row r="1" spans="1:11">
      <c r="J1" s="542" t="s">
        <v>438</v>
      </c>
      <c r="K1" s="542"/>
    </row>
    <row r="3" spans="1:11">
      <c r="A3" s="87"/>
      <c r="B3" s="547" t="s">
        <v>275</v>
      </c>
      <c r="C3" s="547"/>
      <c r="D3" s="547"/>
      <c r="E3" s="547"/>
      <c r="F3" s="547"/>
      <c r="G3" s="547"/>
      <c r="H3" s="547"/>
      <c r="I3" s="547"/>
      <c r="J3" s="547"/>
      <c r="K3" s="547"/>
    </row>
    <row r="4" spans="1:11">
      <c r="A4" s="87"/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5" spans="1:11">
      <c r="A5" s="87"/>
      <c r="B5" s="420"/>
      <c r="C5" s="420"/>
      <c r="D5" s="420"/>
      <c r="E5" s="420"/>
      <c r="F5" s="420"/>
      <c r="G5" s="420"/>
      <c r="H5" s="420"/>
      <c r="I5" s="420"/>
      <c r="J5" s="420"/>
      <c r="K5" s="420"/>
    </row>
    <row r="6" spans="1:11">
      <c r="B6" s="87">
        <v>1.044</v>
      </c>
      <c r="C6" s="87">
        <v>1.64</v>
      </c>
      <c r="D6" s="87"/>
      <c r="E6" s="87"/>
      <c r="K6" s="248"/>
    </row>
    <row r="7" spans="1:11">
      <c r="B7" s="87">
        <v>1.0474000000000001</v>
      </c>
      <c r="C7" s="87">
        <v>1.64</v>
      </c>
      <c r="D7" s="87"/>
      <c r="E7" s="87"/>
      <c r="K7" s="248"/>
    </row>
    <row r="8" spans="1:11">
      <c r="B8" s="87">
        <v>1</v>
      </c>
      <c r="C8" s="87">
        <v>1.64</v>
      </c>
      <c r="D8" s="87"/>
      <c r="E8" s="87"/>
      <c r="K8" s="248"/>
    </row>
    <row r="9" spans="1:11" s="91" customFormat="1" ht="30" customHeight="1">
      <c r="A9" s="87"/>
      <c r="B9" s="545" t="s">
        <v>27</v>
      </c>
      <c r="C9" s="546"/>
      <c r="D9" s="546" t="s">
        <v>28</v>
      </c>
      <c r="E9" s="546"/>
      <c r="F9" s="545" t="s">
        <v>227</v>
      </c>
      <c r="G9" s="545" t="s">
        <v>215</v>
      </c>
      <c r="H9" s="545" t="s">
        <v>216</v>
      </c>
      <c r="I9" s="545" t="s">
        <v>217</v>
      </c>
      <c r="J9" s="545" t="s">
        <v>436</v>
      </c>
      <c r="K9" s="545" t="s">
        <v>218</v>
      </c>
    </row>
    <row r="10" spans="1:11" s="91" customFormat="1" ht="30" customHeight="1">
      <c r="A10" s="87"/>
      <c r="B10" s="545"/>
      <c r="C10" s="546"/>
      <c r="D10" s="546"/>
      <c r="E10" s="546"/>
      <c r="F10" s="545"/>
      <c r="G10" s="545"/>
      <c r="H10" s="545"/>
      <c r="I10" s="545"/>
      <c r="J10" s="545"/>
      <c r="K10" s="545"/>
    </row>
    <row r="11" spans="1:11" s="92" customFormat="1" ht="14.25">
      <c r="A11" s="87"/>
      <c r="B11" s="379"/>
      <c r="C11" s="379"/>
      <c r="D11" s="379"/>
      <c r="E11" s="379"/>
      <c r="F11" s="379"/>
      <c r="G11" s="379"/>
      <c r="H11" s="379"/>
      <c r="I11" s="379"/>
      <c r="J11" s="379"/>
      <c r="K11" s="379"/>
    </row>
    <row r="12" spans="1:11" s="93" customFormat="1" ht="33" hidden="1" customHeight="1">
      <c r="A12" s="87"/>
      <c r="B12" s="548" t="s">
        <v>2</v>
      </c>
      <c r="C12" s="233"/>
      <c r="D12" s="233"/>
      <c r="E12" s="233"/>
      <c r="F12" s="234"/>
      <c r="G12" s="234"/>
      <c r="H12" s="234"/>
      <c r="I12" s="234"/>
      <c r="J12" s="234"/>
      <c r="K12" s="243"/>
    </row>
    <row r="13" spans="1:11" s="94" customFormat="1" ht="51.75" customHeight="1">
      <c r="A13" s="87"/>
      <c r="B13" s="548"/>
      <c r="C13" s="235"/>
      <c r="D13" s="235">
        <f>D14+D15+D16</f>
        <v>7818.0029999999997</v>
      </c>
      <c r="E13" s="235"/>
      <c r="F13" s="236"/>
      <c r="G13" s="236"/>
      <c r="H13" s="236"/>
      <c r="I13" s="236"/>
      <c r="J13" s="236"/>
      <c r="K13" s="236"/>
    </row>
    <row r="14" spans="1:11" s="87" customFormat="1" ht="14.25">
      <c r="B14" s="238" t="s">
        <v>219</v>
      </c>
      <c r="C14" s="237"/>
      <c r="D14" s="380">
        <v>6069.62</v>
      </c>
      <c r="E14" s="237"/>
      <c r="F14" s="238">
        <v>1489</v>
      </c>
      <c r="G14" s="239">
        <f>ROUND(F14*$B$6,0)</f>
        <v>1555</v>
      </c>
      <c r="H14" s="240">
        <f>G14-F14</f>
        <v>66</v>
      </c>
      <c r="I14" s="240">
        <f>ROUND(H14*D14*12,0)</f>
        <v>4807139</v>
      </c>
      <c r="J14" s="240">
        <f>ROUND(I14*$C$6,0)</f>
        <v>7883708</v>
      </c>
      <c r="K14" s="240">
        <f>ROUND(J14*1.2359,0)</f>
        <v>9743475</v>
      </c>
    </row>
    <row r="15" spans="1:11">
      <c r="A15" s="87"/>
      <c r="B15" s="238" t="s">
        <v>220</v>
      </c>
      <c r="C15" s="237"/>
      <c r="D15" s="380">
        <f>599.43+1040.383</f>
        <v>1639.8130000000001</v>
      </c>
      <c r="E15" s="237"/>
      <c r="F15" s="238">
        <v>1311</v>
      </c>
      <c r="G15" s="239">
        <f>ROUND(F15*$B$6,0)</f>
        <v>1369</v>
      </c>
      <c r="H15" s="240">
        <f>G15-F15</f>
        <v>58</v>
      </c>
      <c r="I15" s="240">
        <f>ROUND(H15*D15*12,0)</f>
        <v>1141310</v>
      </c>
      <c r="J15" s="240">
        <f>ROUND(I15*$C$6,0)</f>
        <v>1871748</v>
      </c>
      <c r="K15" s="240">
        <f t="shared" ref="K15" si="0">ROUND(J15*1.2359,0)</f>
        <v>2313293</v>
      </c>
    </row>
    <row r="16" spans="1:11">
      <c r="A16" s="87"/>
      <c r="B16" s="241" t="s">
        <v>221</v>
      </c>
      <c r="C16" s="237"/>
      <c r="D16" s="381">
        <f>108.57</f>
        <v>108.57</v>
      </c>
      <c r="E16" s="237"/>
      <c r="F16" s="241">
        <v>985</v>
      </c>
      <c r="G16" s="239">
        <f>ROUND(F16*$B$7,0)</f>
        <v>1032</v>
      </c>
      <c r="H16" s="240">
        <f t="shared" ref="H16" si="1">G16-F16</f>
        <v>47</v>
      </c>
      <c r="I16" s="240">
        <f>ROUND(H16*D16*12,0)</f>
        <v>61233</v>
      </c>
      <c r="J16" s="240">
        <f>ROUND(I16*$C$6,0)</f>
        <v>100422</v>
      </c>
      <c r="K16" s="240">
        <f>ROUND(J16*1.2359,0)</f>
        <v>124112</v>
      </c>
    </row>
    <row r="17" spans="1:19" s="95" customFormat="1" ht="14.25" hidden="1">
      <c r="A17" s="87"/>
      <c r="B17" s="548" t="s">
        <v>8</v>
      </c>
      <c r="C17" s="242"/>
      <c r="D17" s="242"/>
      <c r="E17" s="242"/>
      <c r="F17" s="243"/>
      <c r="G17" s="236"/>
      <c r="H17" s="236"/>
      <c r="I17" s="236"/>
      <c r="J17" s="236"/>
      <c r="K17" s="236"/>
    </row>
    <row r="18" spans="1:19" s="96" customFormat="1" ht="80.25" customHeight="1">
      <c r="A18" s="87"/>
      <c r="B18" s="548"/>
      <c r="C18" s="235"/>
      <c r="D18" s="235">
        <f>D19+D20+D21</f>
        <v>11316.151</v>
      </c>
      <c r="E18" s="235"/>
      <c r="F18" s="236"/>
      <c r="G18" s="236"/>
      <c r="H18" s="236"/>
      <c r="I18" s="236"/>
      <c r="J18" s="236"/>
      <c r="K18" s="236"/>
    </row>
    <row r="19" spans="1:19" s="87" customFormat="1" ht="14.25">
      <c r="B19" s="238" t="s">
        <v>221</v>
      </c>
      <c r="C19" s="237"/>
      <c r="D19" s="381">
        <v>10970.186</v>
      </c>
      <c r="E19" s="237"/>
      <c r="F19" s="241">
        <v>985</v>
      </c>
      <c r="G19" s="239">
        <f>ROUND(F19*$B$7,0)</f>
        <v>1032</v>
      </c>
      <c r="H19" s="240">
        <f>G19-F19</f>
        <v>47</v>
      </c>
      <c r="I19" s="240">
        <f>ROUND(H19*D19*12,0)</f>
        <v>6187185</v>
      </c>
      <c r="J19" s="240">
        <f>ROUND(I19*$C$7,0)</f>
        <v>10146983</v>
      </c>
      <c r="K19" s="240">
        <f t="shared" ref="K19:K20" si="2">ROUND(J19*1.2359,0)</f>
        <v>12540656</v>
      </c>
    </row>
    <row r="20" spans="1:19" s="87" customFormat="1" ht="14.25">
      <c r="B20" s="238" t="s">
        <v>222</v>
      </c>
      <c r="C20" s="237"/>
      <c r="D20" s="381">
        <v>301</v>
      </c>
      <c r="E20" s="237"/>
      <c r="F20" s="238">
        <v>867</v>
      </c>
      <c r="G20" s="239">
        <f>ROUND(F20*$B$7,0)</f>
        <v>908</v>
      </c>
      <c r="H20" s="240">
        <f>G20-F20</f>
        <v>41</v>
      </c>
      <c r="I20" s="240">
        <f>ROUND(H20*D20*12,0)</f>
        <v>148092</v>
      </c>
      <c r="J20" s="240">
        <f>ROUND(I20*$C$7,0)</f>
        <v>242871</v>
      </c>
      <c r="K20" s="240">
        <f t="shared" si="2"/>
        <v>300164</v>
      </c>
    </row>
    <row r="21" spans="1:19" s="87" customFormat="1" ht="14.25">
      <c r="B21" s="238" t="s">
        <v>223</v>
      </c>
      <c r="C21" s="237"/>
      <c r="D21" s="380">
        <v>44.965000000000003</v>
      </c>
      <c r="E21" s="237"/>
      <c r="F21" s="238">
        <v>772</v>
      </c>
      <c r="G21" s="239">
        <f>ROUND(F21*$B$7,0)</f>
        <v>809</v>
      </c>
      <c r="H21" s="240">
        <f t="shared" ref="H21" si="3">G21-F21</f>
        <v>37</v>
      </c>
      <c r="I21" s="240">
        <f>ROUND(H21*D21*12,0)</f>
        <v>19964</v>
      </c>
      <c r="J21" s="240">
        <f>ROUND(I21*$C$7,0)</f>
        <v>32741</v>
      </c>
      <c r="K21" s="240">
        <f>ROUND(J21*1.2359,0)</f>
        <v>40465</v>
      </c>
    </row>
    <row r="22" spans="1:19" s="95" customFormat="1" ht="14.25" hidden="1">
      <c r="A22" s="87"/>
      <c r="B22" s="548" t="s">
        <v>15</v>
      </c>
      <c r="C22" s="242"/>
      <c r="D22" s="242"/>
      <c r="E22" s="242"/>
      <c r="F22" s="243"/>
      <c r="G22" s="236"/>
      <c r="H22" s="236"/>
      <c r="I22" s="236"/>
      <c r="J22" s="236"/>
      <c r="K22" s="236"/>
    </row>
    <row r="23" spans="1:19" s="95" customFormat="1" ht="78" customHeight="1">
      <c r="A23" s="87"/>
      <c r="B23" s="548"/>
      <c r="C23" s="235"/>
      <c r="D23" s="235">
        <f>D24</f>
        <v>3040.3</v>
      </c>
      <c r="E23" s="235"/>
      <c r="F23" s="236">
        <f>F24</f>
        <v>723</v>
      </c>
      <c r="G23" s="236">
        <f>G24</f>
        <v>723</v>
      </c>
      <c r="H23" s="236">
        <f>H24</f>
        <v>0</v>
      </c>
      <c r="I23" s="236"/>
      <c r="J23" s="236"/>
      <c r="K23" s="236"/>
    </row>
    <row r="24" spans="1:19" s="87" customFormat="1" ht="14.25">
      <c r="B24" s="238" t="s">
        <v>224</v>
      </c>
      <c r="C24" s="427"/>
      <c r="D24" s="381">
        <v>3040.3</v>
      </c>
      <c r="E24" s="427"/>
      <c r="F24" s="238">
        <v>723</v>
      </c>
      <c r="G24" s="240">
        <f>ROUND(F24*$B$8,0)</f>
        <v>723</v>
      </c>
      <c r="H24" s="240">
        <f>G24-F24</f>
        <v>0</v>
      </c>
      <c r="I24" s="240">
        <f>ROUND(H24*D24*12,0)</f>
        <v>0</v>
      </c>
      <c r="J24" s="240">
        <f>ROUND(I24*$C$8,0)</f>
        <v>0</v>
      </c>
      <c r="K24" s="240">
        <f>ROUND(J24*1.2359,0)</f>
        <v>0</v>
      </c>
    </row>
    <row r="25" spans="1:19" s="98" customFormat="1" ht="47.25">
      <c r="A25" s="97"/>
      <c r="B25" s="382" t="s">
        <v>225</v>
      </c>
      <c r="C25" s="244"/>
      <c r="D25" s="244">
        <f>SUM(D23+D18+D13)</f>
        <v>22174.454000000002</v>
      </c>
      <c r="E25" s="244"/>
      <c r="F25" s="245"/>
      <c r="G25" s="246"/>
      <c r="H25" s="246"/>
      <c r="I25" s="246">
        <f>I14+I15+I16+I19+I20+I21+I24</f>
        <v>12364923</v>
      </c>
      <c r="J25" s="246">
        <f>J14+J15+J16+J19+J20+J21+J24</f>
        <v>20278473</v>
      </c>
      <c r="K25" s="246">
        <f>K14+K15+K16+K19+K20+K21+K24</f>
        <v>25062165</v>
      </c>
      <c r="N25" s="435"/>
      <c r="O25" s="435"/>
      <c r="P25" s="435"/>
      <c r="Q25" s="435"/>
      <c r="R25" s="435"/>
      <c r="S25" s="435"/>
    </row>
    <row r="26" spans="1:19">
      <c r="B26" s="89"/>
      <c r="C26" s="247"/>
      <c r="D26" s="247"/>
      <c r="E26" s="247"/>
      <c r="F26" s="247"/>
      <c r="G26" s="88"/>
      <c r="J26" s="420"/>
      <c r="N26" s="436"/>
      <c r="O26" s="437"/>
      <c r="P26" s="437"/>
      <c r="Q26" s="437"/>
      <c r="R26" s="437"/>
      <c r="S26" s="437"/>
    </row>
    <row r="27" spans="1:19" hidden="1">
      <c r="A27" s="87"/>
      <c r="B27" s="547" t="s">
        <v>276</v>
      </c>
      <c r="C27" s="547"/>
      <c r="D27" s="547"/>
      <c r="E27" s="547"/>
      <c r="F27" s="547"/>
      <c r="G27" s="547"/>
      <c r="H27" s="547"/>
      <c r="I27" s="547"/>
      <c r="J27" s="547"/>
      <c r="K27" s="547"/>
      <c r="N27" s="437"/>
      <c r="O27" s="437"/>
      <c r="P27" s="437"/>
      <c r="Q27" s="437"/>
      <c r="R27" s="437"/>
      <c r="S27" s="437"/>
    </row>
    <row r="28" spans="1:19" hidden="1">
      <c r="C28" s="248"/>
      <c r="D28" s="248"/>
      <c r="E28" s="248"/>
      <c r="F28" s="248"/>
      <c r="G28" s="248"/>
      <c r="N28" s="437"/>
      <c r="O28" s="437"/>
      <c r="P28" s="437"/>
      <c r="Q28" s="437"/>
      <c r="R28" s="437"/>
      <c r="S28" s="437"/>
    </row>
    <row r="29" spans="1:19" s="91" customFormat="1" ht="27.75" hidden="1" customHeight="1">
      <c r="A29" s="87"/>
      <c r="B29" s="545" t="s">
        <v>27</v>
      </c>
      <c r="C29" s="546" t="s">
        <v>28</v>
      </c>
      <c r="D29" s="421"/>
      <c r="E29" s="421"/>
      <c r="F29" s="545" t="s">
        <v>227</v>
      </c>
      <c r="G29" s="545" t="s">
        <v>215</v>
      </c>
      <c r="H29" s="545" t="s">
        <v>216</v>
      </c>
      <c r="I29" s="545" t="s">
        <v>217</v>
      </c>
      <c r="J29" s="545" t="s">
        <v>422</v>
      </c>
      <c r="K29" s="545" t="s">
        <v>218</v>
      </c>
      <c r="N29" s="438"/>
      <c r="O29" s="438"/>
      <c r="P29" s="438"/>
      <c r="Q29" s="438"/>
      <c r="R29" s="438"/>
      <c r="S29" s="438"/>
    </row>
    <row r="30" spans="1:19" s="91" customFormat="1" ht="27.75" hidden="1" customHeight="1">
      <c r="A30" s="87"/>
      <c r="B30" s="545"/>
      <c r="C30" s="546"/>
      <c r="D30" s="421"/>
      <c r="E30" s="421"/>
      <c r="F30" s="545"/>
      <c r="G30" s="545"/>
      <c r="H30" s="545"/>
      <c r="I30" s="545"/>
      <c r="J30" s="545"/>
      <c r="K30" s="545"/>
      <c r="N30" s="438"/>
      <c r="O30" s="438"/>
      <c r="P30" s="438"/>
      <c r="Q30" s="438"/>
      <c r="R30" s="438"/>
      <c r="S30" s="438"/>
    </row>
    <row r="31" spans="1:19" s="100" customFormat="1" ht="29.25" hidden="1">
      <c r="A31" s="99"/>
      <c r="B31" s="383" t="s">
        <v>226</v>
      </c>
      <c r="C31" s="384">
        <v>10822.518</v>
      </c>
      <c r="D31" s="384"/>
      <c r="E31" s="384"/>
      <c r="F31" s="355"/>
      <c r="G31" s="355"/>
      <c r="H31" s="385">
        <f>ROUND(H24/2,0)</f>
        <v>0</v>
      </c>
      <c r="I31" s="386">
        <f>ROUND(H31*C31*12,0)</f>
        <v>0</v>
      </c>
      <c r="J31" s="386"/>
      <c r="K31" s="415">
        <f>ROUND(I31*1.2359,0)</f>
        <v>0</v>
      </c>
      <c r="N31" s="439"/>
      <c r="O31" s="439"/>
      <c r="P31" s="439"/>
      <c r="Q31" s="439"/>
      <c r="R31" s="439"/>
      <c r="S31" s="439"/>
    </row>
    <row r="32" spans="1:19" s="100" customFormat="1">
      <c r="A32" s="99"/>
      <c r="B32" s="249"/>
      <c r="C32" s="250"/>
      <c r="D32" s="250">
        <f>D18+D13</f>
        <v>19134.153999999999</v>
      </c>
      <c r="E32" s="250"/>
      <c r="F32" s="251"/>
      <c r="G32" s="251"/>
      <c r="H32" s="252"/>
      <c r="I32" s="253"/>
      <c r="J32" s="253"/>
      <c r="K32" s="254"/>
      <c r="N32" s="440"/>
      <c r="O32" s="439"/>
      <c r="P32" s="441"/>
      <c r="Q32" s="440"/>
      <c r="R32" s="439"/>
      <c r="S32" s="439"/>
    </row>
    <row r="33" spans="1:19" s="100" customFormat="1">
      <c r="A33" s="99"/>
      <c r="B33" s="249"/>
      <c r="C33" s="250"/>
      <c r="D33" s="250"/>
      <c r="E33" s="250"/>
      <c r="F33" s="251"/>
      <c r="G33" s="251"/>
      <c r="H33" s="252"/>
      <c r="I33" s="253"/>
      <c r="J33" s="253"/>
      <c r="K33" s="254"/>
      <c r="N33" s="440"/>
      <c r="O33" s="439"/>
      <c r="P33" s="439"/>
      <c r="Q33" s="440"/>
      <c r="R33" s="439"/>
      <c r="S33" s="439"/>
    </row>
    <row r="34" spans="1:19" ht="33" hidden="1" customHeight="1"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N34" s="437"/>
      <c r="O34" s="437"/>
      <c r="P34" s="437"/>
      <c r="Q34" s="437"/>
      <c r="R34" s="437"/>
      <c r="S34" s="437"/>
    </row>
    <row r="35" spans="1:19" s="100" customFormat="1" ht="0.75" customHeight="1">
      <c r="A35" s="99"/>
      <c r="B35" s="249"/>
      <c r="C35" s="250"/>
      <c r="D35" s="250"/>
      <c r="E35" s="250"/>
      <c r="F35" s="251"/>
      <c r="G35" s="251"/>
      <c r="H35" s="252"/>
      <c r="I35" s="253"/>
      <c r="J35" s="253"/>
      <c r="K35" s="254"/>
      <c r="N35" s="439"/>
      <c r="O35" s="439"/>
      <c r="P35" s="439"/>
      <c r="Q35" s="439"/>
      <c r="R35" s="439"/>
      <c r="S35" s="439"/>
    </row>
    <row r="36" spans="1:19" s="100" customFormat="1" hidden="1">
      <c r="A36" s="99"/>
      <c r="B36" s="249"/>
      <c r="C36" s="250"/>
      <c r="D36" s="250"/>
      <c r="E36" s="250"/>
      <c r="F36" s="251"/>
      <c r="G36" s="251"/>
      <c r="H36" s="252"/>
      <c r="I36" s="253"/>
      <c r="J36" s="253"/>
      <c r="K36" s="254"/>
      <c r="N36" s="439"/>
      <c r="O36" s="439"/>
      <c r="P36" s="439"/>
      <c r="Q36" s="439"/>
      <c r="R36" s="439"/>
      <c r="S36" s="439"/>
    </row>
    <row r="37" spans="1:19" hidden="1">
      <c r="B37" s="255"/>
      <c r="C37" s="256"/>
      <c r="D37" s="256"/>
      <c r="E37" s="256"/>
      <c r="F37" s="257"/>
      <c r="G37" s="257"/>
      <c r="H37" s="256"/>
      <c r="I37" s="258"/>
      <c r="J37" s="258"/>
      <c r="K37" s="259"/>
      <c r="N37" s="437"/>
      <c r="O37" s="437"/>
      <c r="P37" s="437"/>
      <c r="Q37" s="437"/>
      <c r="R37" s="437"/>
      <c r="S37" s="437"/>
    </row>
    <row r="38" spans="1:19" hidden="1">
      <c r="B38" s="89"/>
      <c r="C38" s="247"/>
      <c r="D38" s="247"/>
      <c r="E38" s="247"/>
      <c r="F38" s="247"/>
      <c r="G38" s="247"/>
      <c r="K38" s="387"/>
      <c r="N38" s="437"/>
      <c r="O38" s="437"/>
      <c r="P38" s="437"/>
      <c r="Q38" s="437"/>
      <c r="R38" s="437"/>
      <c r="S38" s="437"/>
    </row>
    <row r="39" spans="1:19">
      <c r="B39" s="87"/>
      <c r="C39" s="247"/>
      <c r="D39" s="247"/>
      <c r="E39" s="248"/>
      <c r="F39" s="248"/>
      <c r="G39" s="248"/>
      <c r="K39" s="248"/>
      <c r="N39" s="437"/>
      <c r="O39" s="437"/>
      <c r="P39" s="437"/>
      <c r="Q39" s="437"/>
      <c r="R39" s="437"/>
      <c r="S39" s="437"/>
    </row>
    <row r="40" spans="1:19" hidden="1">
      <c r="C40" s="248"/>
      <c r="D40" s="248"/>
      <c r="E40" s="248"/>
      <c r="F40" s="248"/>
      <c r="G40" s="248"/>
      <c r="K40" s="248"/>
      <c r="N40" s="437"/>
      <c r="O40" s="437"/>
      <c r="P40" s="437"/>
      <c r="Q40" s="437"/>
      <c r="R40" s="437"/>
      <c r="S40" s="437"/>
    </row>
    <row r="41" spans="1:19" ht="15" hidden="1" customHeight="1">
      <c r="C41" s="248"/>
      <c r="D41" s="248"/>
      <c r="E41" s="248"/>
      <c r="F41" s="248"/>
      <c r="G41" s="248"/>
      <c r="K41" s="260"/>
      <c r="N41" s="437"/>
      <c r="O41" s="437"/>
      <c r="P41" s="437"/>
      <c r="Q41" s="437"/>
      <c r="R41" s="437"/>
      <c r="S41" s="437"/>
    </row>
    <row r="42" spans="1:19" hidden="1">
      <c r="F42" s="261"/>
      <c r="G42" s="261"/>
      <c r="N42" s="437"/>
      <c r="O42" s="437"/>
      <c r="P42" s="437"/>
      <c r="Q42" s="437"/>
      <c r="R42" s="437"/>
      <c r="S42" s="437"/>
    </row>
    <row r="43" spans="1:19" ht="15" hidden="1" customHeight="1">
      <c r="F43" s="261"/>
      <c r="G43" s="261"/>
      <c r="N43" s="437"/>
      <c r="O43" s="437"/>
      <c r="P43" s="437"/>
      <c r="Q43" s="437"/>
      <c r="R43" s="437"/>
      <c r="S43" s="437"/>
    </row>
    <row r="44" spans="1:19" hidden="1">
      <c r="F44" s="261"/>
      <c r="G44" s="261"/>
      <c r="K44" s="248"/>
      <c r="N44" s="437"/>
      <c r="O44" s="437"/>
      <c r="P44" s="437"/>
      <c r="Q44" s="437"/>
      <c r="R44" s="437"/>
      <c r="S44" s="437"/>
    </row>
    <row r="45" spans="1:19" hidden="1">
      <c r="F45" s="261"/>
      <c r="G45" s="261"/>
      <c r="I45" s="150"/>
      <c r="N45" s="437"/>
      <c r="O45" s="437"/>
      <c r="P45" s="437"/>
      <c r="Q45" s="437"/>
      <c r="R45" s="437"/>
      <c r="S45" s="437"/>
    </row>
    <row r="46" spans="1:19" ht="15" hidden="1" customHeight="1">
      <c r="C46" s="88"/>
      <c r="D46" s="88"/>
      <c r="E46" s="88"/>
      <c r="F46" s="261"/>
      <c r="G46" s="261"/>
      <c r="N46" s="437"/>
      <c r="O46" s="437"/>
      <c r="P46" s="437"/>
      <c r="Q46" s="437"/>
      <c r="R46" s="437"/>
      <c r="S46" s="437"/>
    </row>
    <row r="47" spans="1:19">
      <c r="A47" s="87"/>
      <c r="B47" s="547" t="s">
        <v>423</v>
      </c>
      <c r="C47" s="547"/>
      <c r="D47" s="547"/>
      <c r="E47" s="547"/>
      <c r="F47" s="547"/>
      <c r="G47" s="547"/>
      <c r="H47" s="547"/>
      <c r="I47" s="547"/>
      <c r="J47" s="547"/>
      <c r="K47" s="547"/>
      <c r="N47" s="436"/>
      <c r="O47" s="437"/>
      <c r="P47" s="437"/>
      <c r="Q47" s="436"/>
      <c r="R47" s="437"/>
      <c r="S47" s="437"/>
    </row>
    <row r="48" spans="1:19">
      <c r="C48" s="248"/>
      <c r="D48" s="248"/>
      <c r="E48" s="248"/>
      <c r="F48" s="248"/>
      <c r="G48" s="248"/>
      <c r="N48" s="437"/>
      <c r="O48" s="437"/>
      <c r="P48" s="437"/>
      <c r="Q48" s="437"/>
      <c r="R48" s="437"/>
      <c r="S48" s="437"/>
    </row>
    <row r="49" spans="1:19" s="91" customFormat="1" ht="27.75" customHeight="1">
      <c r="A49" s="87"/>
      <c r="B49" s="545" t="s">
        <v>27</v>
      </c>
      <c r="C49" s="546" t="s">
        <v>28</v>
      </c>
      <c r="D49" s="551"/>
      <c r="E49" s="551"/>
      <c r="F49" s="545" t="s">
        <v>424</v>
      </c>
      <c r="G49" s="543" t="s">
        <v>217</v>
      </c>
      <c r="H49" s="543" t="s">
        <v>422</v>
      </c>
      <c r="I49" s="543" t="s">
        <v>218</v>
      </c>
      <c r="J49" s="545"/>
      <c r="K49" s="545"/>
      <c r="N49" s="442"/>
      <c r="O49" s="438"/>
      <c r="P49" s="438"/>
      <c r="Q49" s="438"/>
      <c r="R49" s="438"/>
      <c r="S49" s="438"/>
    </row>
    <row r="50" spans="1:19" s="91" customFormat="1" ht="50.25" customHeight="1">
      <c r="A50" s="87"/>
      <c r="B50" s="545"/>
      <c r="C50" s="546"/>
      <c r="D50" s="552"/>
      <c r="E50" s="552"/>
      <c r="F50" s="545"/>
      <c r="G50" s="544"/>
      <c r="H50" s="544"/>
      <c r="I50" s="544"/>
      <c r="J50" s="545"/>
      <c r="K50" s="545"/>
    </row>
    <row r="51" spans="1:19" s="96" customFormat="1" ht="80.25" customHeight="1">
      <c r="A51" s="87"/>
      <c r="B51" s="388" t="s">
        <v>8</v>
      </c>
      <c r="C51" s="235"/>
      <c r="D51" s="235">
        <f>D52+D53</f>
        <v>0</v>
      </c>
      <c r="E51" s="235"/>
      <c r="F51" s="236"/>
      <c r="G51" s="236"/>
      <c r="H51" s="236"/>
      <c r="I51" s="236"/>
      <c r="J51" s="236"/>
      <c r="K51" s="236"/>
    </row>
    <row r="52" spans="1:19" s="87" customFormat="1" ht="14.25">
      <c r="B52" s="238" t="s">
        <v>221</v>
      </c>
      <c r="C52" s="237"/>
      <c r="D52" s="381">
        <v>1638.89</v>
      </c>
      <c r="E52" s="237"/>
      <c r="F52" s="241">
        <v>985</v>
      </c>
      <c r="G52" s="239">
        <f>D52*F52*12</f>
        <v>19371679.800000001</v>
      </c>
      <c r="H52" s="240">
        <f>G52*1.52</f>
        <v>29444953.296</v>
      </c>
      <c r="I52" s="240">
        <f>H52*1.2359</f>
        <v>36391017.778526403</v>
      </c>
      <c r="J52" s="240"/>
      <c r="K52" s="240"/>
    </row>
    <row r="53" spans="1:19" s="87" customFormat="1" ht="14.25">
      <c r="B53" s="238" t="s">
        <v>222</v>
      </c>
      <c r="C53" s="237"/>
      <c r="D53" s="381">
        <v>-1638.89</v>
      </c>
      <c r="E53" s="237"/>
      <c r="F53" s="238">
        <v>867</v>
      </c>
      <c r="G53" s="239">
        <f>D53*F53*12</f>
        <v>-17051011.560000002</v>
      </c>
      <c r="H53" s="240">
        <f>G53*1.52</f>
        <v>-25917537.571200006</v>
      </c>
      <c r="I53" s="240">
        <f>H53*1.2359</f>
        <v>-32031484.684246086</v>
      </c>
      <c r="J53" s="240"/>
      <c r="K53" s="240"/>
    </row>
    <row r="54" spans="1:19" ht="15.75">
      <c r="H54" s="246" t="s">
        <v>425</v>
      </c>
      <c r="I54" s="246">
        <f>I52+I53</f>
        <v>4359533.0942803174</v>
      </c>
    </row>
    <row r="55" spans="1:19">
      <c r="K55" s="248"/>
    </row>
    <row r="56" spans="1:19" ht="18.75">
      <c r="B56" s="549" t="s">
        <v>434</v>
      </c>
      <c r="C56" s="549"/>
      <c r="D56" s="549"/>
      <c r="E56" s="549"/>
      <c r="F56" s="549"/>
      <c r="G56" s="549"/>
      <c r="H56" s="549"/>
      <c r="I56" s="549"/>
      <c r="J56" s="549"/>
      <c r="K56" s="416">
        <f>I54+K25</f>
        <v>29421698.094280317</v>
      </c>
    </row>
    <row r="57" spans="1:19">
      <c r="K57" s="248"/>
    </row>
    <row r="60" spans="1:19">
      <c r="K60" s="248"/>
    </row>
    <row r="61" spans="1:19">
      <c r="K61" s="248"/>
    </row>
    <row r="62" spans="1:19">
      <c r="K62" s="248"/>
    </row>
    <row r="64" spans="1:19">
      <c r="K64" s="248"/>
    </row>
    <row r="66" spans="11:11">
      <c r="K66" s="248"/>
    </row>
  </sheetData>
  <mergeCells count="37">
    <mergeCell ref="G9:G10"/>
    <mergeCell ref="H9:H10"/>
    <mergeCell ref="I9:I10"/>
    <mergeCell ref="J9:J10"/>
    <mergeCell ref="K9:K10"/>
    <mergeCell ref="B12:B13"/>
    <mergeCell ref="B17:B18"/>
    <mergeCell ref="B22:B23"/>
    <mergeCell ref="B27:K27"/>
    <mergeCell ref="B56:J56"/>
    <mergeCell ref="I29:I30"/>
    <mergeCell ref="J29:J30"/>
    <mergeCell ref="K29:K30"/>
    <mergeCell ref="B34:K34"/>
    <mergeCell ref="B47:K47"/>
    <mergeCell ref="B49:B50"/>
    <mergeCell ref="C49:C50"/>
    <mergeCell ref="D49:D50"/>
    <mergeCell ref="E49:E50"/>
    <mergeCell ref="F49:F50"/>
    <mergeCell ref="B29:B30"/>
    <mergeCell ref="J1:K1"/>
    <mergeCell ref="I49:I50"/>
    <mergeCell ref="J49:J50"/>
    <mergeCell ref="K49:K50"/>
    <mergeCell ref="C29:C30"/>
    <mergeCell ref="F29:F30"/>
    <mergeCell ref="G29:G30"/>
    <mergeCell ref="H29:H30"/>
    <mergeCell ref="G49:G50"/>
    <mergeCell ref="H49:H50"/>
    <mergeCell ref="B3:K3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C01E1-396C-4A88-AFC9-8B9681AC3DF4}">
  <dimension ref="A1:S28"/>
  <sheetViews>
    <sheetView topLeftCell="E1" zoomScale="80" zoomScaleNormal="80" workbookViewId="0">
      <selection activeCell="A11" sqref="A11:XFD11"/>
    </sheetView>
  </sheetViews>
  <sheetFormatPr defaultRowHeight="12.75"/>
  <cols>
    <col min="1" max="1" width="9.7109375" style="131" customWidth="1"/>
    <col min="2" max="2" width="34" style="69" customWidth="1"/>
    <col min="3" max="4" width="15.5703125" style="69" customWidth="1"/>
    <col min="5" max="5" width="1.7109375" style="69" customWidth="1"/>
    <col min="6" max="7" width="15.5703125" style="69" customWidth="1"/>
    <col min="8" max="8" width="1.7109375" style="69" customWidth="1"/>
    <col min="9" max="10" width="15.5703125" style="69" customWidth="1"/>
    <col min="11" max="11" width="1.7109375" style="69" customWidth="1"/>
    <col min="12" max="13" width="15.5703125" style="69" customWidth="1"/>
    <col min="14" max="258" width="9.140625" style="69"/>
    <col min="259" max="259" width="9.7109375" style="69" customWidth="1"/>
    <col min="260" max="260" width="34" style="69" customWidth="1"/>
    <col min="261" max="264" width="15.5703125" style="69" customWidth="1"/>
    <col min="265" max="265" width="9.140625" style="69"/>
    <col min="266" max="268" width="27.85546875" style="69" customWidth="1"/>
    <col min="269" max="514" width="9.140625" style="69"/>
    <col min="515" max="515" width="9.7109375" style="69" customWidth="1"/>
    <col min="516" max="516" width="34" style="69" customWidth="1"/>
    <col min="517" max="520" width="15.5703125" style="69" customWidth="1"/>
    <col min="521" max="521" width="9.140625" style="69"/>
    <col min="522" max="524" width="27.85546875" style="69" customWidth="1"/>
    <col min="525" max="770" width="9.140625" style="69"/>
    <col min="771" max="771" width="9.7109375" style="69" customWidth="1"/>
    <col min="772" max="772" width="34" style="69" customWidth="1"/>
    <col min="773" max="776" width="15.5703125" style="69" customWidth="1"/>
    <col min="777" max="777" width="9.140625" style="69"/>
    <col min="778" max="780" width="27.85546875" style="69" customWidth="1"/>
    <col min="781" max="1026" width="9.140625" style="69"/>
    <col min="1027" max="1027" width="9.7109375" style="69" customWidth="1"/>
    <col min="1028" max="1028" width="34" style="69" customWidth="1"/>
    <col min="1029" max="1032" width="15.5703125" style="69" customWidth="1"/>
    <col min="1033" max="1033" width="9.140625" style="69"/>
    <col min="1034" max="1036" width="27.85546875" style="69" customWidth="1"/>
    <col min="1037" max="1282" width="9.140625" style="69"/>
    <col min="1283" max="1283" width="9.7109375" style="69" customWidth="1"/>
    <col min="1284" max="1284" width="34" style="69" customWidth="1"/>
    <col min="1285" max="1288" width="15.5703125" style="69" customWidth="1"/>
    <col min="1289" max="1289" width="9.140625" style="69"/>
    <col min="1290" max="1292" width="27.85546875" style="69" customWidth="1"/>
    <col min="1293" max="1538" width="9.140625" style="69"/>
    <col min="1539" max="1539" width="9.7109375" style="69" customWidth="1"/>
    <col min="1540" max="1540" width="34" style="69" customWidth="1"/>
    <col min="1541" max="1544" width="15.5703125" style="69" customWidth="1"/>
    <col min="1545" max="1545" width="9.140625" style="69"/>
    <col min="1546" max="1548" width="27.85546875" style="69" customWidth="1"/>
    <col min="1549" max="1794" width="9.140625" style="69"/>
    <col min="1795" max="1795" width="9.7109375" style="69" customWidth="1"/>
    <col min="1796" max="1796" width="34" style="69" customWidth="1"/>
    <col min="1797" max="1800" width="15.5703125" style="69" customWidth="1"/>
    <col min="1801" max="1801" width="9.140625" style="69"/>
    <col min="1802" max="1804" width="27.85546875" style="69" customWidth="1"/>
    <col min="1805" max="2050" width="9.140625" style="69"/>
    <col min="2051" max="2051" width="9.7109375" style="69" customWidth="1"/>
    <col min="2052" max="2052" width="34" style="69" customWidth="1"/>
    <col min="2053" max="2056" width="15.5703125" style="69" customWidth="1"/>
    <col min="2057" max="2057" width="9.140625" style="69"/>
    <col min="2058" max="2060" width="27.85546875" style="69" customWidth="1"/>
    <col min="2061" max="2306" width="9.140625" style="69"/>
    <col min="2307" max="2307" width="9.7109375" style="69" customWidth="1"/>
    <col min="2308" max="2308" width="34" style="69" customWidth="1"/>
    <col min="2309" max="2312" width="15.5703125" style="69" customWidth="1"/>
    <col min="2313" max="2313" width="9.140625" style="69"/>
    <col min="2314" max="2316" width="27.85546875" style="69" customWidth="1"/>
    <col min="2317" max="2562" width="9.140625" style="69"/>
    <col min="2563" max="2563" width="9.7109375" style="69" customWidth="1"/>
    <col min="2564" max="2564" width="34" style="69" customWidth="1"/>
    <col min="2565" max="2568" width="15.5703125" style="69" customWidth="1"/>
    <col min="2569" max="2569" width="9.140625" style="69"/>
    <col min="2570" max="2572" width="27.85546875" style="69" customWidth="1"/>
    <col min="2573" max="2818" width="9.140625" style="69"/>
    <col min="2819" max="2819" width="9.7109375" style="69" customWidth="1"/>
    <col min="2820" max="2820" width="34" style="69" customWidth="1"/>
    <col min="2821" max="2824" width="15.5703125" style="69" customWidth="1"/>
    <col min="2825" max="2825" width="9.140625" style="69"/>
    <col min="2826" max="2828" width="27.85546875" style="69" customWidth="1"/>
    <col min="2829" max="3074" width="9.140625" style="69"/>
    <col min="3075" max="3075" width="9.7109375" style="69" customWidth="1"/>
    <col min="3076" max="3076" width="34" style="69" customWidth="1"/>
    <col min="3077" max="3080" width="15.5703125" style="69" customWidth="1"/>
    <col min="3081" max="3081" width="9.140625" style="69"/>
    <col min="3082" max="3084" width="27.85546875" style="69" customWidth="1"/>
    <col min="3085" max="3330" width="9.140625" style="69"/>
    <col min="3331" max="3331" width="9.7109375" style="69" customWidth="1"/>
    <col min="3332" max="3332" width="34" style="69" customWidth="1"/>
    <col min="3333" max="3336" width="15.5703125" style="69" customWidth="1"/>
    <col min="3337" max="3337" width="9.140625" style="69"/>
    <col min="3338" max="3340" width="27.85546875" style="69" customWidth="1"/>
    <col min="3341" max="3586" width="9.140625" style="69"/>
    <col min="3587" max="3587" width="9.7109375" style="69" customWidth="1"/>
    <col min="3588" max="3588" width="34" style="69" customWidth="1"/>
    <col min="3589" max="3592" width="15.5703125" style="69" customWidth="1"/>
    <col min="3593" max="3593" width="9.140625" style="69"/>
    <col min="3594" max="3596" width="27.85546875" style="69" customWidth="1"/>
    <col min="3597" max="3842" width="9.140625" style="69"/>
    <col min="3843" max="3843" width="9.7109375" style="69" customWidth="1"/>
    <col min="3844" max="3844" width="34" style="69" customWidth="1"/>
    <col min="3845" max="3848" width="15.5703125" style="69" customWidth="1"/>
    <col min="3849" max="3849" width="9.140625" style="69"/>
    <col min="3850" max="3852" width="27.85546875" style="69" customWidth="1"/>
    <col min="3853" max="4098" width="9.140625" style="69"/>
    <col min="4099" max="4099" width="9.7109375" style="69" customWidth="1"/>
    <col min="4100" max="4100" width="34" style="69" customWidth="1"/>
    <col min="4101" max="4104" width="15.5703125" style="69" customWidth="1"/>
    <col min="4105" max="4105" width="9.140625" style="69"/>
    <col min="4106" max="4108" width="27.85546875" style="69" customWidth="1"/>
    <col min="4109" max="4354" width="9.140625" style="69"/>
    <col min="4355" max="4355" width="9.7109375" style="69" customWidth="1"/>
    <col min="4356" max="4356" width="34" style="69" customWidth="1"/>
    <col min="4357" max="4360" width="15.5703125" style="69" customWidth="1"/>
    <col min="4361" max="4361" width="9.140625" style="69"/>
    <col min="4362" max="4364" width="27.85546875" style="69" customWidth="1"/>
    <col min="4365" max="4610" width="9.140625" style="69"/>
    <col min="4611" max="4611" width="9.7109375" style="69" customWidth="1"/>
    <col min="4612" max="4612" width="34" style="69" customWidth="1"/>
    <col min="4613" max="4616" width="15.5703125" style="69" customWidth="1"/>
    <col min="4617" max="4617" width="9.140625" style="69"/>
    <col min="4618" max="4620" width="27.85546875" style="69" customWidth="1"/>
    <col min="4621" max="4866" width="9.140625" style="69"/>
    <col min="4867" max="4867" width="9.7109375" style="69" customWidth="1"/>
    <col min="4868" max="4868" width="34" style="69" customWidth="1"/>
    <col min="4869" max="4872" width="15.5703125" style="69" customWidth="1"/>
    <col min="4873" max="4873" width="9.140625" style="69"/>
    <col min="4874" max="4876" width="27.85546875" style="69" customWidth="1"/>
    <col min="4877" max="5122" width="9.140625" style="69"/>
    <col min="5123" max="5123" width="9.7109375" style="69" customWidth="1"/>
    <col min="5124" max="5124" width="34" style="69" customWidth="1"/>
    <col min="5125" max="5128" width="15.5703125" style="69" customWidth="1"/>
    <col min="5129" max="5129" width="9.140625" style="69"/>
    <col min="5130" max="5132" width="27.85546875" style="69" customWidth="1"/>
    <col min="5133" max="5378" width="9.140625" style="69"/>
    <col min="5379" max="5379" width="9.7109375" style="69" customWidth="1"/>
    <col min="5380" max="5380" width="34" style="69" customWidth="1"/>
    <col min="5381" max="5384" width="15.5703125" style="69" customWidth="1"/>
    <col min="5385" max="5385" width="9.140625" style="69"/>
    <col min="5386" max="5388" width="27.85546875" style="69" customWidth="1"/>
    <col min="5389" max="5634" width="9.140625" style="69"/>
    <col min="5635" max="5635" width="9.7109375" style="69" customWidth="1"/>
    <col min="5636" max="5636" width="34" style="69" customWidth="1"/>
    <col min="5637" max="5640" width="15.5703125" style="69" customWidth="1"/>
    <col min="5641" max="5641" width="9.140625" style="69"/>
    <col min="5642" max="5644" width="27.85546875" style="69" customWidth="1"/>
    <col min="5645" max="5890" width="9.140625" style="69"/>
    <col min="5891" max="5891" width="9.7109375" style="69" customWidth="1"/>
    <col min="5892" max="5892" width="34" style="69" customWidth="1"/>
    <col min="5893" max="5896" width="15.5703125" style="69" customWidth="1"/>
    <col min="5897" max="5897" width="9.140625" style="69"/>
    <col min="5898" max="5900" width="27.85546875" style="69" customWidth="1"/>
    <col min="5901" max="6146" width="9.140625" style="69"/>
    <col min="6147" max="6147" width="9.7109375" style="69" customWidth="1"/>
    <col min="6148" max="6148" width="34" style="69" customWidth="1"/>
    <col min="6149" max="6152" width="15.5703125" style="69" customWidth="1"/>
    <col min="6153" max="6153" width="9.140625" style="69"/>
    <col min="6154" max="6156" width="27.85546875" style="69" customWidth="1"/>
    <col min="6157" max="6402" width="9.140625" style="69"/>
    <col min="6403" max="6403" width="9.7109375" style="69" customWidth="1"/>
    <col min="6404" max="6404" width="34" style="69" customWidth="1"/>
    <col min="6405" max="6408" width="15.5703125" style="69" customWidth="1"/>
    <col min="6409" max="6409" width="9.140625" style="69"/>
    <col min="6410" max="6412" width="27.85546875" style="69" customWidth="1"/>
    <col min="6413" max="6658" width="9.140625" style="69"/>
    <col min="6659" max="6659" width="9.7109375" style="69" customWidth="1"/>
    <col min="6660" max="6660" width="34" style="69" customWidth="1"/>
    <col min="6661" max="6664" width="15.5703125" style="69" customWidth="1"/>
    <col min="6665" max="6665" width="9.140625" style="69"/>
    <col min="6666" max="6668" width="27.85546875" style="69" customWidth="1"/>
    <col min="6669" max="6914" width="9.140625" style="69"/>
    <col min="6915" max="6915" width="9.7109375" style="69" customWidth="1"/>
    <col min="6916" max="6916" width="34" style="69" customWidth="1"/>
    <col min="6917" max="6920" width="15.5703125" style="69" customWidth="1"/>
    <col min="6921" max="6921" width="9.140625" style="69"/>
    <col min="6922" max="6924" width="27.85546875" style="69" customWidth="1"/>
    <col min="6925" max="7170" width="9.140625" style="69"/>
    <col min="7171" max="7171" width="9.7109375" style="69" customWidth="1"/>
    <col min="7172" max="7172" width="34" style="69" customWidth="1"/>
    <col min="7173" max="7176" width="15.5703125" style="69" customWidth="1"/>
    <col min="7177" max="7177" width="9.140625" style="69"/>
    <col min="7178" max="7180" width="27.85546875" style="69" customWidth="1"/>
    <col min="7181" max="7426" width="9.140625" style="69"/>
    <col min="7427" max="7427" width="9.7109375" style="69" customWidth="1"/>
    <col min="7428" max="7428" width="34" style="69" customWidth="1"/>
    <col min="7429" max="7432" width="15.5703125" style="69" customWidth="1"/>
    <col min="7433" max="7433" width="9.140625" style="69"/>
    <col min="7434" max="7436" width="27.85546875" style="69" customWidth="1"/>
    <col min="7437" max="7682" width="9.140625" style="69"/>
    <col min="7683" max="7683" width="9.7109375" style="69" customWidth="1"/>
    <col min="7684" max="7684" width="34" style="69" customWidth="1"/>
    <col min="7685" max="7688" width="15.5703125" style="69" customWidth="1"/>
    <col min="7689" max="7689" width="9.140625" style="69"/>
    <col min="7690" max="7692" width="27.85546875" style="69" customWidth="1"/>
    <col min="7693" max="7938" width="9.140625" style="69"/>
    <col min="7939" max="7939" width="9.7109375" style="69" customWidth="1"/>
    <col min="7940" max="7940" width="34" style="69" customWidth="1"/>
    <col min="7941" max="7944" width="15.5703125" style="69" customWidth="1"/>
    <col min="7945" max="7945" width="9.140625" style="69"/>
    <col min="7946" max="7948" width="27.85546875" style="69" customWidth="1"/>
    <col min="7949" max="8194" width="9.140625" style="69"/>
    <col min="8195" max="8195" width="9.7109375" style="69" customWidth="1"/>
    <col min="8196" max="8196" width="34" style="69" customWidth="1"/>
    <col min="8197" max="8200" width="15.5703125" style="69" customWidth="1"/>
    <col min="8201" max="8201" width="9.140625" style="69"/>
    <col min="8202" max="8204" width="27.85546875" style="69" customWidth="1"/>
    <col min="8205" max="8450" width="9.140625" style="69"/>
    <col min="8451" max="8451" width="9.7109375" style="69" customWidth="1"/>
    <col min="8452" max="8452" width="34" style="69" customWidth="1"/>
    <col min="8453" max="8456" width="15.5703125" style="69" customWidth="1"/>
    <col min="8457" max="8457" width="9.140625" style="69"/>
    <col min="8458" max="8460" width="27.85546875" style="69" customWidth="1"/>
    <col min="8461" max="8706" width="9.140625" style="69"/>
    <col min="8707" max="8707" width="9.7109375" style="69" customWidth="1"/>
    <col min="8708" max="8708" width="34" style="69" customWidth="1"/>
    <col min="8709" max="8712" width="15.5703125" style="69" customWidth="1"/>
    <col min="8713" max="8713" width="9.140625" style="69"/>
    <col min="8714" max="8716" width="27.85546875" style="69" customWidth="1"/>
    <col min="8717" max="8962" width="9.140625" style="69"/>
    <col min="8963" max="8963" width="9.7109375" style="69" customWidth="1"/>
    <col min="8964" max="8964" width="34" style="69" customWidth="1"/>
    <col min="8965" max="8968" width="15.5703125" style="69" customWidth="1"/>
    <col min="8969" max="8969" width="9.140625" style="69"/>
    <col min="8970" max="8972" width="27.85546875" style="69" customWidth="1"/>
    <col min="8973" max="9218" width="9.140625" style="69"/>
    <col min="9219" max="9219" width="9.7109375" style="69" customWidth="1"/>
    <col min="9220" max="9220" width="34" style="69" customWidth="1"/>
    <col min="9221" max="9224" width="15.5703125" style="69" customWidth="1"/>
    <col min="9225" max="9225" width="9.140625" style="69"/>
    <col min="9226" max="9228" width="27.85546875" style="69" customWidth="1"/>
    <col min="9229" max="9474" width="9.140625" style="69"/>
    <col min="9475" max="9475" width="9.7109375" style="69" customWidth="1"/>
    <col min="9476" max="9476" width="34" style="69" customWidth="1"/>
    <col min="9477" max="9480" width="15.5703125" style="69" customWidth="1"/>
    <col min="9481" max="9481" width="9.140625" style="69"/>
    <col min="9482" max="9484" width="27.85546875" style="69" customWidth="1"/>
    <col min="9485" max="9730" width="9.140625" style="69"/>
    <col min="9731" max="9731" width="9.7109375" style="69" customWidth="1"/>
    <col min="9732" max="9732" width="34" style="69" customWidth="1"/>
    <col min="9733" max="9736" width="15.5703125" style="69" customWidth="1"/>
    <col min="9737" max="9737" width="9.140625" style="69"/>
    <col min="9738" max="9740" width="27.85546875" style="69" customWidth="1"/>
    <col min="9741" max="9986" width="9.140625" style="69"/>
    <col min="9987" max="9987" width="9.7109375" style="69" customWidth="1"/>
    <col min="9988" max="9988" width="34" style="69" customWidth="1"/>
    <col min="9989" max="9992" width="15.5703125" style="69" customWidth="1"/>
    <col min="9993" max="9993" width="9.140625" style="69"/>
    <col min="9994" max="9996" width="27.85546875" style="69" customWidth="1"/>
    <col min="9997" max="10242" width="9.140625" style="69"/>
    <col min="10243" max="10243" width="9.7109375" style="69" customWidth="1"/>
    <col min="10244" max="10244" width="34" style="69" customWidth="1"/>
    <col min="10245" max="10248" width="15.5703125" style="69" customWidth="1"/>
    <col min="10249" max="10249" width="9.140625" style="69"/>
    <col min="10250" max="10252" width="27.85546875" style="69" customWidth="1"/>
    <col min="10253" max="10498" width="9.140625" style="69"/>
    <col min="10499" max="10499" width="9.7109375" style="69" customWidth="1"/>
    <col min="10500" max="10500" width="34" style="69" customWidth="1"/>
    <col min="10501" max="10504" width="15.5703125" style="69" customWidth="1"/>
    <col min="10505" max="10505" width="9.140625" style="69"/>
    <col min="10506" max="10508" width="27.85546875" style="69" customWidth="1"/>
    <col min="10509" max="10754" width="9.140625" style="69"/>
    <col min="10755" max="10755" width="9.7109375" style="69" customWidth="1"/>
    <col min="10756" max="10756" width="34" style="69" customWidth="1"/>
    <col min="10757" max="10760" width="15.5703125" style="69" customWidth="1"/>
    <col min="10761" max="10761" width="9.140625" style="69"/>
    <col min="10762" max="10764" width="27.85546875" style="69" customWidth="1"/>
    <col min="10765" max="11010" width="9.140625" style="69"/>
    <col min="11011" max="11011" width="9.7109375" style="69" customWidth="1"/>
    <col min="11012" max="11012" width="34" style="69" customWidth="1"/>
    <col min="11013" max="11016" width="15.5703125" style="69" customWidth="1"/>
    <col min="11017" max="11017" width="9.140625" style="69"/>
    <col min="11018" max="11020" width="27.85546875" style="69" customWidth="1"/>
    <col min="11021" max="11266" width="9.140625" style="69"/>
    <col min="11267" max="11267" width="9.7109375" style="69" customWidth="1"/>
    <col min="11268" max="11268" width="34" style="69" customWidth="1"/>
    <col min="11269" max="11272" width="15.5703125" style="69" customWidth="1"/>
    <col min="11273" max="11273" width="9.140625" style="69"/>
    <col min="11274" max="11276" width="27.85546875" style="69" customWidth="1"/>
    <col min="11277" max="11522" width="9.140625" style="69"/>
    <col min="11523" max="11523" width="9.7109375" style="69" customWidth="1"/>
    <col min="11524" max="11524" width="34" style="69" customWidth="1"/>
    <col min="11525" max="11528" width="15.5703125" style="69" customWidth="1"/>
    <col min="11529" max="11529" width="9.140625" style="69"/>
    <col min="11530" max="11532" width="27.85546875" style="69" customWidth="1"/>
    <col min="11533" max="11778" width="9.140625" style="69"/>
    <col min="11779" max="11779" width="9.7109375" style="69" customWidth="1"/>
    <col min="11780" max="11780" width="34" style="69" customWidth="1"/>
    <col min="11781" max="11784" width="15.5703125" style="69" customWidth="1"/>
    <col min="11785" max="11785" width="9.140625" style="69"/>
    <col min="11786" max="11788" width="27.85546875" style="69" customWidth="1"/>
    <col min="11789" max="12034" width="9.140625" style="69"/>
    <col min="12035" max="12035" width="9.7109375" style="69" customWidth="1"/>
    <col min="12036" max="12036" width="34" style="69" customWidth="1"/>
    <col min="12037" max="12040" width="15.5703125" style="69" customWidth="1"/>
    <col min="12041" max="12041" width="9.140625" style="69"/>
    <col min="12042" max="12044" width="27.85546875" style="69" customWidth="1"/>
    <col min="12045" max="12290" width="9.140625" style="69"/>
    <col min="12291" max="12291" width="9.7109375" style="69" customWidth="1"/>
    <col min="12292" max="12292" width="34" style="69" customWidth="1"/>
    <col min="12293" max="12296" width="15.5703125" style="69" customWidth="1"/>
    <col min="12297" max="12297" width="9.140625" style="69"/>
    <col min="12298" max="12300" width="27.85546875" style="69" customWidth="1"/>
    <col min="12301" max="12546" width="9.140625" style="69"/>
    <col min="12547" max="12547" width="9.7109375" style="69" customWidth="1"/>
    <col min="12548" max="12548" width="34" style="69" customWidth="1"/>
    <col min="12549" max="12552" width="15.5703125" style="69" customWidth="1"/>
    <col min="12553" max="12553" width="9.140625" style="69"/>
    <col min="12554" max="12556" width="27.85546875" style="69" customWidth="1"/>
    <col min="12557" max="12802" width="9.140625" style="69"/>
    <col min="12803" max="12803" width="9.7109375" style="69" customWidth="1"/>
    <col min="12804" max="12804" width="34" style="69" customWidth="1"/>
    <col min="12805" max="12808" width="15.5703125" style="69" customWidth="1"/>
    <col min="12809" max="12809" width="9.140625" style="69"/>
    <col min="12810" max="12812" width="27.85546875" style="69" customWidth="1"/>
    <col min="12813" max="13058" width="9.140625" style="69"/>
    <col min="13059" max="13059" width="9.7109375" style="69" customWidth="1"/>
    <col min="13060" max="13060" width="34" style="69" customWidth="1"/>
    <col min="13061" max="13064" width="15.5703125" style="69" customWidth="1"/>
    <col min="13065" max="13065" width="9.140625" style="69"/>
    <col min="13066" max="13068" width="27.85546875" style="69" customWidth="1"/>
    <col min="13069" max="13314" width="9.140625" style="69"/>
    <col min="13315" max="13315" width="9.7109375" style="69" customWidth="1"/>
    <col min="13316" max="13316" width="34" style="69" customWidth="1"/>
    <col min="13317" max="13320" width="15.5703125" style="69" customWidth="1"/>
    <col min="13321" max="13321" width="9.140625" style="69"/>
    <col min="13322" max="13324" width="27.85546875" style="69" customWidth="1"/>
    <col min="13325" max="13570" width="9.140625" style="69"/>
    <col min="13571" max="13571" width="9.7109375" style="69" customWidth="1"/>
    <col min="13572" max="13572" width="34" style="69" customWidth="1"/>
    <col min="13573" max="13576" width="15.5703125" style="69" customWidth="1"/>
    <col min="13577" max="13577" width="9.140625" style="69"/>
    <col min="13578" max="13580" width="27.85546875" style="69" customWidth="1"/>
    <col min="13581" max="13826" width="9.140625" style="69"/>
    <col min="13827" max="13827" width="9.7109375" style="69" customWidth="1"/>
    <col min="13828" max="13828" width="34" style="69" customWidth="1"/>
    <col min="13829" max="13832" width="15.5703125" style="69" customWidth="1"/>
    <col min="13833" max="13833" width="9.140625" style="69"/>
    <col min="13834" max="13836" width="27.85546875" style="69" customWidth="1"/>
    <col min="13837" max="14082" width="9.140625" style="69"/>
    <col min="14083" max="14083" width="9.7109375" style="69" customWidth="1"/>
    <col min="14084" max="14084" width="34" style="69" customWidth="1"/>
    <col min="14085" max="14088" width="15.5703125" style="69" customWidth="1"/>
    <col min="14089" max="14089" width="9.140625" style="69"/>
    <col min="14090" max="14092" width="27.85546875" style="69" customWidth="1"/>
    <col min="14093" max="14338" width="9.140625" style="69"/>
    <col min="14339" max="14339" width="9.7109375" style="69" customWidth="1"/>
    <col min="14340" max="14340" width="34" style="69" customWidth="1"/>
    <col min="14341" max="14344" width="15.5703125" style="69" customWidth="1"/>
    <col min="14345" max="14345" width="9.140625" style="69"/>
    <col min="14346" max="14348" width="27.85546875" style="69" customWidth="1"/>
    <col min="14349" max="14594" width="9.140625" style="69"/>
    <col min="14595" max="14595" width="9.7109375" style="69" customWidth="1"/>
    <col min="14596" max="14596" width="34" style="69" customWidth="1"/>
    <col min="14597" max="14600" width="15.5703125" style="69" customWidth="1"/>
    <col min="14601" max="14601" width="9.140625" style="69"/>
    <col min="14602" max="14604" width="27.85546875" style="69" customWidth="1"/>
    <col min="14605" max="14850" width="9.140625" style="69"/>
    <col min="14851" max="14851" width="9.7109375" style="69" customWidth="1"/>
    <col min="14852" max="14852" width="34" style="69" customWidth="1"/>
    <col min="14853" max="14856" width="15.5703125" style="69" customWidth="1"/>
    <col min="14857" max="14857" width="9.140625" style="69"/>
    <col min="14858" max="14860" width="27.85546875" style="69" customWidth="1"/>
    <col min="14861" max="15106" width="9.140625" style="69"/>
    <col min="15107" max="15107" width="9.7109375" style="69" customWidth="1"/>
    <col min="15108" max="15108" width="34" style="69" customWidth="1"/>
    <col min="15109" max="15112" width="15.5703125" style="69" customWidth="1"/>
    <col min="15113" max="15113" width="9.140625" style="69"/>
    <col min="15114" max="15116" width="27.85546875" style="69" customWidth="1"/>
    <col min="15117" max="15362" width="9.140625" style="69"/>
    <col min="15363" max="15363" width="9.7109375" style="69" customWidth="1"/>
    <col min="15364" max="15364" width="34" style="69" customWidth="1"/>
    <col min="15365" max="15368" width="15.5703125" style="69" customWidth="1"/>
    <col min="15369" max="15369" width="9.140625" style="69"/>
    <col min="15370" max="15372" width="27.85546875" style="69" customWidth="1"/>
    <col min="15373" max="15618" width="9.140625" style="69"/>
    <col min="15619" max="15619" width="9.7109375" style="69" customWidth="1"/>
    <col min="15620" max="15620" width="34" style="69" customWidth="1"/>
    <col min="15621" max="15624" width="15.5703125" style="69" customWidth="1"/>
    <col min="15625" max="15625" width="9.140625" style="69"/>
    <col min="15626" max="15628" width="27.85546875" style="69" customWidth="1"/>
    <col min="15629" max="15874" width="9.140625" style="69"/>
    <col min="15875" max="15875" width="9.7109375" style="69" customWidth="1"/>
    <col min="15876" max="15876" width="34" style="69" customWidth="1"/>
    <col min="15877" max="15880" width="15.5703125" style="69" customWidth="1"/>
    <col min="15881" max="15881" width="9.140625" style="69"/>
    <col min="15882" max="15884" width="27.85546875" style="69" customWidth="1"/>
    <col min="15885" max="16130" width="9.140625" style="69"/>
    <col min="16131" max="16131" width="9.7109375" style="69" customWidth="1"/>
    <col min="16132" max="16132" width="34" style="69" customWidth="1"/>
    <col min="16133" max="16136" width="15.5703125" style="69" customWidth="1"/>
    <col min="16137" max="16137" width="9.140625" style="69"/>
    <col min="16138" max="16140" width="27.85546875" style="69" customWidth="1"/>
    <col min="16141" max="16384" width="9.140625" style="69"/>
  </cols>
  <sheetData>
    <row r="1" spans="1:19" ht="15">
      <c r="A1" s="67"/>
      <c r="B1" s="68"/>
      <c r="C1" s="267"/>
      <c r="D1" s="267"/>
      <c r="E1" s="267"/>
      <c r="F1" s="267"/>
      <c r="G1" s="267"/>
      <c r="H1" s="267"/>
      <c r="I1" s="267"/>
      <c r="J1" s="267"/>
      <c r="K1" s="267"/>
      <c r="L1" s="542" t="s">
        <v>439</v>
      </c>
      <c r="M1" s="542"/>
    </row>
    <row r="2" spans="1:19" ht="13.5">
      <c r="A2" s="70" t="s">
        <v>278</v>
      </c>
      <c r="C2" s="85"/>
      <c r="D2" s="85"/>
      <c r="F2" s="85"/>
      <c r="G2" s="85"/>
      <c r="I2" s="268"/>
      <c r="J2" s="268"/>
      <c r="K2" s="268"/>
      <c r="L2" s="268"/>
      <c r="M2" s="268"/>
    </row>
    <row r="3" spans="1:19">
      <c r="B3" s="269"/>
      <c r="C3" s="553" t="s">
        <v>426</v>
      </c>
      <c r="D3" s="553"/>
      <c r="E3" s="553"/>
      <c r="F3" s="553"/>
      <c r="G3" s="553"/>
      <c r="H3" s="269"/>
      <c r="I3" s="270"/>
      <c r="J3" s="270"/>
      <c r="K3" s="270"/>
      <c r="L3" s="270"/>
      <c r="M3" s="270"/>
    </row>
    <row r="4" spans="1:19" ht="109.5" customHeight="1">
      <c r="B4" s="269"/>
      <c r="C4" s="554" t="s">
        <v>427</v>
      </c>
      <c r="D4" s="554"/>
      <c r="E4" s="271"/>
      <c r="F4" s="554" t="s">
        <v>428</v>
      </c>
      <c r="G4" s="554"/>
      <c r="H4" s="271"/>
      <c r="I4" s="555" t="s">
        <v>429</v>
      </c>
      <c r="J4" s="555"/>
      <c r="K4" s="272"/>
      <c r="L4" s="555" t="s">
        <v>430</v>
      </c>
      <c r="M4" s="555"/>
    </row>
    <row r="5" spans="1:19" ht="112.5" customHeight="1">
      <c r="A5" s="71" t="s">
        <v>182</v>
      </c>
      <c r="B5" s="72"/>
      <c r="C5" s="273" t="s">
        <v>279</v>
      </c>
      <c r="D5" s="274" t="s">
        <v>280</v>
      </c>
      <c r="E5" s="275"/>
      <c r="F5" s="273" t="s">
        <v>279</v>
      </c>
      <c r="G5" s="274" t="s">
        <v>280</v>
      </c>
      <c r="H5" s="275"/>
      <c r="I5" s="276" t="s">
        <v>279</v>
      </c>
      <c r="J5" s="277" t="s">
        <v>280</v>
      </c>
      <c r="K5" s="278"/>
      <c r="L5" s="276" t="s">
        <v>279</v>
      </c>
      <c r="M5" s="277" t="s">
        <v>280</v>
      </c>
    </row>
    <row r="6" spans="1:19">
      <c r="A6" s="73"/>
      <c r="B6" s="74" t="s">
        <v>20</v>
      </c>
      <c r="C6" s="75">
        <v>2510.0962799999998</v>
      </c>
      <c r="D6" s="75">
        <v>3135.4999999999995</v>
      </c>
      <c r="E6" s="279"/>
      <c r="F6" s="75">
        <v>2718.5609079999999</v>
      </c>
      <c r="G6" s="75">
        <v>3406.4999999999995</v>
      </c>
      <c r="H6" s="279"/>
      <c r="I6" s="75">
        <v>2601.8131163200001</v>
      </c>
      <c r="J6" s="75">
        <v>3254.74</v>
      </c>
      <c r="K6" s="279"/>
      <c r="L6" s="75">
        <v>2819.449427952</v>
      </c>
      <c r="M6" s="75">
        <v>3537.6600000000003</v>
      </c>
      <c r="O6" s="389"/>
      <c r="P6" s="389"/>
      <c r="R6" s="389"/>
      <c r="S6" s="389"/>
    </row>
    <row r="7" spans="1:19">
      <c r="A7" s="76" t="s">
        <v>179</v>
      </c>
      <c r="B7" s="77" t="s">
        <v>183</v>
      </c>
      <c r="C7" s="76">
        <v>108.14</v>
      </c>
      <c r="D7" s="76">
        <v>108.14</v>
      </c>
      <c r="E7" s="280"/>
      <c r="F7" s="76">
        <v>108.14</v>
      </c>
      <c r="G7" s="76">
        <v>108.14</v>
      </c>
      <c r="H7" s="280"/>
      <c r="I7" s="76">
        <v>108.14</v>
      </c>
      <c r="J7" s="76">
        <v>108.14</v>
      </c>
      <c r="K7" s="280"/>
      <c r="L7" s="76">
        <v>108.14</v>
      </c>
      <c r="M7" s="76">
        <v>108.14</v>
      </c>
    </row>
    <row r="8" spans="1:19">
      <c r="A8" s="76" t="s">
        <v>180</v>
      </c>
      <c r="B8" s="77" t="s">
        <v>184</v>
      </c>
      <c r="C8" s="78">
        <v>2401.9562799999999</v>
      </c>
      <c r="D8" s="78">
        <v>3027.3599999999997</v>
      </c>
      <c r="E8" s="279"/>
      <c r="F8" s="78">
        <v>2610.4209080000001</v>
      </c>
      <c r="G8" s="78">
        <v>3298.3599999999997</v>
      </c>
      <c r="H8" s="279"/>
      <c r="I8" s="78">
        <v>2493.6731163200002</v>
      </c>
      <c r="J8" s="78">
        <v>3146.6</v>
      </c>
      <c r="K8" s="279"/>
      <c r="L8" s="78">
        <v>2711.3094279520001</v>
      </c>
      <c r="M8" s="78">
        <v>3429.5200000000004</v>
      </c>
    </row>
    <row r="9" spans="1:19">
      <c r="A9" s="79" t="s">
        <v>185</v>
      </c>
      <c r="B9" s="80" t="s">
        <v>186</v>
      </c>
      <c r="C9" s="81">
        <v>2084.6562799999997</v>
      </c>
      <c r="D9" s="81">
        <v>2710.0599999999995</v>
      </c>
      <c r="E9" s="279"/>
      <c r="F9" s="81">
        <v>2293.1209079999999</v>
      </c>
      <c r="G9" s="81">
        <v>2981.0599999999995</v>
      </c>
      <c r="H9" s="279"/>
      <c r="I9" s="81">
        <v>2176.37311632</v>
      </c>
      <c r="J9" s="81">
        <v>2829.2999999999997</v>
      </c>
      <c r="K9" s="279"/>
      <c r="L9" s="81">
        <v>2394.0094279519999</v>
      </c>
      <c r="M9" s="81">
        <v>3112.2200000000003</v>
      </c>
    </row>
    <row r="10" spans="1:19" ht="13.5">
      <c r="A10" s="82" t="s">
        <v>187</v>
      </c>
      <c r="B10" s="83" t="s">
        <v>188</v>
      </c>
      <c r="C10" s="84">
        <v>1686.7462799999998</v>
      </c>
      <c r="D10" s="84">
        <v>2192.7799999999997</v>
      </c>
      <c r="E10" s="281"/>
      <c r="F10" s="84">
        <v>1855.4209080000001</v>
      </c>
      <c r="G10" s="84">
        <v>2412.0499999999997</v>
      </c>
      <c r="H10" s="281"/>
      <c r="I10" s="84">
        <v>1760.9631163199999</v>
      </c>
      <c r="J10" s="84">
        <v>2289.2599999999998</v>
      </c>
      <c r="K10" s="281"/>
      <c r="L10" s="84">
        <v>1937.0594279520001</v>
      </c>
      <c r="M10" s="84">
        <v>2518.1800000000003</v>
      </c>
    </row>
    <row r="11" spans="1:19" s="85" customFormat="1">
      <c r="A11" s="71" t="s">
        <v>189</v>
      </c>
      <c r="B11" s="86" t="s">
        <v>190</v>
      </c>
      <c r="C11" s="390">
        <v>1429.4459999999999</v>
      </c>
      <c r="D11" s="390">
        <v>1858.28</v>
      </c>
      <c r="E11" s="391"/>
      <c r="F11" s="390">
        <v>1572.3905999999999</v>
      </c>
      <c r="G11" s="390">
        <v>2044.11</v>
      </c>
      <c r="H11" s="282"/>
      <c r="I11" s="390">
        <v>1492.3416239999999</v>
      </c>
      <c r="J11" s="390">
        <v>1940.05</v>
      </c>
      <c r="K11" s="391"/>
      <c r="L11" s="390">
        <v>1641.5757864</v>
      </c>
      <c r="M11" s="390">
        <v>2134.0500000000002</v>
      </c>
    </row>
    <row r="12" spans="1:19" ht="76.5">
      <c r="A12" s="71" t="s">
        <v>191</v>
      </c>
      <c r="B12" s="86" t="s">
        <v>192</v>
      </c>
      <c r="C12" s="390">
        <v>257.30027999999999</v>
      </c>
      <c r="D12" s="390">
        <v>334.5</v>
      </c>
      <c r="E12" s="392"/>
      <c r="F12" s="390">
        <v>283.03030799999999</v>
      </c>
      <c r="G12" s="390">
        <v>367.94</v>
      </c>
      <c r="H12" s="392"/>
      <c r="I12" s="390">
        <v>268.62149231999996</v>
      </c>
      <c r="J12" s="390">
        <v>349.21</v>
      </c>
      <c r="K12" s="392"/>
      <c r="L12" s="390">
        <v>295.48364155199999</v>
      </c>
      <c r="M12" s="390">
        <v>384.13</v>
      </c>
    </row>
    <row r="13" spans="1:19" ht="13.5">
      <c r="A13" s="82" t="s">
        <v>193</v>
      </c>
      <c r="B13" s="83" t="s">
        <v>194</v>
      </c>
      <c r="C13" s="84">
        <v>397.90999999999997</v>
      </c>
      <c r="D13" s="84">
        <v>517.28</v>
      </c>
      <c r="E13" s="281"/>
      <c r="F13" s="84">
        <v>437.7</v>
      </c>
      <c r="G13" s="84">
        <v>569.01</v>
      </c>
      <c r="H13" s="281"/>
      <c r="I13" s="84">
        <v>415.41</v>
      </c>
      <c r="J13" s="84">
        <v>540.04</v>
      </c>
      <c r="K13" s="281"/>
      <c r="L13" s="84">
        <v>456.95</v>
      </c>
      <c r="M13" s="84">
        <v>594.04</v>
      </c>
    </row>
    <row r="14" spans="1:19" ht="38.25">
      <c r="A14" s="79" t="s">
        <v>195</v>
      </c>
      <c r="B14" s="80" t="s">
        <v>196</v>
      </c>
      <c r="C14" s="81">
        <v>317.3</v>
      </c>
      <c r="D14" s="81">
        <v>317.3</v>
      </c>
      <c r="E14" s="279"/>
      <c r="F14" s="81">
        <v>317.3</v>
      </c>
      <c r="G14" s="81">
        <v>317.3</v>
      </c>
      <c r="H14" s="279"/>
      <c r="I14" s="81">
        <v>317.3</v>
      </c>
      <c r="J14" s="81">
        <v>317.3</v>
      </c>
      <c r="K14" s="279"/>
      <c r="L14" s="81">
        <v>317.3</v>
      </c>
      <c r="M14" s="81">
        <v>317.3</v>
      </c>
    </row>
    <row r="15" spans="1:19" ht="27">
      <c r="A15" s="82" t="s">
        <v>197</v>
      </c>
      <c r="B15" s="83" t="s">
        <v>198</v>
      </c>
      <c r="C15" s="84">
        <v>286</v>
      </c>
      <c r="D15" s="84">
        <v>286</v>
      </c>
      <c r="E15" s="281"/>
      <c r="F15" s="84">
        <v>286</v>
      </c>
      <c r="G15" s="84">
        <v>286</v>
      </c>
      <c r="H15" s="281"/>
      <c r="I15" s="84">
        <v>286</v>
      </c>
      <c r="J15" s="84">
        <v>286</v>
      </c>
      <c r="K15" s="281"/>
      <c r="L15" s="84">
        <v>286</v>
      </c>
      <c r="M15" s="84">
        <v>286</v>
      </c>
    </row>
    <row r="16" spans="1:19" ht="38.25">
      <c r="A16" s="71" t="s">
        <v>199</v>
      </c>
      <c r="B16" s="86" t="s">
        <v>200</v>
      </c>
      <c r="C16" s="132">
        <v>254.69</v>
      </c>
      <c r="D16" s="132">
        <v>254.69</v>
      </c>
      <c r="E16" s="283"/>
      <c r="F16" s="132">
        <v>254.69</v>
      </c>
      <c r="G16" s="132">
        <v>254.69</v>
      </c>
      <c r="H16" s="283"/>
      <c r="I16" s="132">
        <v>254.69</v>
      </c>
      <c r="J16" s="132">
        <v>254.69</v>
      </c>
      <c r="K16" s="283"/>
      <c r="L16" s="132">
        <v>254.69</v>
      </c>
      <c r="M16" s="132">
        <v>254.69</v>
      </c>
    </row>
    <row r="17" spans="1:13">
      <c r="A17" s="71" t="s">
        <v>201</v>
      </c>
      <c r="B17" s="86" t="s">
        <v>202</v>
      </c>
      <c r="C17" s="71">
        <v>206.08</v>
      </c>
      <c r="D17" s="71">
        <v>206.08</v>
      </c>
      <c r="E17" s="284"/>
      <c r="F17" s="71">
        <v>206.08</v>
      </c>
      <c r="G17" s="71">
        <v>206.08</v>
      </c>
      <c r="H17" s="284"/>
      <c r="I17" s="71">
        <v>206.08</v>
      </c>
      <c r="J17" s="71">
        <v>206.08</v>
      </c>
      <c r="K17" s="284"/>
      <c r="L17" s="71">
        <v>206.08</v>
      </c>
      <c r="M17" s="71">
        <v>206.08</v>
      </c>
    </row>
    <row r="18" spans="1:13">
      <c r="A18" s="71" t="s">
        <v>203</v>
      </c>
      <c r="B18" s="86" t="s">
        <v>204</v>
      </c>
      <c r="C18" s="132">
        <v>48.61</v>
      </c>
      <c r="D18" s="132">
        <v>48.61</v>
      </c>
      <c r="E18" s="283"/>
      <c r="F18" s="132">
        <v>48.61</v>
      </c>
      <c r="G18" s="132">
        <v>48.61</v>
      </c>
      <c r="H18" s="283"/>
      <c r="I18" s="132">
        <v>48.61</v>
      </c>
      <c r="J18" s="132">
        <v>48.61</v>
      </c>
      <c r="K18" s="283"/>
      <c r="L18" s="132">
        <v>48.61</v>
      </c>
      <c r="M18" s="132">
        <v>48.61</v>
      </c>
    </row>
    <row r="19" spans="1:13" ht="38.25">
      <c r="A19" s="71" t="s">
        <v>205</v>
      </c>
      <c r="B19" s="86" t="s">
        <v>206</v>
      </c>
      <c r="C19" s="132">
        <v>31.310000000000002</v>
      </c>
      <c r="D19" s="132">
        <v>31.310000000000002</v>
      </c>
      <c r="E19" s="283"/>
      <c r="F19" s="132">
        <v>31.310000000000002</v>
      </c>
      <c r="G19" s="132">
        <v>31.310000000000002</v>
      </c>
      <c r="H19" s="283"/>
      <c r="I19" s="132">
        <v>31.310000000000002</v>
      </c>
      <c r="J19" s="132">
        <v>31.310000000000002</v>
      </c>
      <c r="K19" s="283"/>
      <c r="L19" s="132">
        <v>31.310000000000002</v>
      </c>
      <c r="M19" s="132">
        <v>31.310000000000002</v>
      </c>
    </row>
    <row r="20" spans="1:13">
      <c r="A20" s="71" t="s">
        <v>207</v>
      </c>
      <c r="B20" s="86" t="s">
        <v>202</v>
      </c>
      <c r="C20" s="132">
        <v>25.330000000000002</v>
      </c>
      <c r="D20" s="132">
        <v>25.330000000000002</v>
      </c>
      <c r="E20" s="283"/>
      <c r="F20" s="132">
        <v>25.330000000000002</v>
      </c>
      <c r="G20" s="132">
        <v>25.330000000000002</v>
      </c>
      <c r="H20" s="283"/>
      <c r="I20" s="132">
        <v>25.330000000000002</v>
      </c>
      <c r="J20" s="132">
        <v>25.330000000000002</v>
      </c>
      <c r="K20" s="283"/>
      <c r="L20" s="132">
        <v>25.330000000000002</v>
      </c>
      <c r="M20" s="132">
        <v>25.330000000000002</v>
      </c>
    </row>
    <row r="21" spans="1:13">
      <c r="A21" s="71" t="s">
        <v>208</v>
      </c>
      <c r="B21" s="86" t="s">
        <v>204</v>
      </c>
      <c r="C21" s="132">
        <v>5.98</v>
      </c>
      <c r="D21" s="132">
        <v>5.98</v>
      </c>
      <c r="E21" s="283"/>
      <c r="F21" s="132">
        <v>5.98</v>
      </c>
      <c r="G21" s="132">
        <v>5.98</v>
      </c>
      <c r="H21" s="283"/>
      <c r="I21" s="132">
        <v>5.98</v>
      </c>
      <c r="J21" s="132">
        <v>5.98</v>
      </c>
      <c r="K21" s="283"/>
      <c r="L21" s="132">
        <v>5.98</v>
      </c>
      <c r="M21" s="132">
        <v>5.98</v>
      </c>
    </row>
    <row r="22" spans="1:13" ht="27">
      <c r="A22" s="82" t="s">
        <v>209</v>
      </c>
      <c r="B22" s="83" t="s">
        <v>210</v>
      </c>
      <c r="C22" s="84">
        <v>31.3</v>
      </c>
      <c r="D22" s="84">
        <v>31.3</v>
      </c>
      <c r="E22" s="281"/>
      <c r="F22" s="84">
        <v>31.3</v>
      </c>
      <c r="G22" s="84">
        <v>31.3</v>
      </c>
      <c r="H22" s="281"/>
      <c r="I22" s="84">
        <v>31.3</v>
      </c>
      <c r="J22" s="84">
        <v>31.3</v>
      </c>
      <c r="K22" s="281"/>
      <c r="L22" s="84">
        <v>31.3</v>
      </c>
      <c r="M22" s="84">
        <v>31.3</v>
      </c>
    </row>
    <row r="23" spans="1:13" ht="76.5">
      <c r="A23" s="71" t="s">
        <v>211</v>
      </c>
      <c r="B23" s="86" t="s">
        <v>212</v>
      </c>
      <c r="C23" s="71">
        <v>15.65</v>
      </c>
      <c r="D23" s="71">
        <v>15.65</v>
      </c>
      <c r="E23" s="284"/>
      <c r="F23" s="71">
        <v>15.65</v>
      </c>
      <c r="G23" s="71">
        <v>15.65</v>
      </c>
      <c r="H23" s="284"/>
      <c r="I23" s="71">
        <v>15.65</v>
      </c>
      <c r="J23" s="71">
        <v>15.65</v>
      </c>
      <c r="K23" s="284"/>
      <c r="L23" s="71">
        <v>15.65</v>
      </c>
      <c r="M23" s="71">
        <v>15.65</v>
      </c>
    </row>
    <row r="24" spans="1:13" ht="114.75">
      <c r="A24" s="71" t="s">
        <v>213</v>
      </c>
      <c r="B24" s="86" t="s">
        <v>214</v>
      </c>
      <c r="C24" s="71">
        <v>15.65</v>
      </c>
      <c r="D24" s="71">
        <v>15.65</v>
      </c>
      <c r="E24" s="284"/>
      <c r="F24" s="71">
        <v>15.65</v>
      </c>
      <c r="G24" s="71">
        <v>15.65</v>
      </c>
      <c r="H24" s="284"/>
      <c r="I24" s="71">
        <v>15.65</v>
      </c>
      <c r="J24" s="71">
        <v>15.65</v>
      </c>
      <c r="K24" s="284"/>
      <c r="L24" s="71">
        <v>15.65</v>
      </c>
      <c r="M24" s="71">
        <v>15.65</v>
      </c>
    </row>
    <row r="25" spans="1:13">
      <c r="A25" s="285"/>
      <c r="B25" s="286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>
      <c r="C26" s="393">
        <f t="shared" ref="C26:D28" si="0">C7*12</f>
        <v>1297.68</v>
      </c>
      <c r="D26" s="393">
        <f t="shared" si="0"/>
        <v>1297.68</v>
      </c>
      <c r="E26" s="393"/>
      <c r="F26" s="393">
        <f t="shared" ref="F26:G28" si="1">F7*12</f>
        <v>1297.68</v>
      </c>
      <c r="G26" s="393">
        <f t="shared" si="1"/>
        <v>1297.68</v>
      </c>
      <c r="H26" s="393"/>
      <c r="I26" s="393">
        <f t="shared" ref="I26:J28" si="2">I7*12</f>
        <v>1297.68</v>
      </c>
      <c r="J26" s="393">
        <f t="shared" si="2"/>
        <v>1297.68</v>
      </c>
      <c r="K26" s="393"/>
      <c r="L26" s="393">
        <f t="shared" ref="L26:M28" si="3">L7*12</f>
        <v>1297.68</v>
      </c>
      <c r="M26" s="393">
        <f t="shared" si="3"/>
        <v>1297.68</v>
      </c>
    </row>
    <row r="27" spans="1:13">
      <c r="C27" s="393">
        <f t="shared" si="0"/>
        <v>28823.475359999997</v>
      </c>
      <c r="D27" s="393">
        <f t="shared" si="0"/>
        <v>36328.319999999992</v>
      </c>
      <c r="E27" s="393"/>
      <c r="F27" s="393">
        <f t="shared" si="1"/>
        <v>31325.050896000001</v>
      </c>
      <c r="G27" s="393">
        <f t="shared" si="1"/>
        <v>39580.319999999992</v>
      </c>
      <c r="H27" s="393"/>
      <c r="I27" s="393">
        <f t="shared" si="2"/>
        <v>29924.077395840002</v>
      </c>
      <c r="J27" s="393">
        <f t="shared" si="2"/>
        <v>37759.199999999997</v>
      </c>
      <c r="K27" s="393"/>
      <c r="L27" s="393">
        <f t="shared" si="3"/>
        <v>32535.713135424001</v>
      </c>
      <c r="M27" s="393">
        <f t="shared" si="3"/>
        <v>41154.240000000005</v>
      </c>
    </row>
    <row r="28" spans="1:13">
      <c r="C28" s="393">
        <f t="shared" si="0"/>
        <v>25015.875359999998</v>
      </c>
      <c r="D28" s="393">
        <f t="shared" si="0"/>
        <v>32520.719999999994</v>
      </c>
      <c r="E28" s="393"/>
      <c r="F28" s="393">
        <f t="shared" si="1"/>
        <v>27517.450895999998</v>
      </c>
      <c r="G28" s="393">
        <f t="shared" si="1"/>
        <v>35772.719999999994</v>
      </c>
      <c r="H28" s="393"/>
      <c r="I28" s="393">
        <f t="shared" si="2"/>
        <v>26116.47739584</v>
      </c>
      <c r="J28" s="393">
        <f t="shared" si="2"/>
        <v>33951.599999999999</v>
      </c>
      <c r="K28" s="393"/>
      <c r="L28" s="393">
        <f t="shared" si="3"/>
        <v>28728.113135423999</v>
      </c>
      <c r="M28" s="393">
        <f t="shared" si="3"/>
        <v>37346.639999999999</v>
      </c>
    </row>
  </sheetData>
  <mergeCells count="6">
    <mergeCell ref="L1:M1"/>
    <mergeCell ref="C3:G3"/>
    <mergeCell ref="C4:D4"/>
    <mergeCell ref="F4:G4"/>
    <mergeCell ref="I4:J4"/>
    <mergeCell ref="L4:M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4842-DCE4-4072-A98F-702BFD4203C9}">
  <dimension ref="A1:N35"/>
  <sheetViews>
    <sheetView topLeftCell="H1" zoomScale="80" zoomScaleNormal="80" workbookViewId="0">
      <selection activeCell="D21" sqref="D21"/>
    </sheetView>
  </sheetViews>
  <sheetFormatPr defaultRowHeight="15"/>
  <cols>
    <col min="1" max="1" width="9.140625" style="394"/>
    <col min="2" max="2" width="9.140625" style="395"/>
    <col min="3" max="3" width="34.28515625" style="395" customWidth="1"/>
    <col min="4" max="4" width="14" style="395" customWidth="1"/>
    <col min="5" max="5" width="15.28515625" style="395" customWidth="1"/>
    <col min="6" max="6" width="13.85546875" style="395" customWidth="1"/>
    <col min="7" max="7" width="13" style="395" customWidth="1"/>
    <col min="8" max="8" width="15.7109375" style="395" customWidth="1"/>
    <col min="9" max="9" width="20" style="395" customWidth="1"/>
    <col min="10" max="10" width="5.42578125" style="395" customWidth="1"/>
    <col min="11" max="14" width="19" style="395" customWidth="1"/>
    <col min="15" max="204" width="9.140625" style="394"/>
    <col min="205" max="205" width="2.85546875" style="394" customWidth="1"/>
    <col min="206" max="206" width="9.140625" style="394"/>
    <col min="207" max="207" width="11.140625" style="394" customWidth="1"/>
    <col min="208" max="208" width="13.85546875" style="394" customWidth="1"/>
    <col min="209" max="209" width="12.28515625" style="394" customWidth="1"/>
    <col min="210" max="210" width="11.42578125" style="394" customWidth="1"/>
    <col min="211" max="211" width="2.5703125" style="394" customWidth="1"/>
    <col min="212" max="214" width="0" style="394" hidden="1" customWidth="1"/>
    <col min="215" max="215" width="9.140625" style="394"/>
    <col min="216" max="216" width="34.28515625" style="394" customWidth="1"/>
    <col min="217" max="221" width="24.85546875" style="394" customWidth="1"/>
    <col min="222" max="222" width="11.42578125" style="394" customWidth="1"/>
    <col min="223" max="223" width="12.85546875" style="394" customWidth="1"/>
    <col min="224" max="224" width="23.5703125" style="394" customWidth="1"/>
    <col min="225" max="225" width="9.140625" style="394"/>
    <col min="226" max="226" width="15.7109375" style="394" customWidth="1"/>
    <col min="227" max="227" width="9.140625" style="394"/>
    <col min="228" max="228" width="14.85546875" style="394" customWidth="1"/>
    <col min="229" max="231" width="19.28515625" style="394" customWidth="1"/>
    <col min="232" max="460" width="9.140625" style="394"/>
    <col min="461" max="461" width="2.85546875" style="394" customWidth="1"/>
    <col min="462" max="462" width="9.140625" style="394"/>
    <col min="463" max="463" width="11.140625" style="394" customWidth="1"/>
    <col min="464" max="464" width="13.85546875" style="394" customWidth="1"/>
    <col min="465" max="465" width="12.28515625" style="394" customWidth="1"/>
    <col min="466" max="466" width="11.42578125" style="394" customWidth="1"/>
    <col min="467" max="467" width="2.5703125" style="394" customWidth="1"/>
    <col min="468" max="470" width="0" style="394" hidden="1" customWidth="1"/>
    <col min="471" max="471" width="9.140625" style="394"/>
    <col min="472" max="472" width="34.28515625" style="394" customWidth="1"/>
    <col min="473" max="477" width="24.85546875" style="394" customWidth="1"/>
    <col min="478" max="478" width="11.42578125" style="394" customWidth="1"/>
    <col min="479" max="479" width="12.85546875" style="394" customWidth="1"/>
    <col min="480" max="480" width="23.5703125" style="394" customWidth="1"/>
    <col min="481" max="481" width="9.140625" style="394"/>
    <col min="482" max="482" width="15.7109375" style="394" customWidth="1"/>
    <col min="483" max="483" width="9.140625" style="394"/>
    <col min="484" max="484" width="14.85546875" style="394" customWidth="1"/>
    <col min="485" max="487" width="19.28515625" style="394" customWidth="1"/>
    <col min="488" max="716" width="9.140625" style="394"/>
    <col min="717" max="717" width="2.85546875" style="394" customWidth="1"/>
    <col min="718" max="718" width="9.140625" style="394"/>
    <col min="719" max="719" width="11.140625" style="394" customWidth="1"/>
    <col min="720" max="720" width="13.85546875" style="394" customWidth="1"/>
    <col min="721" max="721" width="12.28515625" style="394" customWidth="1"/>
    <col min="722" max="722" width="11.42578125" style="394" customWidth="1"/>
    <col min="723" max="723" width="2.5703125" style="394" customWidth="1"/>
    <col min="724" max="726" width="0" style="394" hidden="1" customWidth="1"/>
    <col min="727" max="727" width="9.140625" style="394"/>
    <col min="728" max="728" width="34.28515625" style="394" customWidth="1"/>
    <col min="729" max="733" width="24.85546875" style="394" customWidth="1"/>
    <col min="734" max="734" width="11.42578125" style="394" customWidth="1"/>
    <col min="735" max="735" width="12.85546875" style="394" customWidth="1"/>
    <col min="736" max="736" width="23.5703125" style="394" customWidth="1"/>
    <col min="737" max="737" width="9.140625" style="394"/>
    <col min="738" max="738" width="15.7109375" style="394" customWidth="1"/>
    <col min="739" max="739" width="9.140625" style="394"/>
    <col min="740" max="740" width="14.85546875" style="394" customWidth="1"/>
    <col min="741" max="743" width="19.28515625" style="394" customWidth="1"/>
    <col min="744" max="972" width="9.140625" style="394"/>
    <col min="973" max="973" width="2.85546875" style="394" customWidth="1"/>
    <col min="974" max="974" width="9.140625" style="394"/>
    <col min="975" max="975" width="11.140625" style="394" customWidth="1"/>
    <col min="976" max="976" width="13.85546875" style="394" customWidth="1"/>
    <col min="977" max="977" width="12.28515625" style="394" customWidth="1"/>
    <col min="978" max="978" width="11.42578125" style="394" customWidth="1"/>
    <col min="979" max="979" width="2.5703125" style="394" customWidth="1"/>
    <col min="980" max="982" width="0" style="394" hidden="1" customWidth="1"/>
    <col min="983" max="983" width="9.140625" style="394"/>
    <col min="984" max="984" width="34.28515625" style="394" customWidth="1"/>
    <col min="985" max="989" width="24.85546875" style="394" customWidth="1"/>
    <col min="990" max="990" width="11.42578125" style="394" customWidth="1"/>
    <col min="991" max="991" width="12.85546875" style="394" customWidth="1"/>
    <col min="992" max="992" width="23.5703125" style="394" customWidth="1"/>
    <col min="993" max="993" width="9.140625" style="394"/>
    <col min="994" max="994" width="15.7109375" style="394" customWidth="1"/>
    <col min="995" max="995" width="9.140625" style="394"/>
    <col min="996" max="996" width="14.85546875" style="394" customWidth="1"/>
    <col min="997" max="999" width="19.28515625" style="394" customWidth="1"/>
    <col min="1000" max="1228" width="9.140625" style="394"/>
    <col min="1229" max="1229" width="2.85546875" style="394" customWidth="1"/>
    <col min="1230" max="1230" width="9.140625" style="394"/>
    <col min="1231" max="1231" width="11.140625" style="394" customWidth="1"/>
    <col min="1232" max="1232" width="13.85546875" style="394" customWidth="1"/>
    <col min="1233" max="1233" width="12.28515625" style="394" customWidth="1"/>
    <col min="1234" max="1234" width="11.42578125" style="394" customWidth="1"/>
    <col min="1235" max="1235" width="2.5703125" style="394" customWidth="1"/>
    <col min="1236" max="1238" width="0" style="394" hidden="1" customWidth="1"/>
    <col min="1239" max="1239" width="9.140625" style="394"/>
    <col min="1240" max="1240" width="34.28515625" style="394" customWidth="1"/>
    <col min="1241" max="1245" width="24.85546875" style="394" customWidth="1"/>
    <col min="1246" max="1246" width="11.42578125" style="394" customWidth="1"/>
    <col min="1247" max="1247" width="12.85546875" style="394" customWidth="1"/>
    <col min="1248" max="1248" width="23.5703125" style="394" customWidth="1"/>
    <col min="1249" max="1249" width="9.140625" style="394"/>
    <col min="1250" max="1250" width="15.7109375" style="394" customWidth="1"/>
    <col min="1251" max="1251" width="9.140625" style="394"/>
    <col min="1252" max="1252" width="14.85546875" style="394" customWidth="1"/>
    <col min="1253" max="1255" width="19.28515625" style="394" customWidth="1"/>
    <col min="1256" max="1484" width="9.140625" style="394"/>
    <col min="1485" max="1485" width="2.85546875" style="394" customWidth="1"/>
    <col min="1486" max="1486" width="9.140625" style="394"/>
    <col min="1487" max="1487" width="11.140625" style="394" customWidth="1"/>
    <col min="1488" max="1488" width="13.85546875" style="394" customWidth="1"/>
    <col min="1489" max="1489" width="12.28515625" style="394" customWidth="1"/>
    <col min="1490" max="1490" width="11.42578125" style="394" customWidth="1"/>
    <col min="1491" max="1491" width="2.5703125" style="394" customWidth="1"/>
    <col min="1492" max="1494" width="0" style="394" hidden="1" customWidth="1"/>
    <col min="1495" max="1495" width="9.140625" style="394"/>
    <col min="1496" max="1496" width="34.28515625" style="394" customWidth="1"/>
    <col min="1497" max="1501" width="24.85546875" style="394" customWidth="1"/>
    <col min="1502" max="1502" width="11.42578125" style="394" customWidth="1"/>
    <col min="1503" max="1503" width="12.85546875" style="394" customWidth="1"/>
    <col min="1504" max="1504" width="23.5703125" style="394" customWidth="1"/>
    <col min="1505" max="1505" width="9.140625" style="394"/>
    <col min="1506" max="1506" width="15.7109375" style="394" customWidth="1"/>
    <col min="1507" max="1507" width="9.140625" style="394"/>
    <col min="1508" max="1508" width="14.85546875" style="394" customWidth="1"/>
    <col min="1509" max="1511" width="19.28515625" style="394" customWidth="1"/>
    <col min="1512" max="1740" width="9.140625" style="394"/>
    <col min="1741" max="1741" width="2.85546875" style="394" customWidth="1"/>
    <col min="1742" max="1742" width="9.140625" style="394"/>
    <col min="1743" max="1743" width="11.140625" style="394" customWidth="1"/>
    <col min="1744" max="1744" width="13.85546875" style="394" customWidth="1"/>
    <col min="1745" max="1745" width="12.28515625" style="394" customWidth="1"/>
    <col min="1746" max="1746" width="11.42578125" style="394" customWidth="1"/>
    <col min="1747" max="1747" width="2.5703125" style="394" customWidth="1"/>
    <col min="1748" max="1750" width="0" style="394" hidden="1" customWidth="1"/>
    <col min="1751" max="1751" width="9.140625" style="394"/>
    <col min="1752" max="1752" width="34.28515625" style="394" customWidth="1"/>
    <col min="1753" max="1757" width="24.85546875" style="394" customWidth="1"/>
    <col min="1758" max="1758" width="11.42578125" style="394" customWidth="1"/>
    <col min="1759" max="1759" width="12.85546875" style="394" customWidth="1"/>
    <col min="1760" max="1760" width="23.5703125" style="394" customWidth="1"/>
    <col min="1761" max="1761" width="9.140625" style="394"/>
    <col min="1762" max="1762" width="15.7109375" style="394" customWidth="1"/>
    <col min="1763" max="1763" width="9.140625" style="394"/>
    <col min="1764" max="1764" width="14.85546875" style="394" customWidth="1"/>
    <col min="1765" max="1767" width="19.28515625" style="394" customWidth="1"/>
    <col min="1768" max="1996" width="9.140625" style="394"/>
    <col min="1997" max="1997" width="2.85546875" style="394" customWidth="1"/>
    <col min="1998" max="1998" width="9.140625" style="394"/>
    <col min="1999" max="1999" width="11.140625" style="394" customWidth="1"/>
    <col min="2000" max="2000" width="13.85546875" style="394" customWidth="1"/>
    <col min="2001" max="2001" width="12.28515625" style="394" customWidth="1"/>
    <col min="2002" max="2002" width="11.42578125" style="394" customWidth="1"/>
    <col min="2003" max="2003" width="2.5703125" style="394" customWidth="1"/>
    <col min="2004" max="2006" width="0" style="394" hidden="1" customWidth="1"/>
    <col min="2007" max="2007" width="9.140625" style="394"/>
    <col min="2008" max="2008" width="34.28515625" style="394" customWidth="1"/>
    <col min="2009" max="2013" width="24.85546875" style="394" customWidth="1"/>
    <col min="2014" max="2014" width="11.42578125" style="394" customWidth="1"/>
    <col min="2015" max="2015" width="12.85546875" style="394" customWidth="1"/>
    <col min="2016" max="2016" width="23.5703125" style="394" customWidth="1"/>
    <col min="2017" max="2017" width="9.140625" style="394"/>
    <col min="2018" max="2018" width="15.7109375" style="394" customWidth="1"/>
    <col min="2019" max="2019" width="9.140625" style="394"/>
    <col min="2020" max="2020" width="14.85546875" style="394" customWidth="1"/>
    <col min="2021" max="2023" width="19.28515625" style="394" customWidth="1"/>
    <col min="2024" max="2252" width="9.140625" style="394"/>
    <col min="2253" max="2253" width="2.85546875" style="394" customWidth="1"/>
    <col min="2254" max="2254" width="9.140625" style="394"/>
    <col min="2255" max="2255" width="11.140625" style="394" customWidth="1"/>
    <col min="2256" max="2256" width="13.85546875" style="394" customWidth="1"/>
    <col min="2257" max="2257" width="12.28515625" style="394" customWidth="1"/>
    <col min="2258" max="2258" width="11.42578125" style="394" customWidth="1"/>
    <col min="2259" max="2259" width="2.5703125" style="394" customWidth="1"/>
    <col min="2260" max="2262" width="0" style="394" hidden="1" customWidth="1"/>
    <col min="2263" max="2263" width="9.140625" style="394"/>
    <col min="2264" max="2264" width="34.28515625" style="394" customWidth="1"/>
    <col min="2265" max="2269" width="24.85546875" style="394" customWidth="1"/>
    <col min="2270" max="2270" width="11.42578125" style="394" customWidth="1"/>
    <col min="2271" max="2271" width="12.85546875" style="394" customWidth="1"/>
    <col min="2272" max="2272" width="23.5703125" style="394" customWidth="1"/>
    <col min="2273" max="2273" width="9.140625" style="394"/>
    <col min="2274" max="2274" width="15.7109375" style="394" customWidth="1"/>
    <col min="2275" max="2275" width="9.140625" style="394"/>
    <col min="2276" max="2276" width="14.85546875" style="394" customWidth="1"/>
    <col min="2277" max="2279" width="19.28515625" style="394" customWidth="1"/>
    <col min="2280" max="2508" width="9.140625" style="394"/>
    <col min="2509" max="2509" width="2.85546875" style="394" customWidth="1"/>
    <col min="2510" max="2510" width="9.140625" style="394"/>
    <col min="2511" max="2511" width="11.140625" style="394" customWidth="1"/>
    <col min="2512" max="2512" width="13.85546875" style="394" customWidth="1"/>
    <col min="2513" max="2513" width="12.28515625" style="394" customWidth="1"/>
    <col min="2514" max="2514" width="11.42578125" style="394" customWidth="1"/>
    <col min="2515" max="2515" width="2.5703125" style="394" customWidth="1"/>
    <col min="2516" max="2518" width="0" style="394" hidden="1" customWidth="1"/>
    <col min="2519" max="2519" width="9.140625" style="394"/>
    <col min="2520" max="2520" width="34.28515625" style="394" customWidth="1"/>
    <col min="2521" max="2525" width="24.85546875" style="394" customWidth="1"/>
    <col min="2526" max="2526" width="11.42578125" style="394" customWidth="1"/>
    <col min="2527" max="2527" width="12.85546875" style="394" customWidth="1"/>
    <col min="2528" max="2528" width="23.5703125" style="394" customWidth="1"/>
    <col min="2529" max="2529" width="9.140625" style="394"/>
    <col min="2530" max="2530" width="15.7109375" style="394" customWidth="1"/>
    <col min="2531" max="2531" width="9.140625" style="394"/>
    <col min="2532" max="2532" width="14.85546875" style="394" customWidth="1"/>
    <col min="2533" max="2535" width="19.28515625" style="394" customWidth="1"/>
    <col min="2536" max="2764" width="9.140625" style="394"/>
    <col min="2765" max="2765" width="2.85546875" style="394" customWidth="1"/>
    <col min="2766" max="2766" width="9.140625" style="394"/>
    <col min="2767" max="2767" width="11.140625" style="394" customWidth="1"/>
    <col min="2768" max="2768" width="13.85546875" style="394" customWidth="1"/>
    <col min="2769" max="2769" width="12.28515625" style="394" customWidth="1"/>
    <col min="2770" max="2770" width="11.42578125" style="394" customWidth="1"/>
    <col min="2771" max="2771" width="2.5703125" style="394" customWidth="1"/>
    <col min="2772" max="2774" width="0" style="394" hidden="1" customWidth="1"/>
    <col min="2775" max="2775" width="9.140625" style="394"/>
    <col min="2776" max="2776" width="34.28515625" style="394" customWidth="1"/>
    <col min="2777" max="2781" width="24.85546875" style="394" customWidth="1"/>
    <col min="2782" max="2782" width="11.42578125" style="394" customWidth="1"/>
    <col min="2783" max="2783" width="12.85546875" style="394" customWidth="1"/>
    <col min="2784" max="2784" width="23.5703125" style="394" customWidth="1"/>
    <col min="2785" max="2785" width="9.140625" style="394"/>
    <col min="2786" max="2786" width="15.7109375" style="394" customWidth="1"/>
    <col min="2787" max="2787" width="9.140625" style="394"/>
    <col min="2788" max="2788" width="14.85546875" style="394" customWidth="1"/>
    <col min="2789" max="2791" width="19.28515625" style="394" customWidth="1"/>
    <col min="2792" max="3020" width="9.140625" style="394"/>
    <col min="3021" max="3021" width="2.85546875" style="394" customWidth="1"/>
    <col min="3022" max="3022" width="9.140625" style="394"/>
    <col min="3023" max="3023" width="11.140625" style="394" customWidth="1"/>
    <col min="3024" max="3024" width="13.85546875" style="394" customWidth="1"/>
    <col min="3025" max="3025" width="12.28515625" style="394" customWidth="1"/>
    <col min="3026" max="3026" width="11.42578125" style="394" customWidth="1"/>
    <col min="3027" max="3027" width="2.5703125" style="394" customWidth="1"/>
    <col min="3028" max="3030" width="0" style="394" hidden="1" customWidth="1"/>
    <col min="3031" max="3031" width="9.140625" style="394"/>
    <col min="3032" max="3032" width="34.28515625" style="394" customWidth="1"/>
    <col min="3033" max="3037" width="24.85546875" style="394" customWidth="1"/>
    <col min="3038" max="3038" width="11.42578125" style="394" customWidth="1"/>
    <col min="3039" max="3039" width="12.85546875" style="394" customWidth="1"/>
    <col min="3040" max="3040" width="23.5703125" style="394" customWidth="1"/>
    <col min="3041" max="3041" width="9.140625" style="394"/>
    <col min="3042" max="3042" width="15.7109375" style="394" customWidth="1"/>
    <col min="3043" max="3043" width="9.140625" style="394"/>
    <col min="3044" max="3044" width="14.85546875" style="394" customWidth="1"/>
    <col min="3045" max="3047" width="19.28515625" style="394" customWidth="1"/>
    <col min="3048" max="3276" width="9.140625" style="394"/>
    <col min="3277" max="3277" width="2.85546875" style="394" customWidth="1"/>
    <col min="3278" max="3278" width="9.140625" style="394"/>
    <col min="3279" max="3279" width="11.140625" style="394" customWidth="1"/>
    <col min="3280" max="3280" width="13.85546875" style="394" customWidth="1"/>
    <col min="3281" max="3281" width="12.28515625" style="394" customWidth="1"/>
    <col min="3282" max="3282" width="11.42578125" style="394" customWidth="1"/>
    <col min="3283" max="3283" width="2.5703125" style="394" customWidth="1"/>
    <col min="3284" max="3286" width="0" style="394" hidden="1" customWidth="1"/>
    <col min="3287" max="3287" width="9.140625" style="394"/>
    <col min="3288" max="3288" width="34.28515625" style="394" customWidth="1"/>
    <col min="3289" max="3293" width="24.85546875" style="394" customWidth="1"/>
    <col min="3294" max="3294" width="11.42578125" style="394" customWidth="1"/>
    <col min="3295" max="3295" width="12.85546875" style="394" customWidth="1"/>
    <col min="3296" max="3296" width="23.5703125" style="394" customWidth="1"/>
    <col min="3297" max="3297" width="9.140625" style="394"/>
    <col min="3298" max="3298" width="15.7109375" style="394" customWidth="1"/>
    <col min="3299" max="3299" width="9.140625" style="394"/>
    <col min="3300" max="3300" width="14.85546875" style="394" customWidth="1"/>
    <col min="3301" max="3303" width="19.28515625" style="394" customWidth="1"/>
    <col min="3304" max="3532" width="9.140625" style="394"/>
    <col min="3533" max="3533" width="2.85546875" style="394" customWidth="1"/>
    <col min="3534" max="3534" width="9.140625" style="394"/>
    <col min="3535" max="3535" width="11.140625" style="394" customWidth="1"/>
    <col min="3536" max="3536" width="13.85546875" style="394" customWidth="1"/>
    <col min="3537" max="3537" width="12.28515625" style="394" customWidth="1"/>
    <col min="3538" max="3538" width="11.42578125" style="394" customWidth="1"/>
    <col min="3539" max="3539" width="2.5703125" style="394" customWidth="1"/>
    <col min="3540" max="3542" width="0" style="394" hidden="1" customWidth="1"/>
    <col min="3543" max="3543" width="9.140625" style="394"/>
    <col min="3544" max="3544" width="34.28515625" style="394" customWidth="1"/>
    <col min="3545" max="3549" width="24.85546875" style="394" customWidth="1"/>
    <col min="3550" max="3550" width="11.42578125" style="394" customWidth="1"/>
    <col min="3551" max="3551" width="12.85546875" style="394" customWidth="1"/>
    <col min="3552" max="3552" width="23.5703125" style="394" customWidth="1"/>
    <col min="3553" max="3553" width="9.140625" style="394"/>
    <col min="3554" max="3554" width="15.7109375" style="394" customWidth="1"/>
    <col min="3555" max="3555" width="9.140625" style="394"/>
    <col min="3556" max="3556" width="14.85546875" style="394" customWidth="1"/>
    <col min="3557" max="3559" width="19.28515625" style="394" customWidth="1"/>
    <col min="3560" max="3788" width="9.140625" style="394"/>
    <col min="3789" max="3789" width="2.85546875" style="394" customWidth="1"/>
    <col min="3790" max="3790" width="9.140625" style="394"/>
    <col min="3791" max="3791" width="11.140625" style="394" customWidth="1"/>
    <col min="3792" max="3792" width="13.85546875" style="394" customWidth="1"/>
    <col min="3793" max="3793" width="12.28515625" style="394" customWidth="1"/>
    <col min="3794" max="3794" width="11.42578125" style="394" customWidth="1"/>
    <col min="3795" max="3795" width="2.5703125" style="394" customWidth="1"/>
    <col min="3796" max="3798" width="0" style="394" hidden="1" customWidth="1"/>
    <col min="3799" max="3799" width="9.140625" style="394"/>
    <col min="3800" max="3800" width="34.28515625" style="394" customWidth="1"/>
    <col min="3801" max="3805" width="24.85546875" style="394" customWidth="1"/>
    <col min="3806" max="3806" width="11.42578125" style="394" customWidth="1"/>
    <col min="3807" max="3807" width="12.85546875" style="394" customWidth="1"/>
    <col min="3808" max="3808" width="23.5703125" style="394" customWidth="1"/>
    <col min="3809" max="3809" width="9.140625" style="394"/>
    <col min="3810" max="3810" width="15.7109375" style="394" customWidth="1"/>
    <col min="3811" max="3811" width="9.140625" style="394"/>
    <col min="3812" max="3812" width="14.85546875" style="394" customWidth="1"/>
    <col min="3813" max="3815" width="19.28515625" style="394" customWidth="1"/>
    <col min="3816" max="4044" width="9.140625" style="394"/>
    <col min="4045" max="4045" width="2.85546875" style="394" customWidth="1"/>
    <col min="4046" max="4046" width="9.140625" style="394"/>
    <col min="4047" max="4047" width="11.140625" style="394" customWidth="1"/>
    <col min="4048" max="4048" width="13.85546875" style="394" customWidth="1"/>
    <col min="4049" max="4049" width="12.28515625" style="394" customWidth="1"/>
    <col min="4050" max="4050" width="11.42578125" style="394" customWidth="1"/>
    <col min="4051" max="4051" width="2.5703125" style="394" customWidth="1"/>
    <col min="4052" max="4054" width="0" style="394" hidden="1" customWidth="1"/>
    <col min="4055" max="4055" width="9.140625" style="394"/>
    <col min="4056" max="4056" width="34.28515625" style="394" customWidth="1"/>
    <col min="4057" max="4061" width="24.85546875" style="394" customWidth="1"/>
    <col min="4062" max="4062" width="11.42578125" style="394" customWidth="1"/>
    <col min="4063" max="4063" width="12.85546875" style="394" customWidth="1"/>
    <col min="4064" max="4064" width="23.5703125" style="394" customWidth="1"/>
    <col min="4065" max="4065" width="9.140625" style="394"/>
    <col min="4066" max="4066" width="15.7109375" style="394" customWidth="1"/>
    <col min="4067" max="4067" width="9.140625" style="394"/>
    <col min="4068" max="4068" width="14.85546875" style="394" customWidth="1"/>
    <col min="4069" max="4071" width="19.28515625" style="394" customWidth="1"/>
    <col min="4072" max="4300" width="9.140625" style="394"/>
    <col min="4301" max="4301" width="2.85546875" style="394" customWidth="1"/>
    <col min="4302" max="4302" width="9.140625" style="394"/>
    <col min="4303" max="4303" width="11.140625" style="394" customWidth="1"/>
    <col min="4304" max="4304" width="13.85546875" style="394" customWidth="1"/>
    <col min="4305" max="4305" width="12.28515625" style="394" customWidth="1"/>
    <col min="4306" max="4306" width="11.42578125" style="394" customWidth="1"/>
    <col min="4307" max="4307" width="2.5703125" style="394" customWidth="1"/>
    <col min="4308" max="4310" width="0" style="394" hidden="1" customWidth="1"/>
    <col min="4311" max="4311" width="9.140625" style="394"/>
    <col min="4312" max="4312" width="34.28515625" style="394" customWidth="1"/>
    <col min="4313" max="4317" width="24.85546875" style="394" customWidth="1"/>
    <col min="4318" max="4318" width="11.42578125" style="394" customWidth="1"/>
    <col min="4319" max="4319" width="12.85546875" style="394" customWidth="1"/>
    <col min="4320" max="4320" width="23.5703125" style="394" customWidth="1"/>
    <col min="4321" max="4321" width="9.140625" style="394"/>
    <col min="4322" max="4322" width="15.7109375" style="394" customWidth="1"/>
    <col min="4323" max="4323" width="9.140625" style="394"/>
    <col min="4324" max="4324" width="14.85546875" style="394" customWidth="1"/>
    <col min="4325" max="4327" width="19.28515625" style="394" customWidth="1"/>
    <col min="4328" max="4556" width="9.140625" style="394"/>
    <col min="4557" max="4557" width="2.85546875" style="394" customWidth="1"/>
    <col min="4558" max="4558" width="9.140625" style="394"/>
    <col min="4559" max="4559" width="11.140625" style="394" customWidth="1"/>
    <col min="4560" max="4560" width="13.85546875" style="394" customWidth="1"/>
    <col min="4561" max="4561" width="12.28515625" style="394" customWidth="1"/>
    <col min="4562" max="4562" width="11.42578125" style="394" customWidth="1"/>
    <col min="4563" max="4563" width="2.5703125" style="394" customWidth="1"/>
    <col min="4564" max="4566" width="0" style="394" hidden="1" customWidth="1"/>
    <col min="4567" max="4567" width="9.140625" style="394"/>
    <col min="4568" max="4568" width="34.28515625" style="394" customWidth="1"/>
    <col min="4569" max="4573" width="24.85546875" style="394" customWidth="1"/>
    <col min="4574" max="4574" width="11.42578125" style="394" customWidth="1"/>
    <col min="4575" max="4575" width="12.85546875" style="394" customWidth="1"/>
    <col min="4576" max="4576" width="23.5703125" style="394" customWidth="1"/>
    <col min="4577" max="4577" width="9.140625" style="394"/>
    <col min="4578" max="4578" width="15.7109375" style="394" customWidth="1"/>
    <col min="4579" max="4579" width="9.140625" style="394"/>
    <col min="4580" max="4580" width="14.85546875" style="394" customWidth="1"/>
    <col min="4581" max="4583" width="19.28515625" style="394" customWidth="1"/>
    <col min="4584" max="4812" width="9.140625" style="394"/>
    <col min="4813" max="4813" width="2.85546875" style="394" customWidth="1"/>
    <col min="4814" max="4814" width="9.140625" style="394"/>
    <col min="4815" max="4815" width="11.140625" style="394" customWidth="1"/>
    <col min="4816" max="4816" width="13.85546875" style="394" customWidth="1"/>
    <col min="4817" max="4817" width="12.28515625" style="394" customWidth="1"/>
    <col min="4818" max="4818" width="11.42578125" style="394" customWidth="1"/>
    <col min="4819" max="4819" width="2.5703125" style="394" customWidth="1"/>
    <col min="4820" max="4822" width="0" style="394" hidden="1" customWidth="1"/>
    <col min="4823" max="4823" width="9.140625" style="394"/>
    <col min="4824" max="4824" width="34.28515625" style="394" customWidth="1"/>
    <col min="4825" max="4829" width="24.85546875" style="394" customWidth="1"/>
    <col min="4830" max="4830" width="11.42578125" style="394" customWidth="1"/>
    <col min="4831" max="4831" width="12.85546875" style="394" customWidth="1"/>
    <col min="4832" max="4832" width="23.5703125" style="394" customWidth="1"/>
    <col min="4833" max="4833" width="9.140625" style="394"/>
    <col min="4834" max="4834" width="15.7109375" style="394" customWidth="1"/>
    <col min="4835" max="4835" width="9.140625" style="394"/>
    <col min="4836" max="4836" width="14.85546875" style="394" customWidth="1"/>
    <col min="4837" max="4839" width="19.28515625" style="394" customWidth="1"/>
    <col min="4840" max="5068" width="9.140625" style="394"/>
    <col min="5069" max="5069" width="2.85546875" style="394" customWidth="1"/>
    <col min="5070" max="5070" width="9.140625" style="394"/>
    <col min="5071" max="5071" width="11.140625" style="394" customWidth="1"/>
    <col min="5072" max="5072" width="13.85546875" style="394" customWidth="1"/>
    <col min="5073" max="5073" width="12.28515625" style="394" customWidth="1"/>
    <col min="5074" max="5074" width="11.42578125" style="394" customWidth="1"/>
    <col min="5075" max="5075" width="2.5703125" style="394" customWidth="1"/>
    <col min="5076" max="5078" width="0" style="394" hidden="1" customWidth="1"/>
    <col min="5079" max="5079" width="9.140625" style="394"/>
    <col min="5080" max="5080" width="34.28515625" style="394" customWidth="1"/>
    <col min="5081" max="5085" width="24.85546875" style="394" customWidth="1"/>
    <col min="5086" max="5086" width="11.42578125" style="394" customWidth="1"/>
    <col min="5087" max="5087" width="12.85546875" style="394" customWidth="1"/>
    <col min="5088" max="5088" width="23.5703125" style="394" customWidth="1"/>
    <col min="5089" max="5089" width="9.140625" style="394"/>
    <col min="5090" max="5090" width="15.7109375" style="394" customWidth="1"/>
    <col min="5091" max="5091" width="9.140625" style="394"/>
    <col min="5092" max="5092" width="14.85546875" style="394" customWidth="1"/>
    <col min="5093" max="5095" width="19.28515625" style="394" customWidth="1"/>
    <col min="5096" max="5324" width="9.140625" style="394"/>
    <col min="5325" max="5325" width="2.85546875" style="394" customWidth="1"/>
    <col min="5326" max="5326" width="9.140625" style="394"/>
    <col min="5327" max="5327" width="11.140625" style="394" customWidth="1"/>
    <col min="5328" max="5328" width="13.85546875" style="394" customWidth="1"/>
    <col min="5329" max="5329" width="12.28515625" style="394" customWidth="1"/>
    <col min="5330" max="5330" width="11.42578125" style="394" customWidth="1"/>
    <col min="5331" max="5331" width="2.5703125" style="394" customWidth="1"/>
    <col min="5332" max="5334" width="0" style="394" hidden="1" customWidth="1"/>
    <col min="5335" max="5335" width="9.140625" style="394"/>
    <col min="5336" max="5336" width="34.28515625" style="394" customWidth="1"/>
    <col min="5337" max="5341" width="24.85546875" style="394" customWidth="1"/>
    <col min="5342" max="5342" width="11.42578125" style="394" customWidth="1"/>
    <col min="5343" max="5343" width="12.85546875" style="394" customWidth="1"/>
    <col min="5344" max="5344" width="23.5703125" style="394" customWidth="1"/>
    <col min="5345" max="5345" width="9.140625" style="394"/>
    <col min="5346" max="5346" width="15.7109375" style="394" customWidth="1"/>
    <col min="5347" max="5347" width="9.140625" style="394"/>
    <col min="5348" max="5348" width="14.85546875" style="394" customWidth="1"/>
    <col min="5349" max="5351" width="19.28515625" style="394" customWidth="1"/>
    <col min="5352" max="5580" width="9.140625" style="394"/>
    <col min="5581" max="5581" width="2.85546875" style="394" customWidth="1"/>
    <col min="5582" max="5582" width="9.140625" style="394"/>
    <col min="5583" max="5583" width="11.140625" style="394" customWidth="1"/>
    <col min="5584" max="5584" width="13.85546875" style="394" customWidth="1"/>
    <col min="5585" max="5585" width="12.28515625" style="394" customWidth="1"/>
    <col min="5586" max="5586" width="11.42578125" style="394" customWidth="1"/>
    <col min="5587" max="5587" width="2.5703125" style="394" customWidth="1"/>
    <col min="5588" max="5590" width="0" style="394" hidden="1" customWidth="1"/>
    <col min="5591" max="5591" width="9.140625" style="394"/>
    <col min="5592" max="5592" width="34.28515625" style="394" customWidth="1"/>
    <col min="5593" max="5597" width="24.85546875" style="394" customWidth="1"/>
    <col min="5598" max="5598" width="11.42578125" style="394" customWidth="1"/>
    <col min="5599" max="5599" width="12.85546875" style="394" customWidth="1"/>
    <col min="5600" max="5600" width="23.5703125" style="394" customWidth="1"/>
    <col min="5601" max="5601" width="9.140625" style="394"/>
    <col min="5602" max="5602" width="15.7109375" style="394" customWidth="1"/>
    <col min="5603" max="5603" width="9.140625" style="394"/>
    <col min="5604" max="5604" width="14.85546875" style="394" customWidth="1"/>
    <col min="5605" max="5607" width="19.28515625" style="394" customWidth="1"/>
    <col min="5608" max="5836" width="9.140625" style="394"/>
    <col min="5837" max="5837" width="2.85546875" style="394" customWidth="1"/>
    <col min="5838" max="5838" width="9.140625" style="394"/>
    <col min="5839" max="5839" width="11.140625" style="394" customWidth="1"/>
    <col min="5840" max="5840" width="13.85546875" style="394" customWidth="1"/>
    <col min="5841" max="5841" width="12.28515625" style="394" customWidth="1"/>
    <col min="5842" max="5842" width="11.42578125" style="394" customWidth="1"/>
    <col min="5843" max="5843" width="2.5703125" style="394" customWidth="1"/>
    <col min="5844" max="5846" width="0" style="394" hidden="1" customWidth="1"/>
    <col min="5847" max="5847" width="9.140625" style="394"/>
    <col min="5848" max="5848" width="34.28515625" style="394" customWidth="1"/>
    <col min="5849" max="5853" width="24.85546875" style="394" customWidth="1"/>
    <col min="5854" max="5854" width="11.42578125" style="394" customWidth="1"/>
    <col min="5855" max="5855" width="12.85546875" style="394" customWidth="1"/>
    <col min="5856" max="5856" width="23.5703125" style="394" customWidth="1"/>
    <col min="5857" max="5857" width="9.140625" style="394"/>
    <col min="5858" max="5858" width="15.7109375" style="394" customWidth="1"/>
    <col min="5859" max="5859" width="9.140625" style="394"/>
    <col min="5860" max="5860" width="14.85546875" style="394" customWidth="1"/>
    <col min="5861" max="5863" width="19.28515625" style="394" customWidth="1"/>
    <col min="5864" max="6092" width="9.140625" style="394"/>
    <col min="6093" max="6093" width="2.85546875" style="394" customWidth="1"/>
    <col min="6094" max="6094" width="9.140625" style="394"/>
    <col min="6095" max="6095" width="11.140625" style="394" customWidth="1"/>
    <col min="6096" max="6096" width="13.85546875" style="394" customWidth="1"/>
    <col min="6097" max="6097" width="12.28515625" style="394" customWidth="1"/>
    <col min="6098" max="6098" width="11.42578125" style="394" customWidth="1"/>
    <col min="6099" max="6099" width="2.5703125" style="394" customWidth="1"/>
    <col min="6100" max="6102" width="0" style="394" hidden="1" customWidth="1"/>
    <col min="6103" max="6103" width="9.140625" style="394"/>
    <col min="6104" max="6104" width="34.28515625" style="394" customWidth="1"/>
    <col min="6105" max="6109" width="24.85546875" style="394" customWidth="1"/>
    <col min="6110" max="6110" width="11.42578125" style="394" customWidth="1"/>
    <col min="6111" max="6111" width="12.85546875" style="394" customWidth="1"/>
    <col min="6112" max="6112" width="23.5703125" style="394" customWidth="1"/>
    <col min="6113" max="6113" width="9.140625" style="394"/>
    <col min="6114" max="6114" width="15.7109375" style="394" customWidth="1"/>
    <col min="6115" max="6115" width="9.140625" style="394"/>
    <col min="6116" max="6116" width="14.85546875" style="394" customWidth="1"/>
    <col min="6117" max="6119" width="19.28515625" style="394" customWidth="1"/>
    <col min="6120" max="6348" width="9.140625" style="394"/>
    <col min="6349" max="6349" width="2.85546875" style="394" customWidth="1"/>
    <col min="6350" max="6350" width="9.140625" style="394"/>
    <col min="6351" max="6351" width="11.140625" style="394" customWidth="1"/>
    <col min="6352" max="6352" width="13.85546875" style="394" customWidth="1"/>
    <col min="6353" max="6353" width="12.28515625" style="394" customWidth="1"/>
    <col min="6354" max="6354" width="11.42578125" style="394" customWidth="1"/>
    <col min="6355" max="6355" width="2.5703125" style="394" customWidth="1"/>
    <col min="6356" max="6358" width="0" style="394" hidden="1" customWidth="1"/>
    <col min="6359" max="6359" width="9.140625" style="394"/>
    <col min="6360" max="6360" width="34.28515625" style="394" customWidth="1"/>
    <col min="6361" max="6365" width="24.85546875" style="394" customWidth="1"/>
    <col min="6366" max="6366" width="11.42578125" style="394" customWidth="1"/>
    <col min="6367" max="6367" width="12.85546875" style="394" customWidth="1"/>
    <col min="6368" max="6368" width="23.5703125" style="394" customWidth="1"/>
    <col min="6369" max="6369" width="9.140625" style="394"/>
    <col min="6370" max="6370" width="15.7109375" style="394" customWidth="1"/>
    <col min="6371" max="6371" width="9.140625" style="394"/>
    <col min="6372" max="6372" width="14.85546875" style="394" customWidth="1"/>
    <col min="6373" max="6375" width="19.28515625" style="394" customWidth="1"/>
    <col min="6376" max="6604" width="9.140625" style="394"/>
    <col min="6605" max="6605" width="2.85546875" style="394" customWidth="1"/>
    <col min="6606" max="6606" width="9.140625" style="394"/>
    <col min="6607" max="6607" width="11.140625" style="394" customWidth="1"/>
    <col min="6608" max="6608" width="13.85546875" style="394" customWidth="1"/>
    <col min="6609" max="6609" width="12.28515625" style="394" customWidth="1"/>
    <col min="6610" max="6610" width="11.42578125" style="394" customWidth="1"/>
    <col min="6611" max="6611" width="2.5703125" style="394" customWidth="1"/>
    <col min="6612" max="6614" width="0" style="394" hidden="1" customWidth="1"/>
    <col min="6615" max="6615" width="9.140625" style="394"/>
    <col min="6616" max="6616" width="34.28515625" style="394" customWidth="1"/>
    <col min="6617" max="6621" width="24.85546875" style="394" customWidth="1"/>
    <col min="6622" max="6622" width="11.42578125" style="394" customWidth="1"/>
    <col min="6623" max="6623" width="12.85546875" style="394" customWidth="1"/>
    <col min="6624" max="6624" width="23.5703125" style="394" customWidth="1"/>
    <col min="6625" max="6625" width="9.140625" style="394"/>
    <col min="6626" max="6626" width="15.7109375" style="394" customWidth="1"/>
    <col min="6627" max="6627" width="9.140625" style="394"/>
    <col min="6628" max="6628" width="14.85546875" style="394" customWidth="1"/>
    <col min="6629" max="6631" width="19.28515625" style="394" customWidth="1"/>
    <col min="6632" max="6860" width="9.140625" style="394"/>
    <col min="6861" max="6861" width="2.85546875" style="394" customWidth="1"/>
    <col min="6862" max="6862" width="9.140625" style="394"/>
    <col min="6863" max="6863" width="11.140625" style="394" customWidth="1"/>
    <col min="6864" max="6864" width="13.85546875" style="394" customWidth="1"/>
    <col min="6865" max="6865" width="12.28515625" style="394" customWidth="1"/>
    <col min="6866" max="6866" width="11.42578125" style="394" customWidth="1"/>
    <col min="6867" max="6867" width="2.5703125" style="394" customWidth="1"/>
    <col min="6868" max="6870" width="0" style="394" hidden="1" customWidth="1"/>
    <col min="6871" max="6871" width="9.140625" style="394"/>
    <col min="6872" max="6872" width="34.28515625" style="394" customWidth="1"/>
    <col min="6873" max="6877" width="24.85546875" style="394" customWidth="1"/>
    <col min="6878" max="6878" width="11.42578125" style="394" customWidth="1"/>
    <col min="6879" max="6879" width="12.85546875" style="394" customWidth="1"/>
    <col min="6880" max="6880" width="23.5703125" style="394" customWidth="1"/>
    <col min="6881" max="6881" width="9.140625" style="394"/>
    <col min="6882" max="6882" width="15.7109375" style="394" customWidth="1"/>
    <col min="6883" max="6883" width="9.140625" style="394"/>
    <col min="6884" max="6884" width="14.85546875" style="394" customWidth="1"/>
    <col min="6885" max="6887" width="19.28515625" style="394" customWidth="1"/>
    <col min="6888" max="7116" width="9.140625" style="394"/>
    <col min="7117" max="7117" width="2.85546875" style="394" customWidth="1"/>
    <col min="7118" max="7118" width="9.140625" style="394"/>
    <col min="7119" max="7119" width="11.140625" style="394" customWidth="1"/>
    <col min="7120" max="7120" width="13.85546875" style="394" customWidth="1"/>
    <col min="7121" max="7121" width="12.28515625" style="394" customWidth="1"/>
    <col min="7122" max="7122" width="11.42578125" style="394" customWidth="1"/>
    <col min="7123" max="7123" width="2.5703125" style="394" customWidth="1"/>
    <col min="7124" max="7126" width="0" style="394" hidden="1" customWidth="1"/>
    <col min="7127" max="7127" width="9.140625" style="394"/>
    <col min="7128" max="7128" width="34.28515625" style="394" customWidth="1"/>
    <col min="7129" max="7133" width="24.85546875" style="394" customWidth="1"/>
    <col min="7134" max="7134" width="11.42578125" style="394" customWidth="1"/>
    <col min="7135" max="7135" width="12.85546875" style="394" customWidth="1"/>
    <col min="7136" max="7136" width="23.5703125" style="394" customWidth="1"/>
    <col min="7137" max="7137" width="9.140625" style="394"/>
    <col min="7138" max="7138" width="15.7109375" style="394" customWidth="1"/>
    <col min="7139" max="7139" width="9.140625" style="394"/>
    <col min="7140" max="7140" width="14.85546875" style="394" customWidth="1"/>
    <col min="7141" max="7143" width="19.28515625" style="394" customWidth="1"/>
    <col min="7144" max="7372" width="9.140625" style="394"/>
    <col min="7373" max="7373" width="2.85546875" style="394" customWidth="1"/>
    <col min="7374" max="7374" width="9.140625" style="394"/>
    <col min="7375" max="7375" width="11.140625" style="394" customWidth="1"/>
    <col min="7376" max="7376" width="13.85546875" style="394" customWidth="1"/>
    <col min="7377" max="7377" width="12.28515625" style="394" customWidth="1"/>
    <col min="7378" max="7378" width="11.42578125" style="394" customWidth="1"/>
    <col min="7379" max="7379" width="2.5703125" style="394" customWidth="1"/>
    <col min="7380" max="7382" width="0" style="394" hidden="1" customWidth="1"/>
    <col min="7383" max="7383" width="9.140625" style="394"/>
    <col min="7384" max="7384" width="34.28515625" style="394" customWidth="1"/>
    <col min="7385" max="7389" width="24.85546875" style="394" customWidth="1"/>
    <col min="7390" max="7390" width="11.42578125" style="394" customWidth="1"/>
    <col min="7391" max="7391" width="12.85546875" style="394" customWidth="1"/>
    <col min="7392" max="7392" width="23.5703125" style="394" customWidth="1"/>
    <col min="7393" max="7393" width="9.140625" style="394"/>
    <col min="7394" max="7394" width="15.7109375" style="394" customWidth="1"/>
    <col min="7395" max="7395" width="9.140625" style="394"/>
    <col min="7396" max="7396" width="14.85546875" style="394" customWidth="1"/>
    <col min="7397" max="7399" width="19.28515625" style="394" customWidth="1"/>
    <col min="7400" max="7628" width="9.140625" style="394"/>
    <col min="7629" max="7629" width="2.85546875" style="394" customWidth="1"/>
    <col min="7630" max="7630" width="9.140625" style="394"/>
    <col min="7631" max="7631" width="11.140625" style="394" customWidth="1"/>
    <col min="7632" max="7632" width="13.85546875" style="394" customWidth="1"/>
    <col min="7633" max="7633" width="12.28515625" style="394" customWidth="1"/>
    <col min="7634" max="7634" width="11.42578125" style="394" customWidth="1"/>
    <col min="7635" max="7635" width="2.5703125" style="394" customWidth="1"/>
    <col min="7636" max="7638" width="0" style="394" hidden="1" customWidth="1"/>
    <col min="7639" max="7639" width="9.140625" style="394"/>
    <col min="7640" max="7640" width="34.28515625" style="394" customWidth="1"/>
    <col min="7641" max="7645" width="24.85546875" style="394" customWidth="1"/>
    <col min="7646" max="7646" width="11.42578125" style="394" customWidth="1"/>
    <col min="7647" max="7647" width="12.85546875" style="394" customWidth="1"/>
    <col min="7648" max="7648" width="23.5703125" style="394" customWidth="1"/>
    <col min="7649" max="7649" width="9.140625" style="394"/>
    <col min="7650" max="7650" width="15.7109375" style="394" customWidth="1"/>
    <col min="7651" max="7651" width="9.140625" style="394"/>
    <col min="7652" max="7652" width="14.85546875" style="394" customWidth="1"/>
    <col min="7653" max="7655" width="19.28515625" style="394" customWidth="1"/>
    <col min="7656" max="7884" width="9.140625" style="394"/>
    <col min="7885" max="7885" width="2.85546875" style="394" customWidth="1"/>
    <col min="7886" max="7886" width="9.140625" style="394"/>
    <col min="7887" max="7887" width="11.140625" style="394" customWidth="1"/>
    <col min="7888" max="7888" width="13.85546875" style="394" customWidth="1"/>
    <col min="7889" max="7889" width="12.28515625" style="394" customWidth="1"/>
    <col min="7890" max="7890" width="11.42578125" style="394" customWidth="1"/>
    <col min="7891" max="7891" width="2.5703125" style="394" customWidth="1"/>
    <col min="7892" max="7894" width="0" style="394" hidden="1" customWidth="1"/>
    <col min="7895" max="7895" width="9.140625" style="394"/>
    <col min="7896" max="7896" width="34.28515625" style="394" customWidth="1"/>
    <col min="7897" max="7901" width="24.85546875" style="394" customWidth="1"/>
    <col min="7902" max="7902" width="11.42578125" style="394" customWidth="1"/>
    <col min="7903" max="7903" width="12.85546875" style="394" customWidth="1"/>
    <col min="7904" max="7904" width="23.5703125" style="394" customWidth="1"/>
    <col min="7905" max="7905" width="9.140625" style="394"/>
    <col min="7906" max="7906" width="15.7109375" style="394" customWidth="1"/>
    <col min="7907" max="7907" width="9.140625" style="394"/>
    <col min="7908" max="7908" width="14.85546875" style="394" customWidth="1"/>
    <col min="7909" max="7911" width="19.28515625" style="394" customWidth="1"/>
    <col min="7912" max="8140" width="9.140625" style="394"/>
    <col min="8141" max="8141" width="2.85546875" style="394" customWidth="1"/>
    <col min="8142" max="8142" width="9.140625" style="394"/>
    <col min="8143" max="8143" width="11.140625" style="394" customWidth="1"/>
    <col min="8144" max="8144" width="13.85546875" style="394" customWidth="1"/>
    <col min="8145" max="8145" width="12.28515625" style="394" customWidth="1"/>
    <col min="8146" max="8146" width="11.42578125" style="394" customWidth="1"/>
    <col min="8147" max="8147" width="2.5703125" style="394" customWidth="1"/>
    <col min="8148" max="8150" width="0" style="394" hidden="1" customWidth="1"/>
    <col min="8151" max="8151" width="9.140625" style="394"/>
    <col min="8152" max="8152" width="34.28515625" style="394" customWidth="1"/>
    <col min="8153" max="8157" width="24.85546875" style="394" customWidth="1"/>
    <col min="8158" max="8158" width="11.42578125" style="394" customWidth="1"/>
    <col min="8159" max="8159" width="12.85546875" style="394" customWidth="1"/>
    <col min="8160" max="8160" width="23.5703125" style="394" customWidth="1"/>
    <col min="8161" max="8161" width="9.140625" style="394"/>
    <col min="8162" max="8162" width="15.7109375" style="394" customWidth="1"/>
    <col min="8163" max="8163" width="9.140625" style="394"/>
    <col min="8164" max="8164" width="14.85546875" style="394" customWidth="1"/>
    <col min="8165" max="8167" width="19.28515625" style="394" customWidth="1"/>
    <col min="8168" max="8396" width="9.140625" style="394"/>
    <col min="8397" max="8397" width="2.85546875" style="394" customWidth="1"/>
    <col min="8398" max="8398" width="9.140625" style="394"/>
    <col min="8399" max="8399" width="11.140625" style="394" customWidth="1"/>
    <col min="8400" max="8400" width="13.85546875" style="394" customWidth="1"/>
    <col min="8401" max="8401" width="12.28515625" style="394" customWidth="1"/>
    <col min="8402" max="8402" width="11.42578125" style="394" customWidth="1"/>
    <col min="8403" max="8403" width="2.5703125" style="394" customWidth="1"/>
    <col min="8404" max="8406" width="0" style="394" hidden="1" customWidth="1"/>
    <col min="8407" max="8407" width="9.140625" style="394"/>
    <col min="8408" max="8408" width="34.28515625" style="394" customWidth="1"/>
    <col min="8409" max="8413" width="24.85546875" style="394" customWidth="1"/>
    <col min="8414" max="8414" width="11.42578125" style="394" customWidth="1"/>
    <col min="8415" max="8415" width="12.85546875" style="394" customWidth="1"/>
    <col min="8416" max="8416" width="23.5703125" style="394" customWidth="1"/>
    <col min="8417" max="8417" width="9.140625" style="394"/>
    <col min="8418" max="8418" width="15.7109375" style="394" customWidth="1"/>
    <col min="8419" max="8419" width="9.140625" style="394"/>
    <col min="8420" max="8420" width="14.85546875" style="394" customWidth="1"/>
    <col min="8421" max="8423" width="19.28515625" style="394" customWidth="1"/>
    <col min="8424" max="8652" width="9.140625" style="394"/>
    <col min="8653" max="8653" width="2.85546875" style="394" customWidth="1"/>
    <col min="8654" max="8654" width="9.140625" style="394"/>
    <col min="8655" max="8655" width="11.140625" style="394" customWidth="1"/>
    <col min="8656" max="8656" width="13.85546875" style="394" customWidth="1"/>
    <col min="8657" max="8657" width="12.28515625" style="394" customWidth="1"/>
    <col min="8658" max="8658" width="11.42578125" style="394" customWidth="1"/>
    <col min="8659" max="8659" width="2.5703125" style="394" customWidth="1"/>
    <col min="8660" max="8662" width="0" style="394" hidden="1" customWidth="1"/>
    <col min="8663" max="8663" width="9.140625" style="394"/>
    <col min="8664" max="8664" width="34.28515625" style="394" customWidth="1"/>
    <col min="8665" max="8669" width="24.85546875" style="394" customWidth="1"/>
    <col min="8670" max="8670" width="11.42578125" style="394" customWidth="1"/>
    <col min="8671" max="8671" width="12.85546875" style="394" customWidth="1"/>
    <col min="8672" max="8672" width="23.5703125" style="394" customWidth="1"/>
    <col min="8673" max="8673" width="9.140625" style="394"/>
    <col min="8674" max="8674" width="15.7109375" style="394" customWidth="1"/>
    <col min="8675" max="8675" width="9.140625" style="394"/>
    <col min="8676" max="8676" width="14.85546875" style="394" customWidth="1"/>
    <col min="8677" max="8679" width="19.28515625" style="394" customWidth="1"/>
    <col min="8680" max="8908" width="9.140625" style="394"/>
    <col min="8909" max="8909" width="2.85546875" style="394" customWidth="1"/>
    <col min="8910" max="8910" width="9.140625" style="394"/>
    <col min="8911" max="8911" width="11.140625" style="394" customWidth="1"/>
    <col min="8912" max="8912" width="13.85546875" style="394" customWidth="1"/>
    <col min="8913" max="8913" width="12.28515625" style="394" customWidth="1"/>
    <col min="8914" max="8914" width="11.42578125" style="394" customWidth="1"/>
    <col min="8915" max="8915" width="2.5703125" style="394" customWidth="1"/>
    <col min="8916" max="8918" width="0" style="394" hidden="1" customWidth="1"/>
    <col min="8919" max="8919" width="9.140625" style="394"/>
    <col min="8920" max="8920" width="34.28515625" style="394" customWidth="1"/>
    <col min="8921" max="8925" width="24.85546875" style="394" customWidth="1"/>
    <col min="8926" max="8926" width="11.42578125" style="394" customWidth="1"/>
    <col min="8927" max="8927" width="12.85546875" style="394" customWidth="1"/>
    <col min="8928" max="8928" width="23.5703125" style="394" customWidth="1"/>
    <col min="8929" max="8929" width="9.140625" style="394"/>
    <col min="8930" max="8930" width="15.7109375" style="394" customWidth="1"/>
    <col min="8931" max="8931" width="9.140625" style="394"/>
    <col min="8932" max="8932" width="14.85546875" style="394" customWidth="1"/>
    <col min="8933" max="8935" width="19.28515625" style="394" customWidth="1"/>
    <col min="8936" max="9164" width="9.140625" style="394"/>
    <col min="9165" max="9165" width="2.85546875" style="394" customWidth="1"/>
    <col min="9166" max="9166" width="9.140625" style="394"/>
    <col min="9167" max="9167" width="11.140625" style="394" customWidth="1"/>
    <col min="9168" max="9168" width="13.85546875" style="394" customWidth="1"/>
    <col min="9169" max="9169" width="12.28515625" style="394" customWidth="1"/>
    <col min="9170" max="9170" width="11.42578125" style="394" customWidth="1"/>
    <col min="9171" max="9171" width="2.5703125" style="394" customWidth="1"/>
    <col min="9172" max="9174" width="0" style="394" hidden="1" customWidth="1"/>
    <col min="9175" max="9175" width="9.140625" style="394"/>
    <col min="9176" max="9176" width="34.28515625" style="394" customWidth="1"/>
    <col min="9177" max="9181" width="24.85546875" style="394" customWidth="1"/>
    <col min="9182" max="9182" width="11.42578125" style="394" customWidth="1"/>
    <col min="9183" max="9183" width="12.85546875" style="394" customWidth="1"/>
    <col min="9184" max="9184" width="23.5703125" style="394" customWidth="1"/>
    <col min="9185" max="9185" width="9.140625" style="394"/>
    <col min="9186" max="9186" width="15.7109375" style="394" customWidth="1"/>
    <col min="9187" max="9187" width="9.140625" style="394"/>
    <col min="9188" max="9188" width="14.85546875" style="394" customWidth="1"/>
    <col min="9189" max="9191" width="19.28515625" style="394" customWidth="1"/>
    <col min="9192" max="9420" width="9.140625" style="394"/>
    <col min="9421" max="9421" width="2.85546875" style="394" customWidth="1"/>
    <col min="9422" max="9422" width="9.140625" style="394"/>
    <col min="9423" max="9423" width="11.140625" style="394" customWidth="1"/>
    <col min="9424" max="9424" width="13.85546875" style="394" customWidth="1"/>
    <col min="9425" max="9425" width="12.28515625" style="394" customWidth="1"/>
    <col min="9426" max="9426" width="11.42578125" style="394" customWidth="1"/>
    <col min="9427" max="9427" width="2.5703125" style="394" customWidth="1"/>
    <col min="9428" max="9430" width="0" style="394" hidden="1" customWidth="1"/>
    <col min="9431" max="9431" width="9.140625" style="394"/>
    <col min="9432" max="9432" width="34.28515625" style="394" customWidth="1"/>
    <col min="9433" max="9437" width="24.85546875" style="394" customWidth="1"/>
    <col min="9438" max="9438" width="11.42578125" style="394" customWidth="1"/>
    <col min="9439" max="9439" width="12.85546875" style="394" customWidth="1"/>
    <col min="9440" max="9440" width="23.5703125" style="394" customWidth="1"/>
    <col min="9441" max="9441" width="9.140625" style="394"/>
    <col min="9442" max="9442" width="15.7109375" style="394" customWidth="1"/>
    <col min="9443" max="9443" width="9.140625" style="394"/>
    <col min="9444" max="9444" width="14.85546875" style="394" customWidth="1"/>
    <col min="9445" max="9447" width="19.28515625" style="394" customWidth="1"/>
    <col min="9448" max="9676" width="9.140625" style="394"/>
    <col min="9677" max="9677" width="2.85546875" style="394" customWidth="1"/>
    <col min="9678" max="9678" width="9.140625" style="394"/>
    <col min="9679" max="9679" width="11.140625" style="394" customWidth="1"/>
    <col min="9680" max="9680" width="13.85546875" style="394" customWidth="1"/>
    <col min="9681" max="9681" width="12.28515625" style="394" customWidth="1"/>
    <col min="9682" max="9682" width="11.42578125" style="394" customWidth="1"/>
    <col min="9683" max="9683" width="2.5703125" style="394" customWidth="1"/>
    <col min="9684" max="9686" width="0" style="394" hidden="1" customWidth="1"/>
    <col min="9687" max="9687" width="9.140625" style="394"/>
    <col min="9688" max="9688" width="34.28515625" style="394" customWidth="1"/>
    <col min="9689" max="9693" width="24.85546875" style="394" customWidth="1"/>
    <col min="9694" max="9694" width="11.42578125" style="394" customWidth="1"/>
    <col min="9695" max="9695" width="12.85546875" style="394" customWidth="1"/>
    <col min="9696" max="9696" width="23.5703125" style="394" customWidth="1"/>
    <col min="9697" max="9697" width="9.140625" style="394"/>
    <col min="9698" max="9698" width="15.7109375" style="394" customWidth="1"/>
    <col min="9699" max="9699" width="9.140625" style="394"/>
    <col min="9700" max="9700" width="14.85546875" style="394" customWidth="1"/>
    <col min="9701" max="9703" width="19.28515625" style="394" customWidth="1"/>
    <col min="9704" max="9932" width="9.140625" style="394"/>
    <col min="9933" max="9933" width="2.85546875" style="394" customWidth="1"/>
    <col min="9934" max="9934" width="9.140625" style="394"/>
    <col min="9935" max="9935" width="11.140625" style="394" customWidth="1"/>
    <col min="9936" max="9936" width="13.85546875" style="394" customWidth="1"/>
    <col min="9937" max="9937" width="12.28515625" style="394" customWidth="1"/>
    <col min="9938" max="9938" width="11.42578125" style="394" customWidth="1"/>
    <col min="9939" max="9939" width="2.5703125" style="394" customWidth="1"/>
    <col min="9940" max="9942" width="0" style="394" hidden="1" customWidth="1"/>
    <col min="9943" max="9943" width="9.140625" style="394"/>
    <col min="9944" max="9944" width="34.28515625" style="394" customWidth="1"/>
    <col min="9945" max="9949" width="24.85546875" style="394" customWidth="1"/>
    <col min="9950" max="9950" width="11.42578125" style="394" customWidth="1"/>
    <col min="9951" max="9951" width="12.85546875" style="394" customWidth="1"/>
    <col min="9952" max="9952" width="23.5703125" style="394" customWidth="1"/>
    <col min="9953" max="9953" width="9.140625" style="394"/>
    <col min="9954" max="9954" width="15.7109375" style="394" customWidth="1"/>
    <col min="9955" max="9955" width="9.140625" style="394"/>
    <col min="9956" max="9956" width="14.85546875" style="394" customWidth="1"/>
    <col min="9957" max="9959" width="19.28515625" style="394" customWidth="1"/>
    <col min="9960" max="10188" width="9.140625" style="394"/>
    <col min="10189" max="10189" width="2.85546875" style="394" customWidth="1"/>
    <col min="10190" max="10190" width="9.140625" style="394"/>
    <col min="10191" max="10191" width="11.140625" style="394" customWidth="1"/>
    <col min="10192" max="10192" width="13.85546875" style="394" customWidth="1"/>
    <col min="10193" max="10193" width="12.28515625" style="394" customWidth="1"/>
    <col min="10194" max="10194" width="11.42578125" style="394" customWidth="1"/>
    <col min="10195" max="10195" width="2.5703125" style="394" customWidth="1"/>
    <col min="10196" max="10198" width="0" style="394" hidden="1" customWidth="1"/>
    <col min="10199" max="10199" width="9.140625" style="394"/>
    <col min="10200" max="10200" width="34.28515625" style="394" customWidth="1"/>
    <col min="10201" max="10205" width="24.85546875" style="394" customWidth="1"/>
    <col min="10206" max="10206" width="11.42578125" style="394" customWidth="1"/>
    <col min="10207" max="10207" width="12.85546875" style="394" customWidth="1"/>
    <col min="10208" max="10208" width="23.5703125" style="394" customWidth="1"/>
    <col min="10209" max="10209" width="9.140625" style="394"/>
    <col min="10210" max="10210" width="15.7109375" style="394" customWidth="1"/>
    <col min="10211" max="10211" width="9.140625" style="394"/>
    <col min="10212" max="10212" width="14.85546875" style="394" customWidth="1"/>
    <col min="10213" max="10215" width="19.28515625" style="394" customWidth="1"/>
    <col min="10216" max="10444" width="9.140625" style="394"/>
    <col min="10445" max="10445" width="2.85546875" style="394" customWidth="1"/>
    <col min="10446" max="10446" width="9.140625" style="394"/>
    <col min="10447" max="10447" width="11.140625" style="394" customWidth="1"/>
    <col min="10448" max="10448" width="13.85546875" style="394" customWidth="1"/>
    <col min="10449" max="10449" width="12.28515625" style="394" customWidth="1"/>
    <col min="10450" max="10450" width="11.42578125" style="394" customWidth="1"/>
    <col min="10451" max="10451" width="2.5703125" style="394" customWidth="1"/>
    <col min="10452" max="10454" width="0" style="394" hidden="1" customWidth="1"/>
    <col min="10455" max="10455" width="9.140625" style="394"/>
    <col min="10456" max="10456" width="34.28515625" style="394" customWidth="1"/>
    <col min="10457" max="10461" width="24.85546875" style="394" customWidth="1"/>
    <col min="10462" max="10462" width="11.42578125" style="394" customWidth="1"/>
    <col min="10463" max="10463" width="12.85546875" style="394" customWidth="1"/>
    <col min="10464" max="10464" width="23.5703125" style="394" customWidth="1"/>
    <col min="10465" max="10465" width="9.140625" style="394"/>
    <col min="10466" max="10466" width="15.7109375" style="394" customWidth="1"/>
    <col min="10467" max="10467" width="9.140625" style="394"/>
    <col min="10468" max="10468" width="14.85546875" style="394" customWidth="1"/>
    <col min="10469" max="10471" width="19.28515625" style="394" customWidth="1"/>
    <col min="10472" max="10700" width="9.140625" style="394"/>
    <col min="10701" max="10701" width="2.85546875" style="394" customWidth="1"/>
    <col min="10702" max="10702" width="9.140625" style="394"/>
    <col min="10703" max="10703" width="11.140625" style="394" customWidth="1"/>
    <col min="10704" max="10704" width="13.85546875" style="394" customWidth="1"/>
    <col min="10705" max="10705" width="12.28515625" style="394" customWidth="1"/>
    <col min="10706" max="10706" width="11.42578125" style="394" customWidth="1"/>
    <col min="10707" max="10707" width="2.5703125" style="394" customWidth="1"/>
    <col min="10708" max="10710" width="0" style="394" hidden="1" customWidth="1"/>
    <col min="10711" max="10711" width="9.140625" style="394"/>
    <col min="10712" max="10712" width="34.28515625" style="394" customWidth="1"/>
    <col min="10713" max="10717" width="24.85546875" style="394" customWidth="1"/>
    <col min="10718" max="10718" width="11.42578125" style="394" customWidth="1"/>
    <col min="10719" max="10719" width="12.85546875" style="394" customWidth="1"/>
    <col min="10720" max="10720" width="23.5703125" style="394" customWidth="1"/>
    <col min="10721" max="10721" width="9.140625" style="394"/>
    <col min="10722" max="10722" width="15.7109375" style="394" customWidth="1"/>
    <col min="10723" max="10723" width="9.140625" style="394"/>
    <col min="10724" max="10724" width="14.85546875" style="394" customWidth="1"/>
    <col min="10725" max="10727" width="19.28515625" style="394" customWidth="1"/>
    <col min="10728" max="10956" width="9.140625" style="394"/>
    <col min="10957" max="10957" width="2.85546875" style="394" customWidth="1"/>
    <col min="10958" max="10958" width="9.140625" style="394"/>
    <col min="10959" max="10959" width="11.140625" style="394" customWidth="1"/>
    <col min="10960" max="10960" width="13.85546875" style="394" customWidth="1"/>
    <col min="10961" max="10961" width="12.28515625" style="394" customWidth="1"/>
    <col min="10962" max="10962" width="11.42578125" style="394" customWidth="1"/>
    <col min="10963" max="10963" width="2.5703125" style="394" customWidth="1"/>
    <col min="10964" max="10966" width="0" style="394" hidden="1" customWidth="1"/>
    <col min="10967" max="10967" width="9.140625" style="394"/>
    <col min="10968" max="10968" width="34.28515625" style="394" customWidth="1"/>
    <col min="10969" max="10973" width="24.85546875" style="394" customWidth="1"/>
    <col min="10974" max="10974" width="11.42578125" style="394" customWidth="1"/>
    <col min="10975" max="10975" width="12.85546875" style="394" customWidth="1"/>
    <col min="10976" max="10976" width="23.5703125" style="394" customWidth="1"/>
    <col min="10977" max="10977" width="9.140625" style="394"/>
    <col min="10978" max="10978" width="15.7109375" style="394" customWidth="1"/>
    <col min="10979" max="10979" width="9.140625" style="394"/>
    <col min="10980" max="10980" width="14.85546875" style="394" customWidth="1"/>
    <col min="10981" max="10983" width="19.28515625" style="394" customWidth="1"/>
    <col min="10984" max="11212" width="9.140625" style="394"/>
    <col min="11213" max="11213" width="2.85546875" style="394" customWidth="1"/>
    <col min="11214" max="11214" width="9.140625" style="394"/>
    <col min="11215" max="11215" width="11.140625" style="394" customWidth="1"/>
    <col min="11216" max="11216" width="13.85546875" style="394" customWidth="1"/>
    <col min="11217" max="11217" width="12.28515625" style="394" customWidth="1"/>
    <col min="11218" max="11218" width="11.42578125" style="394" customWidth="1"/>
    <col min="11219" max="11219" width="2.5703125" style="394" customWidth="1"/>
    <col min="11220" max="11222" width="0" style="394" hidden="1" customWidth="1"/>
    <col min="11223" max="11223" width="9.140625" style="394"/>
    <col min="11224" max="11224" width="34.28515625" style="394" customWidth="1"/>
    <col min="11225" max="11229" width="24.85546875" style="394" customWidth="1"/>
    <col min="11230" max="11230" width="11.42578125" style="394" customWidth="1"/>
    <col min="11231" max="11231" width="12.85546875" style="394" customWidth="1"/>
    <col min="11232" max="11232" width="23.5703125" style="394" customWidth="1"/>
    <col min="11233" max="11233" width="9.140625" style="394"/>
    <col min="11234" max="11234" width="15.7109375" style="394" customWidth="1"/>
    <col min="11235" max="11235" width="9.140625" style="394"/>
    <col min="11236" max="11236" width="14.85546875" style="394" customWidth="1"/>
    <col min="11237" max="11239" width="19.28515625" style="394" customWidth="1"/>
    <col min="11240" max="11468" width="9.140625" style="394"/>
    <col min="11469" max="11469" width="2.85546875" style="394" customWidth="1"/>
    <col min="11470" max="11470" width="9.140625" style="394"/>
    <col min="11471" max="11471" width="11.140625" style="394" customWidth="1"/>
    <col min="11472" max="11472" width="13.85546875" style="394" customWidth="1"/>
    <col min="11473" max="11473" width="12.28515625" style="394" customWidth="1"/>
    <col min="11474" max="11474" width="11.42578125" style="394" customWidth="1"/>
    <col min="11475" max="11475" width="2.5703125" style="394" customWidth="1"/>
    <col min="11476" max="11478" width="0" style="394" hidden="1" customWidth="1"/>
    <col min="11479" max="11479" width="9.140625" style="394"/>
    <col min="11480" max="11480" width="34.28515625" style="394" customWidth="1"/>
    <col min="11481" max="11485" width="24.85546875" style="394" customWidth="1"/>
    <col min="11486" max="11486" width="11.42578125" style="394" customWidth="1"/>
    <col min="11487" max="11487" width="12.85546875" style="394" customWidth="1"/>
    <col min="11488" max="11488" width="23.5703125" style="394" customWidth="1"/>
    <col min="11489" max="11489" width="9.140625" style="394"/>
    <col min="11490" max="11490" width="15.7109375" style="394" customWidth="1"/>
    <col min="11491" max="11491" width="9.140625" style="394"/>
    <col min="11492" max="11492" width="14.85546875" style="394" customWidth="1"/>
    <col min="11493" max="11495" width="19.28515625" style="394" customWidth="1"/>
    <col min="11496" max="11724" width="9.140625" style="394"/>
    <col min="11725" max="11725" width="2.85546875" style="394" customWidth="1"/>
    <col min="11726" max="11726" width="9.140625" style="394"/>
    <col min="11727" max="11727" width="11.140625" style="394" customWidth="1"/>
    <col min="11728" max="11728" width="13.85546875" style="394" customWidth="1"/>
    <col min="11729" max="11729" width="12.28515625" style="394" customWidth="1"/>
    <col min="11730" max="11730" width="11.42578125" style="394" customWidth="1"/>
    <col min="11731" max="11731" width="2.5703125" style="394" customWidth="1"/>
    <col min="11732" max="11734" width="0" style="394" hidden="1" customWidth="1"/>
    <col min="11735" max="11735" width="9.140625" style="394"/>
    <col min="11736" max="11736" width="34.28515625" style="394" customWidth="1"/>
    <col min="11737" max="11741" width="24.85546875" style="394" customWidth="1"/>
    <col min="11742" max="11742" width="11.42578125" style="394" customWidth="1"/>
    <col min="11743" max="11743" width="12.85546875" style="394" customWidth="1"/>
    <col min="11744" max="11744" width="23.5703125" style="394" customWidth="1"/>
    <col min="11745" max="11745" width="9.140625" style="394"/>
    <col min="11746" max="11746" width="15.7109375" style="394" customWidth="1"/>
    <col min="11747" max="11747" width="9.140625" style="394"/>
    <col min="11748" max="11748" width="14.85546875" style="394" customWidth="1"/>
    <col min="11749" max="11751" width="19.28515625" style="394" customWidth="1"/>
    <col min="11752" max="11980" width="9.140625" style="394"/>
    <col min="11981" max="11981" width="2.85546875" style="394" customWidth="1"/>
    <col min="11982" max="11982" width="9.140625" style="394"/>
    <col min="11983" max="11983" width="11.140625" style="394" customWidth="1"/>
    <col min="11984" max="11984" width="13.85546875" style="394" customWidth="1"/>
    <col min="11985" max="11985" width="12.28515625" style="394" customWidth="1"/>
    <col min="11986" max="11986" width="11.42578125" style="394" customWidth="1"/>
    <col min="11987" max="11987" width="2.5703125" style="394" customWidth="1"/>
    <col min="11988" max="11990" width="0" style="394" hidden="1" customWidth="1"/>
    <col min="11991" max="11991" width="9.140625" style="394"/>
    <col min="11992" max="11992" width="34.28515625" style="394" customWidth="1"/>
    <col min="11993" max="11997" width="24.85546875" style="394" customWidth="1"/>
    <col min="11998" max="11998" width="11.42578125" style="394" customWidth="1"/>
    <col min="11999" max="11999" width="12.85546875" style="394" customWidth="1"/>
    <col min="12000" max="12000" width="23.5703125" style="394" customWidth="1"/>
    <col min="12001" max="12001" width="9.140625" style="394"/>
    <col min="12002" max="12002" width="15.7109375" style="394" customWidth="1"/>
    <col min="12003" max="12003" width="9.140625" style="394"/>
    <col min="12004" max="12004" width="14.85546875" style="394" customWidth="1"/>
    <col min="12005" max="12007" width="19.28515625" style="394" customWidth="1"/>
    <col min="12008" max="12236" width="9.140625" style="394"/>
    <col min="12237" max="12237" width="2.85546875" style="394" customWidth="1"/>
    <col min="12238" max="12238" width="9.140625" style="394"/>
    <col min="12239" max="12239" width="11.140625" style="394" customWidth="1"/>
    <col min="12240" max="12240" width="13.85546875" style="394" customWidth="1"/>
    <col min="12241" max="12241" width="12.28515625" style="394" customWidth="1"/>
    <col min="12242" max="12242" width="11.42578125" style="394" customWidth="1"/>
    <col min="12243" max="12243" width="2.5703125" style="394" customWidth="1"/>
    <col min="12244" max="12246" width="0" style="394" hidden="1" customWidth="1"/>
    <col min="12247" max="12247" width="9.140625" style="394"/>
    <col min="12248" max="12248" width="34.28515625" style="394" customWidth="1"/>
    <col min="12249" max="12253" width="24.85546875" style="394" customWidth="1"/>
    <col min="12254" max="12254" width="11.42578125" style="394" customWidth="1"/>
    <col min="12255" max="12255" width="12.85546875" style="394" customWidth="1"/>
    <col min="12256" max="12256" width="23.5703125" style="394" customWidth="1"/>
    <col min="12257" max="12257" width="9.140625" style="394"/>
    <col min="12258" max="12258" width="15.7109375" style="394" customWidth="1"/>
    <col min="12259" max="12259" width="9.140625" style="394"/>
    <col min="12260" max="12260" width="14.85546875" style="394" customWidth="1"/>
    <col min="12261" max="12263" width="19.28515625" style="394" customWidth="1"/>
    <col min="12264" max="12492" width="9.140625" style="394"/>
    <col min="12493" max="12493" width="2.85546875" style="394" customWidth="1"/>
    <col min="12494" max="12494" width="9.140625" style="394"/>
    <col min="12495" max="12495" width="11.140625" style="394" customWidth="1"/>
    <col min="12496" max="12496" width="13.85546875" style="394" customWidth="1"/>
    <col min="12497" max="12497" width="12.28515625" style="394" customWidth="1"/>
    <col min="12498" max="12498" width="11.42578125" style="394" customWidth="1"/>
    <col min="12499" max="12499" width="2.5703125" style="394" customWidth="1"/>
    <col min="12500" max="12502" width="0" style="394" hidden="1" customWidth="1"/>
    <col min="12503" max="12503" width="9.140625" style="394"/>
    <col min="12504" max="12504" width="34.28515625" style="394" customWidth="1"/>
    <col min="12505" max="12509" width="24.85546875" style="394" customWidth="1"/>
    <col min="12510" max="12510" width="11.42578125" style="394" customWidth="1"/>
    <col min="12511" max="12511" width="12.85546875" style="394" customWidth="1"/>
    <col min="12512" max="12512" width="23.5703125" style="394" customWidth="1"/>
    <col min="12513" max="12513" width="9.140625" style="394"/>
    <col min="12514" max="12514" width="15.7109375" style="394" customWidth="1"/>
    <col min="12515" max="12515" width="9.140625" style="394"/>
    <col min="12516" max="12516" width="14.85546875" style="394" customWidth="1"/>
    <col min="12517" max="12519" width="19.28515625" style="394" customWidth="1"/>
    <col min="12520" max="12748" width="9.140625" style="394"/>
    <col min="12749" max="12749" width="2.85546875" style="394" customWidth="1"/>
    <col min="12750" max="12750" width="9.140625" style="394"/>
    <col min="12751" max="12751" width="11.140625" style="394" customWidth="1"/>
    <col min="12752" max="12752" width="13.85546875" style="394" customWidth="1"/>
    <col min="12753" max="12753" width="12.28515625" style="394" customWidth="1"/>
    <col min="12754" max="12754" width="11.42578125" style="394" customWidth="1"/>
    <col min="12755" max="12755" width="2.5703125" style="394" customWidth="1"/>
    <col min="12756" max="12758" width="0" style="394" hidden="1" customWidth="1"/>
    <col min="12759" max="12759" width="9.140625" style="394"/>
    <col min="12760" max="12760" width="34.28515625" style="394" customWidth="1"/>
    <col min="12761" max="12765" width="24.85546875" style="394" customWidth="1"/>
    <col min="12766" max="12766" width="11.42578125" style="394" customWidth="1"/>
    <col min="12767" max="12767" width="12.85546875" style="394" customWidth="1"/>
    <col min="12768" max="12768" width="23.5703125" style="394" customWidth="1"/>
    <col min="12769" max="12769" width="9.140625" style="394"/>
    <col min="12770" max="12770" width="15.7109375" style="394" customWidth="1"/>
    <col min="12771" max="12771" width="9.140625" style="394"/>
    <col min="12772" max="12772" width="14.85546875" style="394" customWidth="1"/>
    <col min="12773" max="12775" width="19.28515625" style="394" customWidth="1"/>
    <col min="12776" max="13004" width="9.140625" style="394"/>
    <col min="13005" max="13005" width="2.85546875" style="394" customWidth="1"/>
    <col min="13006" max="13006" width="9.140625" style="394"/>
    <col min="13007" max="13007" width="11.140625" style="394" customWidth="1"/>
    <col min="13008" max="13008" width="13.85546875" style="394" customWidth="1"/>
    <col min="13009" max="13009" width="12.28515625" style="394" customWidth="1"/>
    <col min="13010" max="13010" width="11.42578125" style="394" customWidth="1"/>
    <col min="13011" max="13011" width="2.5703125" style="394" customWidth="1"/>
    <col min="13012" max="13014" width="0" style="394" hidden="1" customWidth="1"/>
    <col min="13015" max="13015" width="9.140625" style="394"/>
    <col min="13016" max="13016" width="34.28515625" style="394" customWidth="1"/>
    <col min="13017" max="13021" width="24.85546875" style="394" customWidth="1"/>
    <col min="13022" max="13022" width="11.42578125" style="394" customWidth="1"/>
    <col min="13023" max="13023" width="12.85546875" style="394" customWidth="1"/>
    <col min="13024" max="13024" width="23.5703125" style="394" customWidth="1"/>
    <col min="13025" max="13025" width="9.140625" style="394"/>
    <col min="13026" max="13026" width="15.7109375" style="394" customWidth="1"/>
    <col min="13027" max="13027" width="9.140625" style="394"/>
    <col min="13028" max="13028" width="14.85546875" style="394" customWidth="1"/>
    <col min="13029" max="13031" width="19.28515625" style="394" customWidth="1"/>
    <col min="13032" max="13260" width="9.140625" style="394"/>
    <col min="13261" max="13261" width="2.85546875" style="394" customWidth="1"/>
    <col min="13262" max="13262" width="9.140625" style="394"/>
    <col min="13263" max="13263" width="11.140625" style="394" customWidth="1"/>
    <col min="13264" max="13264" width="13.85546875" style="394" customWidth="1"/>
    <col min="13265" max="13265" width="12.28515625" style="394" customWidth="1"/>
    <col min="13266" max="13266" width="11.42578125" style="394" customWidth="1"/>
    <col min="13267" max="13267" width="2.5703125" style="394" customWidth="1"/>
    <col min="13268" max="13270" width="0" style="394" hidden="1" customWidth="1"/>
    <col min="13271" max="13271" width="9.140625" style="394"/>
    <col min="13272" max="13272" width="34.28515625" style="394" customWidth="1"/>
    <col min="13273" max="13277" width="24.85546875" style="394" customWidth="1"/>
    <col min="13278" max="13278" width="11.42578125" style="394" customWidth="1"/>
    <col min="13279" max="13279" width="12.85546875" style="394" customWidth="1"/>
    <col min="13280" max="13280" width="23.5703125" style="394" customWidth="1"/>
    <col min="13281" max="13281" width="9.140625" style="394"/>
    <col min="13282" max="13282" width="15.7109375" style="394" customWidth="1"/>
    <col min="13283" max="13283" width="9.140625" style="394"/>
    <col min="13284" max="13284" width="14.85546875" style="394" customWidth="1"/>
    <col min="13285" max="13287" width="19.28515625" style="394" customWidth="1"/>
    <col min="13288" max="13516" width="9.140625" style="394"/>
    <col min="13517" max="13517" width="2.85546875" style="394" customWidth="1"/>
    <col min="13518" max="13518" width="9.140625" style="394"/>
    <col min="13519" max="13519" width="11.140625" style="394" customWidth="1"/>
    <col min="13520" max="13520" width="13.85546875" style="394" customWidth="1"/>
    <col min="13521" max="13521" width="12.28515625" style="394" customWidth="1"/>
    <col min="13522" max="13522" width="11.42578125" style="394" customWidth="1"/>
    <col min="13523" max="13523" width="2.5703125" style="394" customWidth="1"/>
    <col min="13524" max="13526" width="0" style="394" hidden="1" customWidth="1"/>
    <col min="13527" max="13527" width="9.140625" style="394"/>
    <col min="13528" max="13528" width="34.28515625" style="394" customWidth="1"/>
    <col min="13529" max="13533" width="24.85546875" style="394" customWidth="1"/>
    <col min="13534" max="13534" width="11.42578125" style="394" customWidth="1"/>
    <col min="13535" max="13535" width="12.85546875" style="394" customWidth="1"/>
    <col min="13536" max="13536" width="23.5703125" style="394" customWidth="1"/>
    <col min="13537" max="13537" width="9.140625" style="394"/>
    <col min="13538" max="13538" width="15.7109375" style="394" customWidth="1"/>
    <col min="13539" max="13539" width="9.140625" style="394"/>
    <col min="13540" max="13540" width="14.85546875" style="394" customWidth="1"/>
    <col min="13541" max="13543" width="19.28515625" style="394" customWidth="1"/>
    <col min="13544" max="13772" width="9.140625" style="394"/>
    <col min="13773" max="13773" width="2.85546875" style="394" customWidth="1"/>
    <col min="13774" max="13774" width="9.140625" style="394"/>
    <col min="13775" max="13775" width="11.140625" style="394" customWidth="1"/>
    <col min="13776" max="13776" width="13.85546875" style="394" customWidth="1"/>
    <col min="13777" max="13777" width="12.28515625" style="394" customWidth="1"/>
    <col min="13778" max="13778" width="11.42578125" style="394" customWidth="1"/>
    <col min="13779" max="13779" width="2.5703125" style="394" customWidth="1"/>
    <col min="13780" max="13782" width="0" style="394" hidden="1" customWidth="1"/>
    <col min="13783" max="13783" width="9.140625" style="394"/>
    <col min="13784" max="13784" width="34.28515625" style="394" customWidth="1"/>
    <col min="13785" max="13789" width="24.85546875" style="394" customWidth="1"/>
    <col min="13790" max="13790" width="11.42578125" style="394" customWidth="1"/>
    <col min="13791" max="13791" width="12.85546875" style="394" customWidth="1"/>
    <col min="13792" max="13792" width="23.5703125" style="394" customWidth="1"/>
    <col min="13793" max="13793" width="9.140625" style="394"/>
    <col min="13794" max="13794" width="15.7109375" style="394" customWidth="1"/>
    <col min="13795" max="13795" width="9.140625" style="394"/>
    <col min="13796" max="13796" width="14.85546875" style="394" customWidth="1"/>
    <col min="13797" max="13799" width="19.28515625" style="394" customWidth="1"/>
    <col min="13800" max="14028" width="9.140625" style="394"/>
    <col min="14029" max="14029" width="2.85546875" style="394" customWidth="1"/>
    <col min="14030" max="14030" width="9.140625" style="394"/>
    <col min="14031" max="14031" width="11.140625" style="394" customWidth="1"/>
    <col min="14032" max="14032" width="13.85546875" style="394" customWidth="1"/>
    <col min="14033" max="14033" width="12.28515625" style="394" customWidth="1"/>
    <col min="14034" max="14034" width="11.42578125" style="394" customWidth="1"/>
    <col min="14035" max="14035" width="2.5703125" style="394" customWidth="1"/>
    <col min="14036" max="14038" width="0" style="394" hidden="1" customWidth="1"/>
    <col min="14039" max="14039" width="9.140625" style="394"/>
    <col min="14040" max="14040" width="34.28515625" style="394" customWidth="1"/>
    <col min="14041" max="14045" width="24.85546875" style="394" customWidth="1"/>
    <col min="14046" max="14046" width="11.42578125" style="394" customWidth="1"/>
    <col min="14047" max="14047" width="12.85546875" style="394" customWidth="1"/>
    <col min="14048" max="14048" width="23.5703125" style="394" customWidth="1"/>
    <col min="14049" max="14049" width="9.140625" style="394"/>
    <col min="14050" max="14050" width="15.7109375" style="394" customWidth="1"/>
    <col min="14051" max="14051" width="9.140625" style="394"/>
    <col min="14052" max="14052" width="14.85546875" style="394" customWidth="1"/>
    <col min="14053" max="14055" width="19.28515625" style="394" customWidth="1"/>
    <col min="14056" max="14284" width="9.140625" style="394"/>
    <col min="14285" max="14285" width="2.85546875" style="394" customWidth="1"/>
    <col min="14286" max="14286" width="9.140625" style="394"/>
    <col min="14287" max="14287" width="11.140625" style="394" customWidth="1"/>
    <col min="14288" max="14288" width="13.85546875" style="394" customWidth="1"/>
    <col min="14289" max="14289" width="12.28515625" style="394" customWidth="1"/>
    <col min="14290" max="14290" width="11.42578125" style="394" customWidth="1"/>
    <col min="14291" max="14291" width="2.5703125" style="394" customWidth="1"/>
    <col min="14292" max="14294" width="0" style="394" hidden="1" customWidth="1"/>
    <col min="14295" max="14295" width="9.140625" style="394"/>
    <col min="14296" max="14296" width="34.28515625" style="394" customWidth="1"/>
    <col min="14297" max="14301" width="24.85546875" style="394" customWidth="1"/>
    <col min="14302" max="14302" width="11.42578125" style="394" customWidth="1"/>
    <col min="14303" max="14303" width="12.85546875" style="394" customWidth="1"/>
    <col min="14304" max="14304" width="23.5703125" style="394" customWidth="1"/>
    <col min="14305" max="14305" width="9.140625" style="394"/>
    <col min="14306" max="14306" width="15.7109375" style="394" customWidth="1"/>
    <col min="14307" max="14307" width="9.140625" style="394"/>
    <col min="14308" max="14308" width="14.85546875" style="394" customWidth="1"/>
    <col min="14309" max="14311" width="19.28515625" style="394" customWidth="1"/>
    <col min="14312" max="14540" width="9.140625" style="394"/>
    <col min="14541" max="14541" width="2.85546875" style="394" customWidth="1"/>
    <col min="14542" max="14542" width="9.140625" style="394"/>
    <col min="14543" max="14543" width="11.140625" style="394" customWidth="1"/>
    <col min="14544" max="14544" width="13.85546875" style="394" customWidth="1"/>
    <col min="14545" max="14545" width="12.28515625" style="394" customWidth="1"/>
    <col min="14546" max="14546" width="11.42578125" style="394" customWidth="1"/>
    <col min="14547" max="14547" width="2.5703125" style="394" customWidth="1"/>
    <col min="14548" max="14550" width="0" style="394" hidden="1" customWidth="1"/>
    <col min="14551" max="14551" width="9.140625" style="394"/>
    <col min="14552" max="14552" width="34.28515625" style="394" customWidth="1"/>
    <col min="14553" max="14557" width="24.85546875" style="394" customWidth="1"/>
    <col min="14558" max="14558" width="11.42578125" style="394" customWidth="1"/>
    <col min="14559" max="14559" width="12.85546875" style="394" customWidth="1"/>
    <col min="14560" max="14560" width="23.5703125" style="394" customWidth="1"/>
    <col min="14561" max="14561" width="9.140625" style="394"/>
    <col min="14562" max="14562" width="15.7109375" style="394" customWidth="1"/>
    <col min="14563" max="14563" width="9.140625" style="394"/>
    <col min="14564" max="14564" width="14.85546875" style="394" customWidth="1"/>
    <col min="14565" max="14567" width="19.28515625" style="394" customWidth="1"/>
    <col min="14568" max="14796" width="9.140625" style="394"/>
    <col min="14797" max="14797" width="2.85546875" style="394" customWidth="1"/>
    <col min="14798" max="14798" width="9.140625" style="394"/>
    <col min="14799" max="14799" width="11.140625" style="394" customWidth="1"/>
    <col min="14800" max="14800" width="13.85546875" style="394" customWidth="1"/>
    <col min="14801" max="14801" width="12.28515625" style="394" customWidth="1"/>
    <col min="14802" max="14802" width="11.42578125" style="394" customWidth="1"/>
    <col min="14803" max="14803" width="2.5703125" style="394" customWidth="1"/>
    <col min="14804" max="14806" width="0" style="394" hidden="1" customWidth="1"/>
    <col min="14807" max="14807" width="9.140625" style="394"/>
    <col min="14808" max="14808" width="34.28515625" style="394" customWidth="1"/>
    <col min="14809" max="14813" width="24.85546875" style="394" customWidth="1"/>
    <col min="14814" max="14814" width="11.42578125" style="394" customWidth="1"/>
    <col min="14815" max="14815" width="12.85546875" style="394" customWidth="1"/>
    <col min="14816" max="14816" width="23.5703125" style="394" customWidth="1"/>
    <col min="14817" max="14817" width="9.140625" style="394"/>
    <col min="14818" max="14818" width="15.7109375" style="394" customWidth="1"/>
    <col min="14819" max="14819" width="9.140625" style="394"/>
    <col min="14820" max="14820" width="14.85546875" style="394" customWidth="1"/>
    <col min="14821" max="14823" width="19.28515625" style="394" customWidth="1"/>
    <col min="14824" max="15052" width="9.140625" style="394"/>
    <col min="15053" max="15053" width="2.85546875" style="394" customWidth="1"/>
    <col min="15054" max="15054" width="9.140625" style="394"/>
    <col min="15055" max="15055" width="11.140625" style="394" customWidth="1"/>
    <col min="15056" max="15056" width="13.85546875" style="394" customWidth="1"/>
    <col min="15057" max="15057" width="12.28515625" style="394" customWidth="1"/>
    <col min="15058" max="15058" width="11.42578125" style="394" customWidth="1"/>
    <col min="15059" max="15059" width="2.5703125" style="394" customWidth="1"/>
    <col min="15060" max="15062" width="0" style="394" hidden="1" customWidth="1"/>
    <col min="15063" max="15063" width="9.140625" style="394"/>
    <col min="15064" max="15064" width="34.28515625" style="394" customWidth="1"/>
    <col min="15065" max="15069" width="24.85546875" style="394" customWidth="1"/>
    <col min="15070" max="15070" width="11.42578125" style="394" customWidth="1"/>
    <col min="15071" max="15071" width="12.85546875" style="394" customWidth="1"/>
    <col min="15072" max="15072" width="23.5703125" style="394" customWidth="1"/>
    <col min="15073" max="15073" width="9.140625" style="394"/>
    <col min="15074" max="15074" width="15.7109375" style="394" customWidth="1"/>
    <col min="15075" max="15075" width="9.140625" style="394"/>
    <col min="15076" max="15076" width="14.85546875" style="394" customWidth="1"/>
    <col min="15077" max="15079" width="19.28515625" style="394" customWidth="1"/>
    <col min="15080" max="15308" width="9.140625" style="394"/>
    <col min="15309" max="15309" width="2.85546875" style="394" customWidth="1"/>
    <col min="15310" max="15310" width="9.140625" style="394"/>
    <col min="15311" max="15311" width="11.140625" style="394" customWidth="1"/>
    <col min="15312" max="15312" width="13.85546875" style="394" customWidth="1"/>
    <col min="15313" max="15313" width="12.28515625" style="394" customWidth="1"/>
    <col min="15314" max="15314" width="11.42578125" style="394" customWidth="1"/>
    <col min="15315" max="15315" width="2.5703125" style="394" customWidth="1"/>
    <col min="15316" max="15318" width="0" style="394" hidden="1" customWidth="1"/>
    <col min="15319" max="15319" width="9.140625" style="394"/>
    <col min="15320" max="15320" width="34.28515625" style="394" customWidth="1"/>
    <col min="15321" max="15325" width="24.85546875" style="394" customWidth="1"/>
    <col min="15326" max="15326" width="11.42578125" style="394" customWidth="1"/>
    <col min="15327" max="15327" width="12.85546875" style="394" customWidth="1"/>
    <col min="15328" max="15328" width="23.5703125" style="394" customWidth="1"/>
    <col min="15329" max="15329" width="9.140625" style="394"/>
    <col min="15330" max="15330" width="15.7109375" style="394" customWidth="1"/>
    <col min="15331" max="15331" width="9.140625" style="394"/>
    <col min="15332" max="15332" width="14.85546875" style="394" customWidth="1"/>
    <col min="15333" max="15335" width="19.28515625" style="394" customWidth="1"/>
    <col min="15336" max="15564" width="9.140625" style="394"/>
    <col min="15565" max="15565" width="2.85546875" style="394" customWidth="1"/>
    <col min="15566" max="15566" width="9.140625" style="394"/>
    <col min="15567" max="15567" width="11.140625" style="394" customWidth="1"/>
    <col min="15568" max="15568" width="13.85546875" style="394" customWidth="1"/>
    <col min="15569" max="15569" width="12.28515625" style="394" customWidth="1"/>
    <col min="15570" max="15570" width="11.42578125" style="394" customWidth="1"/>
    <col min="15571" max="15571" width="2.5703125" style="394" customWidth="1"/>
    <col min="15572" max="15574" width="0" style="394" hidden="1" customWidth="1"/>
    <col min="15575" max="15575" width="9.140625" style="394"/>
    <col min="15576" max="15576" width="34.28515625" style="394" customWidth="1"/>
    <col min="15577" max="15581" width="24.85546875" style="394" customWidth="1"/>
    <col min="15582" max="15582" width="11.42578125" style="394" customWidth="1"/>
    <col min="15583" max="15583" width="12.85546875" style="394" customWidth="1"/>
    <col min="15584" max="15584" width="23.5703125" style="394" customWidth="1"/>
    <col min="15585" max="15585" width="9.140625" style="394"/>
    <col min="15586" max="15586" width="15.7109375" style="394" customWidth="1"/>
    <col min="15587" max="15587" width="9.140625" style="394"/>
    <col min="15588" max="15588" width="14.85546875" style="394" customWidth="1"/>
    <col min="15589" max="15591" width="19.28515625" style="394" customWidth="1"/>
    <col min="15592" max="15820" width="9.140625" style="394"/>
    <col min="15821" max="15821" width="2.85546875" style="394" customWidth="1"/>
    <col min="15822" max="15822" width="9.140625" style="394"/>
    <col min="15823" max="15823" width="11.140625" style="394" customWidth="1"/>
    <col min="15824" max="15824" width="13.85546875" style="394" customWidth="1"/>
    <col min="15825" max="15825" width="12.28515625" style="394" customWidth="1"/>
    <col min="15826" max="15826" width="11.42578125" style="394" customWidth="1"/>
    <col min="15827" max="15827" width="2.5703125" style="394" customWidth="1"/>
    <col min="15828" max="15830" width="0" style="394" hidden="1" customWidth="1"/>
    <col min="15831" max="15831" width="9.140625" style="394"/>
    <col min="15832" max="15832" width="34.28515625" style="394" customWidth="1"/>
    <col min="15833" max="15837" width="24.85546875" style="394" customWidth="1"/>
    <col min="15838" max="15838" width="11.42578125" style="394" customWidth="1"/>
    <col min="15839" max="15839" width="12.85546875" style="394" customWidth="1"/>
    <col min="15840" max="15840" width="23.5703125" style="394" customWidth="1"/>
    <col min="15841" max="15841" width="9.140625" style="394"/>
    <col min="15842" max="15842" width="15.7109375" style="394" customWidth="1"/>
    <col min="15843" max="15843" width="9.140625" style="394"/>
    <col min="15844" max="15844" width="14.85546875" style="394" customWidth="1"/>
    <col min="15845" max="15847" width="19.28515625" style="394" customWidth="1"/>
    <col min="15848" max="16076" width="9.140625" style="394"/>
    <col min="16077" max="16077" width="2.85546875" style="394" customWidth="1"/>
    <col min="16078" max="16078" width="9.140625" style="394"/>
    <col min="16079" max="16079" width="11.140625" style="394" customWidth="1"/>
    <col min="16080" max="16080" width="13.85546875" style="394" customWidth="1"/>
    <col min="16081" max="16081" width="12.28515625" style="394" customWidth="1"/>
    <col min="16082" max="16082" width="11.42578125" style="394" customWidth="1"/>
    <col min="16083" max="16083" width="2.5703125" style="394" customWidth="1"/>
    <col min="16084" max="16086" width="0" style="394" hidden="1" customWidth="1"/>
    <col min="16087" max="16087" width="9.140625" style="394"/>
    <col min="16088" max="16088" width="34.28515625" style="394" customWidth="1"/>
    <col min="16089" max="16093" width="24.85546875" style="394" customWidth="1"/>
    <col min="16094" max="16094" width="11.42578125" style="394" customWidth="1"/>
    <col min="16095" max="16095" width="12.85546875" style="394" customWidth="1"/>
    <col min="16096" max="16096" width="23.5703125" style="394" customWidth="1"/>
    <col min="16097" max="16097" width="9.140625" style="394"/>
    <col min="16098" max="16098" width="15.7109375" style="394" customWidth="1"/>
    <col min="16099" max="16099" width="9.140625" style="394"/>
    <col min="16100" max="16100" width="14.85546875" style="394" customWidth="1"/>
    <col min="16101" max="16103" width="19.28515625" style="394" customWidth="1"/>
    <col min="16104" max="16384" width="9.140625" style="394"/>
  </cols>
  <sheetData>
    <row r="1" spans="1:14">
      <c r="M1" s="542" t="s">
        <v>440</v>
      </c>
      <c r="N1" s="542"/>
    </row>
    <row r="2" spans="1:14" ht="43.5" customHeight="1">
      <c r="F2" s="396"/>
    </row>
    <row r="3" spans="1:14">
      <c r="E3" s="396"/>
      <c r="F3" s="396"/>
    </row>
    <row r="4" spans="1:14" ht="63.75">
      <c r="B4" s="209" t="s">
        <v>281</v>
      </c>
      <c r="C4" s="209"/>
      <c r="D4" s="209" t="s">
        <v>282</v>
      </c>
      <c r="E4" s="209" t="s">
        <v>444</v>
      </c>
      <c r="F4" s="209" t="s">
        <v>283</v>
      </c>
      <c r="G4" s="209" t="s">
        <v>284</v>
      </c>
      <c r="H4" s="209" t="s">
        <v>445</v>
      </c>
      <c r="I4" s="209" t="s">
        <v>431</v>
      </c>
      <c r="J4" s="287"/>
      <c r="K4" s="288" t="s">
        <v>432</v>
      </c>
      <c r="L4" s="288" t="s">
        <v>433</v>
      </c>
      <c r="M4" s="288" t="s">
        <v>285</v>
      </c>
      <c r="N4" s="397" t="s">
        <v>286</v>
      </c>
    </row>
    <row r="5" spans="1:14">
      <c r="B5" s="289">
        <v>1</v>
      </c>
      <c r="C5" s="289"/>
      <c r="D5" s="289">
        <v>2</v>
      </c>
      <c r="E5" s="289">
        <v>3</v>
      </c>
      <c r="F5" s="289">
        <v>4</v>
      </c>
      <c r="G5" s="289" t="s">
        <v>287</v>
      </c>
      <c r="H5" s="289">
        <v>6</v>
      </c>
      <c r="I5" s="289">
        <v>7</v>
      </c>
      <c r="J5" s="290"/>
      <c r="K5" s="291"/>
      <c r="L5" s="291"/>
      <c r="M5" s="291"/>
      <c r="N5" s="398"/>
    </row>
    <row r="6" spans="1:14">
      <c r="A6" s="399"/>
      <c r="B6" s="556" t="s">
        <v>288</v>
      </c>
      <c r="C6" s="400" t="s">
        <v>289</v>
      </c>
      <c r="D6" s="401">
        <f t="shared" ref="D6:I6" si="0">D7+D8</f>
        <v>844</v>
      </c>
      <c r="E6" s="401">
        <f t="shared" si="0"/>
        <v>217</v>
      </c>
      <c r="F6" s="401">
        <f t="shared" si="0"/>
        <v>220</v>
      </c>
      <c r="G6" s="400">
        <f t="shared" si="0"/>
        <v>847</v>
      </c>
      <c r="H6" s="402">
        <f t="shared" si="0"/>
        <v>845</v>
      </c>
      <c r="I6" s="402">
        <f t="shared" si="0"/>
        <v>929</v>
      </c>
      <c r="J6" s="396"/>
      <c r="K6" s="403"/>
      <c r="L6" s="403"/>
      <c r="M6" s="403"/>
      <c r="N6" s="403"/>
    </row>
    <row r="7" spans="1:14" ht="45">
      <c r="A7" s="399"/>
      <c r="B7" s="556"/>
      <c r="C7" s="404" t="s">
        <v>290</v>
      </c>
      <c r="D7" s="405">
        <v>202</v>
      </c>
      <c r="E7" s="405">
        <v>61</v>
      </c>
      <c r="F7" s="405">
        <v>53</v>
      </c>
      <c r="G7" s="404">
        <v>194</v>
      </c>
      <c r="H7" s="406">
        <f>ROUNDUP((D7*9+(D7-E7+F7)*3)/12,0)</f>
        <v>200</v>
      </c>
      <c r="I7" s="407">
        <f>I10+I13</f>
        <v>221</v>
      </c>
      <c r="J7" s="408"/>
      <c r="K7" s="403"/>
      <c r="L7" s="403"/>
      <c r="M7" s="403"/>
      <c r="N7" s="403"/>
    </row>
    <row r="8" spans="1:14" ht="30">
      <c r="A8" s="399"/>
      <c r="B8" s="556"/>
      <c r="C8" s="404" t="s">
        <v>279</v>
      </c>
      <c r="D8" s="405">
        <v>642</v>
      </c>
      <c r="E8" s="405">
        <v>156</v>
      </c>
      <c r="F8" s="405">
        <v>167</v>
      </c>
      <c r="G8" s="404">
        <v>653</v>
      </c>
      <c r="H8" s="406">
        <f>ROUNDUP((D8*9+(D8-E8+F8)*3)/12,0)</f>
        <v>645</v>
      </c>
      <c r="I8" s="407">
        <f>I11+I14</f>
        <v>708</v>
      </c>
      <c r="J8" s="408"/>
      <c r="K8" s="403"/>
      <c r="L8" s="403"/>
      <c r="M8" s="403"/>
      <c r="N8" s="403"/>
    </row>
    <row r="9" spans="1:14" ht="42.75">
      <c r="A9" s="399"/>
      <c r="B9" s="556"/>
      <c r="C9" s="401" t="s">
        <v>291</v>
      </c>
      <c r="D9" s="401">
        <f t="shared" ref="D9:I9" si="1">D10+D11</f>
        <v>471</v>
      </c>
      <c r="E9" s="401">
        <f t="shared" si="1"/>
        <v>217</v>
      </c>
      <c r="F9" s="401">
        <f t="shared" si="1"/>
        <v>32</v>
      </c>
      <c r="G9" s="401">
        <f t="shared" si="1"/>
        <v>286</v>
      </c>
      <c r="H9" s="409">
        <f t="shared" si="1"/>
        <v>425</v>
      </c>
      <c r="I9" s="409">
        <f t="shared" si="1"/>
        <v>425</v>
      </c>
      <c r="J9" s="359"/>
      <c r="K9" s="410"/>
      <c r="L9" s="410"/>
      <c r="M9" s="410"/>
      <c r="N9" s="410"/>
    </row>
    <row r="10" spans="1:14" ht="45">
      <c r="A10" s="399"/>
      <c r="B10" s="556"/>
      <c r="C10" s="404" t="s">
        <v>290</v>
      </c>
      <c r="D10" s="405">
        <v>119</v>
      </c>
      <c r="E10" s="405">
        <v>61</v>
      </c>
      <c r="F10" s="405">
        <v>8</v>
      </c>
      <c r="G10" s="405">
        <v>66</v>
      </c>
      <c r="H10" s="407">
        <f>ROUNDUP((D10*9+(D10-E10+F10)*3)/12,0)</f>
        <v>106</v>
      </c>
      <c r="I10" s="407">
        <f>H10</f>
        <v>106</v>
      </c>
      <c r="J10" s="411"/>
      <c r="K10" s="412">
        <v>3406.4999999999995</v>
      </c>
      <c r="L10" s="412">
        <v>3537.6600000000003</v>
      </c>
      <c r="M10" s="412">
        <f>L10-K10</f>
        <v>131.16000000000076</v>
      </c>
      <c r="N10" s="410">
        <f>ROUND(I10*M10*12,0)</f>
        <v>166836</v>
      </c>
    </row>
    <row r="11" spans="1:14" ht="30">
      <c r="A11" s="399"/>
      <c r="B11" s="556"/>
      <c r="C11" s="404" t="s">
        <v>279</v>
      </c>
      <c r="D11" s="405">
        <v>352</v>
      </c>
      <c r="E11" s="405">
        <v>156</v>
      </c>
      <c r="F11" s="405">
        <v>24</v>
      </c>
      <c r="G11" s="405">
        <v>220</v>
      </c>
      <c r="H11" s="407">
        <f>ROUNDUP((D11*9+(D11-E11+F11)*3)/12,0)</f>
        <v>319</v>
      </c>
      <c r="I11" s="407">
        <f>H11</f>
        <v>319</v>
      </c>
      <c r="J11" s="411"/>
      <c r="K11" s="412">
        <v>2718.5609079999999</v>
      </c>
      <c r="L11" s="412">
        <v>2819.449427952</v>
      </c>
      <c r="M11" s="412">
        <f t="shared" ref="M11" si="2">L11-K11</f>
        <v>100.88851995200002</v>
      </c>
      <c r="N11" s="410">
        <f>ROUND(I11*M11*12,0)</f>
        <v>386201</v>
      </c>
    </row>
    <row r="12" spans="1:14">
      <c r="A12" s="399"/>
      <c r="B12" s="556"/>
      <c r="C12" s="401" t="s">
        <v>292</v>
      </c>
      <c r="D12" s="401">
        <f t="shared" ref="D12:I12" si="3">D13+D14</f>
        <v>373</v>
      </c>
      <c r="E12" s="401">
        <f t="shared" si="3"/>
        <v>0</v>
      </c>
      <c r="F12" s="401">
        <f t="shared" si="3"/>
        <v>188</v>
      </c>
      <c r="G12" s="401">
        <f t="shared" si="3"/>
        <v>561</v>
      </c>
      <c r="H12" s="409">
        <f t="shared" si="3"/>
        <v>421</v>
      </c>
      <c r="I12" s="409">
        <f t="shared" si="3"/>
        <v>504</v>
      </c>
      <c r="J12" s="359"/>
      <c r="K12" s="412">
        <v>0</v>
      </c>
      <c r="L12" s="412">
        <v>0</v>
      </c>
      <c r="M12" s="412"/>
      <c r="N12" s="410">
        <f>ROUND(I12*M12*12,0)</f>
        <v>0</v>
      </c>
    </row>
    <row r="13" spans="1:14" ht="45">
      <c r="A13" s="399"/>
      <c r="B13" s="556"/>
      <c r="C13" s="404" t="s">
        <v>290</v>
      </c>
      <c r="D13" s="405">
        <v>83</v>
      </c>
      <c r="E13" s="405">
        <v>0</v>
      </c>
      <c r="F13" s="405">
        <v>45</v>
      </c>
      <c r="G13" s="405">
        <v>128</v>
      </c>
      <c r="H13" s="407">
        <f>ROUNDUP((D13*9+(D13-E13+F13)*3)/12,0)</f>
        <v>95</v>
      </c>
      <c r="I13" s="407">
        <f>ROUND(H13+(83*0.24),0)</f>
        <v>115</v>
      </c>
      <c r="J13" s="411"/>
      <c r="K13" s="412">
        <v>3135.4999999999995</v>
      </c>
      <c r="L13" s="412">
        <v>3254.74</v>
      </c>
      <c r="M13" s="412">
        <f t="shared" ref="M13" si="4">L13-K13</f>
        <v>119.24000000000024</v>
      </c>
      <c r="N13" s="410">
        <f>ROUND(I13*M13*12,0)</f>
        <v>164551</v>
      </c>
    </row>
    <row r="14" spans="1:14" ht="30">
      <c r="A14" s="399"/>
      <c r="B14" s="556"/>
      <c r="C14" s="404" t="s">
        <v>279</v>
      </c>
      <c r="D14" s="405">
        <v>290</v>
      </c>
      <c r="E14" s="405">
        <v>0</v>
      </c>
      <c r="F14" s="405">
        <v>143</v>
      </c>
      <c r="G14" s="405">
        <v>433</v>
      </c>
      <c r="H14" s="407">
        <f>ROUNDUP((D14*9+(D14-E14+F14)*3)/12,0)</f>
        <v>326</v>
      </c>
      <c r="I14" s="407">
        <f>ROUND(H14+(83*0.76),0)</f>
        <v>389</v>
      </c>
      <c r="J14" s="411"/>
      <c r="K14" s="412">
        <v>2510.0962799999998</v>
      </c>
      <c r="L14" s="412">
        <v>2601.8131163200001</v>
      </c>
      <c r="M14" s="412">
        <f>L14-K14</f>
        <v>91.716836320000311</v>
      </c>
      <c r="N14" s="410">
        <f>ROUND(I14*M14*12,0)</f>
        <v>428134</v>
      </c>
    </row>
    <row r="15" spans="1:14">
      <c r="A15" s="399"/>
      <c r="B15" s="557"/>
      <c r="D15" s="357"/>
      <c r="E15" s="357"/>
      <c r="F15" s="357"/>
      <c r="K15" s="413"/>
      <c r="L15" s="413"/>
      <c r="M15" s="413"/>
      <c r="N15" s="403"/>
    </row>
    <row r="16" spans="1:14">
      <c r="A16" s="399"/>
      <c r="B16" s="557"/>
      <c r="C16" s="414"/>
      <c r="D16" s="358"/>
      <c r="E16" s="358"/>
      <c r="F16" s="358"/>
      <c r="G16" s="414"/>
      <c r="H16" s="414"/>
      <c r="I16" s="414"/>
      <c r="J16" s="414"/>
      <c r="K16" s="413"/>
      <c r="L16" s="413"/>
      <c r="M16" s="413"/>
      <c r="N16" s="410">
        <f>SUM(N10:N14)</f>
        <v>1145722</v>
      </c>
    </row>
    <row r="17" spans="1:14">
      <c r="A17" s="399"/>
      <c r="B17" s="557"/>
      <c r="C17" s="414"/>
      <c r="D17" s="358"/>
      <c r="E17" s="358"/>
      <c r="F17" s="358"/>
      <c r="G17" s="414"/>
      <c r="H17" s="414"/>
      <c r="I17" s="414"/>
      <c r="J17" s="414"/>
    </row>
    <row r="18" spans="1:14" ht="47.25" customHeight="1">
      <c r="A18" s="399"/>
      <c r="B18" s="557"/>
      <c r="C18" s="357"/>
      <c r="D18" s="357"/>
      <c r="E18" s="357"/>
      <c r="F18" s="357"/>
      <c r="G18" s="357"/>
      <c r="H18" s="356"/>
      <c r="I18" s="357"/>
      <c r="J18" s="357"/>
      <c r="K18" s="542"/>
      <c r="L18" s="357"/>
      <c r="M18" s="357"/>
      <c r="N18" s="357"/>
    </row>
    <row r="19" spans="1:14">
      <c r="A19" s="399"/>
      <c r="B19" s="557"/>
      <c r="C19" s="414"/>
      <c r="D19" s="358"/>
      <c r="E19" s="358"/>
      <c r="F19" s="358"/>
      <c r="G19" s="358"/>
      <c r="H19" s="358"/>
      <c r="I19" s="358"/>
      <c r="J19" s="358"/>
      <c r="K19" s="542"/>
      <c r="L19" s="357"/>
      <c r="M19" s="357"/>
      <c r="N19" s="357"/>
    </row>
    <row r="20" spans="1:14">
      <c r="A20" s="399"/>
      <c r="B20" s="557"/>
      <c r="C20" s="414"/>
      <c r="D20" s="358"/>
      <c r="E20" s="358"/>
      <c r="F20" s="358"/>
      <c r="G20" s="358"/>
      <c r="H20" s="358"/>
      <c r="I20" s="358"/>
      <c r="J20" s="358"/>
      <c r="K20" s="542"/>
      <c r="L20" s="357"/>
      <c r="M20" s="357"/>
      <c r="N20" s="357"/>
    </row>
    <row r="21" spans="1:14">
      <c r="A21" s="399"/>
      <c r="B21" s="557"/>
      <c r="C21" s="357"/>
      <c r="D21" s="357"/>
      <c r="E21" s="357"/>
      <c r="F21" s="357"/>
      <c r="G21" s="357"/>
      <c r="H21" s="357"/>
      <c r="I21" s="357"/>
      <c r="J21" s="357"/>
      <c r="K21" s="542"/>
      <c r="L21" s="357"/>
      <c r="M21" s="357"/>
      <c r="N21" s="357"/>
    </row>
    <row r="22" spans="1:14">
      <c r="A22" s="399"/>
      <c r="B22" s="557"/>
      <c r="C22" s="414"/>
      <c r="D22" s="358"/>
      <c r="E22" s="358"/>
      <c r="F22" s="358"/>
      <c r="G22" s="358"/>
      <c r="H22" s="358"/>
      <c r="I22" s="358"/>
      <c r="J22" s="358"/>
      <c r="K22" s="357"/>
      <c r="L22" s="357"/>
      <c r="M22" s="357"/>
      <c r="N22" s="357"/>
    </row>
    <row r="23" spans="1:14">
      <c r="A23" s="399"/>
      <c r="B23" s="557"/>
      <c r="C23" s="414"/>
      <c r="D23" s="358"/>
      <c r="E23" s="358"/>
      <c r="F23" s="358"/>
      <c r="G23" s="358"/>
      <c r="H23" s="358"/>
      <c r="I23" s="358"/>
      <c r="J23" s="358"/>
      <c r="K23" s="357"/>
      <c r="L23" s="357"/>
      <c r="M23" s="357"/>
      <c r="N23" s="357"/>
    </row>
    <row r="24" spans="1:14">
      <c r="A24" s="399"/>
      <c r="B24" s="394"/>
      <c r="C24" s="394"/>
      <c r="D24" s="394"/>
      <c r="E24" s="394"/>
      <c r="F24" s="394"/>
      <c r="G24" s="394"/>
      <c r="H24" s="394"/>
      <c r="I24" s="394"/>
      <c r="J24" s="394"/>
      <c r="K24" s="399"/>
      <c r="L24" s="394"/>
      <c r="M24" s="394"/>
      <c r="N24" s="394"/>
    </row>
    <row r="25" spans="1:14" ht="53.25" customHeight="1">
      <c r="A25" s="399"/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</row>
    <row r="26" spans="1:14">
      <c r="A26" s="399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</row>
    <row r="27" spans="1:14" ht="47.25" customHeight="1">
      <c r="A27" s="399"/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</row>
    <row r="28" spans="1:14">
      <c r="A28" s="399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</row>
    <row r="29" spans="1:14">
      <c r="A29" s="399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</row>
    <row r="30" spans="1:14">
      <c r="A30" s="399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</row>
    <row r="31" spans="1:14">
      <c r="A31" s="399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</row>
    <row r="32" spans="1:14">
      <c r="A32" s="399"/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</row>
    <row r="33" spans="1:14">
      <c r="A33" s="399"/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4">
      <c r="A34" s="399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</row>
    <row r="35" spans="1:14">
      <c r="A35" s="399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</row>
  </sheetData>
  <mergeCells count="4">
    <mergeCell ref="B6:B14"/>
    <mergeCell ref="B15:B23"/>
    <mergeCell ref="K18:K21"/>
    <mergeCell ref="M1:N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AF43-3536-4BEF-A364-C02EA0A28CAF}">
  <dimension ref="A1:K202"/>
  <sheetViews>
    <sheetView zoomScale="115" zoomScaleNormal="115" workbookViewId="0">
      <selection activeCell="H5" sqref="H5"/>
    </sheetView>
  </sheetViews>
  <sheetFormatPr defaultColWidth="9.140625" defaultRowHeight="12.75"/>
  <cols>
    <col min="1" max="1" width="30.140625" style="41" customWidth="1"/>
    <col min="2" max="6" width="9.140625" style="41"/>
    <col min="7" max="7" width="11.85546875" style="41" customWidth="1"/>
    <col min="8" max="8" width="9.140625" style="41"/>
    <col min="9" max="9" width="9.42578125" style="41" bestFit="1" customWidth="1"/>
    <col min="10" max="16384" width="9.140625" style="41"/>
  </cols>
  <sheetData>
    <row r="1" spans="1:10" ht="15">
      <c r="F1" s="542" t="s">
        <v>447</v>
      </c>
      <c r="G1" s="542"/>
    </row>
    <row r="2" spans="1:10">
      <c r="A2" s="558" t="s">
        <v>408</v>
      </c>
      <c r="B2" s="558"/>
      <c r="C2" s="558"/>
      <c r="D2" s="558"/>
      <c r="E2" s="558"/>
      <c r="F2" s="558"/>
      <c r="G2" s="558"/>
    </row>
    <row r="3" spans="1:10" ht="13.5" thickBot="1">
      <c r="G3" s="136" t="s">
        <v>228</v>
      </c>
    </row>
    <row r="4" spans="1:10">
      <c r="A4" s="568" t="s">
        <v>27</v>
      </c>
      <c r="B4" s="570" t="s">
        <v>28</v>
      </c>
      <c r="C4" s="572" t="s">
        <v>112</v>
      </c>
      <c r="D4" s="572" t="s">
        <v>30</v>
      </c>
      <c r="E4" s="572" t="s">
        <v>144</v>
      </c>
      <c r="F4" s="559" t="s">
        <v>113</v>
      </c>
      <c r="G4" s="566" t="s">
        <v>323</v>
      </c>
    </row>
    <row r="5" spans="1:10" ht="74.25" customHeight="1">
      <c r="A5" s="569"/>
      <c r="B5" s="571"/>
      <c r="C5" s="573"/>
      <c r="D5" s="573"/>
      <c r="E5" s="573"/>
      <c r="F5" s="560"/>
      <c r="G5" s="567"/>
    </row>
    <row r="6" spans="1:10">
      <c r="A6" s="42"/>
      <c r="B6" s="43"/>
      <c r="C6" s="43"/>
      <c r="D6" s="43"/>
      <c r="E6" s="43"/>
      <c r="F6" s="114"/>
      <c r="G6" s="119"/>
    </row>
    <row r="7" spans="1:10">
      <c r="A7" s="561" t="s">
        <v>405</v>
      </c>
      <c r="B7" s="562"/>
      <c r="C7" s="562"/>
      <c r="D7" s="562"/>
      <c r="E7" s="562"/>
      <c r="F7" s="563"/>
      <c r="G7" s="124"/>
    </row>
    <row r="8" spans="1:10" ht="12.75" customHeight="1">
      <c r="A8" s="574" t="s">
        <v>406</v>
      </c>
      <c r="B8" s="575"/>
      <c r="C8" s="575"/>
      <c r="D8" s="575"/>
      <c r="E8" s="575"/>
      <c r="F8" s="575"/>
      <c r="G8" s="352">
        <f>G10+G37+G75+G100</f>
        <v>305116.98000000004</v>
      </c>
    </row>
    <row r="9" spans="1:10">
      <c r="A9" s="315"/>
      <c r="B9" s="316"/>
      <c r="C9" s="316"/>
      <c r="D9" s="316"/>
      <c r="E9" s="316"/>
      <c r="F9" s="316"/>
      <c r="G9" s="119"/>
    </row>
    <row r="10" spans="1:10" ht="13.5">
      <c r="A10" s="336" t="s">
        <v>407</v>
      </c>
      <c r="B10" s="337">
        <f>B15+B18+B23+B26+B32+B36</f>
        <v>61</v>
      </c>
      <c r="C10" s="337"/>
      <c r="D10" s="337"/>
      <c r="E10" s="337"/>
      <c r="F10" s="337"/>
      <c r="G10" s="351">
        <f>SUM(G13:G14,G17,G20:G22,G25,G29:G31,G34:G35)</f>
        <v>60352.639999999999</v>
      </c>
    </row>
    <row r="11" spans="1:10">
      <c r="A11" s="564" t="s">
        <v>105</v>
      </c>
      <c r="B11" s="565"/>
      <c r="C11" s="565"/>
      <c r="D11" s="565"/>
      <c r="E11" s="565"/>
      <c r="F11" s="565"/>
      <c r="G11" s="123"/>
    </row>
    <row r="12" spans="1:10">
      <c r="A12" s="329" t="s">
        <v>33</v>
      </c>
      <c r="B12" s="330"/>
      <c r="C12" s="331"/>
      <c r="D12" s="332"/>
      <c r="E12" s="331"/>
      <c r="F12" s="327"/>
      <c r="G12" s="328"/>
    </row>
    <row r="13" spans="1:10">
      <c r="A13" s="39" t="s">
        <v>116</v>
      </c>
      <c r="B13" s="36">
        <v>5</v>
      </c>
      <c r="C13" s="37">
        <v>1287</v>
      </c>
      <c r="D13" s="37"/>
      <c r="E13" s="37">
        <v>0</v>
      </c>
      <c r="F13" s="116">
        <f>C13+D13+E13</f>
        <v>1287</v>
      </c>
      <c r="G13" s="120">
        <f>ROUND((C13+D13+E13)*('29_01_H_2020'!$O$10)*B13*12*(1+'29_01_H_2020'!$O$25),2)</f>
        <v>4199.1899999999996</v>
      </c>
      <c r="I13" s="64"/>
      <c r="J13" s="64"/>
    </row>
    <row r="14" spans="1:10">
      <c r="A14" s="39" t="s">
        <v>118</v>
      </c>
      <c r="B14" s="36">
        <v>2</v>
      </c>
      <c r="C14" s="37">
        <v>1287</v>
      </c>
      <c r="D14" s="37"/>
      <c r="E14" s="37">
        <v>0</v>
      </c>
      <c r="F14" s="116">
        <f>C14+D14+E14</f>
        <v>1287</v>
      </c>
      <c r="G14" s="120">
        <f>ROUND((C14+D14+E14)*('29_01_H_2020'!$O$10)*B14*12*(1+'29_01_H_2020'!$O$25),2)</f>
        <v>1679.68</v>
      </c>
      <c r="I14" s="64"/>
      <c r="J14" s="64"/>
    </row>
    <row r="15" spans="1:10">
      <c r="A15" s="2" t="s">
        <v>20</v>
      </c>
      <c r="B15" s="35">
        <f>SUM(B13:B14)</f>
        <v>7</v>
      </c>
      <c r="C15" s="1" t="s">
        <v>17</v>
      </c>
      <c r="D15" s="1" t="s">
        <v>17</v>
      </c>
      <c r="E15" s="1" t="s">
        <v>17</v>
      </c>
      <c r="F15" s="117" t="s">
        <v>17</v>
      </c>
      <c r="G15" s="121" t="s">
        <v>17</v>
      </c>
    </row>
    <row r="16" spans="1:10" ht="51">
      <c r="A16" s="304" t="s">
        <v>62</v>
      </c>
      <c r="B16" s="319"/>
      <c r="C16" s="320"/>
      <c r="D16" s="320"/>
      <c r="E16" s="320"/>
      <c r="F16" s="321"/>
      <c r="G16" s="322"/>
    </row>
    <row r="17" spans="1:10">
      <c r="A17" s="152" t="s">
        <v>119</v>
      </c>
      <c r="B17" s="317">
        <v>6</v>
      </c>
      <c r="C17" s="318">
        <v>1190</v>
      </c>
      <c r="D17" s="318"/>
      <c r="E17" s="318">
        <v>416.5</v>
      </c>
      <c r="F17" s="116">
        <f>C17+D17+E17</f>
        <v>1606.5</v>
      </c>
      <c r="G17" s="120">
        <f>ROUND((C17+D17+E17)*('29_01_H_2020'!$O$10)*B17*12*(1+'29_01_H_2020'!$O$25),2)</f>
        <v>6289.98</v>
      </c>
    </row>
    <row r="18" spans="1:10">
      <c r="A18" s="2" t="s">
        <v>20</v>
      </c>
      <c r="B18" s="35">
        <f>SUM(B17:B17)</f>
        <v>6</v>
      </c>
      <c r="C18" s="1" t="s">
        <v>17</v>
      </c>
      <c r="D18" s="1" t="s">
        <v>17</v>
      </c>
      <c r="E18" s="1" t="s">
        <v>17</v>
      </c>
      <c r="F18" s="117" t="s">
        <v>17</v>
      </c>
      <c r="G18" s="121" t="s">
        <v>17</v>
      </c>
    </row>
    <row r="19" spans="1:10" ht="51">
      <c r="A19" s="323" t="s">
        <v>63</v>
      </c>
      <c r="B19" s="324"/>
      <c r="C19" s="325"/>
      <c r="D19" s="326"/>
      <c r="E19" s="325"/>
      <c r="F19" s="327"/>
      <c r="G19" s="328"/>
    </row>
    <row r="20" spans="1:10">
      <c r="A20" s="148" t="s">
        <v>101</v>
      </c>
      <c r="B20" s="36">
        <v>5</v>
      </c>
      <c r="C20" s="37">
        <v>1093</v>
      </c>
      <c r="D20" s="37"/>
      <c r="E20" s="37">
        <v>382.55</v>
      </c>
      <c r="F20" s="116">
        <f>C20+D20+E20</f>
        <v>1475.55</v>
      </c>
      <c r="G20" s="149">
        <f>ROUND((C20+D20+E20)*('29_01_H_2020'!$O$14)*B20*12*(1+'29_01_H_2020'!$O$25),2)</f>
        <v>5186.41</v>
      </c>
      <c r="I20" s="64"/>
      <c r="J20" s="64"/>
    </row>
    <row r="21" spans="1:10">
      <c r="A21" s="148" t="s">
        <v>14</v>
      </c>
      <c r="B21" s="36">
        <v>20</v>
      </c>
      <c r="C21" s="37">
        <v>996</v>
      </c>
      <c r="D21" s="37"/>
      <c r="E21" s="37">
        <v>495.7</v>
      </c>
      <c r="F21" s="116">
        <f t="shared" ref="F21:F22" si="0">C21+D21+E21</f>
        <v>1491.7</v>
      </c>
      <c r="G21" s="149">
        <f>ROUND((C21+D21+E21)*('29_01_H_2020'!$O$14)*B21*12*(1+'29_01_H_2020'!$O$25),2)</f>
        <v>20972.7</v>
      </c>
      <c r="I21" s="64"/>
      <c r="J21" s="64"/>
    </row>
    <row r="22" spans="1:10">
      <c r="A22" s="148" t="s">
        <v>125</v>
      </c>
      <c r="B22" s="36">
        <v>1</v>
      </c>
      <c r="C22" s="37">
        <v>996</v>
      </c>
      <c r="D22" s="37"/>
      <c r="E22" s="37">
        <v>199.2</v>
      </c>
      <c r="F22" s="116">
        <f t="shared" si="0"/>
        <v>1195.2</v>
      </c>
      <c r="G22" s="149">
        <f>ROUND((C22+D22+E22)*('29_01_H_2020'!$O$14)*B22*12*(1+'29_01_H_2020'!$O$25),2)</f>
        <v>840.2</v>
      </c>
      <c r="I22" s="64"/>
      <c r="J22" s="64"/>
    </row>
    <row r="23" spans="1:10">
      <c r="A23" s="2" t="s">
        <v>20</v>
      </c>
      <c r="B23" s="35">
        <f>SUM(B20:B22)</f>
        <v>26</v>
      </c>
      <c r="C23" s="1" t="s">
        <v>17</v>
      </c>
      <c r="D23" s="1" t="s">
        <v>17</v>
      </c>
      <c r="E23" s="1" t="s">
        <v>17</v>
      </c>
      <c r="F23" s="117" t="s">
        <v>17</v>
      </c>
      <c r="G23" s="121" t="s">
        <v>17</v>
      </c>
    </row>
    <row r="24" spans="1:10" ht="63.75">
      <c r="A24" s="40" t="s">
        <v>81</v>
      </c>
      <c r="B24" s="31"/>
      <c r="C24" s="32"/>
      <c r="D24" s="33"/>
      <c r="E24" s="32"/>
      <c r="F24" s="335"/>
      <c r="G24" s="122"/>
    </row>
    <row r="25" spans="1:10">
      <c r="A25" s="39" t="s">
        <v>127</v>
      </c>
      <c r="B25" s="36">
        <v>3</v>
      </c>
      <c r="C25" s="37">
        <v>996</v>
      </c>
      <c r="D25" s="37"/>
      <c r="E25" s="37">
        <v>348.6</v>
      </c>
      <c r="F25" s="116">
        <f>C25+D25+E25</f>
        <v>1344.6</v>
      </c>
      <c r="G25" s="120">
        <f>ROUND((C25+D25+E25)*('29_01_H_2020'!$O$14)*B25*12*(1+'29_01_H_2020'!$O$25),2)</f>
        <v>2835.68</v>
      </c>
    </row>
    <row r="26" spans="1:10">
      <c r="A26" s="2" t="s">
        <v>20</v>
      </c>
      <c r="B26" s="35">
        <f>SUM(B25:B25)</f>
        <v>3</v>
      </c>
      <c r="C26" s="1" t="s">
        <v>17</v>
      </c>
      <c r="D26" s="1" t="s">
        <v>17</v>
      </c>
      <c r="E26" s="1" t="s">
        <v>17</v>
      </c>
      <c r="F26" s="117" t="s">
        <v>17</v>
      </c>
      <c r="G26" s="121" t="s">
        <v>17</v>
      </c>
    </row>
    <row r="27" spans="1:10">
      <c r="A27" s="564" t="s">
        <v>111</v>
      </c>
      <c r="B27" s="565"/>
      <c r="C27" s="565"/>
      <c r="D27" s="565"/>
      <c r="E27" s="565"/>
      <c r="F27" s="565"/>
      <c r="G27" s="123"/>
    </row>
    <row r="28" spans="1:10" ht="51">
      <c r="A28" s="40" t="s">
        <v>236</v>
      </c>
      <c r="B28" s="31"/>
      <c r="C28" s="32"/>
      <c r="D28" s="33"/>
      <c r="E28" s="32"/>
      <c r="F28" s="115"/>
      <c r="G28" s="122"/>
    </row>
    <row r="29" spans="1:10">
      <c r="A29" s="39" t="s">
        <v>121</v>
      </c>
      <c r="B29" s="36">
        <v>4</v>
      </c>
      <c r="C29" s="37">
        <v>1190</v>
      </c>
      <c r="D29" s="37"/>
      <c r="E29" s="37">
        <v>416.5</v>
      </c>
      <c r="F29" s="116">
        <f>C29+D29+E29</f>
        <v>1606.5</v>
      </c>
      <c r="G29" s="120">
        <f>ROUND((C29+D29+E29)*('29_01_H_2020'!$O$14)*B29*12*(1+'29_01_H_2020'!$O$25),2)</f>
        <v>4517.3500000000004</v>
      </c>
      <c r="I29" s="64"/>
      <c r="J29" s="64"/>
    </row>
    <row r="30" spans="1:10">
      <c r="A30" s="39" t="s">
        <v>119</v>
      </c>
      <c r="B30" s="36">
        <v>1</v>
      </c>
      <c r="C30" s="37">
        <v>835</v>
      </c>
      <c r="D30" s="37"/>
      <c r="E30" s="37">
        <v>291.94</v>
      </c>
      <c r="F30" s="116">
        <f t="shared" ref="F30:F31" si="1">C30+D30+E30</f>
        <v>1126.94</v>
      </c>
      <c r="G30" s="120">
        <f>ROUND((C30+D30+E30)*('29_01_H_2020'!$O$14)*B30*12*(1+'29_01_H_2020'!$O$25),2)</f>
        <v>792.22</v>
      </c>
      <c r="I30" s="64"/>
      <c r="J30" s="64"/>
    </row>
    <row r="31" spans="1:10">
      <c r="A31" s="39" t="s">
        <v>123</v>
      </c>
      <c r="B31" s="36">
        <v>3</v>
      </c>
      <c r="C31" s="37">
        <v>1190</v>
      </c>
      <c r="D31" s="37"/>
      <c r="E31" s="37">
        <v>416.5</v>
      </c>
      <c r="F31" s="116">
        <f t="shared" si="1"/>
        <v>1606.5</v>
      </c>
      <c r="G31" s="120">
        <f>ROUND((C31+D31+E31)*('29_01_H_2020'!$O$14)*B31*12*(1+'29_01_H_2020'!$O$25),2)</f>
        <v>3388.01</v>
      </c>
      <c r="I31" s="64"/>
      <c r="J31" s="64"/>
    </row>
    <row r="32" spans="1:10">
      <c r="A32" s="2" t="s">
        <v>20</v>
      </c>
      <c r="B32" s="35">
        <f>SUM(B29:B31)</f>
        <v>8</v>
      </c>
      <c r="C32" s="1" t="s">
        <v>17</v>
      </c>
      <c r="D32" s="1" t="s">
        <v>17</v>
      </c>
      <c r="E32" s="1" t="s">
        <v>17</v>
      </c>
      <c r="F32" s="117" t="s">
        <v>17</v>
      </c>
      <c r="G32" s="121" t="s">
        <v>17</v>
      </c>
    </row>
    <row r="33" spans="1:10" ht="51">
      <c r="A33" s="40" t="s">
        <v>418</v>
      </c>
      <c r="B33" s="31"/>
      <c r="C33" s="32"/>
      <c r="D33" s="33"/>
      <c r="E33" s="32"/>
      <c r="F33" s="115"/>
      <c r="G33" s="122"/>
    </row>
    <row r="34" spans="1:10">
      <c r="A34" s="148" t="s">
        <v>124</v>
      </c>
      <c r="B34" s="36">
        <v>10</v>
      </c>
      <c r="C34" s="37">
        <v>899</v>
      </c>
      <c r="D34" s="37"/>
      <c r="E34" s="37">
        <v>370</v>
      </c>
      <c r="F34" s="116">
        <f t="shared" ref="F34:F35" si="2">C34+D34+E34</f>
        <v>1269</v>
      </c>
      <c r="G34" s="149">
        <f>ROUND((C34+D34+E34)*('29_01_H_2020'!$O$14)*B34*12*(1+'29_01_H_2020'!$O$25),2)</f>
        <v>8920.82</v>
      </c>
      <c r="I34" s="64"/>
      <c r="J34" s="64"/>
    </row>
    <row r="35" spans="1:10">
      <c r="A35" s="148" t="s">
        <v>124</v>
      </c>
      <c r="B35" s="36">
        <v>1</v>
      </c>
      <c r="C35" s="37">
        <v>740</v>
      </c>
      <c r="D35" s="37"/>
      <c r="E35" s="37">
        <v>299</v>
      </c>
      <c r="F35" s="116">
        <f t="shared" si="2"/>
        <v>1039</v>
      </c>
      <c r="G35" s="149">
        <f>ROUND((C35+D35+E35)*('29_01_H_2020'!$O$14)*B35*12*(1+'29_01_H_2020'!$O$25),2)</f>
        <v>730.4</v>
      </c>
      <c r="I35" s="64"/>
      <c r="J35" s="64"/>
    </row>
    <row r="36" spans="1:10">
      <c r="A36" s="2" t="s">
        <v>20</v>
      </c>
      <c r="B36" s="35">
        <f>SUM(B34:B35)</f>
        <v>11</v>
      </c>
      <c r="C36" s="1" t="s">
        <v>17</v>
      </c>
      <c r="D36" s="1" t="s">
        <v>17</v>
      </c>
      <c r="E36" s="1" t="s">
        <v>17</v>
      </c>
      <c r="F36" s="117" t="s">
        <v>17</v>
      </c>
      <c r="G36" s="121" t="s">
        <v>17</v>
      </c>
    </row>
    <row r="37" spans="1:10" ht="13.5">
      <c r="A37" s="336" t="s">
        <v>132</v>
      </c>
      <c r="B37" s="337">
        <f>B45+B57+B62+B65+B69+B74</f>
        <v>104.5</v>
      </c>
      <c r="C37" s="337"/>
      <c r="D37" s="337"/>
      <c r="E37" s="337"/>
      <c r="F37" s="337"/>
      <c r="G37" s="351">
        <f>SUM(G40:G44,G47:G56,G59:G61,G64,G68,G71:G73)</f>
        <v>109274.26000000001</v>
      </c>
    </row>
    <row r="38" spans="1:10">
      <c r="A38" s="564" t="s">
        <v>105</v>
      </c>
      <c r="B38" s="565"/>
      <c r="C38" s="565"/>
      <c r="D38" s="565"/>
      <c r="E38" s="565"/>
      <c r="F38" s="565"/>
      <c r="G38" s="123"/>
    </row>
    <row r="39" spans="1:10">
      <c r="A39" s="329" t="s">
        <v>33</v>
      </c>
      <c r="B39" s="330"/>
      <c r="C39" s="331"/>
      <c r="D39" s="332"/>
      <c r="E39" s="331"/>
      <c r="F39" s="327"/>
      <c r="G39" s="328"/>
    </row>
    <row r="40" spans="1:10">
      <c r="A40" s="39" t="s">
        <v>116</v>
      </c>
      <c r="B40" s="36">
        <v>4.75</v>
      </c>
      <c r="C40" s="37">
        <v>1287</v>
      </c>
      <c r="D40" s="37"/>
      <c r="E40" s="37">
        <v>321.75</v>
      </c>
      <c r="F40" s="116">
        <f t="shared" ref="F40:F44" si="3">C40+D40+E40</f>
        <v>1608.75</v>
      </c>
      <c r="G40" s="120">
        <f>ROUND((C40+D40+E40)*('29_01_H_2020'!$O$10)*B40*12*(1+'29_01_H_2020'!$O$25),2)</f>
        <v>4986.54</v>
      </c>
      <c r="I40" s="64"/>
      <c r="J40" s="64"/>
    </row>
    <row r="41" spans="1:10">
      <c r="A41" s="39" t="s">
        <v>326</v>
      </c>
      <c r="B41" s="36">
        <v>2.5</v>
      </c>
      <c r="C41" s="37">
        <v>1287</v>
      </c>
      <c r="D41" s="37"/>
      <c r="E41" s="37">
        <v>386.1</v>
      </c>
      <c r="F41" s="116">
        <f t="shared" si="3"/>
        <v>1673.1</v>
      </c>
      <c r="G41" s="120">
        <f>ROUND((C41+D41+E41)*('29_01_H_2020'!$O$10)*B41*12*(1+'29_01_H_2020'!$O$25),2)</f>
        <v>2729.48</v>
      </c>
      <c r="I41" s="64"/>
      <c r="J41" s="64"/>
    </row>
    <row r="42" spans="1:10">
      <c r="A42" s="39" t="s">
        <v>241</v>
      </c>
      <c r="B42" s="36">
        <v>0.75</v>
      </c>
      <c r="C42" s="37">
        <v>1287</v>
      </c>
      <c r="D42" s="37"/>
      <c r="E42" s="37">
        <v>321.75</v>
      </c>
      <c r="F42" s="116">
        <f t="shared" si="3"/>
        <v>1608.75</v>
      </c>
      <c r="G42" s="120">
        <f>ROUND((C42+D42+E42)*('29_01_H_2020'!$O$10)*B42*12*(1+'29_01_H_2020'!$O$25),2)</f>
        <v>787.35</v>
      </c>
      <c r="I42" s="64"/>
      <c r="J42" s="64"/>
    </row>
    <row r="43" spans="1:10">
      <c r="A43" s="39" t="s">
        <v>122</v>
      </c>
      <c r="B43" s="36">
        <v>1.5</v>
      </c>
      <c r="C43" s="37">
        <v>1287</v>
      </c>
      <c r="D43" s="37"/>
      <c r="E43" s="37">
        <v>321.75</v>
      </c>
      <c r="F43" s="116">
        <f t="shared" si="3"/>
        <v>1608.75</v>
      </c>
      <c r="G43" s="120">
        <f>ROUND((C43+D43+E43)*('29_01_H_2020'!$O$10)*B43*12*(1+'29_01_H_2020'!$O$25),2)</f>
        <v>1574.7</v>
      </c>
      <c r="I43" s="64"/>
      <c r="J43" s="64"/>
    </row>
    <row r="44" spans="1:10">
      <c r="A44" s="39" t="s">
        <v>52</v>
      </c>
      <c r="B44" s="36">
        <v>1</v>
      </c>
      <c r="C44" s="37">
        <v>1287</v>
      </c>
      <c r="D44" s="37"/>
      <c r="E44" s="37">
        <v>321.75</v>
      </c>
      <c r="F44" s="116">
        <f t="shared" si="3"/>
        <v>1608.75</v>
      </c>
      <c r="G44" s="120">
        <f>ROUND((C44+D44+E44)*('29_01_H_2020'!$O$10)*B44*12*(1+'29_01_H_2020'!$O$25),2)</f>
        <v>1049.8</v>
      </c>
      <c r="I44" s="64"/>
      <c r="J44" s="64"/>
    </row>
    <row r="45" spans="1:10">
      <c r="A45" s="2" t="s">
        <v>20</v>
      </c>
      <c r="B45" s="35">
        <f>SUM(B40:B44)</f>
        <v>10.5</v>
      </c>
      <c r="C45" s="1" t="s">
        <v>17</v>
      </c>
      <c r="D45" s="1" t="s">
        <v>17</v>
      </c>
      <c r="E45" s="1" t="s">
        <v>17</v>
      </c>
      <c r="F45" s="117" t="s">
        <v>17</v>
      </c>
      <c r="G45" s="121" t="s">
        <v>17</v>
      </c>
    </row>
    <row r="46" spans="1:10" ht="51">
      <c r="A46" s="304" t="s">
        <v>62</v>
      </c>
      <c r="B46" s="319"/>
      <c r="C46" s="320"/>
      <c r="D46" s="320"/>
      <c r="E46" s="320"/>
      <c r="F46" s="321"/>
      <c r="G46" s="322"/>
    </row>
    <row r="47" spans="1:10">
      <c r="A47" s="152" t="s">
        <v>119</v>
      </c>
      <c r="B47" s="317">
        <v>10</v>
      </c>
      <c r="C47" s="318">
        <v>1190</v>
      </c>
      <c r="D47" s="318"/>
      <c r="E47" s="318">
        <v>297.5</v>
      </c>
      <c r="F47" s="116">
        <f t="shared" ref="F47:F56" si="4">C47+D47+E47</f>
        <v>1487.5</v>
      </c>
      <c r="G47" s="120">
        <f>ROUND((C47+D47+E47)*('29_01_H_2020'!$O$10)*B47*12*(1+'29_01_H_2020'!$O$25),2)</f>
        <v>9706.76</v>
      </c>
    </row>
    <row r="48" spans="1:10">
      <c r="A48" s="152" t="s">
        <v>119</v>
      </c>
      <c r="B48" s="317">
        <v>0.5</v>
      </c>
      <c r="C48" s="318">
        <v>1015</v>
      </c>
      <c r="D48" s="318"/>
      <c r="E48" s="318">
        <v>253.75</v>
      </c>
      <c r="F48" s="116">
        <f t="shared" si="4"/>
        <v>1268.75</v>
      </c>
      <c r="G48" s="120">
        <f>ROUND((C48+D48+E48)*('29_01_H_2020'!$O$10)*B48*12*(1+'29_01_H_2020'!$O$25),2)</f>
        <v>413.96</v>
      </c>
    </row>
    <row r="49" spans="1:10">
      <c r="A49" s="152" t="s">
        <v>119</v>
      </c>
      <c r="B49" s="317">
        <v>0.5</v>
      </c>
      <c r="C49" s="318">
        <v>835</v>
      </c>
      <c r="D49" s="318"/>
      <c r="E49" s="318">
        <v>208.75</v>
      </c>
      <c r="F49" s="116">
        <f t="shared" si="4"/>
        <v>1043.75</v>
      </c>
      <c r="G49" s="120">
        <f>ROUND((C49+D49+E49)*('29_01_H_2020'!$O$10)*B49*12*(1+'29_01_H_2020'!$O$25),2)</f>
        <v>340.55</v>
      </c>
    </row>
    <row r="50" spans="1:10">
      <c r="A50" s="152" t="s">
        <v>140</v>
      </c>
      <c r="B50" s="317">
        <v>2.5</v>
      </c>
      <c r="C50" s="318">
        <v>996</v>
      </c>
      <c r="D50" s="318"/>
      <c r="E50" s="318">
        <v>249</v>
      </c>
      <c r="F50" s="116">
        <f t="shared" si="4"/>
        <v>1245</v>
      </c>
      <c r="G50" s="120">
        <f>ROUND((C50+D50+E50)*('29_01_H_2020'!$O$10)*B50*12*(1+'29_01_H_2020'!$O$25),2)</f>
        <v>2031.08</v>
      </c>
    </row>
    <row r="51" spans="1:10">
      <c r="A51" s="152" t="s">
        <v>129</v>
      </c>
      <c r="B51" s="317">
        <v>4.25</v>
      </c>
      <c r="C51" s="318">
        <v>1190</v>
      </c>
      <c r="D51" s="318"/>
      <c r="E51" s="318">
        <v>476</v>
      </c>
      <c r="F51" s="116">
        <f t="shared" si="4"/>
        <v>1666</v>
      </c>
      <c r="G51" s="120">
        <f>ROUND((C51+D51+E51)*('29_01_H_2020'!$O$10)*B51*12*(1+'29_01_H_2020'!$O$25),2)</f>
        <v>4620.42</v>
      </c>
    </row>
    <row r="52" spans="1:10">
      <c r="A52" s="152" t="s">
        <v>327</v>
      </c>
      <c r="B52" s="317">
        <v>2.5</v>
      </c>
      <c r="C52" s="318">
        <v>1190</v>
      </c>
      <c r="D52" s="318"/>
      <c r="E52" s="318">
        <v>357</v>
      </c>
      <c r="F52" s="116">
        <f t="shared" si="4"/>
        <v>1547</v>
      </c>
      <c r="G52" s="120">
        <f>ROUND((C52+D52+E52)*('29_01_H_2020'!$O$10)*B52*12*(1+'29_01_H_2020'!$O$25),2)</f>
        <v>2523.7600000000002</v>
      </c>
    </row>
    <row r="53" spans="1:10">
      <c r="A53" s="152" t="s">
        <v>327</v>
      </c>
      <c r="B53" s="317">
        <v>0.25</v>
      </c>
      <c r="C53" s="318">
        <v>835</v>
      </c>
      <c r="D53" s="318"/>
      <c r="E53" s="318">
        <v>250.5</v>
      </c>
      <c r="F53" s="116">
        <f t="shared" si="4"/>
        <v>1085.5</v>
      </c>
      <c r="G53" s="120">
        <f>ROUND((C53+D53+E53)*('29_01_H_2020'!$O$10)*B53*12*(1+'29_01_H_2020'!$O$25),2)</f>
        <v>177.09</v>
      </c>
    </row>
    <row r="54" spans="1:10">
      <c r="A54" s="152" t="s">
        <v>328</v>
      </c>
      <c r="B54" s="317">
        <v>0.5</v>
      </c>
      <c r="C54" s="318">
        <v>1015</v>
      </c>
      <c r="D54" s="318"/>
      <c r="E54" s="318">
        <v>304.5</v>
      </c>
      <c r="F54" s="116">
        <f t="shared" si="4"/>
        <v>1319.5</v>
      </c>
      <c r="G54" s="120">
        <f>ROUND((C54+D54+E54)*('29_01_H_2020'!$O$10)*B54*12*(1+'29_01_H_2020'!$O$25),2)</f>
        <v>430.52</v>
      </c>
    </row>
    <row r="55" spans="1:10">
      <c r="A55" s="152" t="s">
        <v>123</v>
      </c>
      <c r="B55" s="317">
        <v>0.5</v>
      </c>
      <c r="C55" s="318">
        <v>1190</v>
      </c>
      <c r="D55" s="318"/>
      <c r="E55" s="318">
        <v>476</v>
      </c>
      <c r="F55" s="116">
        <f t="shared" si="4"/>
        <v>1666</v>
      </c>
      <c r="G55" s="120">
        <f>ROUND((C55+D55+E55)*('29_01_H_2020'!$O$10)*B55*12*(1+'29_01_H_2020'!$O$25),2)</f>
        <v>543.58000000000004</v>
      </c>
    </row>
    <row r="56" spans="1:10">
      <c r="A56" s="152" t="s">
        <v>159</v>
      </c>
      <c r="B56" s="317">
        <v>0.75</v>
      </c>
      <c r="C56" s="318">
        <v>1190</v>
      </c>
      <c r="D56" s="318"/>
      <c r="E56" s="318">
        <v>357</v>
      </c>
      <c r="F56" s="116">
        <f t="shared" si="4"/>
        <v>1547</v>
      </c>
      <c r="G56" s="120">
        <f>ROUND((C56+D56+E56)*('29_01_H_2020'!$O$10)*B56*12*(1+'29_01_H_2020'!$O$25),2)</f>
        <v>757.13</v>
      </c>
    </row>
    <row r="57" spans="1:10">
      <c r="A57" s="2" t="s">
        <v>20</v>
      </c>
      <c r="B57" s="35">
        <f>SUM(B47:B56)</f>
        <v>22.25</v>
      </c>
      <c r="C57" s="1" t="s">
        <v>17</v>
      </c>
      <c r="D57" s="1" t="s">
        <v>17</v>
      </c>
      <c r="E57" s="1" t="s">
        <v>17</v>
      </c>
      <c r="F57" s="117" t="s">
        <v>17</v>
      </c>
      <c r="G57" s="121" t="s">
        <v>17</v>
      </c>
    </row>
    <row r="58" spans="1:10" ht="51">
      <c r="A58" s="323" t="s">
        <v>63</v>
      </c>
      <c r="B58" s="324"/>
      <c r="C58" s="325"/>
      <c r="D58" s="326"/>
      <c r="E58" s="325"/>
      <c r="F58" s="327"/>
      <c r="G58" s="328"/>
    </row>
    <row r="59" spans="1:10">
      <c r="A59" s="148" t="s">
        <v>14</v>
      </c>
      <c r="B59" s="36">
        <v>52</v>
      </c>
      <c r="C59" s="37">
        <v>996</v>
      </c>
      <c r="D59" s="37"/>
      <c r="E59" s="37">
        <v>587.64</v>
      </c>
      <c r="F59" s="116">
        <f t="shared" ref="F59:F61" si="5">C59+D59+E59</f>
        <v>1583.6399999999999</v>
      </c>
      <c r="G59" s="149">
        <f>ROUND((C59+D59+E59)*('29_01_H_2020'!$O$14)*B59*12*(1+'29_01_H_2020'!$O$25),2)</f>
        <v>57889.89</v>
      </c>
      <c r="I59" s="64"/>
      <c r="J59" s="64"/>
    </row>
    <row r="60" spans="1:10">
      <c r="A60" s="148" t="s">
        <v>126</v>
      </c>
      <c r="B60" s="36">
        <v>1</v>
      </c>
      <c r="C60" s="37">
        <v>996</v>
      </c>
      <c r="D60" s="37"/>
      <c r="E60" s="37">
        <v>249</v>
      </c>
      <c r="F60" s="116">
        <f t="shared" si="5"/>
        <v>1245</v>
      </c>
      <c r="G60" s="149">
        <f>ROUND((C60+D60+E60)*('29_01_H_2020'!$O$14)*B60*12*(1+'29_01_H_2020'!$O$25),2)</f>
        <v>875.21</v>
      </c>
      <c r="I60" s="64"/>
      <c r="J60" s="64"/>
    </row>
    <row r="61" spans="1:10">
      <c r="A61" s="148" t="s">
        <v>125</v>
      </c>
      <c r="B61" s="36">
        <v>2.75</v>
      </c>
      <c r="C61" s="37">
        <v>996</v>
      </c>
      <c r="D61" s="37"/>
      <c r="E61" s="37">
        <v>587.64</v>
      </c>
      <c r="F61" s="116">
        <f t="shared" si="5"/>
        <v>1583.6399999999999</v>
      </c>
      <c r="G61" s="149">
        <f>ROUND((C61+D61+E61)*('29_01_H_2020'!$O$14)*B61*12*(1+'29_01_H_2020'!$O$25),2)</f>
        <v>3061.48</v>
      </c>
      <c r="I61" s="64"/>
      <c r="J61" s="64"/>
    </row>
    <row r="62" spans="1:10">
      <c r="A62" s="2" t="s">
        <v>20</v>
      </c>
      <c r="B62" s="35">
        <f>SUM(B59:B61)</f>
        <v>55.75</v>
      </c>
      <c r="C62" s="1" t="s">
        <v>17</v>
      </c>
      <c r="D62" s="1" t="s">
        <v>17</v>
      </c>
      <c r="E62" s="1" t="s">
        <v>17</v>
      </c>
      <c r="F62" s="117" t="s">
        <v>17</v>
      </c>
      <c r="G62" s="121" t="s">
        <v>17</v>
      </c>
    </row>
    <row r="63" spans="1:10" ht="63.75">
      <c r="A63" s="40" t="s">
        <v>81</v>
      </c>
      <c r="B63" s="31"/>
      <c r="C63" s="32"/>
      <c r="D63" s="33"/>
      <c r="E63" s="32"/>
      <c r="F63" s="335"/>
      <c r="G63" s="122"/>
    </row>
    <row r="64" spans="1:10">
      <c r="A64" s="39" t="s">
        <v>127</v>
      </c>
      <c r="B64" s="36">
        <v>6</v>
      </c>
      <c r="C64" s="37">
        <v>1093</v>
      </c>
      <c r="D64" s="37"/>
      <c r="E64" s="37">
        <v>273.25</v>
      </c>
      <c r="F64" s="116">
        <f t="shared" ref="F64" si="6">C64+D64+E64</f>
        <v>1366.25</v>
      </c>
      <c r="G64" s="120">
        <f>ROUND((C64+D64+E64)*('29_01_H_2020'!$O$14)*B64*12*(1+'29_01_H_2020'!$O$25),2)</f>
        <v>5762.68</v>
      </c>
    </row>
    <row r="65" spans="1:10">
      <c r="A65" s="2" t="s">
        <v>20</v>
      </c>
      <c r="B65" s="35">
        <f>SUM(B64:B64)</f>
        <v>6</v>
      </c>
      <c r="C65" s="1" t="s">
        <v>17</v>
      </c>
      <c r="D65" s="1" t="s">
        <v>17</v>
      </c>
      <c r="E65" s="1" t="s">
        <v>17</v>
      </c>
      <c r="F65" s="117" t="s">
        <v>17</v>
      </c>
      <c r="G65" s="121" t="s">
        <v>17</v>
      </c>
    </row>
    <row r="66" spans="1:10">
      <c r="A66" s="564" t="s">
        <v>111</v>
      </c>
      <c r="B66" s="565"/>
      <c r="C66" s="565"/>
      <c r="D66" s="565"/>
      <c r="E66" s="565"/>
      <c r="F66" s="565"/>
      <c r="G66" s="123"/>
    </row>
    <row r="67" spans="1:10" ht="24.75" customHeight="1">
      <c r="A67" s="304" t="s">
        <v>235</v>
      </c>
      <c r="B67" s="31"/>
      <c r="C67" s="32"/>
      <c r="D67" s="33"/>
      <c r="E67" s="32"/>
      <c r="F67" s="115"/>
      <c r="G67" s="122"/>
    </row>
    <row r="68" spans="1:10">
      <c r="A68" s="39" t="s">
        <v>148</v>
      </c>
      <c r="B68" s="36">
        <v>1.5</v>
      </c>
      <c r="C68" s="37">
        <v>1093</v>
      </c>
      <c r="D68" s="37"/>
      <c r="E68" s="37">
        <v>273.25</v>
      </c>
      <c r="F68" s="116">
        <f t="shared" ref="F68" si="7">C68+D68+E68</f>
        <v>1366.25</v>
      </c>
      <c r="G68" s="120">
        <f>ROUND((C68+D68+E68)*('29_01_H_2020'!$O$10)*B68*12*(1+'29_01_H_2020'!$O$25),2)</f>
        <v>1337.33</v>
      </c>
      <c r="I68" s="64"/>
      <c r="J68" s="64"/>
    </row>
    <row r="69" spans="1:10">
      <c r="A69" s="2" t="s">
        <v>20</v>
      </c>
      <c r="B69" s="35">
        <f>SUM(B68:B68)</f>
        <v>1.5</v>
      </c>
      <c r="C69" s="1" t="s">
        <v>17</v>
      </c>
      <c r="D69" s="1" t="s">
        <v>17</v>
      </c>
      <c r="E69" s="1" t="s">
        <v>17</v>
      </c>
      <c r="F69" s="117" t="s">
        <v>17</v>
      </c>
      <c r="G69" s="121" t="s">
        <v>17</v>
      </c>
    </row>
    <row r="70" spans="1:10" ht="51">
      <c r="A70" s="40" t="s">
        <v>237</v>
      </c>
      <c r="B70" s="31"/>
      <c r="C70" s="32"/>
      <c r="D70" s="33"/>
      <c r="E70" s="32"/>
      <c r="F70" s="115"/>
      <c r="G70" s="122"/>
    </row>
    <row r="71" spans="1:10">
      <c r="A71" s="148" t="s">
        <v>124</v>
      </c>
      <c r="B71" s="36">
        <v>4.5</v>
      </c>
      <c r="C71" s="37">
        <v>899</v>
      </c>
      <c r="D71" s="37"/>
      <c r="E71" s="37">
        <v>530.41</v>
      </c>
      <c r="F71" s="116">
        <f t="shared" ref="F71:F73" si="8">C71+D71+E71</f>
        <v>1429.4099999999999</v>
      </c>
      <c r="G71" s="149">
        <f>ROUND((C71+D71+E71)*('29_01_H_2020'!$O$14)*B71*12*(1+'29_01_H_2020'!$O$25),2)</f>
        <v>4521.8100000000004</v>
      </c>
      <c r="I71" s="64"/>
      <c r="J71" s="64"/>
    </row>
    <row r="72" spans="1:10">
      <c r="A72" s="148" t="s">
        <v>124</v>
      </c>
      <c r="B72" s="36">
        <v>3</v>
      </c>
      <c r="C72" s="37">
        <v>740</v>
      </c>
      <c r="D72" s="37"/>
      <c r="E72" s="37">
        <v>436.6</v>
      </c>
      <c r="F72" s="116">
        <f t="shared" si="8"/>
        <v>1176.5999999999999</v>
      </c>
      <c r="G72" s="149">
        <f>ROUND((C72+D72+E72)*('29_01_H_2020'!$O$14)*B72*12*(1+'29_01_H_2020'!$O$25),2)</f>
        <v>2481.38</v>
      </c>
      <c r="I72" s="64"/>
      <c r="J72" s="64"/>
    </row>
    <row r="73" spans="1:10">
      <c r="A73" s="148" t="s">
        <v>124</v>
      </c>
      <c r="B73" s="36">
        <v>1</v>
      </c>
      <c r="C73" s="37">
        <v>601</v>
      </c>
      <c r="D73" s="37"/>
      <c r="E73" s="37">
        <v>354.59</v>
      </c>
      <c r="F73" s="116">
        <f t="shared" si="8"/>
        <v>955.58999999999992</v>
      </c>
      <c r="G73" s="149">
        <f>ROUND((C73+D73+E73)*('29_01_H_2020'!$O$14)*B73*12*(1+'29_01_H_2020'!$O$25),2)</f>
        <v>671.76</v>
      </c>
      <c r="I73" s="64"/>
      <c r="J73" s="64"/>
    </row>
    <row r="74" spans="1:10">
      <c r="A74" s="2" t="s">
        <v>20</v>
      </c>
      <c r="B74" s="35">
        <f>SUM(B71:B73)</f>
        <v>8.5</v>
      </c>
      <c r="C74" s="1" t="s">
        <v>17</v>
      </c>
      <c r="D74" s="1" t="s">
        <v>17</v>
      </c>
      <c r="E74" s="1" t="s">
        <v>17</v>
      </c>
      <c r="F74" s="117" t="s">
        <v>17</v>
      </c>
      <c r="G74" s="121" t="s">
        <v>17</v>
      </c>
    </row>
    <row r="75" spans="1:10" ht="13.5">
      <c r="A75" s="336" t="s">
        <v>128</v>
      </c>
      <c r="B75" s="337">
        <f>B80+B84+B90+B95+B99</f>
        <v>49.05</v>
      </c>
      <c r="C75" s="337"/>
      <c r="D75" s="337"/>
      <c r="E75" s="337"/>
      <c r="F75" s="337"/>
      <c r="G75" s="351">
        <f>SUM(G78:G79,G82:G83,G86:G89,G92:G94,G98)</f>
        <v>51109.600000000006</v>
      </c>
    </row>
    <row r="76" spans="1:10">
      <c r="A76" s="564" t="s">
        <v>105</v>
      </c>
      <c r="B76" s="565"/>
      <c r="C76" s="565"/>
      <c r="D76" s="565"/>
      <c r="E76" s="565"/>
      <c r="F76" s="565"/>
      <c r="G76" s="123"/>
    </row>
    <row r="77" spans="1:10">
      <c r="A77" s="329" t="s">
        <v>33</v>
      </c>
      <c r="B77" s="330"/>
      <c r="C77" s="331"/>
      <c r="D77" s="332"/>
      <c r="E77" s="331"/>
      <c r="F77" s="327"/>
      <c r="G77" s="328"/>
    </row>
    <row r="78" spans="1:10">
      <c r="A78" s="39" t="s">
        <v>116</v>
      </c>
      <c r="B78" s="36">
        <v>3</v>
      </c>
      <c r="C78" s="37">
        <v>1287</v>
      </c>
      <c r="D78" s="37"/>
      <c r="E78" s="37">
        <v>643.5</v>
      </c>
      <c r="F78" s="116">
        <f t="shared" ref="F78:F79" si="9">C78+D78+E78</f>
        <v>1930.5</v>
      </c>
      <c r="G78" s="120">
        <f>ROUND((C78+D78+E78)*('29_01_H_2020'!$O$10)*B78*12*(1+'29_01_H_2020'!$O$25),2)</f>
        <v>3779.27</v>
      </c>
      <c r="I78" s="64"/>
      <c r="J78" s="64"/>
    </row>
    <row r="79" spans="1:10">
      <c r="A79" s="39" t="s">
        <v>122</v>
      </c>
      <c r="B79" s="36">
        <v>0.5</v>
      </c>
      <c r="C79" s="37">
        <v>1287</v>
      </c>
      <c r="D79" s="37"/>
      <c r="E79" s="37">
        <v>643.5</v>
      </c>
      <c r="F79" s="116">
        <f t="shared" si="9"/>
        <v>1930.5</v>
      </c>
      <c r="G79" s="120">
        <f>ROUND((C79+D79+E79)*('29_01_H_2020'!$O$10)*B79*12*(1+'29_01_H_2020'!$O$25),2)</f>
        <v>629.88</v>
      </c>
      <c r="I79" s="64"/>
      <c r="J79" s="64"/>
    </row>
    <row r="80" spans="1:10">
      <c r="A80" s="2" t="s">
        <v>20</v>
      </c>
      <c r="B80" s="35">
        <f>SUM(B78:B79)</f>
        <v>3.5</v>
      </c>
      <c r="C80" s="1" t="s">
        <v>17</v>
      </c>
      <c r="D80" s="1" t="s">
        <v>17</v>
      </c>
      <c r="E80" s="1" t="s">
        <v>17</v>
      </c>
      <c r="F80" s="117" t="s">
        <v>17</v>
      </c>
      <c r="G80" s="121" t="s">
        <v>17</v>
      </c>
    </row>
    <row r="81" spans="1:10" ht="51">
      <c r="A81" s="304" t="s">
        <v>62</v>
      </c>
      <c r="B81" s="319"/>
      <c r="C81" s="320"/>
      <c r="D81" s="320"/>
      <c r="E81" s="320"/>
      <c r="F81" s="321"/>
      <c r="G81" s="322"/>
    </row>
    <row r="82" spans="1:10">
      <c r="A82" s="129" t="s">
        <v>119</v>
      </c>
      <c r="B82" s="339">
        <v>2.5</v>
      </c>
      <c r="C82" s="340">
        <v>1190</v>
      </c>
      <c r="D82" s="340"/>
      <c r="E82" s="340">
        <v>595</v>
      </c>
      <c r="F82" s="116">
        <f t="shared" ref="F82:F83" si="10">C82+D82+E82</f>
        <v>1785</v>
      </c>
      <c r="G82" s="120">
        <f>ROUND((C82+D82+E82)*('29_01_H_2020'!$O$10)*B82*12*(1+'29_01_H_2020'!$O$25),2)</f>
        <v>2912.03</v>
      </c>
    </row>
    <row r="83" spans="1:10">
      <c r="A83" s="129" t="s">
        <v>129</v>
      </c>
      <c r="B83" s="339">
        <v>2</v>
      </c>
      <c r="C83" s="340">
        <v>1190</v>
      </c>
      <c r="D83" s="340"/>
      <c r="E83" s="340">
        <v>595</v>
      </c>
      <c r="F83" s="116">
        <f t="shared" si="10"/>
        <v>1785</v>
      </c>
      <c r="G83" s="120">
        <f>ROUND((C83+D83+E83)*('29_01_H_2020'!$O$10)*B83*12*(1+'29_01_H_2020'!$O$25),2)</f>
        <v>2329.62</v>
      </c>
    </row>
    <row r="84" spans="1:10">
      <c r="A84" s="2" t="s">
        <v>20</v>
      </c>
      <c r="B84" s="35">
        <f>SUM(B82:B83)</f>
        <v>4.5</v>
      </c>
      <c r="C84" s="1" t="s">
        <v>17</v>
      </c>
      <c r="D84" s="1" t="s">
        <v>17</v>
      </c>
      <c r="E84" s="1" t="s">
        <v>17</v>
      </c>
      <c r="F84" s="117" t="s">
        <v>17</v>
      </c>
      <c r="G84" s="121" t="s">
        <v>17</v>
      </c>
    </row>
    <row r="85" spans="1:10" ht="51">
      <c r="A85" s="323" t="s">
        <v>63</v>
      </c>
      <c r="B85" s="324"/>
      <c r="C85" s="325"/>
      <c r="D85" s="326"/>
      <c r="E85" s="325"/>
      <c r="F85" s="327"/>
      <c r="G85" s="328"/>
    </row>
    <row r="86" spans="1:10">
      <c r="A86" s="148" t="s">
        <v>101</v>
      </c>
      <c r="B86" s="36">
        <v>2</v>
      </c>
      <c r="C86" s="37">
        <v>1093</v>
      </c>
      <c r="D86" s="37"/>
      <c r="E86" s="37">
        <v>546.5</v>
      </c>
      <c r="F86" s="116">
        <f t="shared" ref="F86:F89" si="11">C86+D86+E86</f>
        <v>1639.5</v>
      </c>
      <c r="G86" s="149">
        <f>ROUND((C86+D86+E86)*('29_01_H_2020'!$O$14)*B86*12*(1+'29_01_H_2020'!$O$25),2)</f>
        <v>2305.0700000000002</v>
      </c>
      <c r="I86" s="64"/>
      <c r="J86" s="64"/>
    </row>
    <row r="87" spans="1:10">
      <c r="A87" s="148" t="s">
        <v>130</v>
      </c>
      <c r="B87" s="36">
        <v>6</v>
      </c>
      <c r="C87" s="37">
        <v>996</v>
      </c>
      <c r="D87" s="37"/>
      <c r="E87" s="37">
        <v>498</v>
      </c>
      <c r="F87" s="116">
        <f t="shared" ref="F87" si="12">C87+D87+E87</f>
        <v>1494</v>
      </c>
      <c r="G87" s="149">
        <f>ROUND((C87+D87+E87)*('29_01_H_2020'!$O$14)*B87*12*(1+'29_01_H_2020'!$O$25),2)</f>
        <v>6301.51</v>
      </c>
      <c r="I87" s="64"/>
      <c r="J87" s="64"/>
    </row>
    <row r="88" spans="1:10">
      <c r="A88" s="148" t="s">
        <v>131</v>
      </c>
      <c r="B88" s="36">
        <v>10.25</v>
      </c>
      <c r="C88" s="37">
        <v>996</v>
      </c>
      <c r="D88" s="37"/>
      <c r="E88" s="37">
        <v>498</v>
      </c>
      <c r="F88" s="116">
        <f t="shared" si="11"/>
        <v>1494</v>
      </c>
      <c r="G88" s="149">
        <f>ROUND((C88+D88+E88)*('29_01_H_2020'!$O$14)*B88*12*(1+'29_01_H_2020'!$O$25),2)</f>
        <v>10765.08</v>
      </c>
      <c r="I88" s="64"/>
      <c r="J88" s="64"/>
    </row>
    <row r="89" spans="1:10">
      <c r="A89" s="148" t="s">
        <v>14</v>
      </c>
      <c r="B89" s="36">
        <v>7.1</v>
      </c>
      <c r="C89" s="37">
        <v>899</v>
      </c>
      <c r="D89" s="37"/>
      <c r="E89" s="37">
        <v>449.5</v>
      </c>
      <c r="F89" s="116">
        <f t="shared" si="11"/>
        <v>1348.5</v>
      </c>
      <c r="G89" s="149">
        <f>ROUND((C89+D89+E89)*('29_01_H_2020'!$O$14)*B89*12*(1+'29_01_H_2020'!$O$25),2)</f>
        <v>6730.58</v>
      </c>
      <c r="I89" s="64"/>
      <c r="J89" s="64"/>
    </row>
    <row r="90" spans="1:10">
      <c r="A90" s="2" t="s">
        <v>20</v>
      </c>
      <c r="B90" s="35">
        <f>SUM(B86:B89)</f>
        <v>25.35</v>
      </c>
      <c r="C90" s="1" t="s">
        <v>17</v>
      </c>
      <c r="D90" s="1" t="s">
        <v>17</v>
      </c>
      <c r="E90" s="1" t="s">
        <v>17</v>
      </c>
      <c r="F90" s="117" t="s">
        <v>17</v>
      </c>
      <c r="G90" s="121" t="s">
        <v>17</v>
      </c>
    </row>
    <row r="91" spans="1:10" ht="63.75">
      <c r="A91" s="40" t="s">
        <v>81</v>
      </c>
      <c r="B91" s="31"/>
      <c r="C91" s="32"/>
      <c r="D91" s="33"/>
      <c r="E91" s="32"/>
      <c r="F91" s="335"/>
      <c r="G91" s="122"/>
    </row>
    <row r="92" spans="1:10">
      <c r="A92" s="39" t="s">
        <v>127</v>
      </c>
      <c r="B92" s="36">
        <v>3</v>
      </c>
      <c r="C92" s="37">
        <v>1093</v>
      </c>
      <c r="D92" s="37"/>
      <c r="E92" s="37">
        <v>546.5</v>
      </c>
      <c r="F92" s="116">
        <f t="shared" ref="F92" si="13">C92+D92+E92</f>
        <v>1639.5</v>
      </c>
      <c r="G92" s="120">
        <f>ROUND((C92+D92+E92)*('29_01_H_2020'!$O$14)*B92*12*(1+'29_01_H_2020'!$O$25),2)</f>
        <v>3457.61</v>
      </c>
    </row>
    <row r="93" spans="1:10">
      <c r="A93" s="39" t="s">
        <v>127</v>
      </c>
      <c r="B93" s="36">
        <v>1</v>
      </c>
      <c r="C93" s="37">
        <v>920</v>
      </c>
      <c r="D93" s="37"/>
      <c r="E93" s="37">
        <v>460</v>
      </c>
      <c r="F93" s="116">
        <f t="shared" ref="F93:F94" si="14">C93+D93+E93</f>
        <v>1380</v>
      </c>
      <c r="G93" s="120">
        <f>ROUND((C93+D93+E93)*('29_01_H_2020'!$O$14)*B93*12*(1+'29_01_H_2020'!$O$25),2)</f>
        <v>970.11</v>
      </c>
    </row>
    <row r="94" spans="1:10">
      <c r="A94" s="39" t="s">
        <v>127</v>
      </c>
      <c r="B94" s="36">
        <v>1</v>
      </c>
      <c r="C94" s="37">
        <v>745</v>
      </c>
      <c r="D94" s="37"/>
      <c r="E94" s="37">
        <v>372.5</v>
      </c>
      <c r="F94" s="116">
        <f t="shared" si="14"/>
        <v>1117.5</v>
      </c>
      <c r="G94" s="120">
        <f>ROUND((C94+D94+E94)*('29_01_H_2020'!$O$14)*B94*12*(1+'29_01_H_2020'!$O$25),2)</f>
        <v>785.58</v>
      </c>
    </row>
    <row r="95" spans="1:10">
      <c r="A95" s="2" t="s">
        <v>20</v>
      </c>
      <c r="B95" s="35">
        <f>SUM(B92:B94)</f>
        <v>5</v>
      </c>
      <c r="C95" s="1" t="s">
        <v>17</v>
      </c>
      <c r="D95" s="1" t="s">
        <v>17</v>
      </c>
      <c r="E95" s="1" t="s">
        <v>17</v>
      </c>
      <c r="F95" s="117" t="s">
        <v>17</v>
      </c>
      <c r="G95" s="121" t="s">
        <v>17</v>
      </c>
    </row>
    <row r="96" spans="1:10">
      <c r="A96" s="564" t="s">
        <v>111</v>
      </c>
      <c r="B96" s="565"/>
      <c r="C96" s="565"/>
      <c r="D96" s="565"/>
      <c r="E96" s="565"/>
      <c r="F96" s="565"/>
      <c r="G96" s="123"/>
    </row>
    <row r="97" spans="1:10" ht="51">
      <c r="A97" s="40" t="s">
        <v>237</v>
      </c>
      <c r="B97" s="31"/>
      <c r="C97" s="32"/>
      <c r="D97" s="33"/>
      <c r="E97" s="32"/>
      <c r="F97" s="115"/>
      <c r="G97" s="122"/>
    </row>
    <row r="98" spans="1:10">
      <c r="A98" s="148" t="s">
        <v>14</v>
      </c>
      <c r="B98" s="36">
        <v>10.7</v>
      </c>
      <c r="C98" s="37">
        <v>899</v>
      </c>
      <c r="D98" s="37"/>
      <c r="E98" s="37">
        <v>449.5</v>
      </c>
      <c r="F98" s="116">
        <f t="shared" ref="F98" si="15">C98+D98+E98</f>
        <v>1348.5</v>
      </c>
      <c r="G98" s="149">
        <f>ROUND((C98+D98+E98)*('29_01_H_2020'!$O$14)*B98*12*(1+'29_01_H_2020'!$O$25),2)</f>
        <v>10143.26</v>
      </c>
      <c r="I98" s="64"/>
      <c r="J98" s="64"/>
    </row>
    <row r="99" spans="1:10">
      <c r="A99" s="2" t="s">
        <v>20</v>
      </c>
      <c r="B99" s="35">
        <f>SUM(B98:B98)</f>
        <v>10.7</v>
      </c>
      <c r="C99" s="1" t="s">
        <v>17</v>
      </c>
      <c r="D99" s="1" t="s">
        <v>17</v>
      </c>
      <c r="E99" s="1" t="s">
        <v>17</v>
      </c>
      <c r="F99" s="117" t="s">
        <v>17</v>
      </c>
      <c r="G99" s="121" t="s">
        <v>17</v>
      </c>
    </row>
    <row r="100" spans="1:10" ht="13.5">
      <c r="A100" s="336" t="s">
        <v>133</v>
      </c>
      <c r="B100" s="337">
        <f>B105+B111+B115+B118+B122+B130+B125+B134</f>
        <v>92.35</v>
      </c>
      <c r="C100" s="337"/>
      <c r="D100" s="337"/>
      <c r="E100" s="337"/>
      <c r="F100" s="337"/>
      <c r="G100" s="351">
        <f>SUM(G103:G104,G107:G110,G113:G114,G117,G121,G124,G127:G129,G132:G133)</f>
        <v>84380.479999999996</v>
      </c>
    </row>
    <row r="101" spans="1:10">
      <c r="A101" s="564" t="s">
        <v>105</v>
      </c>
      <c r="B101" s="565"/>
      <c r="C101" s="565"/>
      <c r="D101" s="565"/>
      <c r="E101" s="565"/>
      <c r="F101" s="565"/>
      <c r="G101" s="123"/>
    </row>
    <row r="102" spans="1:10">
      <c r="A102" s="329" t="s">
        <v>33</v>
      </c>
      <c r="B102" s="330"/>
      <c r="C102" s="331"/>
      <c r="D102" s="332"/>
      <c r="E102" s="331"/>
      <c r="F102" s="327"/>
      <c r="G102" s="328"/>
    </row>
    <row r="103" spans="1:10">
      <c r="A103" s="39" t="s">
        <v>240</v>
      </c>
      <c r="B103" s="36">
        <v>5.9</v>
      </c>
      <c r="C103" s="37">
        <v>1287</v>
      </c>
      <c r="D103" s="37"/>
      <c r="E103" s="37">
        <v>347.49</v>
      </c>
      <c r="F103" s="116">
        <f t="shared" ref="F103:F104" si="16">C103+D103+E103</f>
        <v>1634.49</v>
      </c>
      <c r="G103" s="120">
        <f>ROUND((C103+D103+E103)*('29_01_H_2020'!$O$10)*B103*12*(1+'29_01_H_2020'!$O$25),2)</f>
        <v>6292.91</v>
      </c>
      <c r="I103" s="64"/>
      <c r="J103" s="64"/>
    </row>
    <row r="104" spans="1:10">
      <c r="A104" s="39" t="s">
        <v>118</v>
      </c>
      <c r="B104" s="36">
        <v>0.5</v>
      </c>
      <c r="C104" s="37">
        <v>1287</v>
      </c>
      <c r="D104" s="37"/>
      <c r="E104" s="37">
        <v>347.49</v>
      </c>
      <c r="F104" s="116">
        <f t="shared" si="16"/>
        <v>1634.49</v>
      </c>
      <c r="G104" s="120">
        <f>ROUND((C104+D104+E104)*('29_01_H_2020'!$O$10)*B104*12*(1+'29_01_H_2020'!$O$25),2)</f>
        <v>533.29999999999995</v>
      </c>
      <c r="I104" s="64"/>
      <c r="J104" s="64"/>
    </row>
    <row r="105" spans="1:10">
      <c r="A105" s="2" t="s">
        <v>20</v>
      </c>
      <c r="B105" s="35">
        <f>SUM(B103:B104)</f>
        <v>6.4</v>
      </c>
      <c r="C105" s="1" t="s">
        <v>17</v>
      </c>
      <c r="D105" s="1" t="s">
        <v>17</v>
      </c>
      <c r="E105" s="1" t="s">
        <v>17</v>
      </c>
      <c r="F105" s="117" t="s">
        <v>17</v>
      </c>
      <c r="G105" s="121" t="s">
        <v>17</v>
      </c>
    </row>
    <row r="106" spans="1:10" ht="51">
      <c r="A106" s="304" t="s">
        <v>62</v>
      </c>
      <c r="B106" s="319"/>
      <c r="C106" s="320"/>
      <c r="D106" s="320"/>
      <c r="E106" s="320"/>
      <c r="F106" s="321"/>
      <c r="G106" s="322"/>
    </row>
    <row r="107" spans="1:10">
      <c r="A107" s="152" t="s">
        <v>129</v>
      </c>
      <c r="B107" s="317">
        <v>2</v>
      </c>
      <c r="C107" s="318">
        <v>1190</v>
      </c>
      <c r="D107" s="318"/>
      <c r="E107" s="318">
        <v>321.3</v>
      </c>
      <c r="F107" s="116">
        <f t="shared" ref="F107:F110" si="17">C107+D107+E107</f>
        <v>1511.3</v>
      </c>
      <c r="G107" s="120">
        <f>ROUND((C107+D107+E107)*('29_01_H_2020'!$O$10)*B107*12*(1+'29_01_H_2020'!$O$25),2)</f>
        <v>1972.41</v>
      </c>
    </row>
    <row r="108" spans="1:10">
      <c r="A108" s="152" t="s">
        <v>119</v>
      </c>
      <c r="B108" s="317">
        <v>5.9</v>
      </c>
      <c r="C108" s="318">
        <v>1190</v>
      </c>
      <c r="D108" s="318"/>
      <c r="E108" s="318">
        <v>321.3</v>
      </c>
      <c r="F108" s="116">
        <f t="shared" si="17"/>
        <v>1511.3</v>
      </c>
      <c r="G108" s="120">
        <f>ROUND((C108+D108+E108)*('29_01_H_2020'!$O$10)*B108*12*(1+'29_01_H_2020'!$O$25),2)</f>
        <v>5818.62</v>
      </c>
    </row>
    <row r="109" spans="1:10">
      <c r="A109" s="152" t="s">
        <v>119</v>
      </c>
      <c r="B109" s="317">
        <v>1.5</v>
      </c>
      <c r="C109" s="318">
        <v>835</v>
      </c>
      <c r="D109" s="318"/>
      <c r="E109" s="318">
        <v>225.45</v>
      </c>
      <c r="F109" s="116">
        <f t="shared" si="17"/>
        <v>1060.45</v>
      </c>
      <c r="G109" s="120">
        <f>ROUND((C109+D109+E109)*('29_01_H_2020'!$O$10)*B109*12*(1+'29_01_H_2020'!$O$25),2)</f>
        <v>1038</v>
      </c>
    </row>
    <row r="110" spans="1:10">
      <c r="A110" s="152" t="s">
        <v>123</v>
      </c>
      <c r="B110" s="317">
        <v>1</v>
      </c>
      <c r="C110" s="318">
        <v>1015</v>
      </c>
      <c r="D110" s="318"/>
      <c r="E110" s="318">
        <v>274.05</v>
      </c>
      <c r="F110" s="116">
        <f t="shared" si="17"/>
        <v>1289.05</v>
      </c>
      <c r="G110" s="120">
        <f>ROUND((C110+D110+E110)*('29_01_H_2020'!$O$10)*B110*12*(1+'29_01_H_2020'!$O$25),2)</f>
        <v>841.18</v>
      </c>
    </row>
    <row r="111" spans="1:10">
      <c r="A111" s="2" t="s">
        <v>20</v>
      </c>
      <c r="B111" s="35">
        <f>SUM(B107:B110)</f>
        <v>10.4</v>
      </c>
      <c r="C111" s="1" t="s">
        <v>17</v>
      </c>
      <c r="D111" s="1" t="s">
        <v>17</v>
      </c>
      <c r="E111" s="1" t="s">
        <v>17</v>
      </c>
      <c r="F111" s="117" t="s">
        <v>17</v>
      </c>
      <c r="G111" s="121" t="s">
        <v>17</v>
      </c>
    </row>
    <row r="112" spans="1:10" ht="51">
      <c r="A112" s="323" t="s">
        <v>63</v>
      </c>
      <c r="B112" s="324"/>
      <c r="C112" s="325"/>
      <c r="D112" s="326"/>
      <c r="E112" s="325"/>
      <c r="F112" s="327"/>
      <c r="G112" s="328"/>
    </row>
    <row r="113" spans="1:10">
      <c r="A113" s="148" t="s">
        <v>330</v>
      </c>
      <c r="B113" s="36">
        <v>37.75</v>
      </c>
      <c r="C113" s="37">
        <v>996</v>
      </c>
      <c r="D113" s="37"/>
      <c r="E113" s="37">
        <v>589.91999999999996</v>
      </c>
      <c r="F113" s="116">
        <f t="shared" ref="F113:F114" si="18">C113+D113+E113</f>
        <v>1585.92</v>
      </c>
      <c r="G113" s="149">
        <f>ROUND((C113+D113+E113)*('29_01_H_2020'!$O$14)*B113*12*(1+'29_01_H_2020'!$O$25),2)</f>
        <v>42086.34</v>
      </c>
      <c r="I113" s="64"/>
      <c r="J113" s="64"/>
    </row>
    <row r="114" spans="1:10">
      <c r="A114" s="148" t="s">
        <v>330</v>
      </c>
      <c r="B114" s="36">
        <v>0.5</v>
      </c>
      <c r="C114" s="37">
        <v>675</v>
      </c>
      <c r="D114" s="37"/>
      <c r="E114" s="37">
        <v>182.25</v>
      </c>
      <c r="F114" s="116">
        <f t="shared" si="18"/>
        <v>857.25</v>
      </c>
      <c r="G114" s="149">
        <f>ROUND((C114+D114+E114)*('29_01_H_2020'!$O$14)*B114*12*(1+'29_01_H_2020'!$O$25),2)</f>
        <v>301.31</v>
      </c>
      <c r="I114" s="64"/>
      <c r="J114" s="64"/>
    </row>
    <row r="115" spans="1:10">
      <c r="A115" s="2" t="s">
        <v>20</v>
      </c>
      <c r="B115" s="35">
        <f>SUM(B113:B114)</f>
        <v>38.25</v>
      </c>
      <c r="C115" s="1" t="s">
        <v>17</v>
      </c>
      <c r="D115" s="1" t="s">
        <v>17</v>
      </c>
      <c r="E115" s="1" t="s">
        <v>17</v>
      </c>
      <c r="F115" s="117" t="s">
        <v>17</v>
      </c>
      <c r="G115" s="121" t="s">
        <v>17</v>
      </c>
    </row>
    <row r="116" spans="1:10" ht="63.75">
      <c r="A116" s="40" t="s">
        <v>81</v>
      </c>
      <c r="B116" s="31"/>
      <c r="C116" s="32"/>
      <c r="D116" s="33"/>
      <c r="E116" s="32"/>
      <c r="F116" s="335"/>
      <c r="G116" s="122"/>
    </row>
    <row r="117" spans="1:10">
      <c r="A117" s="39" t="s">
        <v>127</v>
      </c>
      <c r="B117" s="36">
        <v>1</v>
      </c>
      <c r="C117" s="37">
        <v>1190</v>
      </c>
      <c r="D117" s="37"/>
      <c r="E117" s="37">
        <v>321.3</v>
      </c>
      <c r="F117" s="116">
        <f t="shared" ref="F117" si="19">C117+D117+E117</f>
        <v>1511.3</v>
      </c>
      <c r="G117" s="120">
        <f>ROUND((C117+D117+E117)*('29_01_H_2020'!$O$14)*B117*12*(1+'29_01_H_2020'!$O$25),2)</f>
        <v>1062.4100000000001</v>
      </c>
    </row>
    <row r="118" spans="1:10">
      <c r="A118" s="2" t="s">
        <v>20</v>
      </c>
      <c r="B118" s="35">
        <f>SUM(B117:B117)</f>
        <v>1</v>
      </c>
      <c r="C118" s="1" t="s">
        <v>17</v>
      </c>
      <c r="D118" s="1" t="s">
        <v>17</v>
      </c>
      <c r="E118" s="1" t="s">
        <v>17</v>
      </c>
      <c r="F118" s="117" t="s">
        <v>17</v>
      </c>
      <c r="G118" s="121" t="s">
        <v>17</v>
      </c>
    </row>
    <row r="119" spans="1:10">
      <c r="A119" s="564" t="s">
        <v>111</v>
      </c>
      <c r="B119" s="565"/>
      <c r="C119" s="565"/>
      <c r="D119" s="565"/>
      <c r="E119" s="565"/>
      <c r="F119" s="565"/>
      <c r="G119" s="123"/>
    </row>
    <row r="120" spans="1:10" ht="24.75" customHeight="1">
      <c r="A120" s="304" t="s">
        <v>235</v>
      </c>
      <c r="B120" s="31"/>
      <c r="C120" s="32"/>
      <c r="D120" s="33"/>
      <c r="E120" s="32"/>
      <c r="F120" s="115"/>
      <c r="G120" s="122"/>
    </row>
    <row r="121" spans="1:10">
      <c r="A121" s="39" t="s">
        <v>117</v>
      </c>
      <c r="B121" s="36">
        <v>1.05</v>
      </c>
      <c r="C121" s="37">
        <v>1287</v>
      </c>
      <c r="D121" s="37"/>
      <c r="E121" s="37">
        <v>347.49</v>
      </c>
      <c r="F121" s="116">
        <f t="shared" ref="F121" si="20">C121+D121+E121</f>
        <v>1634.49</v>
      </c>
      <c r="G121" s="120">
        <f>ROUND((C121+D121+E121)*('29_01_H_2020'!$O$10)*B121*12*(1+'29_01_H_2020'!$O$25),2)</f>
        <v>1119.92</v>
      </c>
      <c r="I121" s="64"/>
      <c r="J121" s="64"/>
    </row>
    <row r="122" spans="1:10">
      <c r="A122" s="2" t="s">
        <v>20</v>
      </c>
      <c r="B122" s="35">
        <f>SUM(B121:B121)</f>
        <v>1.05</v>
      </c>
      <c r="C122" s="1" t="s">
        <v>17</v>
      </c>
      <c r="D122" s="1" t="s">
        <v>17</v>
      </c>
      <c r="E122" s="1" t="s">
        <v>17</v>
      </c>
      <c r="F122" s="117" t="s">
        <v>17</v>
      </c>
      <c r="G122" s="121" t="s">
        <v>17</v>
      </c>
    </row>
    <row r="123" spans="1:10" ht="51">
      <c r="A123" s="304" t="s">
        <v>236</v>
      </c>
      <c r="B123" s="319"/>
      <c r="C123" s="320"/>
      <c r="D123" s="320"/>
      <c r="E123" s="320"/>
      <c r="F123" s="327"/>
      <c r="G123" s="322"/>
    </row>
    <row r="124" spans="1:10">
      <c r="A124" s="129" t="s">
        <v>121</v>
      </c>
      <c r="B124" s="333">
        <v>1</v>
      </c>
      <c r="C124" s="318">
        <v>1190</v>
      </c>
      <c r="D124" s="318"/>
      <c r="E124" s="318">
        <v>321.3</v>
      </c>
      <c r="F124" s="116">
        <f t="shared" ref="F124" si="21">C124+D124+E124</f>
        <v>1511.3</v>
      </c>
      <c r="G124" s="120">
        <f>ROUND((C124+D124+E124)*('29_01_H_2020'!$O$10)*B124*12*(1+'29_01_H_2020'!$O$25),2)</f>
        <v>986.21</v>
      </c>
    </row>
    <row r="125" spans="1:10">
      <c r="A125" s="2" t="s">
        <v>20</v>
      </c>
      <c r="B125" s="35">
        <f>SUM(B124:B124)</f>
        <v>1</v>
      </c>
      <c r="C125" s="1" t="s">
        <v>17</v>
      </c>
      <c r="D125" s="1" t="s">
        <v>17</v>
      </c>
      <c r="E125" s="1" t="s">
        <v>17</v>
      </c>
      <c r="F125" s="117" t="s">
        <v>17</v>
      </c>
      <c r="G125" s="121" t="s">
        <v>17</v>
      </c>
    </row>
    <row r="126" spans="1:10" ht="51">
      <c r="A126" s="40" t="s">
        <v>237</v>
      </c>
      <c r="B126" s="31"/>
      <c r="C126" s="32"/>
      <c r="D126" s="33"/>
      <c r="E126" s="32"/>
      <c r="F126" s="115"/>
      <c r="G126" s="122"/>
    </row>
    <row r="127" spans="1:10">
      <c r="A127" s="148" t="s">
        <v>329</v>
      </c>
      <c r="B127" s="36">
        <v>26.25</v>
      </c>
      <c r="C127" s="37">
        <v>899</v>
      </c>
      <c r="D127" s="37"/>
      <c r="E127" s="37">
        <v>242.73</v>
      </c>
      <c r="F127" s="116">
        <f t="shared" ref="F127:F129" si="22">C127+D127+E127</f>
        <v>1141.73</v>
      </c>
      <c r="G127" s="149">
        <f>ROUND((C127+D127+E127)*('29_01_H_2020'!$O$14)*B127*12*(1+'29_01_H_2020'!$O$25),2)</f>
        <v>21068.6</v>
      </c>
      <c r="I127" s="64"/>
      <c r="J127" s="64"/>
    </row>
    <row r="128" spans="1:10">
      <c r="A128" s="148" t="s">
        <v>329</v>
      </c>
      <c r="B128" s="36">
        <v>1.5</v>
      </c>
      <c r="C128" s="37">
        <v>740</v>
      </c>
      <c r="D128" s="37"/>
      <c r="E128" s="37">
        <v>199.8</v>
      </c>
      <c r="F128" s="116">
        <f t="shared" si="22"/>
        <v>939.8</v>
      </c>
      <c r="G128" s="149">
        <f>ROUND((C128+D128+E128)*('29_01_H_2020'!$O$14)*B128*12*(1+'29_01_H_2020'!$O$25),2)</f>
        <v>990.99</v>
      </c>
      <c r="I128" s="64"/>
      <c r="J128" s="64"/>
    </row>
    <row r="129" spans="1:10">
      <c r="A129" s="148" t="s">
        <v>329</v>
      </c>
      <c r="B129" s="36">
        <v>0.5</v>
      </c>
      <c r="C129" s="37">
        <v>601</v>
      </c>
      <c r="D129" s="37"/>
      <c r="E129" s="37">
        <v>162.27000000000001</v>
      </c>
      <c r="F129" s="116">
        <f t="shared" si="22"/>
        <v>763.27</v>
      </c>
      <c r="G129" s="149">
        <f>ROUND((C129+D129+E129)*('29_01_H_2020'!$O$14)*B129*12*(1+'29_01_H_2020'!$O$25),2)</f>
        <v>268.27999999999997</v>
      </c>
      <c r="I129" s="64"/>
      <c r="J129" s="64"/>
    </row>
    <row r="130" spans="1:10">
      <c r="A130" s="2" t="s">
        <v>20</v>
      </c>
      <c r="B130" s="35">
        <f>SUM(B127:B129)</f>
        <v>28.25</v>
      </c>
      <c r="C130" s="1" t="s">
        <v>17</v>
      </c>
      <c r="D130" s="1" t="s">
        <v>17</v>
      </c>
      <c r="E130" s="1" t="s">
        <v>17</v>
      </c>
      <c r="F130" s="117" t="s">
        <v>17</v>
      </c>
      <c r="G130" s="121" t="s">
        <v>17</v>
      </c>
    </row>
    <row r="131" spans="1:10" ht="30" customHeight="1">
      <c r="A131" s="40" t="s">
        <v>419</v>
      </c>
      <c r="B131" s="31"/>
      <c r="C131" s="32"/>
      <c r="D131" s="33"/>
      <c r="E131" s="32"/>
      <c r="F131" s="115"/>
      <c r="G131" s="122"/>
    </row>
    <row r="132" spans="1:10">
      <c r="A132" s="148" t="s">
        <v>16</v>
      </c>
      <c r="B132" s="36">
        <v>5</v>
      </c>
      <c r="C132" s="37">
        <v>802</v>
      </c>
      <c r="D132" s="37"/>
      <c r="E132" s="37">
        <v>216.54</v>
      </c>
      <c r="F132" s="116">
        <f t="shared" ref="F132:F133" si="23">C132+D132+E132</f>
        <v>1018.54</v>
      </c>
      <c r="G132" s="149">
        <f>ROUND((C132+D132+E132)*('29_01_H_2020'!$O$17)*B132*12*(1+'29_01_H_2020'!$O$25),2)</f>
        <v>0</v>
      </c>
    </row>
    <row r="133" spans="1:10">
      <c r="A133" s="148" t="s">
        <v>16</v>
      </c>
      <c r="B133" s="36">
        <v>1</v>
      </c>
      <c r="C133" s="37">
        <v>552</v>
      </c>
      <c r="D133" s="37"/>
      <c r="E133" s="37">
        <v>149.04</v>
      </c>
      <c r="F133" s="116">
        <f t="shared" si="23"/>
        <v>701.04</v>
      </c>
      <c r="G133" s="149">
        <f>ROUND((C133+D133+E133)*('29_01_H_2020'!$O$17)*B133*12*(1+'29_01_H_2020'!$O$25),2)</f>
        <v>0</v>
      </c>
    </row>
    <row r="134" spans="1:10">
      <c r="A134" s="2" t="s">
        <v>20</v>
      </c>
      <c r="B134" s="35">
        <f>SUM(B132:B133)</f>
        <v>6</v>
      </c>
      <c r="C134" s="1" t="s">
        <v>17</v>
      </c>
      <c r="D134" s="1" t="s">
        <v>17</v>
      </c>
      <c r="E134" s="1" t="s">
        <v>17</v>
      </c>
      <c r="F134" s="117" t="s">
        <v>17</v>
      </c>
      <c r="G134" s="121" t="s">
        <v>17</v>
      </c>
    </row>
    <row r="135" spans="1:10">
      <c r="A135" s="334"/>
      <c r="B135" s="35"/>
      <c r="C135" s="1"/>
      <c r="D135" s="1"/>
      <c r="E135" s="1"/>
      <c r="F135" s="117"/>
      <c r="G135" s="121"/>
    </row>
    <row r="136" spans="1:10" ht="29.25" customHeight="1">
      <c r="A136" s="578" t="s">
        <v>134</v>
      </c>
      <c r="B136" s="579"/>
      <c r="C136" s="579"/>
      <c r="D136" s="579"/>
      <c r="E136" s="579"/>
      <c r="F136" s="579"/>
      <c r="G136" s="353">
        <f>SUM(G140:G143,G146:G150,G153:G154,G157,G161:G162,G165:G166,G169,G172)</f>
        <v>52359.390000000007</v>
      </c>
    </row>
    <row r="137" spans="1:10" ht="13.5">
      <c r="A137" s="336"/>
      <c r="B137" s="337">
        <f>B144+B151+B155+B158+B163+B167+B170+B173</f>
        <v>54.05</v>
      </c>
      <c r="C137" s="337"/>
      <c r="D137" s="337"/>
      <c r="E137" s="337"/>
      <c r="F137" s="341"/>
      <c r="G137" s="338"/>
    </row>
    <row r="138" spans="1:10">
      <c r="A138" s="564" t="s">
        <v>105</v>
      </c>
      <c r="B138" s="565"/>
      <c r="C138" s="565"/>
      <c r="D138" s="565"/>
      <c r="E138" s="565"/>
      <c r="F138" s="565"/>
      <c r="G138" s="123"/>
    </row>
    <row r="139" spans="1:10">
      <c r="A139" s="329" t="s">
        <v>33</v>
      </c>
      <c r="B139" s="330"/>
      <c r="C139" s="331"/>
      <c r="D139" s="332"/>
      <c r="E139" s="331"/>
      <c r="F139" s="327"/>
      <c r="G139" s="328"/>
    </row>
    <row r="140" spans="1:10">
      <c r="A140" s="39" t="s">
        <v>100</v>
      </c>
      <c r="B140" s="36">
        <v>1</v>
      </c>
      <c r="C140" s="37">
        <v>1287</v>
      </c>
      <c r="D140" s="37"/>
      <c r="E140" s="37">
        <v>444.19</v>
      </c>
      <c r="F140" s="116">
        <f t="shared" ref="F140" si="24">C140+D140+E140</f>
        <v>1731.19</v>
      </c>
      <c r="G140" s="120">
        <f>ROUND((C140+D140+E140)*('29_01_H_2020'!$O$10)*B140*12*(1+'29_01_H_2020'!$O$25),2)</f>
        <v>1129.7</v>
      </c>
      <c r="I140" s="64"/>
      <c r="J140" s="64"/>
    </row>
    <row r="141" spans="1:10">
      <c r="A141" s="39" t="s">
        <v>6</v>
      </c>
      <c r="B141" s="36">
        <v>4</v>
      </c>
      <c r="C141" s="37">
        <v>1287</v>
      </c>
      <c r="D141" s="37"/>
      <c r="E141" s="37">
        <v>427.02</v>
      </c>
      <c r="F141" s="116">
        <f t="shared" ref="F141:F143" si="25">C141+D141+E141</f>
        <v>1714.02</v>
      </c>
      <c r="G141" s="120">
        <f>ROUND((C141+D141+E141)*('29_01_H_2020'!$O$10)*B141*12*(1+'29_01_H_2020'!$O$25),2)</f>
        <v>4473.97</v>
      </c>
      <c r="I141" s="64"/>
      <c r="J141" s="64"/>
    </row>
    <row r="142" spans="1:10">
      <c r="A142" s="39" t="s">
        <v>135</v>
      </c>
      <c r="B142" s="36">
        <v>0.25</v>
      </c>
      <c r="C142" s="37">
        <v>1287</v>
      </c>
      <c r="D142" s="37"/>
      <c r="E142" s="37">
        <v>427.02</v>
      </c>
      <c r="F142" s="116">
        <f t="shared" si="25"/>
        <v>1714.02</v>
      </c>
      <c r="G142" s="120">
        <f>ROUND((C142+D142+E142)*('29_01_H_2020'!$O$10)*B142*12*(1+'29_01_H_2020'!$O$25),2)</f>
        <v>279.62</v>
      </c>
      <c r="I142" s="64"/>
      <c r="J142" s="64"/>
    </row>
    <row r="143" spans="1:10">
      <c r="A143" s="39" t="s">
        <v>136</v>
      </c>
      <c r="B143" s="36">
        <v>3</v>
      </c>
      <c r="C143" s="37">
        <v>1287</v>
      </c>
      <c r="D143" s="37"/>
      <c r="E143" s="37">
        <v>578.67999999999995</v>
      </c>
      <c r="F143" s="116">
        <f t="shared" si="25"/>
        <v>1865.6799999999998</v>
      </c>
      <c r="G143" s="120">
        <f>ROUND((C143+D143+E143)*('29_01_H_2020'!$O$10)*B143*12*(1+'29_01_H_2020'!$O$25),2)</f>
        <v>3652.38</v>
      </c>
      <c r="I143" s="64"/>
      <c r="J143" s="64"/>
    </row>
    <row r="144" spans="1:10">
      <c r="A144" s="2" t="s">
        <v>20</v>
      </c>
      <c r="B144" s="35">
        <f>SUM(B140:B143)</f>
        <v>8.25</v>
      </c>
      <c r="C144" s="1" t="s">
        <v>17</v>
      </c>
      <c r="D144" s="1" t="s">
        <v>17</v>
      </c>
      <c r="E144" s="1" t="s">
        <v>17</v>
      </c>
      <c r="F144" s="117" t="s">
        <v>17</v>
      </c>
      <c r="G144" s="121" t="s">
        <v>17</v>
      </c>
    </row>
    <row r="145" spans="1:10" ht="51">
      <c r="A145" s="304" t="s">
        <v>62</v>
      </c>
      <c r="B145" s="319"/>
      <c r="C145" s="320"/>
      <c r="D145" s="320"/>
      <c r="E145" s="320"/>
      <c r="F145" s="321"/>
      <c r="G145" s="322"/>
    </row>
    <row r="146" spans="1:10">
      <c r="A146" s="152" t="s">
        <v>137</v>
      </c>
      <c r="B146" s="317">
        <v>1</v>
      </c>
      <c r="C146" s="318">
        <v>1190</v>
      </c>
      <c r="D146" s="318"/>
      <c r="E146" s="318">
        <v>455.46</v>
      </c>
      <c r="F146" s="116">
        <f t="shared" ref="F146:F150" si="26">C146+D146+E146</f>
        <v>1645.46</v>
      </c>
      <c r="G146" s="120">
        <f>ROUND((C146+D146+E146)*('29_01_H_2020'!$O$10)*B146*12*(1+'29_01_H_2020'!$O$25),2)</f>
        <v>1073.75</v>
      </c>
    </row>
    <row r="147" spans="1:10">
      <c r="A147" s="152" t="s">
        <v>119</v>
      </c>
      <c r="B147" s="317">
        <v>8</v>
      </c>
      <c r="C147" s="318">
        <v>1190</v>
      </c>
      <c r="D147" s="318"/>
      <c r="E147" s="318">
        <v>331.5</v>
      </c>
      <c r="F147" s="116">
        <f t="shared" si="26"/>
        <v>1521.5</v>
      </c>
      <c r="G147" s="120">
        <f>ROUND((C147+D147+E147)*('29_01_H_2020'!$O$10)*B147*12*(1+'29_01_H_2020'!$O$25),2)</f>
        <v>7942.9</v>
      </c>
    </row>
    <row r="148" spans="1:10">
      <c r="A148" s="152" t="s">
        <v>138</v>
      </c>
      <c r="B148" s="317">
        <v>1</v>
      </c>
      <c r="C148" s="318">
        <v>1190</v>
      </c>
      <c r="D148" s="318"/>
      <c r="E148" s="318">
        <v>391</v>
      </c>
      <c r="F148" s="116">
        <f t="shared" ref="F148" si="27">C148+D148+E148</f>
        <v>1581</v>
      </c>
      <c r="G148" s="120">
        <f>ROUND((C148+D148+E148)*('29_01_H_2020'!$O$10)*B148*12*(1+'29_01_H_2020'!$O$25),2)</f>
        <v>1031.69</v>
      </c>
    </row>
    <row r="149" spans="1:10">
      <c r="A149" s="152" t="s">
        <v>129</v>
      </c>
      <c r="B149" s="317">
        <v>2</v>
      </c>
      <c r="C149" s="318">
        <v>1190</v>
      </c>
      <c r="D149" s="318"/>
      <c r="E149" s="318">
        <v>336.46</v>
      </c>
      <c r="F149" s="116">
        <f t="shared" si="26"/>
        <v>1526.46</v>
      </c>
      <c r="G149" s="120">
        <f>ROUND((C149+D149+E149)*('29_01_H_2020'!$O$10)*B149*12*(1+'29_01_H_2020'!$O$25),2)</f>
        <v>1992.2</v>
      </c>
    </row>
    <row r="150" spans="1:10">
      <c r="A150" s="152" t="s">
        <v>140</v>
      </c>
      <c r="B150" s="317">
        <v>1</v>
      </c>
      <c r="C150" s="318">
        <v>1190</v>
      </c>
      <c r="D150" s="318"/>
      <c r="E150" s="318">
        <v>326.54000000000002</v>
      </c>
      <c r="F150" s="116">
        <f t="shared" si="26"/>
        <v>1516.54</v>
      </c>
      <c r="G150" s="120">
        <f>ROUND((C150+D150+E150)*('29_01_H_2020'!$O$10)*B150*12*(1+'29_01_H_2020'!$O$25),2)</f>
        <v>989.63</v>
      </c>
    </row>
    <row r="151" spans="1:10">
      <c r="A151" s="2" t="s">
        <v>20</v>
      </c>
      <c r="B151" s="35">
        <f>SUM(B146:B150)</f>
        <v>13</v>
      </c>
      <c r="C151" s="1" t="s">
        <v>17</v>
      </c>
      <c r="D151" s="1" t="s">
        <v>17</v>
      </c>
      <c r="E151" s="1" t="s">
        <v>17</v>
      </c>
      <c r="F151" s="117" t="s">
        <v>17</v>
      </c>
      <c r="G151" s="121" t="s">
        <v>17</v>
      </c>
    </row>
    <row r="152" spans="1:10" ht="51">
      <c r="A152" s="323" t="s">
        <v>63</v>
      </c>
      <c r="B152" s="324"/>
      <c r="C152" s="325"/>
      <c r="D152" s="326"/>
      <c r="E152" s="325"/>
      <c r="F152" s="327"/>
      <c r="G152" s="328"/>
    </row>
    <row r="153" spans="1:10">
      <c r="A153" s="148" t="s">
        <v>141</v>
      </c>
      <c r="B153" s="36">
        <v>5</v>
      </c>
      <c r="C153" s="37">
        <v>996</v>
      </c>
      <c r="D153" s="37"/>
      <c r="E153" s="37">
        <v>374.66</v>
      </c>
      <c r="F153" s="116">
        <f t="shared" ref="F153:F154" si="28">C153+D153+E153</f>
        <v>1370.66</v>
      </c>
      <c r="G153" s="149">
        <f>ROUND((C153+D153+E153)*('29_01_H_2020'!$O$14)*B153*12*(1+'29_01_H_2020'!$O$25),2)</f>
        <v>4817.7299999999996</v>
      </c>
      <c r="I153" s="64"/>
      <c r="J153" s="64"/>
    </row>
    <row r="154" spans="1:10">
      <c r="A154" s="148" t="s">
        <v>14</v>
      </c>
      <c r="B154" s="36">
        <v>9</v>
      </c>
      <c r="C154" s="37">
        <v>996</v>
      </c>
      <c r="D154" s="37"/>
      <c r="E154" s="37">
        <v>320.55</v>
      </c>
      <c r="F154" s="116">
        <f t="shared" si="28"/>
        <v>1316.55</v>
      </c>
      <c r="G154" s="149">
        <f>ROUND((C154+D154+E154)*('29_01_H_2020'!$O$14)*B154*12*(1+'29_01_H_2020'!$O$25),2)</f>
        <v>8329.57</v>
      </c>
      <c r="I154" s="64"/>
      <c r="J154" s="64"/>
    </row>
    <row r="155" spans="1:10">
      <c r="A155" s="2" t="s">
        <v>20</v>
      </c>
      <c r="B155" s="35">
        <f>SUM(B153:B154)</f>
        <v>14</v>
      </c>
      <c r="C155" s="1" t="s">
        <v>17</v>
      </c>
      <c r="D155" s="1" t="s">
        <v>17</v>
      </c>
      <c r="E155" s="1" t="s">
        <v>17</v>
      </c>
      <c r="F155" s="117" t="s">
        <v>17</v>
      </c>
      <c r="G155" s="121" t="s">
        <v>17</v>
      </c>
    </row>
    <row r="156" spans="1:10" ht="63.75">
      <c r="A156" s="40" t="s">
        <v>81</v>
      </c>
      <c r="B156" s="31"/>
      <c r="C156" s="32"/>
      <c r="D156" s="33"/>
      <c r="E156" s="32"/>
      <c r="F156" s="335"/>
      <c r="G156" s="122"/>
    </row>
    <row r="157" spans="1:10">
      <c r="A157" s="39" t="s">
        <v>127</v>
      </c>
      <c r="B157" s="36">
        <v>7</v>
      </c>
      <c r="C157" s="37">
        <v>996</v>
      </c>
      <c r="D157" s="37"/>
      <c r="E157" s="37">
        <v>274.89999999999998</v>
      </c>
      <c r="F157" s="116">
        <f t="shared" ref="F157" si="29">C157+D157+E157</f>
        <v>1270.9000000000001</v>
      </c>
      <c r="G157" s="120">
        <f>ROUND((C157+D157+E157)*('29_01_H_2020'!$O$14)*B157*12*(1+'29_01_H_2020'!$O$25),2)</f>
        <v>6253.92</v>
      </c>
    </row>
    <row r="158" spans="1:10">
      <c r="A158" s="2" t="s">
        <v>20</v>
      </c>
      <c r="B158" s="35">
        <f>SUM(B157:B157)</f>
        <v>7</v>
      </c>
      <c r="C158" s="1" t="s">
        <v>17</v>
      </c>
      <c r="D158" s="1" t="s">
        <v>17</v>
      </c>
      <c r="E158" s="1" t="s">
        <v>17</v>
      </c>
      <c r="F158" s="117" t="s">
        <v>17</v>
      </c>
      <c r="G158" s="121" t="s">
        <v>17</v>
      </c>
    </row>
    <row r="159" spans="1:10">
      <c r="A159" s="564" t="s">
        <v>111</v>
      </c>
      <c r="B159" s="565"/>
      <c r="C159" s="565"/>
      <c r="D159" s="565"/>
      <c r="E159" s="565"/>
      <c r="F159" s="565"/>
      <c r="G159" s="123"/>
    </row>
    <row r="160" spans="1:10" ht="24.75" customHeight="1">
      <c r="A160" s="304" t="s">
        <v>235</v>
      </c>
      <c r="B160" s="31"/>
      <c r="C160" s="32"/>
      <c r="D160" s="33"/>
      <c r="E160" s="32"/>
      <c r="F160" s="115"/>
      <c r="G160" s="122"/>
    </row>
    <row r="161" spans="1:11">
      <c r="A161" s="39" t="s">
        <v>242</v>
      </c>
      <c r="B161" s="36">
        <v>1</v>
      </c>
      <c r="C161" s="37">
        <v>1190</v>
      </c>
      <c r="D161" s="37"/>
      <c r="E161" s="37">
        <v>395.96</v>
      </c>
      <c r="F161" s="116">
        <f t="shared" ref="F161" si="30">C161+D161+E161</f>
        <v>1585.96</v>
      </c>
      <c r="G161" s="120">
        <f>ROUND((C161+D161+E161)*('29_01_H_2020'!$O$10)*B161*12*(1+'29_01_H_2020'!$O$25),2)</f>
        <v>1034.93</v>
      </c>
      <c r="I161" s="64"/>
      <c r="J161" s="64"/>
    </row>
    <row r="162" spans="1:11">
      <c r="A162" s="39" t="s">
        <v>243</v>
      </c>
      <c r="B162" s="36">
        <v>1</v>
      </c>
      <c r="C162" s="37">
        <v>1287</v>
      </c>
      <c r="D162" s="37"/>
      <c r="E162" s="37">
        <v>395.74</v>
      </c>
      <c r="F162" s="116">
        <f t="shared" ref="F162" si="31">C162+D162+E162</f>
        <v>1682.74</v>
      </c>
      <c r="G162" s="120">
        <f>ROUND((C162+D162+E162)*('29_01_H_2020'!$O$10)*B162*12*(1+'29_01_H_2020'!$O$25),2)</f>
        <v>1098.08</v>
      </c>
      <c r="I162" s="64"/>
      <c r="J162" s="64"/>
    </row>
    <row r="163" spans="1:11">
      <c r="A163" s="2" t="s">
        <v>20</v>
      </c>
      <c r="B163" s="35">
        <f>SUM(B161:B162)</f>
        <v>2</v>
      </c>
      <c r="C163" s="1" t="s">
        <v>17</v>
      </c>
      <c r="D163" s="1" t="s">
        <v>17</v>
      </c>
      <c r="E163" s="1" t="s">
        <v>17</v>
      </c>
      <c r="F163" s="117" t="s">
        <v>17</v>
      </c>
      <c r="G163" s="121" t="s">
        <v>17</v>
      </c>
    </row>
    <row r="164" spans="1:11" ht="51">
      <c r="A164" s="304" t="s">
        <v>236</v>
      </c>
      <c r="B164" s="319"/>
      <c r="C164" s="320"/>
      <c r="D164" s="320"/>
      <c r="E164" s="320"/>
      <c r="F164" s="327"/>
      <c r="G164" s="322"/>
    </row>
    <row r="165" spans="1:11">
      <c r="A165" s="129" t="s">
        <v>121</v>
      </c>
      <c r="B165" s="333">
        <v>2.8</v>
      </c>
      <c r="C165" s="318">
        <v>1190</v>
      </c>
      <c r="D165" s="318"/>
      <c r="E165" s="318">
        <v>272</v>
      </c>
      <c r="F165" s="116">
        <f t="shared" ref="F165" si="32">C165+D165+E165</f>
        <v>1462</v>
      </c>
      <c r="G165" s="120">
        <f>ROUND((C165+D165+E165)*('29_01_H_2020'!$O$10)*B165*12*(1+'29_01_H_2020'!$O$25),2)</f>
        <v>2671.3</v>
      </c>
    </row>
    <row r="166" spans="1:11">
      <c r="A166" s="129" t="s">
        <v>139</v>
      </c>
      <c r="B166" s="333">
        <v>1</v>
      </c>
      <c r="C166" s="318">
        <v>1190</v>
      </c>
      <c r="D166" s="318"/>
      <c r="E166" s="318">
        <v>267.04000000000002</v>
      </c>
      <c r="F166" s="116">
        <f t="shared" ref="F166" si="33">C166+D166+E166</f>
        <v>1457.04</v>
      </c>
      <c r="G166" s="120">
        <f>ROUND((C166+D166+E166)*('29_01_H_2020'!$O$10)*B166*12*(1+'29_01_H_2020'!$O$25),2)</f>
        <v>950.8</v>
      </c>
    </row>
    <row r="167" spans="1:11">
      <c r="A167" s="2" t="s">
        <v>20</v>
      </c>
      <c r="B167" s="35">
        <f>SUM(B165:B166)</f>
        <v>3.8</v>
      </c>
      <c r="C167" s="1" t="s">
        <v>17</v>
      </c>
      <c r="D167" s="1" t="s">
        <v>17</v>
      </c>
      <c r="E167" s="1" t="s">
        <v>17</v>
      </c>
      <c r="F167" s="117" t="s">
        <v>17</v>
      </c>
      <c r="G167" s="121" t="s">
        <v>17</v>
      </c>
    </row>
    <row r="168" spans="1:11" ht="51">
      <c r="A168" s="40" t="s">
        <v>237</v>
      </c>
      <c r="B168" s="31"/>
      <c r="C168" s="32"/>
      <c r="D168" s="33"/>
      <c r="E168" s="32"/>
      <c r="F168" s="115"/>
      <c r="G168" s="122"/>
    </row>
    <row r="169" spans="1:11">
      <c r="A169" s="148" t="s">
        <v>124</v>
      </c>
      <c r="B169" s="36">
        <v>5</v>
      </c>
      <c r="C169" s="37">
        <v>899</v>
      </c>
      <c r="D169" s="37"/>
      <c r="E169" s="37">
        <v>200.42</v>
      </c>
      <c r="F169" s="116">
        <f t="shared" ref="F169" si="34">C169+D169+E169</f>
        <v>1099.42</v>
      </c>
      <c r="G169" s="149">
        <f>ROUND((C169+D169+E169)*('29_01_H_2020'!$O$14)*B169*12*(1+'29_01_H_2020'!$O$25),2)</f>
        <v>3864.35</v>
      </c>
      <c r="I169" s="64"/>
      <c r="J169" s="64"/>
    </row>
    <row r="170" spans="1:11">
      <c r="A170" s="2" t="s">
        <v>20</v>
      </c>
      <c r="B170" s="35">
        <f>SUM(B169:B169)</f>
        <v>5</v>
      </c>
      <c r="C170" s="1" t="s">
        <v>17</v>
      </c>
      <c r="D170" s="1" t="s">
        <v>17</v>
      </c>
      <c r="E170" s="1" t="s">
        <v>17</v>
      </c>
      <c r="F170" s="117" t="s">
        <v>17</v>
      </c>
      <c r="G170" s="121" t="s">
        <v>17</v>
      </c>
    </row>
    <row r="171" spans="1:11" ht="63.75">
      <c r="A171" s="40" t="s">
        <v>238</v>
      </c>
      <c r="B171" s="31"/>
      <c r="C171" s="32"/>
      <c r="D171" s="33"/>
      <c r="E171" s="32"/>
      <c r="F171" s="115"/>
      <c r="G171" s="122"/>
    </row>
    <row r="172" spans="1:11">
      <c r="A172" s="148" t="s">
        <v>142</v>
      </c>
      <c r="B172" s="36">
        <v>1</v>
      </c>
      <c r="C172" s="37">
        <v>899</v>
      </c>
      <c r="D172" s="37"/>
      <c r="E172" s="37">
        <v>200.42</v>
      </c>
      <c r="F172" s="116">
        <f t="shared" ref="F172" si="35">C172+D172+E172</f>
        <v>1099.42</v>
      </c>
      <c r="G172" s="149">
        <f>ROUND((C172+D172+E172)*('29_01_H_2020'!$O$14)*B172*12*(1+'29_01_H_2020'!$O$25),2)</f>
        <v>772.87</v>
      </c>
    </row>
    <row r="173" spans="1:11">
      <c r="A173" s="2" t="s">
        <v>20</v>
      </c>
      <c r="B173" s="35">
        <f>SUM(B172:B172)</f>
        <v>1</v>
      </c>
      <c r="C173" s="1" t="s">
        <v>17</v>
      </c>
      <c r="D173" s="1" t="s">
        <v>17</v>
      </c>
      <c r="E173" s="1" t="s">
        <v>17</v>
      </c>
      <c r="F173" s="117" t="s">
        <v>17</v>
      </c>
      <c r="G173" s="121" t="s">
        <v>17</v>
      </c>
    </row>
    <row r="174" spans="1:11" ht="13.5" thickBot="1">
      <c r="A174" s="26" t="s">
        <v>22</v>
      </c>
      <c r="B174" s="34">
        <f>B10+B37+B75+B100+B137</f>
        <v>360.95</v>
      </c>
      <c r="C174" s="27"/>
      <c r="D174" s="27"/>
      <c r="E174" s="27"/>
      <c r="F174" s="118"/>
      <c r="G174" s="125">
        <f>G136+G8</f>
        <v>357476.37000000005</v>
      </c>
      <c r="I174" s="65"/>
      <c r="J174" s="65"/>
      <c r="K174" s="66"/>
    </row>
    <row r="175" spans="1:11">
      <c r="A175" s="561" t="s">
        <v>231</v>
      </c>
      <c r="B175" s="562"/>
      <c r="C175" s="562"/>
      <c r="D175" s="562"/>
      <c r="E175" s="562"/>
      <c r="F175" s="563"/>
      <c r="G175" s="124"/>
    </row>
    <row r="176" spans="1:11">
      <c r="A176" s="576" t="s">
        <v>109</v>
      </c>
      <c r="B176" s="577"/>
      <c r="C176" s="577"/>
      <c r="D176" s="577"/>
      <c r="E176" s="577"/>
      <c r="F176" s="577"/>
      <c r="G176" s="119"/>
      <c r="H176" s="262"/>
    </row>
    <row r="177" spans="1:7">
      <c r="A177" s="564" t="s">
        <v>105</v>
      </c>
      <c r="B177" s="565"/>
      <c r="C177" s="565"/>
      <c r="D177" s="565"/>
      <c r="E177" s="565"/>
      <c r="F177" s="565"/>
      <c r="G177" s="123"/>
    </row>
    <row r="178" spans="1:7">
      <c r="A178" s="38" t="s">
        <v>33</v>
      </c>
      <c r="B178" s="28"/>
      <c r="C178" s="29"/>
      <c r="D178" s="30"/>
      <c r="E178" s="29"/>
      <c r="F178" s="115"/>
      <c r="G178" s="122"/>
    </row>
    <row r="179" spans="1:7">
      <c r="A179" s="39" t="s">
        <v>106</v>
      </c>
      <c r="B179" s="36">
        <v>1</v>
      </c>
      <c r="C179" s="37">
        <v>2240</v>
      </c>
      <c r="D179" s="37">
        <v>291.2</v>
      </c>
      <c r="E179" s="37">
        <v>448</v>
      </c>
      <c r="F179" s="116">
        <f>C179+D179+E179</f>
        <v>2979.2</v>
      </c>
      <c r="G179" s="120">
        <f>ROUND((C179+D179+E179)*('29_01_H_2020'!$O$10)*B179*12*(1+'29_01_H_2020'!$O$25),2)</f>
        <v>1944.09</v>
      </c>
    </row>
    <row r="180" spans="1:7">
      <c r="A180" s="39" t="s">
        <v>107</v>
      </c>
      <c r="B180" s="36">
        <v>7</v>
      </c>
      <c r="C180" s="37">
        <v>1900</v>
      </c>
      <c r="D180" s="37">
        <v>205.2</v>
      </c>
      <c r="E180" s="37">
        <v>380</v>
      </c>
      <c r="F180" s="116">
        <f t="shared" ref="F180:F183" si="36">C180+D180+E180</f>
        <v>2485.1999999999998</v>
      </c>
      <c r="G180" s="120">
        <f>ROUND((C180+D180+E180)*('29_01_H_2020'!$O$10)*B180*12*(1+'29_01_H_2020'!$O$25),2)</f>
        <v>11352.11</v>
      </c>
    </row>
    <row r="181" spans="1:7">
      <c r="A181" s="39" t="s">
        <v>23</v>
      </c>
      <c r="B181" s="36">
        <v>3</v>
      </c>
      <c r="C181" s="37">
        <v>1780</v>
      </c>
      <c r="D181" s="37">
        <v>231.4</v>
      </c>
      <c r="E181" s="37">
        <v>356</v>
      </c>
      <c r="F181" s="116">
        <f t="shared" si="36"/>
        <v>2367.4</v>
      </c>
      <c r="G181" s="120">
        <f>ROUND((C181+D181+E181)*('29_01_H_2020'!$O$10)*B181*12*(1+'29_01_H_2020'!$O$25),2)</f>
        <v>4634.58</v>
      </c>
    </row>
    <row r="182" spans="1:7">
      <c r="A182" s="39" t="s">
        <v>108</v>
      </c>
      <c r="B182" s="36">
        <v>1</v>
      </c>
      <c r="C182" s="37">
        <v>1690</v>
      </c>
      <c r="D182" s="37">
        <v>135.19999999999999</v>
      </c>
      <c r="E182" s="37">
        <v>338</v>
      </c>
      <c r="F182" s="116">
        <f t="shared" si="36"/>
        <v>2163.1999999999998</v>
      </c>
      <c r="G182" s="120">
        <f>ROUND((C182+D182+E182)*('29_01_H_2020'!$O$10)*B182*12*(1+'29_01_H_2020'!$O$25),2)</f>
        <v>1411.61</v>
      </c>
    </row>
    <row r="183" spans="1:7">
      <c r="A183" s="39" t="s">
        <v>6</v>
      </c>
      <c r="B183" s="36">
        <v>21.75</v>
      </c>
      <c r="C183" s="37">
        <v>1600</v>
      </c>
      <c r="D183" s="37">
        <v>182.4</v>
      </c>
      <c r="E183" s="37">
        <v>320</v>
      </c>
      <c r="F183" s="116">
        <f t="shared" si="36"/>
        <v>2102.4</v>
      </c>
      <c r="G183" s="120">
        <f>ROUND((C183+D183+E183)*('29_01_H_2020'!$O$10)*B183*12*(1+'29_01_H_2020'!$O$25),2)</f>
        <v>29839.52</v>
      </c>
    </row>
    <row r="184" spans="1:7">
      <c r="A184" s="2" t="s">
        <v>20</v>
      </c>
      <c r="B184" s="35">
        <f>SUM(B179:B183)</f>
        <v>33.75</v>
      </c>
      <c r="C184" s="1" t="s">
        <v>17</v>
      </c>
      <c r="D184" s="1" t="s">
        <v>17</v>
      </c>
      <c r="E184" s="1" t="s">
        <v>17</v>
      </c>
      <c r="F184" s="117" t="s">
        <v>17</v>
      </c>
      <c r="G184" s="121" t="s">
        <v>17</v>
      </c>
    </row>
    <row r="185" spans="1:7" ht="51">
      <c r="A185" s="40" t="s">
        <v>63</v>
      </c>
      <c r="B185" s="31"/>
      <c r="C185" s="32"/>
      <c r="D185" s="33"/>
      <c r="E185" s="32"/>
      <c r="F185" s="115"/>
      <c r="G185" s="122"/>
    </row>
    <row r="186" spans="1:7">
      <c r="A186" s="148" t="s">
        <v>101</v>
      </c>
      <c r="B186" s="36">
        <v>17</v>
      </c>
      <c r="C186" s="37">
        <v>1240</v>
      </c>
      <c r="D186" s="37">
        <v>137.63999999999999</v>
      </c>
      <c r="E186" s="37">
        <v>248</v>
      </c>
      <c r="F186" s="116">
        <f t="shared" ref="F186:F189" si="37">C186+D186+E186</f>
        <v>1625.6399999999999</v>
      </c>
      <c r="G186" s="149">
        <f>ROUND((C186+D186+E186)*('29_01_H_2020'!$O$14)*B186*12*(1+'29_01_H_2020'!$O$25),2)</f>
        <v>19427.47</v>
      </c>
    </row>
    <row r="187" spans="1:7">
      <c r="A187" s="148" t="s">
        <v>104</v>
      </c>
      <c r="B187" s="36">
        <v>4</v>
      </c>
      <c r="C187" s="37">
        <v>1220</v>
      </c>
      <c r="D187" s="37">
        <v>137.86000000000001</v>
      </c>
      <c r="E187" s="37">
        <v>244</v>
      </c>
      <c r="F187" s="116">
        <f t="shared" si="37"/>
        <v>1601.8600000000001</v>
      </c>
      <c r="G187" s="149">
        <f>ROUND((C187+D187+E187)*('29_01_H_2020'!$O$14)*B187*12*(1+'29_01_H_2020'!$O$25),2)</f>
        <v>4504.3</v>
      </c>
    </row>
    <row r="188" spans="1:7">
      <c r="A188" s="148" t="s">
        <v>103</v>
      </c>
      <c r="B188" s="36">
        <v>9</v>
      </c>
      <c r="C188" s="37">
        <v>1220</v>
      </c>
      <c r="D188" s="37">
        <v>137.86000000000001</v>
      </c>
      <c r="E188" s="37">
        <v>244</v>
      </c>
      <c r="F188" s="116">
        <f t="shared" si="37"/>
        <v>1601.8600000000001</v>
      </c>
      <c r="G188" s="149">
        <f>ROUND((C188+D188+E188)*('29_01_H_2020'!$O$14)*B188*12*(1+'29_01_H_2020'!$O$25),2)</f>
        <v>10134.68</v>
      </c>
    </row>
    <row r="189" spans="1:7">
      <c r="A189" s="148" t="s">
        <v>110</v>
      </c>
      <c r="B189" s="36">
        <v>38.5</v>
      </c>
      <c r="C189" s="37">
        <v>1110</v>
      </c>
      <c r="D189" s="37">
        <v>117.66</v>
      </c>
      <c r="E189" s="37">
        <v>222</v>
      </c>
      <c r="F189" s="116">
        <f t="shared" si="37"/>
        <v>1449.66</v>
      </c>
      <c r="G189" s="149">
        <f>ROUND((C189+D189+E189)*('29_01_H_2020'!$O$14)*B189*12*(1+'29_01_H_2020'!$O$25),2)</f>
        <v>39234.65</v>
      </c>
    </row>
    <row r="190" spans="1:7">
      <c r="A190" s="2" t="s">
        <v>20</v>
      </c>
      <c r="B190" s="35">
        <f>SUM(B186:B189)</f>
        <v>68.5</v>
      </c>
      <c r="C190" s="1" t="s">
        <v>17</v>
      </c>
      <c r="D190" s="1" t="s">
        <v>17</v>
      </c>
      <c r="E190" s="1" t="s">
        <v>17</v>
      </c>
      <c r="F190" s="117" t="s">
        <v>17</v>
      </c>
      <c r="G190" s="121" t="s">
        <v>17</v>
      </c>
    </row>
    <row r="191" spans="1:7">
      <c r="A191" s="564" t="s">
        <v>111</v>
      </c>
      <c r="B191" s="565"/>
      <c r="C191" s="565"/>
      <c r="D191" s="565"/>
      <c r="E191" s="565"/>
      <c r="F191" s="565"/>
      <c r="G191" s="123"/>
    </row>
    <row r="192" spans="1:7" ht="51">
      <c r="A192" s="40" t="s">
        <v>62</v>
      </c>
      <c r="B192" s="31"/>
      <c r="C192" s="32"/>
      <c r="D192" s="33"/>
      <c r="E192" s="32"/>
      <c r="F192" s="115"/>
      <c r="G192" s="122"/>
    </row>
    <row r="193" spans="1:7">
      <c r="A193" s="39" t="s">
        <v>6</v>
      </c>
      <c r="B193" s="36">
        <v>2.75</v>
      </c>
      <c r="C193" s="37">
        <v>1370</v>
      </c>
      <c r="D193" s="37">
        <v>137</v>
      </c>
      <c r="E193" s="37">
        <v>274</v>
      </c>
      <c r="F193" s="116">
        <f t="shared" ref="F193" si="38">C193+D193+E193</f>
        <v>1781</v>
      </c>
      <c r="G193" s="120">
        <f>ROUND((C193+D193+E193)*('29_01_H_2020'!$O$10)*B193*12*(1+'29_01_H_2020'!$O$25),2)</f>
        <v>3196.05</v>
      </c>
    </row>
    <row r="194" spans="1:7">
      <c r="A194" s="2" t="s">
        <v>20</v>
      </c>
      <c r="B194" s="35">
        <f>SUM(B193:B193)</f>
        <v>2.75</v>
      </c>
      <c r="C194" s="1" t="s">
        <v>17</v>
      </c>
      <c r="D194" s="1" t="s">
        <v>17</v>
      </c>
      <c r="E194" s="1" t="s">
        <v>17</v>
      </c>
      <c r="F194" s="117" t="s">
        <v>17</v>
      </c>
      <c r="G194" s="121" t="s">
        <v>17</v>
      </c>
    </row>
    <row r="195" spans="1:7" ht="63.75">
      <c r="A195" s="40" t="s">
        <v>81</v>
      </c>
      <c r="B195" s="31"/>
      <c r="C195" s="32"/>
      <c r="D195" s="33"/>
      <c r="E195" s="32"/>
      <c r="F195" s="115"/>
      <c r="G195" s="122"/>
    </row>
    <row r="196" spans="1:7">
      <c r="A196" s="148" t="s">
        <v>101</v>
      </c>
      <c r="B196" s="36">
        <v>2.5</v>
      </c>
      <c r="C196" s="37">
        <v>1200</v>
      </c>
      <c r="D196" s="37">
        <v>110.4</v>
      </c>
      <c r="E196" s="37">
        <v>240</v>
      </c>
      <c r="F196" s="116">
        <f t="shared" ref="F196:F197" si="39">C196+D196+E196</f>
        <v>1550.4</v>
      </c>
      <c r="G196" s="149">
        <f>ROUND((C196+D196+E196)*('29_01_H_2020'!$O$14)*B196*12*(1+'29_01_H_2020'!$O$25),2)</f>
        <v>2724.75</v>
      </c>
    </row>
    <row r="197" spans="1:7">
      <c r="A197" s="148" t="s">
        <v>110</v>
      </c>
      <c r="B197" s="36">
        <v>2.5</v>
      </c>
      <c r="C197" s="37">
        <v>990</v>
      </c>
      <c r="D197" s="37">
        <v>88.11</v>
      </c>
      <c r="E197" s="37">
        <v>198</v>
      </c>
      <c r="F197" s="116">
        <f t="shared" si="39"/>
        <v>1276.1099999999999</v>
      </c>
      <c r="G197" s="149">
        <f>ROUND((C197+D197+E197)*('29_01_H_2020'!$O$14)*B197*12*(1+'29_01_H_2020'!$O$25),2)</f>
        <v>2242.6999999999998</v>
      </c>
    </row>
    <row r="198" spans="1:7">
      <c r="A198" s="2" t="s">
        <v>20</v>
      </c>
      <c r="B198" s="35">
        <f>SUM(B196:B197)</f>
        <v>5</v>
      </c>
      <c r="C198" s="1" t="s">
        <v>17</v>
      </c>
      <c r="D198" s="1" t="s">
        <v>17</v>
      </c>
      <c r="E198" s="1" t="s">
        <v>17</v>
      </c>
      <c r="F198" s="117" t="s">
        <v>17</v>
      </c>
      <c r="G198" s="121" t="s">
        <v>17</v>
      </c>
    </row>
    <row r="199" spans="1:7" ht="38.25">
      <c r="A199" s="40" t="s">
        <v>88</v>
      </c>
      <c r="B199" s="31"/>
      <c r="C199" s="32"/>
      <c r="D199" s="33"/>
      <c r="E199" s="32"/>
      <c r="F199" s="115"/>
      <c r="G199" s="122"/>
    </row>
    <row r="200" spans="1:7">
      <c r="A200" s="39" t="s">
        <v>16</v>
      </c>
      <c r="B200" s="36">
        <v>4</v>
      </c>
      <c r="C200" s="37">
        <v>870</v>
      </c>
      <c r="D200" s="37">
        <v>47.85</v>
      </c>
      <c r="E200" s="37">
        <v>174</v>
      </c>
      <c r="F200" s="116">
        <f t="shared" ref="F200" si="40">C200+D200+E200</f>
        <v>1091.8499999999999</v>
      </c>
      <c r="G200" s="120">
        <f>ROUND((C200+D200+E200)*('29_01_H_2020'!$O$17)*B200*12*(1+'29_01_H_2020'!$O$25),2)</f>
        <v>0</v>
      </c>
    </row>
    <row r="201" spans="1:7">
      <c r="A201" s="2" t="s">
        <v>20</v>
      </c>
      <c r="B201" s="35">
        <f>SUM(B200)</f>
        <v>4</v>
      </c>
      <c r="C201" s="1" t="s">
        <v>17</v>
      </c>
      <c r="D201" s="1" t="s">
        <v>17</v>
      </c>
      <c r="E201" s="1" t="s">
        <v>17</v>
      </c>
      <c r="F201" s="117" t="s">
        <v>17</v>
      </c>
      <c r="G201" s="121" t="s">
        <v>17</v>
      </c>
    </row>
    <row r="202" spans="1:7" ht="13.5" thickBot="1">
      <c r="A202" s="26" t="s">
        <v>22</v>
      </c>
      <c r="B202" s="34">
        <f>SUM(B184,B190,B194,B198,B201)</f>
        <v>114</v>
      </c>
      <c r="C202" s="27"/>
      <c r="D202" s="27"/>
      <c r="E202" s="27"/>
      <c r="F202" s="118"/>
      <c r="G202" s="125">
        <f>SUM(G179:G183,G186:G189,G193:G193,G196:G197,G200)</f>
        <v>130646.51000000001</v>
      </c>
    </row>
  </sheetData>
  <mergeCells count="26">
    <mergeCell ref="A175:F175"/>
    <mergeCell ref="A176:F176"/>
    <mergeCell ref="A177:F177"/>
    <mergeCell ref="A191:F191"/>
    <mergeCell ref="A38:F38"/>
    <mergeCell ref="A66:F66"/>
    <mergeCell ref="A76:F76"/>
    <mergeCell ref="A96:F96"/>
    <mergeCell ref="A101:F101"/>
    <mergeCell ref="A119:F119"/>
    <mergeCell ref="A138:F138"/>
    <mergeCell ref="A159:F159"/>
    <mergeCell ref="A136:F136"/>
    <mergeCell ref="A27:F27"/>
    <mergeCell ref="A4:A5"/>
    <mergeCell ref="B4:B5"/>
    <mergeCell ref="C4:C5"/>
    <mergeCell ref="D4:D5"/>
    <mergeCell ref="E4:E5"/>
    <mergeCell ref="A8:F8"/>
    <mergeCell ref="F1:G1"/>
    <mergeCell ref="A2:G2"/>
    <mergeCell ref="F4:F5"/>
    <mergeCell ref="A7:F7"/>
    <mergeCell ref="A11:F11"/>
    <mergeCell ref="G4:G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B173-90B8-4D6E-84E1-0954A406924B}">
  <dimension ref="A1:L121"/>
  <sheetViews>
    <sheetView zoomScaleNormal="100" workbookViewId="0">
      <selection activeCell="I7" sqref="I7"/>
    </sheetView>
  </sheetViews>
  <sheetFormatPr defaultRowHeight="15"/>
  <cols>
    <col min="1" max="1" width="40.140625" customWidth="1"/>
    <col min="2" max="2" width="10.42578125" customWidth="1"/>
    <col min="6" max="6" width="9.85546875" bestFit="1" customWidth="1"/>
    <col min="7" max="7" width="13.140625" customWidth="1"/>
    <col min="8" max="8" width="14" bestFit="1" customWidth="1"/>
    <col min="10" max="10" width="14" bestFit="1" customWidth="1"/>
    <col min="12" max="12" width="14" bestFit="1" customWidth="1"/>
  </cols>
  <sheetData>
    <row r="1" spans="1:8">
      <c r="F1" s="542" t="s">
        <v>441</v>
      </c>
      <c r="G1" s="542"/>
    </row>
    <row r="2" spans="1:8">
      <c r="A2" s="589" t="s">
        <v>232</v>
      </c>
      <c r="B2" s="589"/>
      <c r="C2" s="589"/>
      <c r="D2" s="589"/>
      <c r="E2" s="589"/>
      <c r="F2" s="589"/>
    </row>
    <row r="3" spans="1:8">
      <c r="A3" s="589"/>
      <c r="B3" s="589"/>
      <c r="C3" s="589"/>
      <c r="D3" s="589"/>
      <c r="E3" s="589"/>
      <c r="F3" s="589"/>
    </row>
    <row r="4" spans="1:8" ht="15.75" thickBot="1">
      <c r="G4" s="136" t="s">
        <v>228</v>
      </c>
    </row>
    <row r="5" spans="1:8" ht="15.75">
      <c r="A5" s="582" t="s">
        <v>0</v>
      </c>
      <c r="B5" s="583"/>
      <c r="C5" s="583"/>
      <c r="D5" s="583"/>
      <c r="E5" s="583"/>
      <c r="F5" s="583"/>
      <c r="G5" s="584"/>
    </row>
    <row r="6" spans="1:8">
      <c r="A6" s="590" t="s">
        <v>27</v>
      </c>
      <c r="B6" s="592" t="s">
        <v>28</v>
      </c>
      <c r="C6" s="594" t="s">
        <v>29</v>
      </c>
      <c r="D6" s="594" t="s">
        <v>30</v>
      </c>
      <c r="E6" s="594" t="s">
        <v>341</v>
      </c>
      <c r="F6" s="596" t="s">
        <v>31</v>
      </c>
      <c r="G6" s="580" t="s">
        <v>323</v>
      </c>
    </row>
    <row r="7" spans="1:8" ht="68.25" customHeight="1" thickBot="1">
      <c r="A7" s="591"/>
      <c r="B7" s="593"/>
      <c r="C7" s="595"/>
      <c r="D7" s="595"/>
      <c r="E7" s="595"/>
      <c r="F7" s="597"/>
      <c r="G7" s="581"/>
    </row>
    <row r="8" spans="1:8" ht="15.75" thickBot="1">
      <c r="A8" s="585" t="s">
        <v>24</v>
      </c>
      <c r="B8" s="586"/>
      <c r="C8" s="586"/>
      <c r="D8" s="586"/>
      <c r="E8" s="586"/>
      <c r="F8" s="586"/>
      <c r="G8" s="144"/>
    </row>
    <row r="9" spans="1:8">
      <c r="A9" s="587" t="s">
        <v>26</v>
      </c>
      <c r="B9" s="588"/>
      <c r="C9" s="588"/>
      <c r="D9" s="588"/>
      <c r="E9" s="588"/>
      <c r="F9" s="588"/>
      <c r="G9" s="126"/>
    </row>
    <row r="10" spans="1:8">
      <c r="A10" s="18" t="s">
        <v>32</v>
      </c>
      <c r="B10" s="19"/>
      <c r="C10" s="20"/>
      <c r="D10" s="20"/>
      <c r="E10" s="20"/>
      <c r="F10" s="137"/>
      <c r="G10" s="199">
        <f>G11+G49</f>
        <v>2387093.89</v>
      </c>
    </row>
    <row r="11" spans="1:8">
      <c r="A11" s="13" t="s">
        <v>92</v>
      </c>
      <c r="B11" s="11"/>
      <c r="C11" s="12"/>
      <c r="D11" s="12"/>
      <c r="E11" s="12"/>
      <c r="F11" s="138"/>
      <c r="G11" s="200">
        <f>SUM(G12:G48)</f>
        <v>431950.68000000017</v>
      </c>
    </row>
    <row r="12" spans="1:8">
      <c r="A12" s="3" t="s">
        <v>34</v>
      </c>
      <c r="B12" s="102">
        <v>2</v>
      </c>
      <c r="C12" s="110">
        <v>2080</v>
      </c>
      <c r="D12" s="44">
        <v>62.4</v>
      </c>
      <c r="E12" s="44"/>
      <c r="F12" s="135">
        <f>C12+D12+E12</f>
        <v>2142.4</v>
      </c>
      <c r="G12" s="120">
        <f>ROUND((C12+D12+E12)*('29_01_H_2020'!$O$10)*B12*12*(1+'29_01_H_2020'!$O$25),2)</f>
        <v>2796.07</v>
      </c>
      <c r="H12" s="46"/>
    </row>
    <row r="13" spans="1:8">
      <c r="A13" s="3" t="s">
        <v>34</v>
      </c>
      <c r="B13" s="102">
        <v>2</v>
      </c>
      <c r="C13" s="110">
        <v>1980</v>
      </c>
      <c r="D13" s="44">
        <v>59.4</v>
      </c>
      <c r="E13" s="44"/>
      <c r="F13" s="135">
        <f t="shared" ref="F13:F77" si="0">C13+D13+E13</f>
        <v>2039.4</v>
      </c>
      <c r="G13" s="120">
        <f>ROUND((C13+D13+E13)*('29_01_H_2020'!$O$10)*B13*12*(1+'29_01_H_2020'!$O$25),2)</f>
        <v>2661.64</v>
      </c>
      <c r="H13" s="46"/>
    </row>
    <row r="14" spans="1:8">
      <c r="A14" s="3" t="s">
        <v>35</v>
      </c>
      <c r="B14" s="102">
        <v>4</v>
      </c>
      <c r="C14" s="110">
        <v>1613</v>
      </c>
      <c r="D14" s="44">
        <v>48.39</v>
      </c>
      <c r="E14" s="44"/>
      <c r="F14" s="135">
        <f t="shared" si="0"/>
        <v>1661.39</v>
      </c>
      <c r="G14" s="120">
        <f>ROUND((C14+D14+E14)*('29_01_H_2020'!$O$10)*B14*12*(1+'29_01_H_2020'!$O$25),2)</f>
        <v>4336.59</v>
      </c>
      <c r="H14" s="46"/>
    </row>
    <row r="15" spans="1:8">
      <c r="A15" s="3" t="s">
        <v>334</v>
      </c>
      <c r="B15" s="102">
        <v>4</v>
      </c>
      <c r="C15" s="110">
        <v>1550</v>
      </c>
      <c r="D15" s="44">
        <v>46.5</v>
      </c>
      <c r="E15" s="44"/>
      <c r="F15" s="135">
        <f t="shared" si="0"/>
        <v>1596.5</v>
      </c>
      <c r="G15" s="120">
        <f>ROUND((C15+D15+E15)*('29_01_H_2020'!$O$10)*B15*12*(1+'29_01_H_2020'!$O$25),2)</f>
        <v>4167.22</v>
      </c>
      <c r="H15" s="46"/>
    </row>
    <row r="16" spans="1:8">
      <c r="A16" s="3" t="s">
        <v>335</v>
      </c>
      <c r="B16" s="102">
        <v>1</v>
      </c>
      <c r="C16" s="110">
        <v>1647</v>
      </c>
      <c r="D16" s="44">
        <v>49.41</v>
      </c>
      <c r="E16" s="44"/>
      <c r="F16" s="135">
        <f t="shared" si="0"/>
        <v>1696.41</v>
      </c>
      <c r="G16" s="120">
        <f>ROUND((C16+D16+E16)*('29_01_H_2020'!$O$10)*B16*12*(1+'29_01_H_2020'!$O$25),2)</f>
        <v>1107</v>
      </c>
      <c r="H16" s="46"/>
    </row>
    <row r="17" spans="1:8" ht="25.5">
      <c r="A17" s="3" t="s">
        <v>36</v>
      </c>
      <c r="B17" s="102">
        <v>28.5</v>
      </c>
      <c r="C17" s="110">
        <v>1980</v>
      </c>
      <c r="D17" s="44">
        <v>1103.8499999999999</v>
      </c>
      <c r="E17" s="44">
        <v>79.2</v>
      </c>
      <c r="F17" s="135">
        <f t="shared" si="0"/>
        <v>3163.0499999999997</v>
      </c>
      <c r="G17" s="120">
        <f>ROUND((C17+D17+E17)*('29_01_H_2020'!$O$10)*B17*12*(1+'29_01_H_2020'!$O$25),2)</f>
        <v>58825.84</v>
      </c>
      <c r="H17" s="46"/>
    </row>
    <row r="18" spans="1:8">
      <c r="A18" s="3" t="s">
        <v>37</v>
      </c>
      <c r="B18" s="102">
        <v>42.75</v>
      </c>
      <c r="C18" s="110">
        <v>1750</v>
      </c>
      <c r="D18" s="44">
        <v>975.625</v>
      </c>
      <c r="E18" s="44">
        <v>70</v>
      </c>
      <c r="F18" s="135">
        <f t="shared" si="0"/>
        <v>2795.625</v>
      </c>
      <c r="G18" s="120">
        <f>ROUND((C18+D18+E18)*('29_01_H_2020'!$O$10)*B18*12*(1+'29_01_H_2020'!$O$25),2)</f>
        <v>77988.81</v>
      </c>
      <c r="H18" s="46"/>
    </row>
    <row r="19" spans="1:8" ht="25.5">
      <c r="A19" s="3" t="s">
        <v>336</v>
      </c>
      <c r="B19" s="102">
        <v>4.75</v>
      </c>
      <c r="C19" s="110">
        <v>1890</v>
      </c>
      <c r="D19" s="44">
        <v>1053.675</v>
      </c>
      <c r="E19" s="44">
        <v>75.600000000000009</v>
      </c>
      <c r="F19" s="135">
        <f t="shared" si="0"/>
        <v>3019.2750000000001</v>
      </c>
      <c r="G19" s="120">
        <f>ROUND((C19+D19+E19)*('29_01_H_2020'!$O$10)*B19*12*(1+'29_01_H_2020'!$O$25),2)</f>
        <v>9358.66</v>
      </c>
      <c r="H19" s="46"/>
    </row>
    <row r="20" spans="1:8">
      <c r="A20" s="3" t="s">
        <v>38</v>
      </c>
      <c r="B20" s="102">
        <v>4.75</v>
      </c>
      <c r="C20" s="110">
        <v>1980</v>
      </c>
      <c r="D20" s="44">
        <v>1103.8499999999999</v>
      </c>
      <c r="E20" s="44">
        <v>79.2</v>
      </c>
      <c r="F20" s="135">
        <f t="shared" si="0"/>
        <v>3163.0499999999997</v>
      </c>
      <c r="G20" s="120">
        <f>ROUND((C20+D20+E20)*('29_01_H_2020'!$O$10)*B20*12*(1+'29_01_H_2020'!$O$25),2)</f>
        <v>9804.31</v>
      </c>
      <c r="H20" s="46"/>
    </row>
    <row r="21" spans="1:8">
      <c r="A21" s="3" t="s">
        <v>337</v>
      </c>
      <c r="B21" s="102">
        <v>4.75</v>
      </c>
      <c r="C21" s="110">
        <v>1980</v>
      </c>
      <c r="D21" s="44">
        <v>1103.8499999999999</v>
      </c>
      <c r="E21" s="44">
        <v>79.2</v>
      </c>
      <c r="F21" s="135">
        <f t="shared" si="0"/>
        <v>3163.0499999999997</v>
      </c>
      <c r="G21" s="120">
        <f>ROUND((C21+D21+E21)*('29_01_H_2020'!$O$10)*B21*12*(1+'29_01_H_2020'!$O$25),2)</f>
        <v>9804.31</v>
      </c>
      <c r="H21" s="46"/>
    </row>
    <row r="22" spans="1:8">
      <c r="A22" s="3" t="s">
        <v>39</v>
      </c>
      <c r="B22" s="102">
        <v>9.5</v>
      </c>
      <c r="C22" s="110">
        <v>1980</v>
      </c>
      <c r="D22" s="44">
        <v>1103.8499999999999</v>
      </c>
      <c r="E22" s="44">
        <v>79.2</v>
      </c>
      <c r="F22" s="135">
        <f t="shared" si="0"/>
        <v>3163.0499999999997</v>
      </c>
      <c r="G22" s="120">
        <f>ROUND((C22+D22+E22)*('29_01_H_2020'!$O$10)*B22*12*(1+'29_01_H_2020'!$O$25),2)</f>
        <v>19608.61</v>
      </c>
      <c r="H22" s="46"/>
    </row>
    <row r="23" spans="1:8">
      <c r="A23" s="3" t="s">
        <v>38</v>
      </c>
      <c r="B23" s="102">
        <v>4.75</v>
      </c>
      <c r="C23" s="110">
        <v>2600</v>
      </c>
      <c r="D23" s="44">
        <v>156</v>
      </c>
      <c r="E23" s="44">
        <v>104</v>
      </c>
      <c r="F23" s="135">
        <f t="shared" si="0"/>
        <v>2860</v>
      </c>
      <c r="G23" s="120">
        <f>ROUND((C23+D23+E23)*('29_01_H_2020'!$O$10)*B23*12*(1+'29_01_H_2020'!$O$25),2)</f>
        <v>8864.9599999999991</v>
      </c>
      <c r="H23" s="46"/>
    </row>
    <row r="24" spans="1:8">
      <c r="A24" s="3" t="s">
        <v>40</v>
      </c>
      <c r="B24" s="102">
        <v>4.75</v>
      </c>
      <c r="C24" s="110">
        <v>2600</v>
      </c>
      <c r="D24" s="44">
        <v>156</v>
      </c>
      <c r="E24" s="44">
        <v>104</v>
      </c>
      <c r="F24" s="135">
        <f t="shared" si="0"/>
        <v>2860</v>
      </c>
      <c r="G24" s="120">
        <f>ROUND((C24+D24+E24)*('29_01_H_2020'!$O$10)*B24*12*(1+'29_01_H_2020'!$O$25),2)</f>
        <v>8864.9599999999991</v>
      </c>
      <c r="H24" s="46"/>
    </row>
    <row r="25" spans="1:8">
      <c r="A25" s="3" t="s">
        <v>41</v>
      </c>
      <c r="B25" s="102">
        <v>4.75</v>
      </c>
      <c r="C25" s="110">
        <v>2600</v>
      </c>
      <c r="D25" s="44">
        <v>156</v>
      </c>
      <c r="E25" s="44">
        <v>104</v>
      </c>
      <c r="F25" s="135">
        <f t="shared" si="0"/>
        <v>2860</v>
      </c>
      <c r="G25" s="120">
        <f>ROUND((C25+D25+E25)*('29_01_H_2020'!$O$10)*B25*12*(1+'29_01_H_2020'!$O$25),2)</f>
        <v>8864.9599999999991</v>
      </c>
      <c r="H25" s="46"/>
    </row>
    <row r="26" spans="1:8">
      <c r="A26" s="3" t="s">
        <v>42</v>
      </c>
      <c r="B26" s="102">
        <v>4.75</v>
      </c>
      <c r="C26" s="110">
        <v>2600</v>
      </c>
      <c r="D26" s="44">
        <v>156</v>
      </c>
      <c r="E26" s="44">
        <v>104</v>
      </c>
      <c r="F26" s="135">
        <f t="shared" si="0"/>
        <v>2860</v>
      </c>
      <c r="G26" s="120">
        <f>ROUND((C26+D26+E26)*('29_01_H_2020'!$O$10)*B26*12*(1+'29_01_H_2020'!$O$25),2)</f>
        <v>8864.9599999999991</v>
      </c>
      <c r="H26" s="46"/>
    </row>
    <row r="27" spans="1:8">
      <c r="A27" s="3" t="s">
        <v>43</v>
      </c>
      <c r="B27" s="102">
        <v>4.75</v>
      </c>
      <c r="C27" s="110">
        <v>2600</v>
      </c>
      <c r="D27" s="44">
        <v>156</v>
      </c>
      <c r="E27" s="44">
        <v>104</v>
      </c>
      <c r="F27" s="135">
        <f t="shared" si="0"/>
        <v>2860</v>
      </c>
      <c r="G27" s="120">
        <f>ROUND((C27+D27+E27)*('29_01_H_2020'!$O$10)*B27*12*(1+'29_01_H_2020'!$O$25),2)</f>
        <v>8864.9599999999991</v>
      </c>
      <c r="H27" s="46"/>
    </row>
    <row r="28" spans="1:8">
      <c r="A28" s="3" t="s">
        <v>44</v>
      </c>
      <c r="B28" s="102">
        <v>4.75</v>
      </c>
      <c r="C28" s="110">
        <v>2600</v>
      </c>
      <c r="D28" s="44">
        <v>156</v>
      </c>
      <c r="E28" s="44">
        <v>104</v>
      </c>
      <c r="F28" s="135">
        <f t="shared" si="0"/>
        <v>2860</v>
      </c>
      <c r="G28" s="120">
        <f>ROUND((C28+D28+E28)*('29_01_H_2020'!$O$10)*B28*12*(1+'29_01_H_2020'!$O$25),2)</f>
        <v>8864.9599999999991</v>
      </c>
      <c r="H28" s="46"/>
    </row>
    <row r="29" spans="1:8">
      <c r="A29" s="3" t="s">
        <v>45</v>
      </c>
      <c r="B29" s="102">
        <v>4.75</v>
      </c>
      <c r="C29" s="110">
        <v>2600</v>
      </c>
      <c r="D29" s="44">
        <v>156</v>
      </c>
      <c r="E29" s="44">
        <v>104</v>
      </c>
      <c r="F29" s="135">
        <f t="shared" si="0"/>
        <v>2860</v>
      </c>
      <c r="G29" s="120">
        <f>ROUND((C29+D29+E29)*('29_01_H_2020'!$O$10)*B29*12*(1+'29_01_H_2020'!$O$25),2)</f>
        <v>8864.9599999999991</v>
      </c>
      <c r="H29" s="46"/>
    </row>
    <row r="30" spans="1:8">
      <c r="A30" s="3" t="s">
        <v>46</v>
      </c>
      <c r="B30" s="102">
        <v>4.75</v>
      </c>
      <c r="C30" s="110">
        <v>2600</v>
      </c>
      <c r="D30" s="44">
        <v>156</v>
      </c>
      <c r="E30" s="44">
        <v>104</v>
      </c>
      <c r="F30" s="135">
        <f t="shared" si="0"/>
        <v>2860</v>
      </c>
      <c r="G30" s="120">
        <f>ROUND((C30+D30+E30)*('29_01_H_2020'!$O$10)*B30*12*(1+'29_01_H_2020'!$O$25),2)</f>
        <v>8864.9599999999991</v>
      </c>
      <c r="H30" s="46"/>
    </row>
    <row r="31" spans="1:8">
      <c r="A31" s="3" t="s">
        <v>47</v>
      </c>
      <c r="B31" s="102">
        <v>4.75</v>
      </c>
      <c r="C31" s="110">
        <v>2175</v>
      </c>
      <c r="D31" s="44">
        <v>130.5</v>
      </c>
      <c r="E31" s="44">
        <v>87</v>
      </c>
      <c r="F31" s="135">
        <f t="shared" si="0"/>
        <v>2392.5</v>
      </c>
      <c r="G31" s="120">
        <f>ROUND((C31+D31+E31)*('29_01_H_2020'!$O$10)*B31*12*(1+'29_01_H_2020'!$O$25),2)</f>
        <v>7415.88</v>
      </c>
      <c r="H31" s="46"/>
    </row>
    <row r="32" spans="1:8">
      <c r="A32" s="3" t="s">
        <v>48</v>
      </c>
      <c r="B32" s="102">
        <v>4.75</v>
      </c>
      <c r="C32" s="110">
        <v>2175</v>
      </c>
      <c r="D32" s="44">
        <v>130.5</v>
      </c>
      <c r="E32" s="44">
        <v>87</v>
      </c>
      <c r="F32" s="135">
        <f t="shared" si="0"/>
        <v>2392.5</v>
      </c>
      <c r="G32" s="120">
        <f>ROUND((C32+D32+E32)*('29_01_H_2020'!$O$10)*B32*12*(1+'29_01_H_2020'!$O$25),2)</f>
        <v>7415.88</v>
      </c>
      <c r="H32" s="46"/>
    </row>
    <row r="33" spans="1:8">
      <c r="A33" s="3" t="s">
        <v>49</v>
      </c>
      <c r="B33" s="102">
        <v>1</v>
      </c>
      <c r="C33" s="110">
        <v>1050</v>
      </c>
      <c r="D33" s="44">
        <v>63</v>
      </c>
      <c r="E33" s="44">
        <v>42</v>
      </c>
      <c r="F33" s="135">
        <f t="shared" si="0"/>
        <v>1155</v>
      </c>
      <c r="G33" s="120">
        <f>ROUND((C33+D33+E33)*('29_01_H_2020'!$O$10)*B33*12*(1+'29_01_H_2020'!$O$25),2)</f>
        <v>753.7</v>
      </c>
      <c r="H33" s="46"/>
    </row>
    <row r="34" spans="1:8">
      <c r="A34" s="3" t="s">
        <v>50</v>
      </c>
      <c r="B34" s="102">
        <v>4.75</v>
      </c>
      <c r="C34" s="110">
        <v>2600</v>
      </c>
      <c r="D34" s="44">
        <v>156</v>
      </c>
      <c r="E34" s="44">
        <v>104</v>
      </c>
      <c r="F34" s="135">
        <f t="shared" si="0"/>
        <v>2860</v>
      </c>
      <c r="G34" s="120">
        <f>ROUND((C34+D34+E34)*('29_01_H_2020'!$O$10)*B34*12*(1+'29_01_H_2020'!$O$25),2)</f>
        <v>8864.9599999999991</v>
      </c>
      <c r="H34" s="46"/>
    </row>
    <row r="35" spans="1:8">
      <c r="A35" s="3" t="s">
        <v>51</v>
      </c>
      <c r="B35" s="102">
        <v>9.5</v>
      </c>
      <c r="C35" s="110">
        <v>2600</v>
      </c>
      <c r="D35" s="44">
        <v>156</v>
      </c>
      <c r="E35" s="44">
        <v>104</v>
      </c>
      <c r="F35" s="135">
        <f t="shared" si="0"/>
        <v>2860</v>
      </c>
      <c r="G35" s="120">
        <f>ROUND((C35+D35+E35)*('29_01_H_2020'!$O$10)*B35*12*(1+'29_01_H_2020'!$O$25),2)</f>
        <v>17729.919999999998</v>
      </c>
      <c r="H35" s="46"/>
    </row>
    <row r="36" spans="1:8">
      <c r="A36" s="3" t="s">
        <v>52</v>
      </c>
      <c r="B36" s="102">
        <v>4.75</v>
      </c>
      <c r="C36" s="110">
        <v>2175</v>
      </c>
      <c r="D36" s="44">
        <v>130.5</v>
      </c>
      <c r="E36" s="44">
        <v>87</v>
      </c>
      <c r="F36" s="135">
        <f t="shared" si="0"/>
        <v>2392.5</v>
      </c>
      <c r="G36" s="120">
        <f>ROUND((C36+D36+E36)*('29_01_H_2020'!$O$10)*B36*12*(1+'29_01_H_2020'!$O$25),2)</f>
        <v>7415.88</v>
      </c>
      <c r="H36" s="46"/>
    </row>
    <row r="37" spans="1:8">
      <c r="A37" s="3" t="s">
        <v>53</v>
      </c>
      <c r="B37" s="102">
        <v>4.75</v>
      </c>
      <c r="C37" s="110">
        <v>2600</v>
      </c>
      <c r="D37" s="44">
        <v>156</v>
      </c>
      <c r="E37" s="44">
        <v>104</v>
      </c>
      <c r="F37" s="135">
        <f t="shared" si="0"/>
        <v>2860</v>
      </c>
      <c r="G37" s="120">
        <f>ROUND((C37+D37+E37)*('29_01_H_2020'!$O$10)*B37*12*(1+'29_01_H_2020'!$O$25),2)</f>
        <v>8864.9599999999991</v>
      </c>
      <c r="H37" s="46"/>
    </row>
    <row r="38" spans="1:8">
      <c r="A38" s="3" t="s">
        <v>54</v>
      </c>
      <c r="B38" s="102">
        <v>4.75</v>
      </c>
      <c r="C38" s="110">
        <v>2600</v>
      </c>
      <c r="D38" s="44">
        <v>156</v>
      </c>
      <c r="E38" s="44">
        <v>104</v>
      </c>
      <c r="F38" s="135">
        <f t="shared" si="0"/>
        <v>2860</v>
      </c>
      <c r="G38" s="120">
        <f>ROUND((C38+D38+E38)*('29_01_H_2020'!$O$10)*B38*12*(1+'29_01_H_2020'!$O$25),2)</f>
        <v>8864.9599999999991</v>
      </c>
      <c r="H38" s="46"/>
    </row>
    <row r="39" spans="1:8">
      <c r="A39" s="3" t="s">
        <v>55</v>
      </c>
      <c r="B39" s="102">
        <v>4.75</v>
      </c>
      <c r="C39" s="110">
        <v>2600</v>
      </c>
      <c r="D39" s="44">
        <v>156</v>
      </c>
      <c r="E39" s="44">
        <v>104</v>
      </c>
      <c r="F39" s="135">
        <f t="shared" si="0"/>
        <v>2860</v>
      </c>
      <c r="G39" s="120">
        <f>ROUND((C39+D39+E39)*('29_01_H_2020'!$O$10)*B39*12*(1+'29_01_H_2020'!$O$25),2)</f>
        <v>8864.9599999999991</v>
      </c>
      <c r="H39" s="46"/>
    </row>
    <row r="40" spans="1:8">
      <c r="A40" s="3" t="s">
        <v>56</v>
      </c>
      <c r="B40" s="102">
        <v>4.75</v>
      </c>
      <c r="C40" s="110">
        <v>2600</v>
      </c>
      <c r="D40" s="44">
        <v>156</v>
      </c>
      <c r="E40" s="44">
        <v>104</v>
      </c>
      <c r="F40" s="135">
        <f t="shared" si="0"/>
        <v>2860</v>
      </c>
      <c r="G40" s="120">
        <f>ROUND((C40+D40+E40)*('29_01_H_2020'!$O$10)*B40*12*(1+'29_01_H_2020'!$O$25),2)</f>
        <v>8864.9599999999991</v>
      </c>
      <c r="H40" s="46"/>
    </row>
    <row r="41" spans="1:8">
      <c r="A41" s="3" t="s">
        <v>57</v>
      </c>
      <c r="B41" s="103">
        <v>4.75</v>
      </c>
      <c r="C41" s="110">
        <v>2600</v>
      </c>
      <c r="D41" s="44">
        <v>156</v>
      </c>
      <c r="E41" s="44">
        <v>104</v>
      </c>
      <c r="F41" s="135">
        <f t="shared" si="0"/>
        <v>2860</v>
      </c>
      <c r="G41" s="120">
        <f>ROUND((C41+D41+E41)*('29_01_H_2020'!$O$10)*B41*12*(1+'29_01_H_2020'!$O$25),2)</f>
        <v>8864.9599999999991</v>
      </c>
      <c r="H41" s="46"/>
    </row>
    <row r="42" spans="1:8">
      <c r="A42" s="3" t="s">
        <v>58</v>
      </c>
      <c r="B42" s="103">
        <v>4.75</v>
      </c>
      <c r="C42" s="110">
        <v>2280</v>
      </c>
      <c r="D42" s="44">
        <v>701.1</v>
      </c>
      <c r="E42" s="44">
        <v>91.2</v>
      </c>
      <c r="F42" s="135">
        <f t="shared" si="0"/>
        <v>3072.2999999999997</v>
      </c>
      <c r="G42" s="120">
        <f>ROUND((C42+D42+E42)*('29_01_H_2020'!$O$10)*B42*12*(1+'29_01_H_2020'!$O$25),2)</f>
        <v>9523.02</v>
      </c>
      <c r="H42" s="46"/>
    </row>
    <row r="43" spans="1:8" s="127" customFormat="1">
      <c r="A43" s="3" t="s">
        <v>338</v>
      </c>
      <c r="B43" s="103">
        <v>11.5</v>
      </c>
      <c r="C43" s="110">
        <v>2180</v>
      </c>
      <c r="D43" s="44">
        <v>670.35</v>
      </c>
      <c r="E43" s="44">
        <v>87.2</v>
      </c>
      <c r="F43" s="135">
        <f>C43+D43+E43</f>
        <v>2937.5499999999997</v>
      </c>
      <c r="G43" s="120">
        <f>ROUND((C43+D43+E43)*('29_01_H_2020'!$O$10)*B43*12*(1+'29_01_H_2020'!$O$25),2)</f>
        <v>22044.51</v>
      </c>
      <c r="H43" s="46"/>
    </row>
    <row r="44" spans="1:8" s="127" customFormat="1">
      <c r="A44" s="3" t="s">
        <v>59</v>
      </c>
      <c r="B44" s="103">
        <v>9</v>
      </c>
      <c r="C44" s="110">
        <v>2060</v>
      </c>
      <c r="D44" s="44">
        <v>633.45000000000005</v>
      </c>
      <c r="E44" s="44">
        <v>82.4</v>
      </c>
      <c r="F44" s="135">
        <f t="shared" si="0"/>
        <v>2775.85</v>
      </c>
      <c r="G44" s="120">
        <f>ROUND((C44+D44+E44)*('29_01_H_2020'!$O$10)*B44*12*(1+'29_01_H_2020'!$O$25),2)</f>
        <v>16302.56</v>
      </c>
      <c r="H44" s="46"/>
    </row>
    <row r="45" spans="1:8" ht="25.5">
      <c r="A45" s="3" t="s">
        <v>61</v>
      </c>
      <c r="B45" s="103">
        <v>7.95</v>
      </c>
      <c r="C45" s="110">
        <v>1885</v>
      </c>
      <c r="D45" s="44">
        <v>579.63750000000005</v>
      </c>
      <c r="E45" s="44">
        <v>75.400000000000006</v>
      </c>
      <c r="F45" s="135">
        <f t="shared" si="0"/>
        <v>2540.0374999999999</v>
      </c>
      <c r="G45" s="120">
        <f>ROUND((C45+D45+E45)*('29_01_H_2020'!$O$10)*B45*12*(1+'29_01_H_2020'!$O$25),2)</f>
        <v>13177.24</v>
      </c>
      <c r="H45" s="46"/>
    </row>
    <row r="46" spans="1:8" ht="25.5">
      <c r="A46" s="3" t="s">
        <v>339</v>
      </c>
      <c r="B46" s="103">
        <v>0.75</v>
      </c>
      <c r="C46" s="110">
        <v>1885</v>
      </c>
      <c r="D46" s="44">
        <v>579.63750000000005</v>
      </c>
      <c r="E46" s="44">
        <v>75.400000000000006</v>
      </c>
      <c r="F46" s="135">
        <f t="shared" si="0"/>
        <v>2540.0374999999999</v>
      </c>
      <c r="G46" s="120">
        <f>ROUND((C46+D46+E46)*('29_01_H_2020'!$O$10)*B46*12*(1+'29_01_H_2020'!$O$25),2)</f>
        <v>1243.1400000000001</v>
      </c>
      <c r="H46" s="46"/>
    </row>
    <row r="47" spans="1:8">
      <c r="A47" s="3" t="s">
        <v>60</v>
      </c>
      <c r="B47" s="102">
        <v>3</v>
      </c>
      <c r="C47" s="110">
        <v>1900</v>
      </c>
      <c r="D47" s="44">
        <v>57</v>
      </c>
      <c r="E47" s="44"/>
      <c r="F47" s="135">
        <f t="shared" si="0"/>
        <v>1957</v>
      </c>
      <c r="G47" s="120">
        <f>ROUND((C47+D47+E47)*('29_01_H_2020'!$O$10)*B47*12*(1+'29_01_H_2020'!$O$25),2)</f>
        <v>3831.15</v>
      </c>
      <c r="H47" s="46"/>
    </row>
    <row r="48" spans="1:8" s="127" customFormat="1" ht="25.5">
      <c r="A48" s="230" t="s">
        <v>340</v>
      </c>
      <c r="B48" s="179">
        <v>0.75</v>
      </c>
      <c r="C48" s="110">
        <v>1050</v>
      </c>
      <c r="D48" s="44">
        <v>31.5</v>
      </c>
      <c r="E48" s="44"/>
      <c r="F48" s="135">
        <f t="shared" si="0"/>
        <v>1081.5</v>
      </c>
      <c r="G48" s="120">
        <f>ROUND((C48+D48+E48)*('29_01_H_2020'!$O$10)*B48*12*(1+'29_01_H_2020'!$O$25),2)</f>
        <v>529.29999999999995</v>
      </c>
      <c r="H48" s="46"/>
    </row>
    <row r="49" spans="1:8" ht="38.25">
      <c r="A49" s="10" t="s">
        <v>249</v>
      </c>
      <c r="B49" s="23"/>
      <c r="C49" s="14"/>
      <c r="D49" s="14"/>
      <c r="E49" s="14"/>
      <c r="F49" s="139"/>
      <c r="G49" s="350">
        <f>SUM(G50:G92)</f>
        <v>1955143.21</v>
      </c>
    </row>
    <row r="50" spans="1:8">
      <c r="A50" s="155" t="s">
        <v>343</v>
      </c>
      <c r="B50" s="102">
        <v>1</v>
      </c>
      <c r="C50" s="110">
        <v>1875</v>
      </c>
      <c r="D50" s="44">
        <v>56.25</v>
      </c>
      <c r="E50" s="44"/>
      <c r="F50" s="135">
        <f t="shared" si="0"/>
        <v>1931.25</v>
      </c>
      <c r="G50" s="120">
        <f>ROUND((C50+D50+E50)*('29_01_H_2020'!$O$14)*B50*12*(1+'29_01_H_2020'!$O$25),2)</f>
        <v>1357.63</v>
      </c>
      <c r="H50" s="46"/>
    </row>
    <row r="51" spans="1:8">
      <c r="A51" s="155" t="s">
        <v>64</v>
      </c>
      <c r="B51" s="102">
        <v>1</v>
      </c>
      <c r="C51" s="110">
        <v>1640</v>
      </c>
      <c r="D51" s="44">
        <v>49.199999999999996</v>
      </c>
      <c r="E51" s="44">
        <v>65.599999999999994</v>
      </c>
      <c r="F51" s="135">
        <f t="shared" si="0"/>
        <v>1754.8</v>
      </c>
      <c r="G51" s="120">
        <f>ROUND((C51+D51+E51)*('29_01_H_2020'!$O$14)*B51*12*(1+'29_01_H_2020'!$O$25),2)</f>
        <v>1233.5899999999999</v>
      </c>
      <c r="H51" s="46"/>
    </row>
    <row r="52" spans="1:8">
      <c r="A52" s="155" t="s">
        <v>64</v>
      </c>
      <c r="B52" s="102">
        <v>10</v>
      </c>
      <c r="C52" s="110">
        <v>1800</v>
      </c>
      <c r="D52" s="44">
        <v>54</v>
      </c>
      <c r="E52" s="44">
        <v>72</v>
      </c>
      <c r="F52" s="135">
        <f t="shared" si="0"/>
        <v>1926</v>
      </c>
      <c r="G52" s="120">
        <f>ROUND((C52+D52+E52)*('29_01_H_2020'!$O$14)*B52*12*(1+'29_01_H_2020'!$O$25),2)</f>
        <v>13539.39</v>
      </c>
      <c r="H52" s="46"/>
    </row>
    <row r="53" spans="1:8">
      <c r="A53" s="155" t="s">
        <v>64</v>
      </c>
      <c r="B53" s="102">
        <v>4</v>
      </c>
      <c r="C53" s="110">
        <v>1840</v>
      </c>
      <c r="D53" s="44">
        <v>55.199999999999996</v>
      </c>
      <c r="E53" s="44">
        <v>73.600000000000009</v>
      </c>
      <c r="F53" s="135">
        <f t="shared" si="0"/>
        <v>1968.8</v>
      </c>
      <c r="G53" s="120">
        <f>ROUND((C53+D53+E53)*('29_01_H_2020'!$O$14)*B53*12*(1+'29_01_H_2020'!$O$25),2)</f>
        <v>5536.11</v>
      </c>
      <c r="H53" s="46"/>
    </row>
    <row r="54" spans="1:8">
      <c r="A54" s="155" t="s">
        <v>65</v>
      </c>
      <c r="B54" s="102">
        <v>8</v>
      </c>
      <c r="C54" s="110">
        <v>1570</v>
      </c>
      <c r="D54" s="44">
        <v>47.1</v>
      </c>
      <c r="E54" s="44">
        <v>62.800000000000004</v>
      </c>
      <c r="F54" s="135">
        <f t="shared" si="0"/>
        <v>1679.8999999999999</v>
      </c>
      <c r="G54" s="120">
        <f>ROUND((C54+D54+E54)*('29_01_H_2020'!$O$14)*B54*12*(1+'29_01_H_2020'!$O$25),2)</f>
        <v>9447.49</v>
      </c>
      <c r="H54" s="46"/>
    </row>
    <row r="55" spans="1:8">
      <c r="A55" s="155" t="s">
        <v>65</v>
      </c>
      <c r="B55" s="102">
        <v>5</v>
      </c>
      <c r="C55" s="110">
        <v>1670</v>
      </c>
      <c r="D55" s="44">
        <v>50.1</v>
      </c>
      <c r="E55" s="44">
        <v>66.8</v>
      </c>
      <c r="F55" s="135">
        <f t="shared" si="0"/>
        <v>1786.8999999999999</v>
      </c>
      <c r="G55" s="120">
        <f>ROUND((C55+D55+E55)*('29_01_H_2020'!$O$14)*B55*12*(1+'29_01_H_2020'!$O$25),2)</f>
        <v>6280.77</v>
      </c>
      <c r="H55" s="46"/>
    </row>
    <row r="56" spans="1:8">
      <c r="A56" s="155" t="s">
        <v>66</v>
      </c>
      <c r="B56" s="102">
        <v>5</v>
      </c>
      <c r="C56" s="110">
        <v>1950</v>
      </c>
      <c r="D56" s="44">
        <v>58.5</v>
      </c>
      <c r="E56" s="44">
        <v>78</v>
      </c>
      <c r="F56" s="135">
        <f t="shared" si="0"/>
        <v>2086.5</v>
      </c>
      <c r="G56" s="120">
        <f>ROUND((C56+D56+E56)*('29_01_H_2020'!$O$14)*B56*12*(1+'29_01_H_2020'!$O$25),2)</f>
        <v>7333.84</v>
      </c>
      <c r="H56" s="46"/>
    </row>
    <row r="57" spans="1:8">
      <c r="A57" s="155" t="s">
        <v>67</v>
      </c>
      <c r="B57" s="102">
        <v>1</v>
      </c>
      <c r="C57" s="110">
        <v>1700</v>
      </c>
      <c r="D57" s="44">
        <v>51</v>
      </c>
      <c r="E57" s="44">
        <v>68</v>
      </c>
      <c r="F57" s="135">
        <f t="shared" si="0"/>
        <v>1819</v>
      </c>
      <c r="G57" s="120">
        <f>ROUND((C57+D57+E57)*('29_01_H_2020'!$O$14)*B57*12*(1+'29_01_H_2020'!$O$25),2)</f>
        <v>1278.72</v>
      </c>
      <c r="H57" s="46"/>
    </row>
    <row r="58" spans="1:8">
      <c r="A58" s="155" t="s">
        <v>68</v>
      </c>
      <c r="B58" s="102">
        <v>28.8</v>
      </c>
      <c r="C58" s="110">
        <v>1650</v>
      </c>
      <c r="D58" s="44">
        <v>919.875</v>
      </c>
      <c r="E58" s="44">
        <v>66</v>
      </c>
      <c r="F58" s="135">
        <f t="shared" si="0"/>
        <v>2635.875</v>
      </c>
      <c r="G58" s="120">
        <f>ROUND((C58+D58+E58)*('29_01_H_2020'!$O$14)*B58*12*(1+'29_01_H_2020'!$O$25),2)</f>
        <v>53365.46</v>
      </c>
      <c r="H58" s="46"/>
    </row>
    <row r="59" spans="1:8">
      <c r="A59" s="155" t="s">
        <v>269</v>
      </c>
      <c r="B59" s="102">
        <v>44.7</v>
      </c>
      <c r="C59" s="110">
        <v>1280</v>
      </c>
      <c r="D59" s="44">
        <v>713.6</v>
      </c>
      <c r="E59" s="45">
        <v>51.2</v>
      </c>
      <c r="F59" s="135">
        <f t="shared" si="0"/>
        <v>2044.8</v>
      </c>
      <c r="G59" s="120">
        <f>ROUND((C59+D59+E59)*('29_01_H_2020'!$O$14)*B59*12*(1+'29_01_H_2020'!$O$25),2)</f>
        <v>64254.16</v>
      </c>
      <c r="H59" s="46"/>
    </row>
    <row r="60" spans="1:8">
      <c r="A60" s="156" t="s">
        <v>69</v>
      </c>
      <c r="B60" s="104">
        <v>712.9</v>
      </c>
      <c r="C60" s="44">
        <v>1280</v>
      </c>
      <c r="D60" s="44">
        <v>713.6</v>
      </c>
      <c r="E60" s="44">
        <v>51.2</v>
      </c>
      <c r="F60" s="135">
        <f t="shared" si="0"/>
        <v>2044.8</v>
      </c>
      <c r="G60" s="120">
        <f>ROUND((C60+D60+E60)*('29_01_H_2020'!$O$14)*B60*12*(1+'29_01_H_2020'!$O$25),2)</f>
        <v>1024760.49</v>
      </c>
      <c r="H60" s="46"/>
    </row>
    <row r="61" spans="1:8" ht="25.5">
      <c r="A61" s="156" t="s">
        <v>344</v>
      </c>
      <c r="B61" s="104">
        <v>215.5</v>
      </c>
      <c r="C61" s="44">
        <v>1088</v>
      </c>
      <c r="D61" s="44">
        <v>606.55999999999995</v>
      </c>
      <c r="E61" s="44">
        <v>43.52</v>
      </c>
      <c r="F61" s="135">
        <f t="shared" si="0"/>
        <v>1738.08</v>
      </c>
      <c r="G61" s="120">
        <f>ROUND((C61+D61+E61)*('29_01_H_2020'!$O$14)*B61*12*(1+'29_01_H_2020'!$O$25),2)</f>
        <v>263305.52</v>
      </c>
      <c r="H61" s="46"/>
    </row>
    <row r="62" spans="1:8">
      <c r="A62" s="156" t="s">
        <v>270</v>
      </c>
      <c r="B62" s="104">
        <v>28</v>
      </c>
      <c r="C62" s="44">
        <v>1360</v>
      </c>
      <c r="D62" s="44">
        <v>758.2</v>
      </c>
      <c r="E62" s="44">
        <v>54.4</v>
      </c>
      <c r="F62" s="135">
        <f t="shared" si="0"/>
        <v>2172.6</v>
      </c>
      <c r="G62" s="120">
        <f>ROUND((C62+D62+E62)*('29_01_H_2020'!$O$14)*B62*12*(1+'29_01_H_2020'!$O$25),2)</f>
        <v>42764.24</v>
      </c>
      <c r="H62" s="46"/>
    </row>
    <row r="63" spans="1:8" ht="25.5">
      <c r="A63" s="156" t="s">
        <v>345</v>
      </c>
      <c r="B63" s="104">
        <v>12</v>
      </c>
      <c r="C63" s="44">
        <v>1360</v>
      </c>
      <c r="D63" s="44">
        <v>894.20000000000016</v>
      </c>
      <c r="E63" s="44">
        <v>54.4</v>
      </c>
      <c r="F63" s="135">
        <f t="shared" si="0"/>
        <v>2308.6000000000004</v>
      </c>
      <c r="G63" s="120">
        <f>ROUND((C63+D63+E63)*('29_01_H_2020'!$O$14)*B63*12*(1+'29_01_H_2020'!$O$25),2)</f>
        <v>19474.79</v>
      </c>
      <c r="H63" s="46"/>
    </row>
    <row r="64" spans="1:8" ht="25.5">
      <c r="A64" s="156" t="s">
        <v>346</v>
      </c>
      <c r="B64" s="104">
        <v>7</v>
      </c>
      <c r="C64" s="44">
        <v>1360</v>
      </c>
      <c r="D64" s="44">
        <v>1030.2</v>
      </c>
      <c r="E64" s="44">
        <v>54.4</v>
      </c>
      <c r="F64" s="135">
        <f t="shared" si="0"/>
        <v>2444.6</v>
      </c>
      <c r="G64" s="120">
        <f>ROUND((C64+D64+E64)*('29_01_H_2020'!$O$14)*B64*12*(1+'29_01_H_2020'!$O$25),2)</f>
        <v>12029.53</v>
      </c>
      <c r="H64" s="46"/>
    </row>
    <row r="65" spans="1:8" ht="25.5">
      <c r="A65" s="156" t="s">
        <v>347</v>
      </c>
      <c r="B65" s="104">
        <v>3</v>
      </c>
      <c r="C65" s="44">
        <v>1360</v>
      </c>
      <c r="D65" s="44">
        <v>1166.2</v>
      </c>
      <c r="E65" s="44">
        <v>54.4</v>
      </c>
      <c r="F65" s="135">
        <f t="shared" si="0"/>
        <v>2580.6</v>
      </c>
      <c r="G65" s="120">
        <f>ROUND((C65+D65+E65)*('29_01_H_2020'!$O$14)*B65*12*(1+'29_01_H_2020'!$O$25),2)</f>
        <v>5442.33</v>
      </c>
      <c r="H65" s="46"/>
    </row>
    <row r="66" spans="1:8" ht="25.5">
      <c r="A66" s="156" t="s">
        <v>70</v>
      </c>
      <c r="B66" s="104">
        <v>42.75</v>
      </c>
      <c r="C66" s="44">
        <v>1280</v>
      </c>
      <c r="D66" s="44">
        <v>713.6</v>
      </c>
      <c r="E66" s="44">
        <v>51.2</v>
      </c>
      <c r="F66" s="135">
        <f t="shared" si="0"/>
        <v>2044.8</v>
      </c>
      <c r="G66" s="120">
        <f>ROUND((C66+D66+E66)*('29_01_H_2020'!$O$14)*B66*12*(1+'29_01_H_2020'!$O$25),2)</f>
        <v>61451.13</v>
      </c>
      <c r="H66" s="46"/>
    </row>
    <row r="67" spans="1:8" ht="25.5">
      <c r="A67" s="156" t="s">
        <v>71</v>
      </c>
      <c r="B67" s="104">
        <v>4.75</v>
      </c>
      <c r="C67" s="44">
        <v>1280</v>
      </c>
      <c r="D67" s="44">
        <v>713.6</v>
      </c>
      <c r="E67" s="44">
        <v>51.2</v>
      </c>
      <c r="F67" s="135">
        <f t="shared" si="0"/>
        <v>2044.8</v>
      </c>
      <c r="G67" s="120">
        <f>ROUND((C67+D67+E67)*('29_01_H_2020'!$O$14)*B67*12*(1+'29_01_H_2020'!$O$25),2)</f>
        <v>6827.9</v>
      </c>
      <c r="H67" s="46"/>
    </row>
    <row r="68" spans="1:8" ht="25.5">
      <c r="A68" s="156" t="s">
        <v>72</v>
      </c>
      <c r="B68" s="105">
        <v>28.5</v>
      </c>
      <c r="C68" s="44">
        <v>1460</v>
      </c>
      <c r="D68" s="44">
        <v>813.95</v>
      </c>
      <c r="E68" s="44">
        <v>58.4</v>
      </c>
      <c r="F68" s="135">
        <f t="shared" si="0"/>
        <v>2332.35</v>
      </c>
      <c r="G68" s="120">
        <f>ROUND((C68+D68+E68)*('29_01_H_2020'!$O$14)*B68*12*(1+'29_01_H_2020'!$O$25),2)</f>
        <v>46728.46</v>
      </c>
      <c r="H68" s="46"/>
    </row>
    <row r="69" spans="1:8">
      <c r="A69" s="195" t="s">
        <v>73</v>
      </c>
      <c r="B69" s="104">
        <v>4.75</v>
      </c>
      <c r="C69" s="44">
        <v>1760</v>
      </c>
      <c r="D69" s="44">
        <v>541.20000000000005</v>
      </c>
      <c r="E69" s="44">
        <v>70.400000000000006</v>
      </c>
      <c r="F69" s="135">
        <f t="shared" si="0"/>
        <v>2371.6</v>
      </c>
      <c r="G69" s="120">
        <f>ROUND((C69+D69+E69)*('29_01_H_2020'!$O$14)*B69*12*(1+'29_01_H_2020'!$O$25),2)</f>
        <v>7919.14</v>
      </c>
      <c r="H69" s="46"/>
    </row>
    <row r="70" spans="1:8">
      <c r="A70" s="156" t="s">
        <v>74</v>
      </c>
      <c r="B70" s="105">
        <v>23.5</v>
      </c>
      <c r="C70" s="44">
        <v>1500</v>
      </c>
      <c r="D70" s="44">
        <v>461.25</v>
      </c>
      <c r="E70" s="44">
        <v>60</v>
      </c>
      <c r="F70" s="135">
        <f t="shared" si="0"/>
        <v>2021.25</v>
      </c>
      <c r="G70" s="120">
        <f>ROUND((C70+D70+E70)*('29_01_H_2020'!$O$14)*B70*12*(1+'29_01_H_2020'!$O$25),2)</f>
        <v>33391.11</v>
      </c>
      <c r="H70" s="46"/>
    </row>
    <row r="71" spans="1:8">
      <c r="A71" s="156" t="s">
        <v>75</v>
      </c>
      <c r="B71" s="104">
        <v>9</v>
      </c>
      <c r="C71" s="44">
        <v>1475</v>
      </c>
      <c r="D71" s="44">
        <v>453.5625</v>
      </c>
      <c r="E71" s="44">
        <v>59</v>
      </c>
      <c r="F71" s="135">
        <f t="shared" si="0"/>
        <v>1987.5625</v>
      </c>
      <c r="G71" s="120">
        <f>ROUND((C71+D71+E71)*('29_01_H_2020'!$O$14)*B71*12*(1+'29_01_H_2020'!$O$25),2)</f>
        <v>12574.95</v>
      </c>
      <c r="H71" s="46"/>
    </row>
    <row r="72" spans="1:8">
      <c r="A72" s="156" t="s">
        <v>348</v>
      </c>
      <c r="B72" s="104">
        <v>18</v>
      </c>
      <c r="C72" s="44">
        <v>1500</v>
      </c>
      <c r="D72" s="44">
        <v>461.25</v>
      </c>
      <c r="E72" s="44">
        <v>60</v>
      </c>
      <c r="F72" s="135">
        <f t="shared" si="0"/>
        <v>2021.25</v>
      </c>
      <c r="G72" s="120">
        <f>ROUND((C72+D72+E72)*('29_01_H_2020'!$O$14)*B72*12*(1+'29_01_H_2020'!$O$25),2)</f>
        <v>25576.17</v>
      </c>
      <c r="H72" s="46"/>
    </row>
    <row r="73" spans="1:8" ht="25.5">
      <c r="A73" s="156" t="s">
        <v>349</v>
      </c>
      <c r="B73" s="104">
        <v>40</v>
      </c>
      <c r="C73" s="44">
        <v>1380</v>
      </c>
      <c r="D73" s="44">
        <v>424.34999999999997</v>
      </c>
      <c r="E73" s="44">
        <v>55.2</v>
      </c>
      <c r="F73" s="135">
        <f t="shared" si="0"/>
        <v>1859.55</v>
      </c>
      <c r="G73" s="120">
        <f>ROUND((C73+D73+E73)*('29_01_H_2020'!$O$14)*B73*12*(1+'29_01_H_2020'!$O$25),2)</f>
        <v>52289.05</v>
      </c>
      <c r="H73" s="46"/>
    </row>
    <row r="74" spans="1:8" ht="25.5">
      <c r="A74" s="156" t="s">
        <v>350</v>
      </c>
      <c r="B74" s="104">
        <v>7</v>
      </c>
      <c r="C74" s="44">
        <v>1025</v>
      </c>
      <c r="D74" s="44">
        <v>315.1875</v>
      </c>
      <c r="E74" s="44">
        <v>41</v>
      </c>
      <c r="F74" s="135">
        <f t="shared" si="0"/>
        <v>1381.1875</v>
      </c>
      <c r="G74" s="120">
        <f>ROUND((C74+D74+E74)*('29_01_H_2020'!$O$14)*B74*12*(1+'29_01_H_2020'!$O$25),2)</f>
        <v>6796.63</v>
      </c>
      <c r="H74" s="46"/>
    </row>
    <row r="75" spans="1:8" ht="25.5">
      <c r="A75" s="156" t="s">
        <v>349</v>
      </c>
      <c r="B75" s="104">
        <v>14</v>
      </c>
      <c r="C75" s="44">
        <v>1185</v>
      </c>
      <c r="D75" s="44">
        <v>364.38749999999999</v>
      </c>
      <c r="E75" s="44">
        <v>47.4</v>
      </c>
      <c r="F75" s="135">
        <f t="shared" si="0"/>
        <v>1596.7875000000001</v>
      </c>
      <c r="G75" s="120">
        <f>ROUND((C75+D75+E75)*('29_01_H_2020'!$O$14)*B75*12*(1+'29_01_H_2020'!$O$25),2)</f>
        <v>15715.13</v>
      </c>
      <c r="H75" s="46"/>
    </row>
    <row r="76" spans="1:8" ht="25.5">
      <c r="A76" s="156" t="s">
        <v>350</v>
      </c>
      <c r="B76" s="104">
        <v>25</v>
      </c>
      <c r="C76" s="44">
        <v>1200</v>
      </c>
      <c r="D76" s="44">
        <v>369</v>
      </c>
      <c r="E76" s="44">
        <v>48</v>
      </c>
      <c r="F76" s="135">
        <f t="shared" si="0"/>
        <v>1617</v>
      </c>
      <c r="G76" s="120">
        <f>ROUND((C76+D76+E76)*('29_01_H_2020'!$O$14)*B76*12*(1+'29_01_H_2020'!$O$25),2)</f>
        <v>28417.96</v>
      </c>
      <c r="H76" s="46"/>
    </row>
    <row r="77" spans="1:8" s="127" customFormat="1">
      <c r="A77" s="156" t="s">
        <v>351</v>
      </c>
      <c r="B77" s="104">
        <v>5</v>
      </c>
      <c r="C77" s="44">
        <v>1135</v>
      </c>
      <c r="D77" s="44">
        <v>349.01249999999999</v>
      </c>
      <c r="E77" s="44">
        <v>45.4</v>
      </c>
      <c r="F77" s="135">
        <f t="shared" si="0"/>
        <v>1529.4125000000001</v>
      </c>
      <c r="G77" s="120">
        <f>ROUND((C77+D77+E77)*('29_01_H_2020'!$O$14)*B77*12*(1+'29_01_H_2020'!$O$25),2)</f>
        <v>5375.73</v>
      </c>
      <c r="H77" s="46"/>
    </row>
    <row r="78" spans="1:8" s="127" customFormat="1" ht="25.5">
      <c r="A78" s="156" t="s">
        <v>271</v>
      </c>
      <c r="B78" s="104">
        <v>39</v>
      </c>
      <c r="C78" s="44">
        <v>1375</v>
      </c>
      <c r="D78" s="44">
        <v>422.8125</v>
      </c>
      <c r="E78" s="44">
        <v>55</v>
      </c>
      <c r="F78" s="135">
        <f t="shared" ref="F78:F92" si="1">C78+D78+E78</f>
        <v>1852.8125</v>
      </c>
      <c r="G78" s="120">
        <f>ROUND((C78+D78+E78)*('29_01_H_2020'!$O$14)*B78*12*(1+'29_01_H_2020'!$O$25),2)</f>
        <v>50797.11</v>
      </c>
      <c r="H78" s="46"/>
    </row>
    <row r="79" spans="1:8" s="127" customFormat="1">
      <c r="A79" s="156" t="s">
        <v>76</v>
      </c>
      <c r="B79" s="104">
        <v>9.5</v>
      </c>
      <c r="C79" s="44">
        <v>1500</v>
      </c>
      <c r="D79" s="44">
        <v>461.25</v>
      </c>
      <c r="E79" s="44">
        <v>60</v>
      </c>
      <c r="F79" s="135">
        <f t="shared" si="1"/>
        <v>2021.25</v>
      </c>
      <c r="G79" s="120">
        <f>ROUND((C79+D79+E79)*('29_01_H_2020'!$O$14)*B79*12*(1+'29_01_H_2020'!$O$25),2)</f>
        <v>13498.53</v>
      </c>
      <c r="H79" s="46"/>
    </row>
    <row r="80" spans="1:8" s="127" customFormat="1">
      <c r="A80" s="156" t="s">
        <v>352</v>
      </c>
      <c r="B80" s="104">
        <v>1</v>
      </c>
      <c r="C80" s="44">
        <v>1426</v>
      </c>
      <c r="D80" s="44">
        <v>42.78</v>
      </c>
      <c r="E80" s="44">
        <v>57.04</v>
      </c>
      <c r="F80" s="135">
        <f t="shared" si="1"/>
        <v>1525.82</v>
      </c>
      <c r="G80" s="120">
        <f>ROUND((C80+D80+E80)*('29_01_H_2020'!$O$14)*B80*12*(1+'29_01_H_2020'!$O$25),2)</f>
        <v>1072.6199999999999</v>
      </c>
      <c r="H80" s="46"/>
    </row>
    <row r="81" spans="1:8" s="127" customFormat="1">
      <c r="A81" s="156" t="s">
        <v>353</v>
      </c>
      <c r="B81" s="104">
        <v>9.5</v>
      </c>
      <c r="C81" s="44">
        <v>1265</v>
      </c>
      <c r="D81" s="44">
        <v>705.23749999999995</v>
      </c>
      <c r="E81" s="44">
        <v>50.6</v>
      </c>
      <c r="F81" s="135">
        <f t="shared" si="1"/>
        <v>2020.8374999999999</v>
      </c>
      <c r="G81" s="120">
        <f>ROUND((C81+D81+E81)*('29_01_H_2020'!$O$14)*B81*12*(1+'29_01_H_2020'!$O$25),2)</f>
        <v>13495.78</v>
      </c>
      <c r="H81" s="46"/>
    </row>
    <row r="82" spans="1:8" s="127" customFormat="1">
      <c r="A82" s="156" t="s">
        <v>77</v>
      </c>
      <c r="B82" s="104">
        <v>4.75</v>
      </c>
      <c r="C82" s="44">
        <v>1265</v>
      </c>
      <c r="D82" s="44">
        <v>705.23749999999995</v>
      </c>
      <c r="E82" s="44">
        <v>50.6</v>
      </c>
      <c r="F82" s="135">
        <f t="shared" si="1"/>
        <v>2020.8374999999999</v>
      </c>
      <c r="G82" s="120">
        <f>ROUND((C82+D82+E82)*('29_01_H_2020'!$O$14)*B82*12*(1+'29_01_H_2020'!$O$25),2)</f>
        <v>6747.89</v>
      </c>
      <c r="H82" s="46"/>
    </row>
    <row r="83" spans="1:8" s="127" customFormat="1">
      <c r="A83" s="156" t="s">
        <v>78</v>
      </c>
      <c r="B83" s="104">
        <v>9.5</v>
      </c>
      <c r="C83" s="44">
        <v>1265</v>
      </c>
      <c r="D83" s="44">
        <v>705.23749999999995</v>
      </c>
      <c r="E83" s="44">
        <v>50.6</v>
      </c>
      <c r="F83" s="135">
        <f t="shared" si="1"/>
        <v>2020.8374999999999</v>
      </c>
      <c r="G83" s="120">
        <f>ROUND((C83+D83+E83)*('29_01_H_2020'!$O$14)*B83*12*(1+'29_01_H_2020'!$O$25),2)</f>
        <v>13495.78</v>
      </c>
      <c r="H83" s="46"/>
    </row>
    <row r="84" spans="1:8">
      <c r="A84" s="156" t="s">
        <v>79</v>
      </c>
      <c r="B84" s="104">
        <v>2</v>
      </c>
      <c r="C84" s="44">
        <v>1265</v>
      </c>
      <c r="D84" s="44">
        <v>705.23749999999995</v>
      </c>
      <c r="E84" s="44">
        <v>50.6</v>
      </c>
      <c r="F84" s="135">
        <f t="shared" si="1"/>
        <v>2020.8374999999999</v>
      </c>
      <c r="G84" s="120">
        <f>ROUND((C84+D84+E84)*('29_01_H_2020'!$O$14)*B84*12*(1+'29_01_H_2020'!$O$25),2)</f>
        <v>2841.22</v>
      </c>
      <c r="H84" s="46"/>
    </row>
    <row r="85" spans="1:8" ht="25.5">
      <c r="A85" s="196" t="s">
        <v>354</v>
      </c>
      <c r="B85" s="101">
        <v>6.75</v>
      </c>
      <c r="C85" s="44">
        <v>1240</v>
      </c>
      <c r="D85" s="44">
        <v>37.199999999999996</v>
      </c>
      <c r="E85" s="44">
        <v>49.6</v>
      </c>
      <c r="F85" s="135">
        <f t="shared" si="1"/>
        <v>1326.8</v>
      </c>
      <c r="G85" s="120">
        <f>ROUND((C85+D85+E85)*('29_01_H_2020'!$O$14)*B85*12*(1+'29_01_H_2020'!$O$25),2)</f>
        <v>6295.82</v>
      </c>
      <c r="H85" s="46"/>
    </row>
    <row r="86" spans="1:8" ht="25.5">
      <c r="A86" s="196" t="s">
        <v>355</v>
      </c>
      <c r="B86" s="101">
        <v>1</v>
      </c>
      <c r="C86" s="44">
        <v>1525</v>
      </c>
      <c r="D86" s="44">
        <v>45.75</v>
      </c>
      <c r="E86" s="44">
        <v>61</v>
      </c>
      <c r="F86" s="135">
        <f t="shared" si="1"/>
        <v>1631.75</v>
      </c>
      <c r="G86" s="120">
        <f>ROUND((C86+D86+E86)*('29_01_H_2020'!$O$14)*B86*12*(1+'29_01_H_2020'!$O$25),2)</f>
        <v>1147.0899999999999</v>
      </c>
      <c r="H86" s="46"/>
    </row>
    <row r="87" spans="1:8" ht="25.5">
      <c r="A87" s="196" t="s">
        <v>356</v>
      </c>
      <c r="B87" s="101">
        <v>2.5</v>
      </c>
      <c r="C87" s="44">
        <v>1300</v>
      </c>
      <c r="D87" s="44">
        <v>399.75</v>
      </c>
      <c r="E87" s="44">
        <v>52</v>
      </c>
      <c r="F87" s="135">
        <f t="shared" si="1"/>
        <v>1751.75</v>
      </c>
      <c r="G87" s="120">
        <f>ROUND((C87+D87+E87)*('29_01_H_2020'!$O$14)*B87*12*(1+'29_01_H_2020'!$O$25),2)</f>
        <v>3078.61</v>
      </c>
      <c r="H87" s="46"/>
    </row>
    <row r="88" spans="1:8" ht="25.5">
      <c r="A88" s="196" t="s">
        <v>80</v>
      </c>
      <c r="B88" s="101">
        <v>3</v>
      </c>
      <c r="C88" s="44">
        <v>1530</v>
      </c>
      <c r="D88" s="44">
        <v>45.9</v>
      </c>
      <c r="E88" s="44">
        <v>61.2</v>
      </c>
      <c r="F88" s="135">
        <f t="shared" si="1"/>
        <v>1637.1000000000001</v>
      </c>
      <c r="G88" s="120">
        <f>ROUND((C88+D88+E88)*('29_01_H_2020'!$O$14)*B88*12*(1+'29_01_H_2020'!$O$25),2)</f>
        <v>3452.55</v>
      </c>
      <c r="H88" s="46"/>
    </row>
    <row r="89" spans="1:8">
      <c r="A89" s="197" t="s">
        <v>357</v>
      </c>
      <c r="B89" s="101">
        <v>1</v>
      </c>
      <c r="C89" s="44">
        <v>1360</v>
      </c>
      <c r="D89" s="44">
        <v>40.799999999999997</v>
      </c>
      <c r="E89" s="111"/>
      <c r="F89" s="135">
        <f t="shared" si="1"/>
        <v>1400.8</v>
      </c>
      <c r="G89" s="120">
        <f>ROUND((C89+D89+E89)*('29_01_H_2020'!$O$14)*B89*12*(1+'29_01_H_2020'!$O$25),2)</f>
        <v>984.73</v>
      </c>
      <c r="H89" s="46"/>
    </row>
    <row r="90" spans="1:8">
      <c r="A90" s="197" t="s">
        <v>358</v>
      </c>
      <c r="B90" s="101">
        <v>1</v>
      </c>
      <c r="C90" s="44">
        <v>1240</v>
      </c>
      <c r="D90" s="44">
        <v>37.199999999999996</v>
      </c>
      <c r="E90" s="111"/>
      <c r="F90" s="135">
        <f t="shared" si="1"/>
        <v>1277.2</v>
      </c>
      <c r="G90" s="120">
        <f>ROUND((C90+D90+E90)*('29_01_H_2020'!$O$14)*B90*12*(1+'29_01_H_2020'!$O$25),2)</f>
        <v>897.85</v>
      </c>
      <c r="H90" s="46"/>
    </row>
    <row r="91" spans="1:8" ht="25.5">
      <c r="A91" s="156" t="s">
        <v>359</v>
      </c>
      <c r="B91" s="104">
        <v>0.5</v>
      </c>
      <c r="C91" s="44">
        <v>1100</v>
      </c>
      <c r="D91" s="44">
        <v>33</v>
      </c>
      <c r="E91" s="44"/>
      <c r="F91" s="135">
        <f t="shared" si="1"/>
        <v>1133</v>
      </c>
      <c r="G91" s="120">
        <f>ROUND((C91+D91+E91)*('29_01_H_2020'!$O$14)*B91*12*(1+'29_01_H_2020'!$O$25),2)</f>
        <v>398.24</v>
      </c>
      <c r="H91" s="46"/>
    </row>
    <row r="92" spans="1:8" ht="25.5">
      <c r="A92" s="156" t="s">
        <v>272</v>
      </c>
      <c r="B92" s="104">
        <v>3</v>
      </c>
      <c r="C92" s="44">
        <v>1138</v>
      </c>
      <c r="D92" s="44">
        <v>34.14</v>
      </c>
      <c r="E92" s="44"/>
      <c r="F92" s="135">
        <f t="shared" si="1"/>
        <v>1172.1400000000001</v>
      </c>
      <c r="G92" s="120">
        <f>ROUND((C92+D92+E92)*('29_01_H_2020'!$O$14)*B92*12*(1+'29_01_H_2020'!$O$25),2)</f>
        <v>2471.9699999999998</v>
      </c>
      <c r="H92" s="46"/>
    </row>
    <row r="93" spans="1:8">
      <c r="A93" s="25" t="s">
        <v>82</v>
      </c>
      <c r="B93" s="21"/>
      <c r="C93" s="22"/>
      <c r="D93" s="22"/>
      <c r="E93" s="22"/>
      <c r="F93" s="140"/>
      <c r="G93" s="349">
        <f>G94+G96+G99</f>
        <v>486017.17000000004</v>
      </c>
    </row>
    <row r="94" spans="1:8">
      <c r="A94" s="17" t="s">
        <v>94</v>
      </c>
      <c r="B94" s="15"/>
      <c r="C94" s="12"/>
      <c r="D94" s="12"/>
      <c r="E94" s="12"/>
      <c r="F94" s="141"/>
      <c r="G94" s="350">
        <f>G95</f>
        <v>3622.79</v>
      </c>
    </row>
    <row r="95" spans="1:8">
      <c r="A95" s="4" t="s">
        <v>83</v>
      </c>
      <c r="B95" s="106">
        <v>2</v>
      </c>
      <c r="C95" s="112">
        <v>2060</v>
      </c>
      <c r="D95" s="112">
        <v>633.45000000000005</v>
      </c>
      <c r="E95" s="112">
        <v>82.4</v>
      </c>
      <c r="F95" s="135">
        <f t="shared" ref="F95:F102" si="2">C95+D95+E95</f>
        <v>2775.85</v>
      </c>
      <c r="G95" s="120">
        <f>ROUND((C95+D95+E95)*('29_01_H_2020'!$O$10)*B95*12*(1+'29_01_H_2020'!$O$25),2)</f>
        <v>3622.79</v>
      </c>
      <c r="H95" s="46"/>
    </row>
    <row r="96" spans="1:8" ht="38.25">
      <c r="A96" s="17" t="s">
        <v>95</v>
      </c>
      <c r="B96" s="15"/>
      <c r="C96" s="12"/>
      <c r="D96" s="12"/>
      <c r="E96" s="12"/>
      <c r="F96" s="16"/>
      <c r="G96" s="350">
        <f>G97+G98</f>
        <v>88358.65</v>
      </c>
    </row>
    <row r="97" spans="1:8" ht="25.5">
      <c r="A97" s="156" t="s">
        <v>84</v>
      </c>
      <c r="B97" s="106">
        <v>44</v>
      </c>
      <c r="C97" s="44">
        <v>1280</v>
      </c>
      <c r="D97" s="44">
        <v>713.6</v>
      </c>
      <c r="E97" s="44">
        <v>51.2</v>
      </c>
      <c r="F97" s="135">
        <f t="shared" si="2"/>
        <v>2044.8</v>
      </c>
      <c r="G97" s="120">
        <f>ROUND((C97+D97+E97)*('29_01_H_2020'!$O$10)*B97*12*(1+'29_01_H_2020'!$O$25),2)</f>
        <v>58711.17</v>
      </c>
      <c r="H97" s="46"/>
    </row>
    <row r="98" spans="1:8" s="127" customFormat="1" ht="63.75">
      <c r="A98" s="166" t="s">
        <v>273</v>
      </c>
      <c r="B98" s="106">
        <v>18</v>
      </c>
      <c r="C98" s="44">
        <v>1580</v>
      </c>
      <c r="D98" s="44">
        <v>880.85</v>
      </c>
      <c r="E98" s="44">
        <v>63.2</v>
      </c>
      <c r="F98" s="135">
        <f t="shared" si="2"/>
        <v>2524.0499999999997</v>
      </c>
      <c r="G98" s="120">
        <f>ROUND((C98+D98+E98)*('29_01_H_2020'!$O$10)*B98*12*(1+'29_01_H_2020'!$O$25),2)</f>
        <v>29647.48</v>
      </c>
      <c r="H98" s="46"/>
    </row>
    <row r="99" spans="1:8" ht="38.25">
      <c r="A99" s="17" t="s">
        <v>96</v>
      </c>
      <c r="B99" s="15"/>
      <c r="C99" s="14"/>
      <c r="D99" s="14"/>
      <c r="E99" s="14"/>
      <c r="F99" s="139"/>
      <c r="G99" s="350">
        <f>G100+G101+G102</f>
        <v>394035.73000000004</v>
      </c>
    </row>
    <row r="100" spans="1:8">
      <c r="A100" s="156" t="s">
        <v>85</v>
      </c>
      <c r="B100" s="104">
        <v>302.25</v>
      </c>
      <c r="C100" s="44">
        <v>910</v>
      </c>
      <c r="D100" s="44">
        <v>507.32499999999999</v>
      </c>
      <c r="E100" s="44">
        <v>36.4</v>
      </c>
      <c r="F100" s="135">
        <f t="shared" si="2"/>
        <v>1453.7250000000001</v>
      </c>
      <c r="G100" s="120">
        <f>ROUND((C100+D100+E100)*('29_01_H_2020'!$O$14)*B100*12*(1+'29_01_H_2020'!$O$25),2)</f>
        <v>308881.21000000002</v>
      </c>
      <c r="H100" s="46"/>
    </row>
    <row r="101" spans="1:8" ht="25.5">
      <c r="A101" s="156" t="s">
        <v>86</v>
      </c>
      <c r="B101" s="104">
        <v>47.5</v>
      </c>
      <c r="C101" s="44">
        <v>890</v>
      </c>
      <c r="D101" s="44">
        <v>496.17500000000001</v>
      </c>
      <c r="E101" s="44">
        <v>35.6</v>
      </c>
      <c r="F101" s="135">
        <f t="shared" si="2"/>
        <v>1421.7749999999999</v>
      </c>
      <c r="G101" s="120">
        <f>ROUND((C101+D101+E101)*('29_01_H_2020'!$O$14)*B101*12*(1+'29_01_H_2020'!$O$25),2)</f>
        <v>47475.27</v>
      </c>
      <c r="H101" s="46"/>
    </row>
    <row r="102" spans="1:8" ht="25.5">
      <c r="A102" s="156" t="s">
        <v>87</v>
      </c>
      <c r="B102" s="104">
        <v>28.8</v>
      </c>
      <c r="C102" s="44">
        <v>1165</v>
      </c>
      <c r="D102" s="44">
        <v>649.48749999999995</v>
      </c>
      <c r="E102" s="44">
        <v>46.6</v>
      </c>
      <c r="F102" s="135">
        <f t="shared" si="2"/>
        <v>1861.0874999999999</v>
      </c>
      <c r="G102" s="120">
        <f>ROUND((C102+D102+E102)*('29_01_H_2020'!$O$14)*B102*12*(1+'29_01_H_2020'!$O$25),2)</f>
        <v>37679.25</v>
      </c>
      <c r="H102" s="46"/>
    </row>
    <row r="103" spans="1:8">
      <c r="A103" s="25" t="s">
        <v>89</v>
      </c>
      <c r="B103" s="21"/>
      <c r="C103" s="22"/>
      <c r="D103" s="22"/>
      <c r="E103" s="22"/>
      <c r="F103" s="140"/>
      <c r="G103" s="348">
        <f>G104</f>
        <v>0</v>
      </c>
    </row>
    <row r="104" spans="1:8">
      <c r="A104" s="17" t="s">
        <v>99</v>
      </c>
      <c r="B104" s="15"/>
      <c r="C104" s="16"/>
      <c r="D104" s="12"/>
      <c r="E104" s="12"/>
      <c r="F104" s="142"/>
      <c r="G104" s="350">
        <f>SUM(G105:G111)</f>
        <v>0</v>
      </c>
    </row>
    <row r="105" spans="1:8">
      <c r="A105" s="5" t="s">
        <v>360</v>
      </c>
      <c r="B105" s="107">
        <v>728.85</v>
      </c>
      <c r="C105" s="45">
        <v>860</v>
      </c>
      <c r="D105" s="44">
        <v>479.45</v>
      </c>
      <c r="E105" s="44">
        <v>34.4</v>
      </c>
      <c r="F105" s="135">
        <f t="shared" ref="F105:F111" si="3">C105+D105+E105</f>
        <v>1373.8500000000001</v>
      </c>
      <c r="G105" s="120">
        <f>ROUND((C105+D105+E105)*('29_01_H_2020'!$O$17)*B105*12*(1+'29_01_H_2020'!$O$25),2)</f>
        <v>0</v>
      </c>
      <c r="H105" s="46"/>
    </row>
    <row r="106" spans="1:8" s="127" customFormat="1">
      <c r="A106" s="6" t="s">
        <v>274</v>
      </c>
      <c r="B106" s="107">
        <v>30</v>
      </c>
      <c r="C106" s="45">
        <v>925</v>
      </c>
      <c r="D106" s="44">
        <v>515.6875</v>
      </c>
      <c r="E106" s="44">
        <v>37</v>
      </c>
      <c r="F106" s="135">
        <f t="shared" si="3"/>
        <v>1477.6875</v>
      </c>
      <c r="G106" s="120">
        <f>ROUND((C106+D106+E106)*('29_01_H_2020'!$O$17)*B106*12*(1+'29_01_H_2020'!$O$25),2)</f>
        <v>0</v>
      </c>
      <c r="H106" s="46"/>
    </row>
    <row r="107" spans="1:8" s="127" customFormat="1">
      <c r="A107" s="6" t="s">
        <v>274</v>
      </c>
      <c r="B107" s="107">
        <v>14</v>
      </c>
      <c r="C107" s="45">
        <v>925</v>
      </c>
      <c r="D107" s="44">
        <v>608.18750000000011</v>
      </c>
      <c r="E107" s="44">
        <v>37</v>
      </c>
      <c r="F107" s="135">
        <f t="shared" si="3"/>
        <v>1570.1875</v>
      </c>
      <c r="G107" s="120">
        <f>ROUND((C107+D107+E107)*('29_01_H_2020'!$O$17)*B107*12*(1+'29_01_H_2020'!$O$25),2)</f>
        <v>0</v>
      </c>
      <c r="H107" s="46"/>
    </row>
    <row r="108" spans="1:8" s="127" customFormat="1">
      <c r="A108" s="6" t="s">
        <v>274</v>
      </c>
      <c r="B108" s="107">
        <v>13</v>
      </c>
      <c r="C108" s="45">
        <v>925</v>
      </c>
      <c r="D108" s="44">
        <v>700.68750000000011</v>
      </c>
      <c r="E108" s="44">
        <v>37</v>
      </c>
      <c r="F108" s="135">
        <f t="shared" si="3"/>
        <v>1662.6875</v>
      </c>
      <c r="G108" s="120">
        <f>ROUND((C108+D108+E108)*('29_01_H_2020'!$O$17)*B108*12*(1+'29_01_H_2020'!$O$25),2)</f>
        <v>0</v>
      </c>
      <c r="H108" s="46"/>
    </row>
    <row r="109" spans="1:8" s="127" customFormat="1">
      <c r="A109" s="6" t="s">
        <v>274</v>
      </c>
      <c r="B109" s="107">
        <v>18</v>
      </c>
      <c r="C109" s="45">
        <v>925</v>
      </c>
      <c r="D109" s="44">
        <v>793.1875</v>
      </c>
      <c r="E109" s="44">
        <v>37</v>
      </c>
      <c r="F109" s="135">
        <f t="shared" si="3"/>
        <v>1755.1875</v>
      </c>
      <c r="G109" s="120">
        <f>ROUND((C109+D109+E109)*('29_01_H_2020'!$O$17)*B109*12*(1+'29_01_H_2020'!$O$25),2)</f>
        <v>0</v>
      </c>
      <c r="H109" s="46"/>
    </row>
    <row r="110" spans="1:8">
      <c r="A110" s="6" t="s">
        <v>90</v>
      </c>
      <c r="B110" s="107">
        <v>33.5</v>
      </c>
      <c r="C110" s="45">
        <v>860</v>
      </c>
      <c r="D110" s="44">
        <v>479.45</v>
      </c>
      <c r="E110" s="44">
        <v>34.4</v>
      </c>
      <c r="F110" s="135">
        <f t="shared" si="3"/>
        <v>1373.8500000000001</v>
      </c>
      <c r="G110" s="120">
        <f>ROUND((C110+D110+E110)*('29_01_H_2020'!$O$17)*B110*12*(1+'29_01_H_2020'!$O$25),2)</f>
        <v>0</v>
      </c>
      <c r="H110" s="46"/>
    </row>
    <row r="111" spans="1:8" ht="15.75" thickBot="1">
      <c r="A111" s="6" t="s">
        <v>25</v>
      </c>
      <c r="B111" s="107">
        <v>117.75</v>
      </c>
      <c r="C111" s="45">
        <v>723</v>
      </c>
      <c r="D111" s="44">
        <v>403.07249999999999</v>
      </c>
      <c r="E111" s="44">
        <v>28.92</v>
      </c>
      <c r="F111" s="135">
        <f t="shared" si="3"/>
        <v>1154.9925000000001</v>
      </c>
      <c r="G111" s="120">
        <f>ROUND((C111+D111+E111)*('29_01_H_2020'!$O$17)*B111*12*(1+'29_01_H_2020'!$O$25),2)</f>
        <v>0</v>
      </c>
      <c r="H111" s="46"/>
    </row>
    <row r="112" spans="1:8" ht="15.75" thickBot="1">
      <c r="A112" s="108" t="s">
        <v>20</v>
      </c>
      <c r="B112" s="157">
        <f>SUM(B12:B48,B50:B92,B95:B95,B97:B98,B100:B102,B105:B111)</f>
        <v>3037.75</v>
      </c>
      <c r="C112" s="109" t="s">
        <v>91</v>
      </c>
      <c r="D112" s="109" t="s">
        <v>91</v>
      </c>
      <c r="E112" s="109" t="s">
        <v>91</v>
      </c>
      <c r="F112" s="143"/>
      <c r="G112" s="158">
        <f>G103+G93+G10</f>
        <v>2873111.06</v>
      </c>
    </row>
    <row r="113" spans="1:12">
      <c r="A113" s="7"/>
      <c r="B113" s="8"/>
      <c r="C113" s="7"/>
      <c r="D113" s="7"/>
      <c r="E113" s="7"/>
      <c r="F113" s="9"/>
    </row>
    <row r="114" spans="1:12" ht="15" customHeight="1">
      <c r="A114" s="147"/>
      <c r="B114" s="147"/>
      <c r="C114" s="147"/>
      <c r="D114" s="147"/>
      <c r="E114" s="147"/>
      <c r="F114" s="147"/>
      <c r="H114" s="263"/>
      <c r="J114" s="50"/>
      <c r="L114" s="50"/>
    </row>
    <row r="115" spans="1:12">
      <c r="A115" s="147"/>
      <c r="B115" s="231"/>
      <c r="C115" s="147"/>
      <c r="D115" s="147"/>
      <c r="E115" s="147"/>
      <c r="F115" s="147"/>
      <c r="G115" s="46">
        <f>G112</f>
        <v>2873111.06</v>
      </c>
      <c r="J115" s="47"/>
      <c r="L115" s="47"/>
    </row>
    <row r="116" spans="1:12">
      <c r="A116" s="147"/>
      <c r="B116" s="231"/>
      <c r="C116" s="147"/>
      <c r="D116" s="147"/>
      <c r="E116" s="147"/>
      <c r="F116" s="147"/>
      <c r="G116" s="46"/>
    </row>
    <row r="117" spans="1:12">
      <c r="A117" t="s">
        <v>342</v>
      </c>
      <c r="B117" s="232"/>
    </row>
    <row r="118" spans="1:12">
      <c r="B118" s="232"/>
    </row>
    <row r="119" spans="1:12">
      <c r="B119" s="232"/>
      <c r="G119" s="46"/>
    </row>
    <row r="120" spans="1:12">
      <c r="B120" s="232"/>
    </row>
    <row r="121" spans="1:12">
      <c r="B121" s="232"/>
    </row>
  </sheetData>
  <mergeCells count="12">
    <mergeCell ref="F1:G1"/>
    <mergeCell ref="G6:G7"/>
    <mergeCell ref="A5:G5"/>
    <mergeCell ref="A8:F8"/>
    <mergeCell ref="A9:F9"/>
    <mergeCell ref="A2:F3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144F0-6F3A-4EBE-860C-B3BA8810319A}">
  <dimension ref="A1:L79"/>
  <sheetViews>
    <sheetView zoomScaleNormal="100" workbookViewId="0">
      <selection activeCell="H5" sqref="H5"/>
    </sheetView>
  </sheetViews>
  <sheetFormatPr defaultColWidth="9.140625" defaultRowHeight="15"/>
  <cols>
    <col min="1" max="1" width="40.140625" style="127" customWidth="1"/>
    <col min="2" max="2" width="10.42578125" style="127" customWidth="1"/>
    <col min="3" max="3" width="9.140625" style="127"/>
    <col min="4" max="4" width="9.7109375" style="127" customWidth="1"/>
    <col min="5" max="5" width="9.140625" style="127"/>
    <col min="6" max="6" width="9.85546875" style="127" bestFit="1" customWidth="1"/>
    <col min="7" max="7" width="13.140625" style="127" customWidth="1"/>
    <col min="8" max="8" width="14" style="127" bestFit="1" customWidth="1"/>
    <col min="9" max="9" width="9.140625" style="127"/>
    <col min="10" max="10" width="14" style="127" bestFit="1" customWidth="1"/>
    <col min="11" max="11" width="9.140625" style="127"/>
    <col min="12" max="12" width="14" style="127" bestFit="1" customWidth="1"/>
    <col min="13" max="16384" width="9.140625" style="127"/>
  </cols>
  <sheetData>
    <row r="1" spans="1:8">
      <c r="F1" s="542" t="s">
        <v>448</v>
      </c>
      <c r="G1" s="542"/>
    </row>
    <row r="2" spans="1:8">
      <c r="A2" s="589" t="s">
        <v>397</v>
      </c>
      <c r="B2" s="589"/>
      <c r="C2" s="589"/>
      <c r="D2" s="589"/>
      <c r="E2" s="589"/>
      <c r="F2" s="589"/>
    </row>
    <row r="3" spans="1:8">
      <c r="A3" s="589"/>
      <c r="B3" s="589"/>
      <c r="C3" s="589"/>
      <c r="D3" s="589"/>
      <c r="E3" s="589"/>
      <c r="F3" s="589"/>
    </row>
    <row r="4" spans="1:8" ht="15.75" thickBot="1">
      <c r="G4" s="136" t="s">
        <v>228</v>
      </c>
    </row>
    <row r="5" spans="1:8" ht="15.75">
      <c r="A5" s="582" t="s">
        <v>0</v>
      </c>
      <c r="B5" s="583"/>
      <c r="C5" s="583"/>
      <c r="D5" s="583"/>
      <c r="E5" s="583"/>
      <c r="F5" s="583"/>
      <c r="G5" s="584"/>
    </row>
    <row r="6" spans="1:8">
      <c r="A6" s="590" t="s">
        <v>27</v>
      </c>
      <c r="B6" s="592" t="s">
        <v>28</v>
      </c>
      <c r="C6" s="594" t="s">
        <v>29</v>
      </c>
      <c r="D6" s="594" t="s">
        <v>30</v>
      </c>
      <c r="E6" s="594" t="s">
        <v>144</v>
      </c>
      <c r="F6" s="596" t="s">
        <v>31</v>
      </c>
      <c r="G6" s="580" t="s">
        <v>417</v>
      </c>
    </row>
    <row r="7" spans="1:8" ht="68.25" customHeight="1" thickBot="1">
      <c r="A7" s="591"/>
      <c r="B7" s="593"/>
      <c r="C7" s="595"/>
      <c r="D7" s="595"/>
      <c r="E7" s="595"/>
      <c r="F7" s="597"/>
      <c r="G7" s="581"/>
    </row>
    <row r="8" spans="1:8" ht="15.75" thickBot="1">
      <c r="A8" s="585" t="s">
        <v>21</v>
      </c>
      <c r="B8" s="586"/>
      <c r="C8" s="586"/>
      <c r="D8" s="586"/>
      <c r="E8" s="586"/>
      <c r="F8" s="586"/>
      <c r="G8" s="144"/>
    </row>
    <row r="9" spans="1:8">
      <c r="A9" s="587" t="s">
        <v>1</v>
      </c>
      <c r="B9" s="588"/>
      <c r="C9" s="588"/>
      <c r="D9" s="588"/>
      <c r="E9" s="588"/>
      <c r="F9" s="588"/>
      <c r="G9" s="126"/>
    </row>
    <row r="10" spans="1:8">
      <c r="A10" s="18" t="s">
        <v>32</v>
      </c>
      <c r="B10" s="19"/>
      <c r="C10" s="20"/>
      <c r="D10" s="20"/>
      <c r="E10" s="20"/>
      <c r="F10" s="137"/>
      <c r="G10" s="199">
        <f>G11+G21</f>
        <v>86249.05</v>
      </c>
    </row>
    <row r="11" spans="1:8">
      <c r="A11" s="13" t="s">
        <v>92</v>
      </c>
      <c r="B11" s="11"/>
      <c r="C11" s="12"/>
      <c r="D11" s="12"/>
      <c r="E11" s="12"/>
      <c r="F11" s="138"/>
      <c r="G11" s="200">
        <f>SUM(G12:G20)</f>
        <v>17522.490000000002</v>
      </c>
    </row>
    <row r="12" spans="1:8">
      <c r="A12" s="3" t="s">
        <v>361</v>
      </c>
      <c r="B12" s="102">
        <v>1</v>
      </c>
      <c r="C12" s="110">
        <v>2185</v>
      </c>
      <c r="D12" s="44">
        <v>65.55</v>
      </c>
      <c r="E12" s="44"/>
      <c r="F12" s="135">
        <f>C12+D12+E12</f>
        <v>2250.5500000000002</v>
      </c>
      <c r="G12" s="120">
        <f>ROUND((C12+D12+E12)*('29_01_H_2020'!$O$10)*B12*12*(1+'29_01_H_2020'!$O$25),2)</f>
        <v>1468.61</v>
      </c>
      <c r="H12" s="46"/>
    </row>
    <row r="13" spans="1:8">
      <c r="A13" s="3" t="s">
        <v>362</v>
      </c>
      <c r="B13" s="102">
        <v>1</v>
      </c>
      <c r="C13" s="110">
        <v>2039</v>
      </c>
      <c r="D13" s="44">
        <v>61.17</v>
      </c>
      <c r="E13" s="44"/>
      <c r="F13" s="135">
        <f t="shared" ref="F13:F41" si="0">C13+D13+E13</f>
        <v>2100.17</v>
      </c>
      <c r="G13" s="120">
        <f>ROUND((C13+D13+E13)*('29_01_H_2020'!$O$10)*B13*12*(1+'29_01_H_2020'!$O$25),2)</f>
        <v>1370.48</v>
      </c>
      <c r="H13" s="46"/>
    </row>
    <row r="14" spans="1:8">
      <c r="A14" s="3" t="s">
        <v>363</v>
      </c>
      <c r="B14" s="102">
        <v>1</v>
      </c>
      <c r="C14" s="110">
        <v>1942</v>
      </c>
      <c r="D14" s="44">
        <v>58.26</v>
      </c>
      <c r="E14" s="44"/>
      <c r="F14" s="135">
        <f t="shared" si="0"/>
        <v>2000.26</v>
      </c>
      <c r="G14" s="120">
        <f>ROUND((C14+D14+E14)*('29_01_H_2020'!$O$10)*B14*12*(1+'29_01_H_2020'!$O$25),2)</f>
        <v>1305.28</v>
      </c>
      <c r="H14" s="46"/>
    </row>
    <row r="15" spans="1:8">
      <c r="A15" s="3" t="s">
        <v>364</v>
      </c>
      <c r="B15" s="102">
        <v>1</v>
      </c>
      <c r="C15" s="110">
        <v>1942</v>
      </c>
      <c r="D15" s="44">
        <v>58.26</v>
      </c>
      <c r="E15" s="44"/>
      <c r="F15" s="135">
        <f t="shared" si="0"/>
        <v>2000.26</v>
      </c>
      <c r="G15" s="120">
        <f>ROUND((C15+D15+E15)*('29_01_H_2020'!$O$10)*B15*12*(1+'29_01_H_2020'!$O$25),2)</f>
        <v>1305.28</v>
      </c>
      <c r="H15" s="46"/>
    </row>
    <row r="16" spans="1:8">
      <c r="A16" s="3" t="s">
        <v>365</v>
      </c>
      <c r="B16" s="102">
        <v>1</v>
      </c>
      <c r="C16" s="110">
        <v>1942</v>
      </c>
      <c r="D16" s="44">
        <v>58.26</v>
      </c>
      <c r="E16" s="44"/>
      <c r="F16" s="135">
        <f t="shared" si="0"/>
        <v>2000.26</v>
      </c>
      <c r="G16" s="120">
        <f>ROUND((C16+D16+E16)*('29_01_H_2020'!$O$10)*B16*12*(1+'29_01_H_2020'!$O$25),2)</f>
        <v>1305.28</v>
      </c>
      <c r="H16" s="46"/>
    </row>
    <row r="17" spans="1:8">
      <c r="A17" s="3" t="s">
        <v>366</v>
      </c>
      <c r="B17" s="102">
        <v>4</v>
      </c>
      <c r="C17" s="110">
        <v>1602</v>
      </c>
      <c r="D17" s="44">
        <v>48.06</v>
      </c>
      <c r="E17" s="44"/>
      <c r="F17" s="135">
        <f t="shared" si="0"/>
        <v>1650.06</v>
      </c>
      <c r="G17" s="120">
        <f>ROUND((C17+D17+E17)*('29_01_H_2020'!$O$10)*B17*12*(1+'29_01_H_2020'!$O$25),2)</f>
        <v>4307.0200000000004</v>
      </c>
      <c r="H17" s="46"/>
    </row>
    <row r="18" spans="1:8">
      <c r="A18" s="3" t="s">
        <v>367</v>
      </c>
      <c r="B18" s="102">
        <v>1</v>
      </c>
      <c r="C18" s="110">
        <v>1602</v>
      </c>
      <c r="D18" s="44">
        <v>48.06</v>
      </c>
      <c r="E18" s="44"/>
      <c r="F18" s="135">
        <f t="shared" si="0"/>
        <v>1650.06</v>
      </c>
      <c r="G18" s="120">
        <f>ROUND((C18+D18+E18)*('29_01_H_2020'!$O$10)*B18*12*(1+'29_01_H_2020'!$O$25),2)</f>
        <v>1076.76</v>
      </c>
      <c r="H18" s="46"/>
    </row>
    <row r="19" spans="1:8">
      <c r="A19" s="3" t="s">
        <v>368</v>
      </c>
      <c r="B19" s="102">
        <v>1</v>
      </c>
      <c r="C19" s="110">
        <v>1602</v>
      </c>
      <c r="D19" s="44">
        <v>48.06</v>
      </c>
      <c r="E19" s="44"/>
      <c r="F19" s="135">
        <f t="shared" si="0"/>
        <v>1650.06</v>
      </c>
      <c r="G19" s="120">
        <f>ROUND((C19+D19+E19)*('29_01_H_2020'!$O$10)*B19*12*(1+'29_01_H_2020'!$O$25),2)</f>
        <v>1076.76</v>
      </c>
      <c r="H19" s="46"/>
    </row>
    <row r="20" spans="1:8">
      <c r="A20" s="3" t="s">
        <v>369</v>
      </c>
      <c r="B20" s="102">
        <v>4</v>
      </c>
      <c r="C20" s="110">
        <v>1602</v>
      </c>
      <c r="D20" s="44">
        <v>48.06</v>
      </c>
      <c r="E20" s="44"/>
      <c r="F20" s="135">
        <f t="shared" si="0"/>
        <v>1650.06</v>
      </c>
      <c r="G20" s="120">
        <f>ROUND((C20+D20+E20)*('29_01_H_2020'!$O$10)*B20*12*(1+'29_01_H_2020'!$O$25),2)</f>
        <v>4307.0200000000004</v>
      </c>
      <c r="H20" s="46"/>
    </row>
    <row r="21" spans="1:8" ht="38.25">
      <c r="A21" s="10" t="s">
        <v>249</v>
      </c>
      <c r="B21" s="23"/>
      <c r="C21" s="14"/>
      <c r="D21" s="14"/>
      <c r="E21" s="14"/>
      <c r="F21" s="139"/>
      <c r="G21" s="200">
        <f>SUM(G22:G41)</f>
        <v>68726.559999999998</v>
      </c>
    </row>
    <row r="22" spans="1:8">
      <c r="A22" s="155" t="s">
        <v>3</v>
      </c>
      <c r="B22" s="102">
        <v>1</v>
      </c>
      <c r="C22" s="110">
        <v>2185</v>
      </c>
      <c r="D22" s="44">
        <v>65.55</v>
      </c>
      <c r="E22" s="44"/>
      <c r="F22" s="135">
        <f t="shared" si="0"/>
        <v>2250.5500000000002</v>
      </c>
      <c r="G22" s="149">
        <f>ROUND((C22+D22+E22)*('29_01_H_2020'!$O$14)*B22*12*(1+'29_01_H_2020'!$O$25),2)</f>
        <v>1582.09</v>
      </c>
      <c r="H22" s="46"/>
    </row>
    <row r="23" spans="1:8">
      <c r="A23" s="155" t="s">
        <v>5</v>
      </c>
      <c r="B23" s="102">
        <v>1</v>
      </c>
      <c r="C23" s="110">
        <v>1845</v>
      </c>
      <c r="D23" s="44">
        <v>55.35</v>
      </c>
      <c r="E23" s="44"/>
      <c r="F23" s="135">
        <f t="shared" si="0"/>
        <v>1900.35</v>
      </c>
      <c r="G23" s="149">
        <f>ROUND((C23+D23+E23)*('29_01_H_2020'!$O$14)*B23*12*(1+'29_01_H_2020'!$O$25),2)</f>
        <v>1335.91</v>
      </c>
      <c r="H23" s="46"/>
    </row>
    <row r="24" spans="1:8">
      <c r="A24" s="155" t="s">
        <v>370</v>
      </c>
      <c r="B24" s="102">
        <v>1</v>
      </c>
      <c r="C24" s="110">
        <v>1845</v>
      </c>
      <c r="D24" s="44">
        <v>55.35</v>
      </c>
      <c r="E24" s="44"/>
      <c r="F24" s="135">
        <f t="shared" si="0"/>
        <v>1900.35</v>
      </c>
      <c r="G24" s="149">
        <f>ROUND((C24+D24+E24)*('29_01_H_2020'!$O$14)*B24*12*(1+'29_01_H_2020'!$O$25),2)</f>
        <v>1335.91</v>
      </c>
      <c r="H24" s="46"/>
    </row>
    <row r="25" spans="1:8">
      <c r="A25" s="155" t="s">
        <v>371</v>
      </c>
      <c r="B25" s="102">
        <v>1</v>
      </c>
      <c r="C25" s="110">
        <v>1845</v>
      </c>
      <c r="D25" s="44">
        <v>55.35</v>
      </c>
      <c r="E25" s="44"/>
      <c r="F25" s="135">
        <f t="shared" si="0"/>
        <v>1900.35</v>
      </c>
      <c r="G25" s="149">
        <f>ROUND((C25+D25+E25)*('29_01_H_2020'!$O$14)*B25*12*(1+'29_01_H_2020'!$O$25),2)</f>
        <v>1335.91</v>
      </c>
      <c r="H25" s="46"/>
    </row>
    <row r="26" spans="1:8">
      <c r="A26" s="155" t="s">
        <v>4</v>
      </c>
      <c r="B26" s="102">
        <v>1</v>
      </c>
      <c r="C26" s="110">
        <v>1651</v>
      </c>
      <c r="D26" s="44">
        <v>49.53</v>
      </c>
      <c r="E26" s="44"/>
      <c r="F26" s="135">
        <f t="shared" si="0"/>
        <v>1700.53</v>
      </c>
      <c r="G26" s="149">
        <f>ROUND((C26+D26+E26)*('29_01_H_2020'!$O$14)*B26*12*(1+'29_01_H_2020'!$O$25),2)</f>
        <v>1195.44</v>
      </c>
      <c r="H26" s="46"/>
    </row>
    <row r="27" spans="1:8">
      <c r="A27" s="155" t="s">
        <v>372</v>
      </c>
      <c r="B27" s="102">
        <v>1</v>
      </c>
      <c r="C27" s="110">
        <v>1700</v>
      </c>
      <c r="D27" s="44">
        <v>51</v>
      </c>
      <c r="E27" s="44"/>
      <c r="F27" s="135">
        <f t="shared" si="0"/>
        <v>1751</v>
      </c>
      <c r="G27" s="149">
        <f>ROUND((C27+D27+E27)*('29_01_H_2020'!$O$14)*B27*12*(1+'29_01_H_2020'!$O$25),2)</f>
        <v>1230.92</v>
      </c>
      <c r="H27" s="46"/>
    </row>
    <row r="28" spans="1:8">
      <c r="A28" s="155" t="s">
        <v>7</v>
      </c>
      <c r="B28" s="102">
        <v>2</v>
      </c>
      <c r="C28" s="110">
        <v>1408</v>
      </c>
      <c r="D28" s="44">
        <v>42.24</v>
      </c>
      <c r="E28" s="44"/>
      <c r="F28" s="135">
        <f t="shared" si="0"/>
        <v>1450.24</v>
      </c>
      <c r="G28" s="149">
        <f>ROUND((C28+D28+E28)*('29_01_H_2020'!$O$14)*B28*12*(1+'29_01_H_2020'!$O$25),2)</f>
        <v>2038.98</v>
      </c>
      <c r="H28" s="46"/>
    </row>
    <row r="29" spans="1:8">
      <c r="A29" s="155" t="s">
        <v>373</v>
      </c>
      <c r="B29" s="102">
        <v>1</v>
      </c>
      <c r="C29" s="110">
        <v>1100</v>
      </c>
      <c r="D29" s="44">
        <v>33</v>
      </c>
      <c r="E29" s="44"/>
      <c r="F29" s="135">
        <f t="shared" si="0"/>
        <v>1133</v>
      </c>
      <c r="G29" s="149">
        <f>ROUND((C29+D29+E29)*('29_01_H_2020'!$O$14)*B29*12*(1+'29_01_H_2020'!$O$25),2)</f>
        <v>796.48</v>
      </c>
      <c r="H29" s="46"/>
    </row>
    <row r="30" spans="1:8">
      <c r="A30" s="155" t="s">
        <v>9</v>
      </c>
      <c r="B30" s="102">
        <v>2</v>
      </c>
      <c r="C30" s="110">
        <v>1408</v>
      </c>
      <c r="D30" s="44">
        <v>42.24</v>
      </c>
      <c r="E30" s="44"/>
      <c r="F30" s="135">
        <f t="shared" si="0"/>
        <v>1450.24</v>
      </c>
      <c r="G30" s="149">
        <f>ROUND((C30+D30+E30)*('29_01_H_2020'!$O$14)*B30*12*(1+'29_01_H_2020'!$O$25),2)</f>
        <v>2038.98</v>
      </c>
      <c r="H30" s="46"/>
    </row>
    <row r="31" spans="1:8">
      <c r="A31" s="155" t="s">
        <v>10</v>
      </c>
      <c r="B31" s="102">
        <v>10.5</v>
      </c>
      <c r="C31" s="110">
        <v>1311</v>
      </c>
      <c r="D31" s="44">
        <v>39.33</v>
      </c>
      <c r="E31" s="45"/>
      <c r="F31" s="135">
        <f t="shared" si="0"/>
        <v>1350.33</v>
      </c>
      <c r="G31" s="149">
        <f>ROUND((C31+D31+E31)*('29_01_H_2020'!$O$14)*B31*12*(1+'29_01_H_2020'!$O$25),2)</f>
        <v>9967.18</v>
      </c>
      <c r="H31" s="46"/>
    </row>
    <row r="32" spans="1:8">
      <c r="A32" s="156" t="s">
        <v>11</v>
      </c>
      <c r="B32" s="104">
        <v>1</v>
      </c>
      <c r="C32" s="44">
        <v>1311</v>
      </c>
      <c r="D32" s="44">
        <v>39.33</v>
      </c>
      <c r="E32" s="44"/>
      <c r="F32" s="135">
        <f t="shared" si="0"/>
        <v>1350.33</v>
      </c>
      <c r="G32" s="149">
        <f>ROUND((C32+D32+E32)*('29_01_H_2020'!$O$14)*B32*12*(1+'29_01_H_2020'!$O$25),2)</f>
        <v>949.25</v>
      </c>
      <c r="H32" s="46"/>
    </row>
    <row r="33" spans="1:8">
      <c r="A33" s="156" t="s">
        <v>374</v>
      </c>
      <c r="B33" s="104">
        <v>3</v>
      </c>
      <c r="C33" s="44">
        <v>1408</v>
      </c>
      <c r="D33" s="44">
        <v>42.24</v>
      </c>
      <c r="E33" s="44"/>
      <c r="F33" s="135">
        <f t="shared" si="0"/>
        <v>1450.24</v>
      </c>
      <c r="G33" s="149">
        <f>ROUND((C33+D33+E33)*('29_01_H_2020'!$O$14)*B33*12*(1+'29_01_H_2020'!$O$25),2)</f>
        <v>3058.47</v>
      </c>
      <c r="H33" s="46"/>
    </row>
    <row r="34" spans="1:8">
      <c r="A34" s="156" t="s">
        <v>375</v>
      </c>
      <c r="B34" s="104">
        <v>1</v>
      </c>
      <c r="C34" s="44">
        <v>1457</v>
      </c>
      <c r="D34" s="44">
        <v>43.71</v>
      </c>
      <c r="E34" s="44"/>
      <c r="F34" s="135">
        <f t="shared" si="0"/>
        <v>1500.71</v>
      </c>
      <c r="G34" s="149">
        <f>ROUND((C34+D34+E34)*('29_01_H_2020'!$O$14)*B34*12*(1+'29_01_H_2020'!$O$25),2)</f>
        <v>1054.97</v>
      </c>
      <c r="H34" s="46"/>
    </row>
    <row r="35" spans="1:8">
      <c r="A35" s="156" t="s">
        <v>376</v>
      </c>
      <c r="B35" s="104">
        <v>9</v>
      </c>
      <c r="C35" s="44">
        <v>1408</v>
      </c>
      <c r="D35" s="44">
        <v>42.24</v>
      </c>
      <c r="E35" s="44">
        <v>98.56</v>
      </c>
      <c r="F35" s="135">
        <f t="shared" si="0"/>
        <v>1548.8</v>
      </c>
      <c r="G35" s="149">
        <f>ROUND((C35+D35+E35)*('29_01_H_2020'!$O$14)*B35*12*(1+'29_01_H_2020'!$O$25),2)</f>
        <v>9798.98</v>
      </c>
      <c r="H35" s="46"/>
    </row>
    <row r="36" spans="1:8">
      <c r="A36" s="156" t="s">
        <v>13</v>
      </c>
      <c r="B36" s="104">
        <v>1</v>
      </c>
      <c r="C36" s="44">
        <v>1408</v>
      </c>
      <c r="D36" s="44">
        <v>42.24</v>
      </c>
      <c r="E36" s="44"/>
      <c r="F36" s="135">
        <f t="shared" si="0"/>
        <v>1450.24</v>
      </c>
      <c r="G36" s="149">
        <f>ROUND((C36+D36+E36)*('29_01_H_2020'!$O$14)*B36*12*(1+'29_01_H_2020'!$O$25),2)</f>
        <v>1019.49</v>
      </c>
      <c r="H36" s="46"/>
    </row>
    <row r="37" spans="1:8">
      <c r="A37" s="156" t="s">
        <v>377</v>
      </c>
      <c r="B37" s="104">
        <v>13</v>
      </c>
      <c r="C37" s="44">
        <v>1263</v>
      </c>
      <c r="D37" s="44">
        <v>37.89</v>
      </c>
      <c r="E37" s="44"/>
      <c r="F37" s="135">
        <f t="shared" si="0"/>
        <v>1300.8900000000001</v>
      </c>
      <c r="G37" s="149">
        <f>ROUND((C37+D37+E37)*('29_01_H_2020'!$O$14)*B37*12*(1+'29_01_H_2020'!$O$25),2)</f>
        <v>11888.49</v>
      </c>
      <c r="H37" s="46"/>
    </row>
    <row r="38" spans="1:8">
      <c r="A38" s="156" t="s">
        <v>378</v>
      </c>
      <c r="B38" s="104">
        <v>6</v>
      </c>
      <c r="C38" s="44">
        <v>1263</v>
      </c>
      <c r="D38" s="44">
        <v>37.89</v>
      </c>
      <c r="E38" s="44">
        <v>63.15</v>
      </c>
      <c r="F38" s="135">
        <f t="shared" si="0"/>
        <v>1364.0400000000002</v>
      </c>
      <c r="G38" s="149">
        <f>ROUND((C38+D38+E38)*('29_01_H_2020'!$O$14)*B38*12*(1+'29_01_H_2020'!$O$25),2)</f>
        <v>5753.36</v>
      </c>
      <c r="H38" s="46"/>
    </row>
    <row r="39" spans="1:8">
      <c r="A39" s="156" t="s">
        <v>379</v>
      </c>
      <c r="B39" s="104">
        <v>7</v>
      </c>
      <c r="C39" s="44">
        <v>1263</v>
      </c>
      <c r="D39" s="44">
        <v>37.89</v>
      </c>
      <c r="E39" s="44"/>
      <c r="F39" s="135">
        <f t="shared" si="0"/>
        <v>1300.8900000000001</v>
      </c>
      <c r="G39" s="149">
        <f>ROUND((C39+D39+E39)*('29_01_H_2020'!$O$14)*B39*12*(1+'29_01_H_2020'!$O$25),2)</f>
        <v>6401.5</v>
      </c>
      <c r="H39" s="46"/>
    </row>
    <row r="40" spans="1:8">
      <c r="A40" s="156" t="s">
        <v>380</v>
      </c>
      <c r="B40" s="105">
        <v>5.5</v>
      </c>
      <c r="C40" s="44">
        <v>1263</v>
      </c>
      <c r="D40" s="44">
        <v>37.89</v>
      </c>
      <c r="E40" s="44"/>
      <c r="F40" s="135">
        <f t="shared" si="0"/>
        <v>1300.8900000000001</v>
      </c>
      <c r="G40" s="149">
        <f>ROUND((C40+D40+E40)*('29_01_H_2020'!$O$14)*B40*12*(1+'29_01_H_2020'!$O$25),2)</f>
        <v>5029.75</v>
      </c>
      <c r="H40" s="46"/>
    </row>
    <row r="41" spans="1:8">
      <c r="A41" s="195" t="s">
        <v>381</v>
      </c>
      <c r="B41" s="104">
        <v>1</v>
      </c>
      <c r="C41" s="44">
        <v>1263</v>
      </c>
      <c r="D41" s="44">
        <v>37.89</v>
      </c>
      <c r="E41" s="44"/>
      <c r="F41" s="135">
        <f t="shared" si="0"/>
        <v>1300.8900000000001</v>
      </c>
      <c r="G41" s="149">
        <f>ROUND((C41+D41+E41)*('29_01_H_2020'!$O$14)*B41*12*(1+'29_01_H_2020'!$O$25),2)</f>
        <v>914.5</v>
      </c>
      <c r="H41" s="46"/>
    </row>
    <row r="42" spans="1:8">
      <c r="A42" s="25" t="s">
        <v>82</v>
      </c>
      <c r="B42" s="21"/>
      <c r="C42" s="22"/>
      <c r="D42" s="22"/>
      <c r="E42" s="22"/>
      <c r="F42" s="140"/>
      <c r="G42" s="199">
        <f>G43</f>
        <v>7913.34</v>
      </c>
    </row>
    <row r="43" spans="1:8" ht="38.25">
      <c r="A43" s="17" t="s">
        <v>96</v>
      </c>
      <c r="B43" s="15"/>
      <c r="C43" s="14"/>
      <c r="D43" s="14"/>
      <c r="E43" s="14"/>
      <c r="F43" s="139"/>
      <c r="G43" s="200">
        <f>SUM(G44:G48)</f>
        <v>7913.34</v>
      </c>
    </row>
    <row r="44" spans="1:8">
      <c r="A44" s="156" t="s">
        <v>382</v>
      </c>
      <c r="B44" s="104">
        <v>3</v>
      </c>
      <c r="C44" s="44">
        <v>1311</v>
      </c>
      <c r="D44" s="44">
        <v>39.33</v>
      </c>
      <c r="E44" s="44"/>
      <c r="F44" s="135">
        <f t="shared" ref="F44:F48" si="1">C44+D44+E44</f>
        <v>1350.33</v>
      </c>
      <c r="G44" s="149">
        <f>ROUND((C44+D44+E44)*('29_01_H_2020'!$O$14)*B44*12*(1+'29_01_H_2020'!$O$25),2)</f>
        <v>2847.76</v>
      </c>
      <c r="H44" s="46"/>
    </row>
    <row r="45" spans="1:8">
      <c r="A45" s="156" t="s">
        <v>383</v>
      </c>
      <c r="B45" s="104">
        <v>2</v>
      </c>
      <c r="C45" s="44">
        <v>1166</v>
      </c>
      <c r="D45" s="44">
        <v>34.979999999999997</v>
      </c>
      <c r="E45" s="44"/>
      <c r="F45" s="135">
        <f t="shared" si="1"/>
        <v>1200.98</v>
      </c>
      <c r="G45" s="149">
        <f>ROUND((C45+D45+E45)*('29_01_H_2020'!$O$14)*B45*12*(1+'29_01_H_2020'!$O$25),2)</f>
        <v>1688.53</v>
      </c>
      <c r="H45" s="46"/>
    </row>
    <row r="46" spans="1:8">
      <c r="A46" s="156" t="s">
        <v>384</v>
      </c>
      <c r="B46" s="104">
        <v>1</v>
      </c>
      <c r="C46" s="44">
        <v>1166</v>
      </c>
      <c r="D46" s="44">
        <v>34.979999999999997</v>
      </c>
      <c r="E46" s="44"/>
      <c r="F46" s="135">
        <f t="shared" si="1"/>
        <v>1200.98</v>
      </c>
      <c r="G46" s="149">
        <f>ROUND((C46+D46+E46)*('29_01_H_2020'!$O$14)*B46*12*(1+'29_01_H_2020'!$O$25),2)</f>
        <v>844.26</v>
      </c>
      <c r="H46" s="46"/>
    </row>
    <row r="47" spans="1:8">
      <c r="A47" s="156" t="s">
        <v>385</v>
      </c>
      <c r="B47" s="104">
        <v>1</v>
      </c>
      <c r="C47" s="44">
        <v>1166</v>
      </c>
      <c r="D47" s="44">
        <v>34.979999999999997</v>
      </c>
      <c r="E47" s="44"/>
      <c r="F47" s="135">
        <f t="shared" si="1"/>
        <v>1200.98</v>
      </c>
      <c r="G47" s="149">
        <f>ROUND((C47+D47+E47)*('29_01_H_2020'!$O$14)*B47*12*(1+'29_01_H_2020'!$O$25),2)</f>
        <v>844.26</v>
      </c>
      <c r="H47" s="46"/>
    </row>
    <row r="48" spans="1:8">
      <c r="A48" s="156" t="s">
        <v>386</v>
      </c>
      <c r="B48" s="104">
        <v>2</v>
      </c>
      <c r="C48" s="44">
        <v>1166</v>
      </c>
      <c r="D48" s="44">
        <v>34.979999999999997</v>
      </c>
      <c r="E48" s="44"/>
      <c r="F48" s="135">
        <f t="shared" si="1"/>
        <v>1200.98</v>
      </c>
      <c r="G48" s="149">
        <f>ROUND((C48+D48+E48)*('29_01_H_2020'!$O$14)*B48*12*(1+'29_01_H_2020'!$O$25),2)</f>
        <v>1688.53</v>
      </c>
      <c r="H48" s="46"/>
    </row>
    <row r="49" spans="1:8">
      <c r="A49" s="25" t="s">
        <v>89</v>
      </c>
      <c r="B49" s="21"/>
      <c r="C49" s="22"/>
      <c r="D49" s="22"/>
      <c r="E49" s="22"/>
      <c r="F49" s="140"/>
      <c r="G49" s="199">
        <f>G50</f>
        <v>0</v>
      </c>
    </row>
    <row r="50" spans="1:8">
      <c r="A50" s="17" t="s">
        <v>99</v>
      </c>
      <c r="B50" s="15"/>
      <c r="C50" s="16"/>
      <c r="D50" s="12"/>
      <c r="E50" s="12"/>
      <c r="F50" s="142"/>
      <c r="G50" s="200">
        <f>SUM(G51:G56)</f>
        <v>0</v>
      </c>
    </row>
    <row r="51" spans="1:8">
      <c r="A51" s="422" t="s">
        <v>387</v>
      </c>
      <c r="B51" s="423">
        <v>6</v>
      </c>
      <c r="C51" s="178">
        <v>1059</v>
      </c>
      <c r="D51" s="178">
        <v>31.77</v>
      </c>
      <c r="E51" s="178"/>
      <c r="F51" s="424">
        <f t="shared" ref="F51:F56" si="2">C51+D51+E51</f>
        <v>1090.77</v>
      </c>
      <c r="G51" s="149">
        <f>ROUND((C51+D51+E51)*('29_01_H_2020'!$O$17)*B51*12*(1+'29_01_H_2020'!$O$25),2)</f>
        <v>0</v>
      </c>
      <c r="H51" s="46"/>
    </row>
    <row r="52" spans="1:8">
      <c r="A52" s="6" t="s">
        <v>388</v>
      </c>
      <c r="B52" s="107">
        <v>10</v>
      </c>
      <c r="C52" s="45">
        <v>1059</v>
      </c>
      <c r="D52" s="44">
        <v>31.77</v>
      </c>
      <c r="E52" s="44"/>
      <c r="F52" s="135">
        <f t="shared" si="2"/>
        <v>1090.77</v>
      </c>
      <c r="G52" s="149">
        <f>ROUND((C52+D52+E52)*('29_01_H_2020'!$O$17)*B52*12*(1+'29_01_H_2020'!$O$25),2)</f>
        <v>0</v>
      </c>
      <c r="H52" s="46"/>
    </row>
    <row r="53" spans="1:8">
      <c r="A53" s="6" t="s">
        <v>389</v>
      </c>
      <c r="B53" s="107">
        <v>1.5</v>
      </c>
      <c r="C53" s="45">
        <v>1059</v>
      </c>
      <c r="D53" s="44">
        <v>31.77</v>
      </c>
      <c r="E53" s="44"/>
      <c r="F53" s="135">
        <f t="shared" si="2"/>
        <v>1090.77</v>
      </c>
      <c r="G53" s="149">
        <f>ROUND((C53+D53+E53)*('29_01_H_2020'!$O$17)*B53*12*(1+'29_01_H_2020'!$O$25),2)</f>
        <v>0</v>
      </c>
      <c r="H53" s="46"/>
    </row>
    <row r="54" spans="1:8">
      <c r="A54" s="6" t="s">
        <v>390</v>
      </c>
      <c r="B54" s="107">
        <v>1</v>
      </c>
      <c r="C54" s="45">
        <v>1059</v>
      </c>
      <c r="D54" s="44">
        <v>31.77</v>
      </c>
      <c r="E54" s="44"/>
      <c r="F54" s="135">
        <f t="shared" si="2"/>
        <v>1090.77</v>
      </c>
      <c r="G54" s="149">
        <f>ROUND((C54+D54+E54)*('29_01_H_2020'!$O$17)*B54*12*(1+'29_01_H_2020'!$O$25),2)</f>
        <v>0</v>
      </c>
      <c r="H54" s="46"/>
    </row>
    <row r="55" spans="1:8">
      <c r="A55" s="6" t="s">
        <v>391</v>
      </c>
      <c r="B55" s="107">
        <v>1</v>
      </c>
      <c r="C55" s="45">
        <v>1059</v>
      </c>
      <c r="D55" s="44">
        <v>31.77</v>
      </c>
      <c r="E55" s="44"/>
      <c r="F55" s="135">
        <f t="shared" si="2"/>
        <v>1090.77</v>
      </c>
      <c r="G55" s="149">
        <f>ROUND((C55+D55+E55)*('29_01_H_2020'!$O$17)*B55*12*(1+'29_01_H_2020'!$O$25),2)</f>
        <v>0</v>
      </c>
      <c r="H55" s="46"/>
    </row>
    <row r="56" spans="1:8" ht="15.75" thickBot="1">
      <c r="A56" s="6" t="s">
        <v>392</v>
      </c>
      <c r="B56" s="107">
        <v>1</v>
      </c>
      <c r="C56" s="45">
        <v>1059</v>
      </c>
      <c r="D56" s="44">
        <v>31.77</v>
      </c>
      <c r="E56" s="44"/>
      <c r="F56" s="135">
        <f t="shared" si="2"/>
        <v>1090.77</v>
      </c>
      <c r="G56" s="149">
        <f>ROUND((C56+D56+E56)*('29_01_H_2020'!$O$17)*B56*12*(1+'29_01_H_2020'!$O$25),2)</f>
        <v>0</v>
      </c>
      <c r="H56" s="46"/>
    </row>
    <row r="57" spans="1:8" ht="15.75" thickBot="1">
      <c r="A57" s="108" t="s">
        <v>20</v>
      </c>
      <c r="B57" s="157">
        <f>SUM(B12:B20,B22:B41,B44:B48,B51:B56)</f>
        <v>113.5</v>
      </c>
      <c r="C57" s="109" t="s">
        <v>91</v>
      </c>
      <c r="D57" s="109" t="s">
        <v>91</v>
      </c>
      <c r="E57" s="109" t="s">
        <v>91</v>
      </c>
      <c r="F57" s="143"/>
      <c r="G57" s="158">
        <f>G49+G42+G10</f>
        <v>94162.39</v>
      </c>
    </row>
    <row r="58" spans="1:8" ht="15.75" thickBot="1">
      <c r="A58" s="7"/>
      <c r="B58" s="8"/>
      <c r="C58" s="7"/>
      <c r="D58" s="7"/>
      <c r="E58" s="7"/>
      <c r="F58" s="9"/>
    </row>
    <row r="59" spans="1:8" ht="15.75" thickBot="1">
      <c r="A59" s="585" t="s">
        <v>18</v>
      </c>
      <c r="B59" s="586"/>
      <c r="C59" s="586"/>
      <c r="D59" s="586"/>
      <c r="E59" s="586"/>
      <c r="F59" s="586"/>
      <c r="G59" s="144"/>
    </row>
    <row r="60" spans="1:8" ht="29.25" customHeight="1">
      <c r="A60" s="587" t="s">
        <v>19</v>
      </c>
      <c r="B60" s="588"/>
      <c r="C60" s="588"/>
      <c r="D60" s="588"/>
      <c r="E60" s="588"/>
      <c r="F60" s="588"/>
      <c r="G60" s="126"/>
    </row>
    <row r="61" spans="1:8">
      <c r="A61" s="18" t="s">
        <v>32</v>
      </c>
      <c r="B61" s="19"/>
      <c r="C61" s="20"/>
      <c r="D61" s="20"/>
      <c r="E61" s="20"/>
      <c r="F61" s="137"/>
      <c r="G61" s="199">
        <f>G62+G64</f>
        <v>16041.090000000002</v>
      </c>
    </row>
    <row r="62" spans="1:8">
      <c r="A62" s="13" t="s">
        <v>92</v>
      </c>
      <c r="B62" s="11"/>
      <c r="C62" s="12"/>
      <c r="D62" s="12"/>
      <c r="E62" s="12"/>
      <c r="F62" s="138"/>
      <c r="G62" s="200">
        <f>SUM(G63:G63)</f>
        <v>4251.26</v>
      </c>
    </row>
    <row r="63" spans="1:8">
      <c r="A63" s="3" t="s">
        <v>393</v>
      </c>
      <c r="B63" s="102">
        <v>3.5</v>
      </c>
      <c r="C63" s="110">
        <v>1775.15</v>
      </c>
      <c r="D63" s="44"/>
      <c r="E63" s="44">
        <v>86.22</v>
      </c>
      <c r="F63" s="135">
        <v>1861.3700000000001</v>
      </c>
      <c r="G63" s="120">
        <f>ROUND((C63+D63+E63)*('29_01_H_2020'!$O$10)*B63*12*(1+'29_01_H_2020'!$O$25),2)</f>
        <v>4251.26</v>
      </c>
      <c r="H63" s="46"/>
    </row>
    <row r="64" spans="1:8" ht="38.25">
      <c r="A64" s="10" t="s">
        <v>249</v>
      </c>
      <c r="B64" s="23"/>
      <c r="C64" s="14"/>
      <c r="D64" s="14"/>
      <c r="E64" s="14"/>
      <c r="F64" s="139"/>
      <c r="G64" s="200">
        <f>SUM(G65:G66)</f>
        <v>11789.830000000002</v>
      </c>
    </row>
    <row r="65" spans="1:12">
      <c r="A65" s="155" t="s">
        <v>13</v>
      </c>
      <c r="B65" s="102">
        <v>1</v>
      </c>
      <c r="C65" s="110">
        <v>1485.87</v>
      </c>
      <c r="D65" s="44"/>
      <c r="E65" s="44">
        <v>73.98</v>
      </c>
      <c r="F65" s="135">
        <f t="shared" ref="F65:F66" si="3">C65+D65+E65</f>
        <v>1559.85</v>
      </c>
      <c r="G65" s="149">
        <f>ROUND((C65+D65+E65)*('29_01_H_2020'!$O$14)*B65*12*(1+'29_01_H_2020'!$O$25),2)</f>
        <v>1096.54</v>
      </c>
      <c r="H65" s="46"/>
    </row>
    <row r="66" spans="1:12">
      <c r="A66" s="155" t="s">
        <v>244</v>
      </c>
      <c r="B66" s="102">
        <v>12.5</v>
      </c>
      <c r="C66" s="110">
        <v>1148.95</v>
      </c>
      <c r="D66" s="44"/>
      <c r="E66" s="44">
        <v>67.959999999999994</v>
      </c>
      <c r="F66" s="135">
        <f t="shared" si="3"/>
        <v>1216.9100000000001</v>
      </c>
      <c r="G66" s="149">
        <f>ROUND((C66+D66+E66)*('29_01_H_2020'!$O$14)*B66*12*(1+'29_01_H_2020'!$O$25),2)</f>
        <v>10693.29</v>
      </c>
      <c r="H66" s="46"/>
    </row>
    <row r="67" spans="1:12">
      <c r="A67" s="25" t="s">
        <v>89</v>
      </c>
      <c r="B67" s="21"/>
      <c r="C67" s="22"/>
      <c r="D67" s="22"/>
      <c r="E67" s="22"/>
      <c r="F67" s="140"/>
      <c r="G67" s="199">
        <f>G68</f>
        <v>0</v>
      </c>
    </row>
    <row r="68" spans="1:12">
      <c r="A68" s="17" t="s">
        <v>99</v>
      </c>
      <c r="B68" s="15"/>
      <c r="C68" s="16"/>
      <c r="D68" s="12"/>
      <c r="E68" s="12"/>
      <c r="F68" s="142"/>
      <c r="G68" s="200">
        <f>SUM(G69:G70)</f>
        <v>0</v>
      </c>
    </row>
    <row r="69" spans="1:12">
      <c r="A69" s="5" t="s">
        <v>394</v>
      </c>
      <c r="B69" s="107">
        <v>2.9</v>
      </c>
      <c r="C69" s="45">
        <v>804.13</v>
      </c>
      <c r="D69" s="44"/>
      <c r="E69" s="44">
        <v>7.29</v>
      </c>
      <c r="F69" s="135">
        <f t="shared" ref="F69:F70" si="4">C69+D69+E69</f>
        <v>811.42</v>
      </c>
      <c r="G69" s="149">
        <f>ROUND((C69+D69+E69)*('29_01_H_2020'!$O$17)*B69*12*(1+'29_01_H_2020'!$O$25),2)</f>
        <v>0</v>
      </c>
      <c r="H69" s="46"/>
    </row>
    <row r="70" spans="1:12" ht="15.75" thickBot="1">
      <c r="A70" s="6" t="s">
        <v>395</v>
      </c>
      <c r="B70" s="107">
        <v>0.6</v>
      </c>
      <c r="C70" s="45">
        <v>688.39</v>
      </c>
      <c r="D70" s="44">
        <v>0</v>
      </c>
      <c r="E70" s="44">
        <v>0</v>
      </c>
      <c r="F70" s="135">
        <f t="shared" si="4"/>
        <v>688.39</v>
      </c>
      <c r="G70" s="149">
        <f>ROUND((C70+D70+E70)*('29_01_H_2020'!$O$17)*B70*12*(1+'29_01_H_2020'!$O$25),2)</f>
        <v>0</v>
      </c>
      <c r="H70" s="46"/>
    </row>
    <row r="71" spans="1:12" ht="15.75" thickBot="1">
      <c r="A71" s="108" t="s">
        <v>20</v>
      </c>
      <c r="B71" s="157">
        <f>SUM(B63:B63,B65:B66,,B69:B70)</f>
        <v>20.5</v>
      </c>
      <c r="C71" s="109" t="s">
        <v>91</v>
      </c>
      <c r="D71" s="109" t="s">
        <v>91</v>
      </c>
      <c r="E71" s="109" t="s">
        <v>91</v>
      </c>
      <c r="F71" s="143"/>
      <c r="G71" s="158">
        <f>G67+G61</f>
        <v>16041.090000000002</v>
      </c>
    </row>
    <row r="72" spans="1:12" ht="15" customHeight="1">
      <c r="A72" s="147"/>
      <c r="B72" s="147"/>
      <c r="C72" s="147"/>
      <c r="D72" s="147"/>
      <c r="E72" s="147"/>
      <c r="F72" s="147"/>
      <c r="H72" s="263" t="s">
        <v>277</v>
      </c>
      <c r="J72" s="50"/>
      <c r="L72" s="50"/>
    </row>
    <row r="73" spans="1:12">
      <c r="A73" s="147"/>
      <c r="B73" s="231"/>
      <c r="C73" s="147"/>
      <c r="D73" s="147"/>
      <c r="E73" s="147"/>
      <c r="F73" s="147"/>
      <c r="G73" s="46">
        <f>G57+G71</f>
        <v>110203.48</v>
      </c>
      <c r="J73" s="47"/>
      <c r="L73" s="47"/>
    </row>
    <row r="74" spans="1:12">
      <c r="A74" s="147"/>
      <c r="B74" s="231"/>
      <c r="C74" s="147"/>
      <c r="D74" s="147"/>
      <c r="E74" s="147"/>
      <c r="F74" s="147"/>
      <c r="G74" s="46"/>
    </row>
    <row r="75" spans="1:12">
      <c r="B75" s="232"/>
    </row>
    <row r="76" spans="1:12">
      <c r="B76" s="232"/>
    </row>
    <row r="77" spans="1:12">
      <c r="B77" s="232"/>
      <c r="G77" s="46"/>
    </row>
    <row r="78" spans="1:12">
      <c r="B78" s="232"/>
    </row>
    <row r="79" spans="1:12">
      <c r="B79" s="232"/>
    </row>
  </sheetData>
  <mergeCells count="14">
    <mergeCell ref="F1:G1"/>
    <mergeCell ref="A8:F8"/>
    <mergeCell ref="A9:F9"/>
    <mergeCell ref="A59:F59"/>
    <mergeCell ref="A60:F60"/>
    <mergeCell ref="A2:F3"/>
    <mergeCell ref="A5:G5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2D231-EEC6-407C-BD52-76358E57E200}">
  <dimension ref="A1:L46"/>
  <sheetViews>
    <sheetView zoomScaleNormal="100" workbookViewId="0">
      <selection activeCell="H4" sqref="H4"/>
    </sheetView>
  </sheetViews>
  <sheetFormatPr defaultColWidth="9.140625" defaultRowHeight="15"/>
  <cols>
    <col min="1" max="1" width="40.140625" style="127" customWidth="1"/>
    <col min="2" max="2" width="10.42578125" style="127" customWidth="1"/>
    <col min="3" max="5" width="9.140625" style="127"/>
    <col min="6" max="6" width="9.85546875" style="127" bestFit="1" customWidth="1"/>
    <col min="7" max="7" width="13.140625" style="127" customWidth="1"/>
    <col min="8" max="8" width="14" style="127" bestFit="1" customWidth="1"/>
    <col min="9" max="9" width="9.140625" style="127"/>
    <col min="10" max="10" width="14" style="127" bestFit="1" customWidth="1"/>
    <col min="11" max="11" width="9.140625" style="127"/>
    <col min="12" max="12" width="14" style="127" bestFit="1" customWidth="1"/>
    <col min="13" max="16384" width="9.140625" style="127"/>
  </cols>
  <sheetData>
    <row r="1" spans="1:8">
      <c r="F1" s="542" t="s">
        <v>449</v>
      </c>
      <c r="G1" s="542"/>
    </row>
    <row r="2" spans="1:8">
      <c r="A2" s="589" t="s">
        <v>396</v>
      </c>
      <c r="B2" s="589"/>
      <c r="C2" s="589"/>
      <c r="D2" s="589"/>
      <c r="E2" s="589"/>
      <c r="F2" s="589"/>
    </row>
    <row r="3" spans="1:8">
      <c r="A3" s="589"/>
      <c r="B3" s="589"/>
      <c r="C3" s="589"/>
      <c r="D3" s="589"/>
      <c r="E3" s="589"/>
      <c r="F3" s="589"/>
    </row>
    <row r="4" spans="1:8" ht="15.75" thickBot="1">
      <c r="G4" s="136" t="s">
        <v>228</v>
      </c>
    </row>
    <row r="5" spans="1:8" ht="15.75">
      <c r="A5" s="582" t="s">
        <v>0</v>
      </c>
      <c r="B5" s="583"/>
      <c r="C5" s="583"/>
      <c r="D5" s="583"/>
      <c r="E5" s="583"/>
      <c r="F5" s="583"/>
      <c r="G5" s="584"/>
    </row>
    <row r="6" spans="1:8">
      <c r="A6" s="590" t="s">
        <v>27</v>
      </c>
      <c r="B6" s="592" t="s">
        <v>28</v>
      </c>
      <c r="C6" s="594" t="s">
        <v>29</v>
      </c>
      <c r="D6" s="594" t="s">
        <v>30</v>
      </c>
      <c r="E6" s="594" t="s">
        <v>144</v>
      </c>
      <c r="F6" s="596" t="s">
        <v>31</v>
      </c>
      <c r="G6" s="580" t="s">
        <v>325</v>
      </c>
    </row>
    <row r="7" spans="1:8" ht="68.25" customHeight="1" thickBot="1">
      <c r="A7" s="591"/>
      <c r="B7" s="593"/>
      <c r="C7" s="595"/>
      <c r="D7" s="595"/>
      <c r="E7" s="595"/>
      <c r="F7" s="597"/>
      <c r="G7" s="581"/>
    </row>
    <row r="8" spans="1:8" ht="15.75" thickBot="1">
      <c r="A8" s="585" t="s">
        <v>162</v>
      </c>
      <c r="B8" s="586"/>
      <c r="C8" s="586"/>
      <c r="D8" s="586"/>
      <c r="E8" s="586"/>
      <c r="F8" s="586"/>
      <c r="G8" s="144"/>
    </row>
    <row r="9" spans="1:8">
      <c r="A9" s="587" t="s">
        <v>167</v>
      </c>
      <c r="B9" s="588"/>
      <c r="C9" s="588"/>
      <c r="D9" s="588"/>
      <c r="E9" s="588"/>
      <c r="F9" s="588"/>
      <c r="G9" s="126"/>
    </row>
    <row r="10" spans="1:8">
      <c r="A10" s="18" t="s">
        <v>32</v>
      </c>
      <c r="B10" s="19"/>
      <c r="C10" s="20"/>
      <c r="D10" s="20"/>
      <c r="E10" s="20"/>
      <c r="F10" s="137"/>
      <c r="G10" s="199">
        <f>G11</f>
        <v>73559.44</v>
      </c>
    </row>
    <row r="11" spans="1:8">
      <c r="A11" s="13" t="s">
        <v>92</v>
      </c>
      <c r="B11" s="11"/>
      <c r="C11" s="12"/>
      <c r="D11" s="12"/>
      <c r="E11" s="12"/>
      <c r="F11" s="138"/>
      <c r="G11" s="200">
        <f>SUM(G12:G36)</f>
        <v>73559.44</v>
      </c>
    </row>
    <row r="12" spans="1:8" ht="25.5">
      <c r="A12" s="3" t="s">
        <v>398</v>
      </c>
      <c r="B12" s="102">
        <v>1</v>
      </c>
      <c r="C12" s="110">
        <v>2975</v>
      </c>
      <c r="D12" s="44">
        <v>148.6</v>
      </c>
      <c r="E12" s="44">
        <v>148.6</v>
      </c>
      <c r="F12" s="135">
        <f>C12+D12+E12</f>
        <v>3272.2</v>
      </c>
      <c r="G12" s="120">
        <f>ROUND((C12+D12+E12)*('29_01_H_2020'!$O$10)*B12*12*(1+'29_01_H_2020'!$O$25),2)</f>
        <v>2135.29</v>
      </c>
      <c r="H12" s="46"/>
    </row>
    <row r="13" spans="1:8" ht="25.5">
      <c r="A13" s="3" t="s">
        <v>399</v>
      </c>
      <c r="B13" s="102">
        <v>1</v>
      </c>
      <c r="C13" s="110">
        <v>2694</v>
      </c>
      <c r="D13" s="44">
        <v>269.39999999999998</v>
      </c>
      <c r="E13" s="44">
        <v>134.69999999999999</v>
      </c>
      <c r="F13" s="135">
        <f t="shared" ref="F13:F36" si="0">C13+D13+E13</f>
        <v>3098.1</v>
      </c>
      <c r="G13" s="120">
        <f>ROUND((C13+D13+E13)*('29_01_H_2020'!$O$10)*B13*12*(1+'29_01_H_2020'!$O$25),2)</f>
        <v>2021.68</v>
      </c>
      <c r="H13" s="46"/>
    </row>
    <row r="14" spans="1:8" ht="25.5">
      <c r="A14" s="3" t="s">
        <v>400</v>
      </c>
      <c r="B14" s="102">
        <v>1</v>
      </c>
      <c r="C14" s="110">
        <v>2555</v>
      </c>
      <c r="D14" s="44">
        <v>127.75</v>
      </c>
      <c r="E14" s="44">
        <v>127.75</v>
      </c>
      <c r="F14" s="135">
        <f t="shared" si="0"/>
        <v>2810.5</v>
      </c>
      <c r="G14" s="120">
        <f>ROUND((C14+D14+E14)*('29_01_H_2020'!$O$10)*B14*12*(1+'29_01_H_2020'!$O$25),2)</f>
        <v>1834.01</v>
      </c>
      <c r="H14" s="46"/>
    </row>
    <row r="15" spans="1:8" ht="25.5">
      <c r="A15" s="3" t="s">
        <v>401</v>
      </c>
      <c r="B15" s="102">
        <v>1</v>
      </c>
      <c r="C15" s="110">
        <v>2416</v>
      </c>
      <c r="D15" s="44">
        <v>72.48</v>
      </c>
      <c r="E15" s="44">
        <v>265.76</v>
      </c>
      <c r="F15" s="135">
        <f t="shared" si="0"/>
        <v>2754.24</v>
      </c>
      <c r="G15" s="120">
        <f>ROUND((C15+D15+E15)*('29_01_H_2020'!$O$10)*B15*12*(1+'29_01_H_2020'!$O$25),2)</f>
        <v>1797.29</v>
      </c>
      <c r="H15" s="46"/>
    </row>
    <row r="16" spans="1:8" ht="25.5">
      <c r="A16" s="3" t="s">
        <v>401</v>
      </c>
      <c r="B16" s="102">
        <v>1</v>
      </c>
      <c r="C16" s="110">
        <v>2416</v>
      </c>
      <c r="D16" s="44">
        <v>96.64</v>
      </c>
      <c r="E16" s="44">
        <v>120.8</v>
      </c>
      <c r="F16" s="135">
        <f t="shared" si="0"/>
        <v>2633.44</v>
      </c>
      <c r="G16" s="120">
        <f>ROUND((C16+D16+E16)*('29_01_H_2020'!$O$10)*B16*12*(1+'29_01_H_2020'!$O$25),2)</f>
        <v>1718.46</v>
      </c>
      <c r="H16" s="46"/>
    </row>
    <row r="17" spans="1:8" ht="25.5">
      <c r="A17" s="3" t="s">
        <v>401</v>
      </c>
      <c r="B17" s="102">
        <v>3</v>
      </c>
      <c r="C17" s="110">
        <v>2138</v>
      </c>
      <c r="D17" s="44">
        <v>85.52</v>
      </c>
      <c r="E17" s="44">
        <v>192.42</v>
      </c>
      <c r="F17" s="135">
        <f t="shared" si="0"/>
        <v>2415.94</v>
      </c>
      <c r="G17" s="120">
        <f>ROUND((C17+D17+E17)*('29_01_H_2020'!$O$10)*B17*12*(1+'29_01_H_2020'!$O$25),2)</f>
        <v>4729.6000000000004</v>
      </c>
      <c r="H17" s="46"/>
    </row>
    <row r="18" spans="1:8" ht="25.5">
      <c r="A18" s="3" t="s">
        <v>401</v>
      </c>
      <c r="B18" s="102">
        <v>2</v>
      </c>
      <c r="C18" s="110">
        <v>2138</v>
      </c>
      <c r="D18" s="44">
        <v>64.14</v>
      </c>
      <c r="E18" s="44">
        <v>192.42</v>
      </c>
      <c r="F18" s="135">
        <f t="shared" si="0"/>
        <v>2394.56</v>
      </c>
      <c r="G18" s="120">
        <f>ROUND((C18+D18+E18)*('29_01_H_2020'!$O$10)*B18*12*(1+'29_01_H_2020'!$O$25),2)</f>
        <v>3125.17</v>
      </c>
      <c r="H18" s="46"/>
    </row>
    <row r="19" spans="1:8" ht="25.5">
      <c r="A19" s="3" t="s">
        <v>164</v>
      </c>
      <c r="B19" s="102">
        <v>1</v>
      </c>
      <c r="C19" s="110">
        <v>2138</v>
      </c>
      <c r="D19" s="44">
        <v>85.52</v>
      </c>
      <c r="E19" s="44">
        <v>149.66</v>
      </c>
      <c r="F19" s="135">
        <f t="shared" si="0"/>
        <v>2373.1799999999998</v>
      </c>
      <c r="G19" s="120">
        <f>ROUND((C19+D19+E19)*('29_01_H_2020'!$O$10)*B19*12*(1+'29_01_H_2020'!$O$25),2)</f>
        <v>1548.63</v>
      </c>
      <c r="H19" s="46"/>
    </row>
    <row r="20" spans="1:8" ht="25.5">
      <c r="A20" s="3" t="s">
        <v>163</v>
      </c>
      <c r="B20" s="102">
        <v>3</v>
      </c>
      <c r="C20" s="110">
        <v>2138</v>
      </c>
      <c r="D20" s="44">
        <v>85.52</v>
      </c>
      <c r="E20" s="44">
        <v>149.66</v>
      </c>
      <c r="F20" s="135">
        <f t="shared" si="0"/>
        <v>2373.1799999999998</v>
      </c>
      <c r="G20" s="120">
        <f>ROUND((C20+D20+E20)*('29_01_H_2020'!$O$10)*B20*12*(1+'29_01_H_2020'!$O$25),2)</f>
        <v>4645.8900000000003</v>
      </c>
      <c r="H20" s="46"/>
    </row>
    <row r="21" spans="1:8" ht="25.5">
      <c r="A21" s="3" t="s">
        <v>401</v>
      </c>
      <c r="B21" s="102">
        <v>1</v>
      </c>
      <c r="C21" s="110">
        <v>2138</v>
      </c>
      <c r="D21" s="44">
        <v>21.38</v>
      </c>
      <c r="E21" s="44">
        <v>192.42</v>
      </c>
      <c r="F21" s="135">
        <f t="shared" si="0"/>
        <v>2351.8000000000002</v>
      </c>
      <c r="G21" s="120">
        <f>ROUND((C21+D21+E21)*('29_01_H_2020'!$O$10)*B21*12*(1+'29_01_H_2020'!$O$25),2)</f>
        <v>1534.68</v>
      </c>
      <c r="H21" s="46"/>
    </row>
    <row r="22" spans="1:8" ht="25.5">
      <c r="A22" s="3" t="s">
        <v>402</v>
      </c>
      <c r="B22" s="102">
        <v>1</v>
      </c>
      <c r="C22" s="110">
        <v>1999</v>
      </c>
      <c r="D22" s="44">
        <v>59.97</v>
      </c>
      <c r="E22" s="44">
        <v>219.89</v>
      </c>
      <c r="F22" s="135">
        <f t="shared" si="0"/>
        <v>2278.8599999999997</v>
      </c>
      <c r="G22" s="120">
        <f>ROUND((C22+D22+E22)*('29_01_H_2020'!$O$10)*B22*12*(1+'29_01_H_2020'!$O$25),2)</f>
        <v>1487.08</v>
      </c>
      <c r="H22" s="46"/>
    </row>
    <row r="23" spans="1:8">
      <c r="A23" s="3" t="s">
        <v>165</v>
      </c>
      <c r="B23" s="102">
        <v>5.15</v>
      </c>
      <c r="C23" s="110">
        <v>1860</v>
      </c>
      <c r="D23" s="44">
        <v>148.80000000000001</v>
      </c>
      <c r="E23" s="44">
        <v>204.6</v>
      </c>
      <c r="F23" s="135">
        <f t="shared" si="0"/>
        <v>2213.4</v>
      </c>
      <c r="G23" s="120">
        <f>ROUND((C23+D23+E23)*('29_01_H_2020'!$O$10)*B23*12*(1+'29_01_H_2020'!$O$25),2)</f>
        <v>7438.48</v>
      </c>
      <c r="H23" s="46"/>
    </row>
    <row r="24" spans="1:8">
      <c r="A24" s="3" t="s">
        <v>165</v>
      </c>
      <c r="B24" s="102">
        <v>9</v>
      </c>
      <c r="C24" s="110">
        <v>1860</v>
      </c>
      <c r="D24" s="44">
        <v>148.80000000000001</v>
      </c>
      <c r="E24" s="44">
        <v>167.4</v>
      </c>
      <c r="F24" s="135">
        <f t="shared" si="0"/>
        <v>2176.1999999999998</v>
      </c>
      <c r="G24" s="120">
        <f>ROUND((C24+D24+E24)*('29_01_H_2020'!$O$10)*B24*12*(1+'29_01_H_2020'!$O$25),2)</f>
        <v>12780.82</v>
      </c>
      <c r="H24" s="46"/>
    </row>
    <row r="25" spans="1:8" ht="25.5">
      <c r="A25" s="3" t="s">
        <v>401</v>
      </c>
      <c r="B25" s="102">
        <v>1</v>
      </c>
      <c r="C25" s="110">
        <v>1880</v>
      </c>
      <c r="D25" s="44">
        <v>55.8</v>
      </c>
      <c r="E25" s="44">
        <v>167.4</v>
      </c>
      <c r="F25" s="135">
        <f t="shared" si="0"/>
        <v>2103.1999999999998</v>
      </c>
      <c r="G25" s="120">
        <f>ROUND((C25+D25+E25)*('29_01_H_2020'!$O$10)*B25*12*(1+'29_01_H_2020'!$O$25),2)</f>
        <v>1372.45</v>
      </c>
      <c r="H25" s="46"/>
    </row>
    <row r="26" spans="1:8">
      <c r="A26" s="3" t="s">
        <v>403</v>
      </c>
      <c r="B26" s="102">
        <v>3</v>
      </c>
      <c r="C26" s="110">
        <v>1860</v>
      </c>
      <c r="D26" s="44">
        <v>74.400000000000006</v>
      </c>
      <c r="E26" s="44">
        <v>130.19999999999999</v>
      </c>
      <c r="F26" s="135">
        <f t="shared" si="0"/>
        <v>2064.6</v>
      </c>
      <c r="G26" s="120">
        <f>ROUND((C26+D26+E26)*('29_01_H_2020'!$O$10)*B26*12*(1+'29_01_H_2020'!$O$25),2)</f>
        <v>4041.8</v>
      </c>
      <c r="H26" s="46"/>
    </row>
    <row r="27" spans="1:8">
      <c r="A27" s="3" t="s">
        <v>165</v>
      </c>
      <c r="B27" s="102">
        <v>5</v>
      </c>
      <c r="C27" s="110">
        <v>1860</v>
      </c>
      <c r="D27" s="44">
        <v>74.400000000000006</v>
      </c>
      <c r="E27" s="44">
        <v>130.19999999999999</v>
      </c>
      <c r="F27" s="135">
        <f t="shared" si="0"/>
        <v>2064.6</v>
      </c>
      <c r="G27" s="120">
        <f>ROUND((C27+D27+E27)*('29_01_H_2020'!$O$10)*B27*12*(1+'29_01_H_2020'!$O$25),2)</f>
        <v>6736.33</v>
      </c>
      <c r="H27" s="46"/>
    </row>
    <row r="28" spans="1:8">
      <c r="A28" s="3" t="s">
        <v>165</v>
      </c>
      <c r="B28" s="102">
        <v>2</v>
      </c>
      <c r="C28" s="110">
        <v>1860</v>
      </c>
      <c r="D28" s="44">
        <v>74.400000000000006</v>
      </c>
      <c r="E28" s="44">
        <v>93</v>
      </c>
      <c r="F28" s="135">
        <f t="shared" si="0"/>
        <v>2027.4</v>
      </c>
      <c r="G28" s="120">
        <f>ROUND((C28+D28+E28)*('29_01_H_2020'!$O$10)*B28*12*(1+'29_01_H_2020'!$O$25),2)</f>
        <v>2645.98</v>
      </c>
      <c r="H28" s="46"/>
    </row>
    <row r="29" spans="1:8">
      <c r="A29" s="3" t="s">
        <v>166</v>
      </c>
      <c r="B29" s="102">
        <v>1</v>
      </c>
      <c r="C29" s="110">
        <v>1581</v>
      </c>
      <c r="D29" s="44">
        <v>15.81</v>
      </c>
      <c r="E29" s="44">
        <v>173.91</v>
      </c>
      <c r="F29" s="135">
        <f t="shared" si="0"/>
        <v>1770.72</v>
      </c>
      <c r="G29" s="120">
        <f>ROUND((C29+D29+E29)*('29_01_H_2020'!$O$10)*B29*12*(1+'29_01_H_2020'!$O$25),2)</f>
        <v>1155.49</v>
      </c>
      <c r="H29" s="46"/>
    </row>
    <row r="30" spans="1:8">
      <c r="A30" s="3" t="s">
        <v>166</v>
      </c>
      <c r="B30" s="102">
        <v>1</v>
      </c>
      <c r="C30" s="110">
        <v>1581</v>
      </c>
      <c r="D30" s="44">
        <v>15.81</v>
      </c>
      <c r="E30" s="44">
        <v>142.29</v>
      </c>
      <c r="F30" s="135">
        <f t="shared" si="0"/>
        <v>1739.1</v>
      </c>
      <c r="G30" s="120">
        <f>ROUND((C30+D30+E30)*('29_01_H_2020'!$O$10)*B30*12*(1+'29_01_H_2020'!$O$25),2)</f>
        <v>1134.8599999999999</v>
      </c>
      <c r="H30" s="46"/>
    </row>
    <row r="31" spans="1:8">
      <c r="A31" s="3" t="s">
        <v>166</v>
      </c>
      <c r="B31" s="102">
        <v>1</v>
      </c>
      <c r="C31" s="110">
        <v>1581</v>
      </c>
      <c r="D31" s="44">
        <v>15.81</v>
      </c>
      <c r="E31" s="44">
        <v>110.67</v>
      </c>
      <c r="F31" s="135">
        <f t="shared" si="0"/>
        <v>1707.48</v>
      </c>
      <c r="G31" s="120">
        <f>ROUND((C31+D31+E31)*('29_01_H_2020'!$O$10)*B31*12*(1+'29_01_H_2020'!$O$25),2)</f>
        <v>1114.22</v>
      </c>
      <c r="H31" s="46"/>
    </row>
    <row r="32" spans="1:8">
      <c r="A32" s="3" t="s">
        <v>166</v>
      </c>
      <c r="B32" s="102">
        <v>2</v>
      </c>
      <c r="C32" s="110">
        <v>1581</v>
      </c>
      <c r="D32" s="44">
        <v>15.81</v>
      </c>
      <c r="E32" s="44">
        <v>79.05</v>
      </c>
      <c r="F32" s="135">
        <f t="shared" si="0"/>
        <v>1675.86</v>
      </c>
      <c r="G32" s="120">
        <f>ROUND((C32+D32+E32)*('29_01_H_2020'!$O$10)*B32*12*(1+'29_01_H_2020'!$O$25),2)</f>
        <v>2187.1799999999998</v>
      </c>
      <c r="H32" s="46"/>
    </row>
    <row r="33" spans="1:12">
      <c r="A33" s="3" t="s">
        <v>166</v>
      </c>
      <c r="B33" s="102">
        <v>1</v>
      </c>
      <c r="C33" s="110">
        <v>1489</v>
      </c>
      <c r="D33" s="44">
        <v>14.89</v>
      </c>
      <c r="E33" s="44">
        <v>163.79</v>
      </c>
      <c r="F33" s="135">
        <f t="shared" si="0"/>
        <v>1667.68</v>
      </c>
      <c r="G33" s="120">
        <f>ROUND((C33+D33+E33)*('29_01_H_2020'!$O$10)*B33*12*(1+'29_01_H_2020'!$O$25),2)</f>
        <v>1088.25</v>
      </c>
      <c r="H33" s="46"/>
    </row>
    <row r="34" spans="1:12">
      <c r="A34" s="3" t="s">
        <v>166</v>
      </c>
      <c r="B34" s="102">
        <v>2</v>
      </c>
      <c r="C34" s="110">
        <v>1489</v>
      </c>
      <c r="D34" s="44">
        <v>14.89</v>
      </c>
      <c r="E34" s="44">
        <v>134.01</v>
      </c>
      <c r="F34" s="135">
        <f t="shared" si="0"/>
        <v>1637.9</v>
      </c>
      <c r="G34" s="120">
        <f>ROUND((C34+D34+E34)*('29_01_H_2020'!$O$10)*B34*12*(1+'29_01_H_2020'!$O$25),2)</f>
        <v>2137.64</v>
      </c>
      <c r="H34" s="46"/>
    </row>
    <row r="35" spans="1:12">
      <c r="A35" s="3" t="s">
        <v>404</v>
      </c>
      <c r="B35" s="102">
        <v>1</v>
      </c>
      <c r="C35" s="110">
        <v>1489</v>
      </c>
      <c r="D35" s="44">
        <v>14.89</v>
      </c>
      <c r="E35" s="44">
        <v>104.23</v>
      </c>
      <c r="F35" s="135">
        <f t="shared" si="0"/>
        <v>1608.1200000000001</v>
      </c>
      <c r="G35" s="120">
        <f>ROUND((C35+D35+E35)*('29_01_H_2020'!$O$10)*B35*12*(1+'29_01_H_2020'!$O$25),2)</f>
        <v>1049.3900000000001</v>
      </c>
      <c r="H35" s="46"/>
    </row>
    <row r="36" spans="1:12" ht="15.75" thickBot="1">
      <c r="A36" s="3" t="s">
        <v>166</v>
      </c>
      <c r="B36" s="102">
        <v>2</v>
      </c>
      <c r="C36" s="110">
        <v>1489</v>
      </c>
      <c r="D36" s="44">
        <v>14.89</v>
      </c>
      <c r="E36" s="44">
        <v>104.23</v>
      </c>
      <c r="F36" s="135">
        <f t="shared" si="0"/>
        <v>1608.1200000000001</v>
      </c>
      <c r="G36" s="120">
        <f>ROUND((C36+D36+E36)*('29_01_H_2020'!$O$10)*B36*12*(1+'29_01_H_2020'!$O$25),2)</f>
        <v>2098.77</v>
      </c>
      <c r="H36" s="46"/>
    </row>
    <row r="37" spans="1:12" ht="15.75" thickBot="1">
      <c r="A37" s="108" t="s">
        <v>20</v>
      </c>
      <c r="B37" s="157">
        <f>SUM(B12:B36)</f>
        <v>52.15</v>
      </c>
      <c r="C37" s="109" t="s">
        <v>91</v>
      </c>
      <c r="D37" s="109" t="s">
        <v>91</v>
      </c>
      <c r="E37" s="109" t="s">
        <v>91</v>
      </c>
      <c r="F37" s="143"/>
      <c r="G37" s="158">
        <f>+G10</f>
        <v>73559.44</v>
      </c>
    </row>
    <row r="38" spans="1:12">
      <c r="A38" s="7"/>
      <c r="B38" s="8"/>
      <c r="C38" s="7"/>
      <c r="D38" s="7"/>
      <c r="E38" s="7"/>
      <c r="F38" s="9"/>
    </row>
    <row r="39" spans="1:12" ht="15" customHeight="1">
      <c r="A39" s="147"/>
      <c r="B39" s="147"/>
      <c r="C39" s="147"/>
      <c r="D39" s="147"/>
      <c r="E39" s="147"/>
      <c r="F39" s="147"/>
      <c r="H39" s="263"/>
      <c r="J39" s="50"/>
      <c r="L39" s="50"/>
    </row>
    <row r="40" spans="1:12">
      <c r="A40" s="147"/>
      <c r="B40" s="231"/>
      <c r="C40" s="147"/>
      <c r="D40" s="147"/>
      <c r="E40" s="147"/>
      <c r="F40" s="147"/>
      <c r="G40" s="46"/>
      <c r="J40" s="47"/>
      <c r="L40" s="47"/>
    </row>
    <row r="41" spans="1:12">
      <c r="A41" s="147"/>
      <c r="B41" s="231"/>
      <c r="C41" s="147"/>
      <c r="D41" s="147"/>
      <c r="E41" s="147"/>
      <c r="F41" s="147"/>
      <c r="G41" s="46"/>
    </row>
    <row r="42" spans="1:12">
      <c r="B42" s="232"/>
    </row>
    <row r="43" spans="1:12">
      <c r="B43" s="232"/>
    </row>
    <row r="44" spans="1:12">
      <c r="B44" s="232"/>
      <c r="G44" s="46"/>
    </row>
    <row r="45" spans="1:12">
      <c r="B45" s="232"/>
    </row>
    <row r="46" spans="1:12">
      <c r="B46" s="232"/>
    </row>
  </sheetData>
  <mergeCells count="12">
    <mergeCell ref="F1:G1"/>
    <mergeCell ref="A8:F8"/>
    <mergeCell ref="A9:F9"/>
    <mergeCell ref="A2:F3"/>
    <mergeCell ref="A5:G5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KOPSAVILKUMS</vt:lpstr>
      <vt:lpstr>29_01_H_2020</vt:lpstr>
      <vt:lpstr>caur tarifiem</vt:lpstr>
      <vt:lpstr>rezidenti1 </vt:lpstr>
      <vt:lpstr>rezidenti2 </vt:lpstr>
      <vt:lpstr>Pārējās ministrijas MK851</vt:lpstr>
      <vt:lpstr>VM NMPD MK851</vt:lpstr>
      <vt:lpstr>VM VADC MK851</vt:lpstr>
      <vt:lpstr>VM VTMEC MK851</vt:lpstr>
      <vt:lpstr>LM_līgumorg_851</vt:lpstr>
      <vt:lpstr>IEM_kapitsab_851</vt:lpstr>
      <vt:lpstr>LM_līgumorg_851!Print_Titles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 Rudzītis</dc:creator>
  <cp:lastModifiedBy>Sandra Kasparenko</cp:lastModifiedBy>
  <cp:lastPrinted>2021-09-30T11:17:05Z</cp:lastPrinted>
  <dcterms:created xsi:type="dcterms:W3CDTF">2019-05-13T06:29:17Z</dcterms:created>
  <dcterms:modified xsi:type="dcterms:W3CDTF">2021-12-16T04:27:49Z</dcterms:modified>
</cp:coreProperties>
</file>