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vnozare.pri\vm\Redirect_profiles\lzandberga\Desktop\LZ\DARBAM_MATERIALI\budzets 2019\2024\antidopinga_cenradis\290524\"/>
    </mc:Choice>
  </mc:AlternateContent>
  <xr:revisionPtr revIDLastSave="0" documentId="8_{258B1493-6E73-4CEC-9574-4032E241FFD5}" xr6:coauthVersionLast="47" xr6:coauthVersionMax="47" xr10:uidLastSave="{00000000-0000-0000-0000-000000000000}"/>
  <bookViews>
    <workbookView xWindow="-120" yWindow="-120" windowWidth="29040" windowHeight="15840" tabRatio="1000" xr2:uid="{DBA8A465-E051-4D2F-8072-F6CE3677F312}"/>
  </bookViews>
  <sheets>
    <sheet name="1.1." sheetId="8" r:id="rId1"/>
    <sheet name="1.2." sheetId="9" r:id="rId2"/>
    <sheet name="1.3." sheetId="10" r:id="rId3"/>
    <sheet name="1.4." sheetId="11" r:id="rId4"/>
    <sheet name="1.5." sheetId="12" r:id="rId5"/>
    <sheet name="1.6." sheetId="13" r:id="rId6"/>
    <sheet name="1.7." sheetId="14" r:id="rId7"/>
    <sheet name="1.8." sheetId="15" r:id="rId8"/>
    <sheet name="1.9." sheetId="16" r:id="rId9"/>
    <sheet name="1.10." sheetId="17" r:id="rId10"/>
    <sheet name="1.11." sheetId="18" r:id="rId11"/>
    <sheet name="1.12." sheetId="19" r:id="rId12"/>
    <sheet name="1.13." sheetId="20" r:id="rId13"/>
    <sheet name="1.14." sheetId="21" r:id="rId14"/>
    <sheet name="1.15." sheetId="22" r:id="rId15"/>
    <sheet name="1.16." sheetId="23" r:id="rId16"/>
    <sheet name="1.17." sheetId="24" r:id="rId17"/>
    <sheet name="1.18." sheetId="25" r:id="rId18"/>
    <sheet name="1.19." sheetId="26" r:id="rId19"/>
    <sheet name="1.20." sheetId="27" r:id="rId20"/>
    <sheet name="1.21." sheetId="28" r:id="rId21"/>
  </sheets>
  <definedNames>
    <definedName name="_xlnm.Print_Area" localSheetId="0">'1.1.'!$A$1:$C$66</definedName>
    <definedName name="_xlnm.Print_Area" localSheetId="9">'1.10.'!$A$1:$C$45</definedName>
    <definedName name="_xlnm.Print_Area" localSheetId="10">'1.11.'!$A$1:$C$45</definedName>
    <definedName name="_xlnm.Print_Area" localSheetId="11">'1.12.'!$A$1:$C$61</definedName>
    <definedName name="_xlnm.Print_Area" localSheetId="12">'1.13.'!$A$1:$C$61</definedName>
    <definedName name="_xlnm.Print_Area" localSheetId="13">'1.14.'!$A$1:$C$61</definedName>
    <definedName name="_xlnm.Print_Area" localSheetId="14">'1.15.'!$A$1:$C$61</definedName>
    <definedName name="_xlnm.Print_Area" localSheetId="15">'1.16.'!$A$1:$C$57</definedName>
    <definedName name="_xlnm.Print_Area" localSheetId="16">'1.17.'!$A$1:$C$45</definedName>
    <definedName name="_xlnm.Print_Area" localSheetId="17">'1.18.'!$A$1:$C$45</definedName>
    <definedName name="_xlnm.Print_Area" localSheetId="18">'1.19.'!$A$1:$C$45</definedName>
    <definedName name="_xlnm.Print_Area" localSheetId="1">'1.2.'!$A$1:$C$62</definedName>
    <definedName name="_xlnm.Print_Area" localSheetId="19">'1.20.'!$A$1:$C$45</definedName>
    <definedName name="_xlnm.Print_Area" localSheetId="20">'1.21.'!$A$1:$C$45</definedName>
    <definedName name="_xlnm.Print_Area" localSheetId="2">'1.3.'!$A$1:$C$65</definedName>
    <definedName name="_xlnm.Print_Area" localSheetId="3">'1.4.'!$A$1:$C$62</definedName>
    <definedName name="_xlnm.Print_Area" localSheetId="4">'1.5.'!$A$1:$C$61</definedName>
    <definedName name="_xlnm.Print_Area" localSheetId="5">'1.6.'!$A$1:$C$45</definedName>
    <definedName name="_xlnm.Print_Area" localSheetId="6">'1.7.'!$A$1:$C$45</definedName>
    <definedName name="_xlnm.Print_Area" localSheetId="7">'1.8.'!$A$1:$C$45</definedName>
    <definedName name="_xlnm.Print_Area" localSheetId="8">'1.9.'!$A$1:$C$44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8" i="22" l="1"/>
  <c r="C61" i="22" s="1"/>
  <c r="C34" i="12"/>
  <c r="C22" i="26"/>
  <c r="C34" i="23"/>
  <c r="C46" i="12"/>
  <c r="C56" i="12"/>
  <c r="C61" i="20"/>
  <c r="C32" i="12"/>
  <c r="C14" i="12"/>
  <c r="C18" i="12"/>
  <c r="C16" i="12"/>
  <c r="O8" i="9" l="1"/>
  <c r="E58" i="9"/>
  <c r="C58" i="9"/>
  <c r="C57" i="9" l="1"/>
  <c r="C32" i="9"/>
  <c r="C42" i="9"/>
  <c r="C36" i="9"/>
  <c r="C59" i="9" l="1"/>
  <c r="C38" i="28" l="1"/>
  <c r="C36" i="28"/>
  <c r="C34" i="28"/>
  <c r="C32" i="28"/>
  <c r="C30" i="28"/>
  <c r="C28" i="28"/>
  <c r="C26" i="28"/>
  <c r="C24" i="28"/>
  <c r="C22" i="28"/>
  <c r="C20" i="28"/>
  <c r="C18" i="28"/>
  <c r="C16" i="28"/>
  <c r="C10" i="28"/>
  <c r="C12" i="28"/>
  <c r="C8" i="28"/>
  <c r="C38" i="27"/>
  <c r="C36" i="27"/>
  <c r="C34" i="27"/>
  <c r="C32" i="27"/>
  <c r="C30" i="27"/>
  <c r="C28" i="27"/>
  <c r="C26" i="27"/>
  <c r="C24" i="27"/>
  <c r="C22" i="27"/>
  <c r="C20" i="27"/>
  <c r="C18" i="27"/>
  <c r="C16" i="27"/>
  <c r="C10" i="27"/>
  <c r="C12" i="27"/>
  <c r="C8" i="27"/>
  <c r="E8" i="27"/>
  <c r="C38" i="26"/>
  <c r="C36" i="26"/>
  <c r="C34" i="26"/>
  <c r="C32" i="26"/>
  <c r="C30" i="26"/>
  <c r="C28" i="26"/>
  <c r="C26" i="26"/>
  <c r="C24" i="26"/>
  <c r="C20" i="26"/>
  <c r="C18" i="26"/>
  <c r="C16" i="26"/>
  <c r="C10" i="26"/>
  <c r="C12" i="26"/>
  <c r="C8" i="26"/>
  <c r="C38" i="25"/>
  <c r="C36" i="25"/>
  <c r="C34" i="25"/>
  <c r="C32" i="25"/>
  <c r="C30" i="25"/>
  <c r="C28" i="25"/>
  <c r="C26" i="25"/>
  <c r="C24" i="25"/>
  <c r="C22" i="25"/>
  <c r="C20" i="25"/>
  <c r="C18" i="25"/>
  <c r="C16" i="25"/>
  <c r="C10" i="25"/>
  <c r="C12" i="25"/>
  <c r="C8" i="25"/>
  <c r="C38" i="24"/>
  <c r="C36" i="24"/>
  <c r="C34" i="24"/>
  <c r="C32" i="24"/>
  <c r="C30" i="24"/>
  <c r="C28" i="24"/>
  <c r="C26" i="24"/>
  <c r="C24" i="24"/>
  <c r="C22" i="24"/>
  <c r="C20" i="24"/>
  <c r="C18" i="24"/>
  <c r="C16" i="24"/>
  <c r="C10" i="24"/>
  <c r="C12" i="24"/>
  <c r="C8" i="24"/>
  <c r="C50" i="23"/>
  <c r="C48" i="23"/>
  <c r="C46" i="23"/>
  <c r="C44" i="23"/>
  <c r="C42" i="23"/>
  <c r="C40" i="23"/>
  <c r="C38" i="23"/>
  <c r="C36" i="23"/>
  <c r="C32" i="23"/>
  <c r="C30" i="23"/>
  <c r="C28" i="23"/>
  <c r="C24" i="23"/>
  <c r="C22" i="23"/>
  <c r="C20" i="23"/>
  <c r="C18" i="23"/>
  <c r="C16" i="23"/>
  <c r="C14" i="23"/>
  <c r="C12" i="23"/>
  <c r="C10" i="23"/>
  <c r="C8" i="23"/>
  <c r="C54" i="22"/>
  <c r="C52" i="22"/>
  <c r="C50" i="22"/>
  <c r="C48" i="22"/>
  <c r="C46" i="22"/>
  <c r="C44" i="22"/>
  <c r="C42" i="22"/>
  <c r="C40" i="22"/>
  <c r="C38" i="22"/>
  <c r="C36" i="22"/>
  <c r="C34" i="22"/>
  <c r="C32" i="22"/>
  <c r="C28" i="22"/>
  <c r="C26" i="22"/>
  <c r="C24" i="22"/>
  <c r="C22" i="22"/>
  <c r="C20" i="22"/>
  <c r="C18" i="22"/>
  <c r="C16" i="22"/>
  <c r="C14" i="22"/>
  <c r="C12" i="22"/>
  <c r="C10" i="22"/>
  <c r="C8" i="22"/>
  <c r="C54" i="21"/>
  <c r="C52" i="21"/>
  <c r="C50" i="21"/>
  <c r="C48" i="21"/>
  <c r="C46" i="21"/>
  <c r="C44" i="21"/>
  <c r="C42" i="21"/>
  <c r="C40" i="21"/>
  <c r="C38" i="21"/>
  <c r="C36" i="21"/>
  <c r="C34" i="21"/>
  <c r="C32" i="21"/>
  <c r="C28" i="21"/>
  <c r="C26" i="21"/>
  <c r="C24" i="21"/>
  <c r="C22" i="21"/>
  <c r="C20" i="21"/>
  <c r="C18" i="21"/>
  <c r="C16" i="21"/>
  <c r="C14" i="21"/>
  <c r="C12" i="21"/>
  <c r="C10" i="21"/>
  <c r="C8" i="21"/>
  <c r="C54" i="20"/>
  <c r="C52" i="20"/>
  <c r="C50" i="20"/>
  <c r="C48" i="20"/>
  <c r="C46" i="20"/>
  <c r="C44" i="20"/>
  <c r="C42" i="20"/>
  <c r="C38" i="20"/>
  <c r="C36" i="20"/>
  <c r="C34" i="20"/>
  <c r="C32" i="20"/>
  <c r="C28" i="20"/>
  <c r="C26" i="20"/>
  <c r="C24" i="20"/>
  <c r="C22" i="20"/>
  <c r="C20" i="20"/>
  <c r="C18" i="20"/>
  <c r="C16" i="20"/>
  <c r="C14" i="20"/>
  <c r="C12" i="20"/>
  <c r="C10" i="20"/>
  <c r="C8" i="20"/>
  <c r="C54" i="19"/>
  <c r="C52" i="19"/>
  <c r="C50" i="19"/>
  <c r="C48" i="19"/>
  <c r="C46" i="19"/>
  <c r="C44" i="19"/>
  <c r="C42" i="19"/>
  <c r="C40" i="19"/>
  <c r="C38" i="19"/>
  <c r="C36" i="19"/>
  <c r="C34" i="19"/>
  <c r="C32" i="19"/>
  <c r="C28" i="19"/>
  <c r="C26" i="19"/>
  <c r="C24" i="19"/>
  <c r="C22" i="19"/>
  <c r="C20" i="19"/>
  <c r="C18" i="19"/>
  <c r="C16" i="19"/>
  <c r="C14" i="19"/>
  <c r="C12" i="19"/>
  <c r="C10" i="19"/>
  <c r="C8" i="19"/>
  <c r="C38" i="18"/>
  <c r="C36" i="18"/>
  <c r="C34" i="18"/>
  <c r="C32" i="18"/>
  <c r="C30" i="18"/>
  <c r="C28" i="18"/>
  <c r="C26" i="18"/>
  <c r="C24" i="18"/>
  <c r="C22" i="18"/>
  <c r="C20" i="18"/>
  <c r="C18" i="18"/>
  <c r="C16" i="18"/>
  <c r="C10" i="18"/>
  <c r="C12" i="18"/>
  <c r="C8" i="18"/>
  <c r="C22" i="17"/>
  <c r="C16" i="17"/>
  <c r="C37" i="16"/>
  <c r="C38" i="15"/>
  <c r="C45" i="17"/>
  <c r="C38" i="17"/>
  <c r="C36" i="17"/>
  <c r="C34" i="17"/>
  <c r="C32" i="17"/>
  <c r="C30" i="17"/>
  <c r="C28" i="17"/>
  <c r="C26" i="17"/>
  <c r="C24" i="17"/>
  <c r="C20" i="17"/>
  <c r="C18" i="17"/>
  <c r="C10" i="17"/>
  <c r="C12" i="17"/>
  <c r="C8" i="17"/>
  <c r="C19" i="16"/>
  <c r="C16" i="16"/>
  <c r="C35" i="16"/>
  <c r="C33" i="16"/>
  <c r="C31" i="16"/>
  <c r="C29" i="16"/>
  <c r="C27" i="16"/>
  <c r="C25" i="16"/>
  <c r="C23" i="16"/>
  <c r="C21" i="16"/>
  <c r="C12" i="16"/>
  <c r="C10" i="16"/>
  <c r="C8" i="16"/>
  <c r="C36" i="15"/>
  <c r="C34" i="15"/>
  <c r="C32" i="15"/>
  <c r="C30" i="15"/>
  <c r="C28" i="15"/>
  <c r="C26" i="15"/>
  <c r="C24" i="15"/>
  <c r="C22" i="15"/>
  <c r="C20" i="15"/>
  <c r="C18" i="15"/>
  <c r="C16" i="15"/>
  <c r="C12" i="15"/>
  <c r="C10" i="15"/>
  <c r="C8" i="15"/>
  <c r="C40" i="14"/>
  <c r="C38" i="14"/>
  <c r="C36" i="14"/>
  <c r="C34" i="14"/>
  <c r="C32" i="14"/>
  <c r="C30" i="14"/>
  <c r="C28" i="14"/>
  <c r="C26" i="14"/>
  <c r="C24" i="14"/>
  <c r="C22" i="14"/>
  <c r="C20" i="14"/>
  <c r="C18" i="14"/>
  <c r="C16" i="14"/>
  <c r="C10" i="14"/>
  <c r="C12" i="14"/>
  <c r="C8" i="14"/>
  <c r="C40" i="13"/>
  <c r="C18" i="13"/>
  <c r="C38" i="13"/>
  <c r="C36" i="13"/>
  <c r="C34" i="13"/>
  <c r="C32" i="13"/>
  <c r="C30" i="13"/>
  <c r="C28" i="13"/>
  <c r="C26" i="13"/>
  <c r="C24" i="13"/>
  <c r="C22" i="13"/>
  <c r="C20" i="13"/>
  <c r="C16" i="13"/>
  <c r="C8" i="13"/>
  <c r="C10" i="13"/>
  <c r="C12" i="13"/>
  <c r="C54" i="12"/>
  <c r="C52" i="12"/>
  <c r="C50" i="12"/>
  <c r="C48" i="12"/>
  <c r="C44" i="12"/>
  <c r="C42" i="12"/>
  <c r="C40" i="12"/>
  <c r="C38" i="12"/>
  <c r="C36" i="12"/>
  <c r="C28" i="12"/>
  <c r="C26" i="12"/>
  <c r="C24" i="12"/>
  <c r="C22" i="12"/>
  <c r="C20" i="12"/>
  <c r="C12" i="12"/>
  <c r="C10" i="12"/>
  <c r="C8" i="12"/>
  <c r="C41" i="11"/>
  <c r="C55" i="11"/>
  <c r="C53" i="11"/>
  <c r="C51" i="11"/>
  <c r="C49" i="11"/>
  <c r="C47" i="11"/>
  <c r="C45" i="11"/>
  <c r="C43" i="11"/>
  <c r="C39" i="11"/>
  <c r="C37" i="11"/>
  <c r="C34" i="11"/>
  <c r="C14" i="11"/>
  <c r="C30" i="11"/>
  <c r="C28" i="11"/>
  <c r="C26" i="11"/>
  <c r="C24" i="11"/>
  <c r="C22" i="11"/>
  <c r="C20" i="11"/>
  <c r="C18" i="11"/>
  <c r="C16" i="11"/>
  <c r="C12" i="11"/>
  <c r="C10" i="11"/>
  <c r="C8" i="11"/>
  <c r="C58" i="10"/>
  <c r="C56" i="10"/>
  <c r="C54" i="10"/>
  <c r="C52" i="10"/>
  <c r="C50" i="10"/>
  <c r="C48" i="10"/>
  <c r="C46" i="10"/>
  <c r="C44" i="10"/>
  <c r="C42" i="10"/>
  <c r="C40" i="10"/>
  <c r="C38" i="10"/>
  <c r="C36" i="10"/>
  <c r="C14" i="10"/>
  <c r="C8" i="10"/>
  <c r="C32" i="10"/>
  <c r="C30" i="10"/>
  <c r="C28" i="10"/>
  <c r="C26" i="10"/>
  <c r="C24" i="10"/>
  <c r="C22" i="10"/>
  <c r="C20" i="10"/>
  <c r="C18" i="10"/>
  <c r="C16" i="10"/>
  <c r="C12" i="10"/>
  <c r="C10" i="10"/>
  <c r="C55" i="9"/>
  <c r="C53" i="9"/>
  <c r="C51" i="9"/>
  <c r="C49" i="9"/>
  <c r="C47" i="9"/>
  <c r="C45" i="9"/>
  <c r="C43" i="9"/>
  <c r="C40" i="9"/>
  <c r="C38" i="9"/>
  <c r="C34" i="9"/>
  <c r="C30" i="9"/>
  <c r="C28" i="9"/>
  <c r="C26" i="9"/>
  <c r="C24" i="9"/>
  <c r="C22" i="9"/>
  <c r="C20" i="9"/>
  <c r="C18" i="9"/>
  <c r="C16" i="9"/>
  <c r="C12" i="9"/>
  <c r="C10" i="9"/>
  <c r="C8" i="9"/>
  <c r="C59" i="8"/>
  <c r="C57" i="8"/>
  <c r="C55" i="8"/>
  <c r="C53" i="8"/>
  <c r="C51" i="8"/>
  <c r="C49" i="8"/>
  <c r="C47" i="8"/>
  <c r="C43" i="8"/>
  <c r="C45" i="8" s="1"/>
  <c r="C41" i="8"/>
  <c r="C40" i="8"/>
  <c r="C38" i="8"/>
  <c r="C36" i="8"/>
  <c r="C34" i="8"/>
  <c r="C32" i="8"/>
  <c r="C30" i="8"/>
  <c r="C28" i="8"/>
  <c r="C26" i="8"/>
  <c r="C24" i="8"/>
  <c r="C22" i="8"/>
  <c r="C20" i="8"/>
  <c r="C18" i="8"/>
  <c r="E18" i="8"/>
  <c r="C16" i="8"/>
  <c r="E16" i="8"/>
  <c r="C14" i="8"/>
  <c r="C10" i="8"/>
  <c r="C12" i="8"/>
  <c r="E12" i="8"/>
  <c r="C14" i="9" l="1"/>
  <c r="E10" i="8"/>
  <c r="E26" i="8" l="1"/>
  <c r="E28" i="8"/>
  <c r="C40" i="18"/>
  <c r="E8" i="18"/>
  <c r="E38" i="28"/>
  <c r="E36" i="28"/>
  <c r="E34" i="28"/>
  <c r="E32" i="28"/>
  <c r="E30" i="28"/>
  <c r="E28" i="28"/>
  <c r="E26" i="28"/>
  <c r="E24" i="28"/>
  <c r="E22" i="28"/>
  <c r="E20" i="28"/>
  <c r="E18" i="28"/>
  <c r="E16" i="28"/>
  <c r="E12" i="28"/>
  <c r="E10" i="28"/>
  <c r="E8" i="28"/>
  <c r="E38" i="27"/>
  <c r="E36" i="27"/>
  <c r="E34" i="27"/>
  <c r="E32" i="27"/>
  <c r="E30" i="27"/>
  <c r="E28" i="27"/>
  <c r="E26" i="27"/>
  <c r="E24" i="27"/>
  <c r="E22" i="27"/>
  <c r="E20" i="27"/>
  <c r="E18" i="27"/>
  <c r="E16" i="27"/>
  <c r="E12" i="27"/>
  <c r="E10" i="27"/>
  <c r="E38" i="26"/>
  <c r="E36" i="26"/>
  <c r="E34" i="26"/>
  <c r="E32" i="26"/>
  <c r="E30" i="26"/>
  <c r="E28" i="26"/>
  <c r="E26" i="26"/>
  <c r="E24" i="26"/>
  <c r="E22" i="26"/>
  <c r="E20" i="26"/>
  <c r="E18" i="26"/>
  <c r="E16" i="26"/>
  <c r="E12" i="26"/>
  <c r="E10" i="26"/>
  <c r="E8" i="26"/>
  <c r="E38" i="25"/>
  <c r="E36" i="25"/>
  <c r="E34" i="25"/>
  <c r="E32" i="25"/>
  <c r="E30" i="25"/>
  <c r="E28" i="25"/>
  <c r="E26" i="25"/>
  <c r="E24" i="25"/>
  <c r="E22" i="25"/>
  <c r="E20" i="25"/>
  <c r="E18" i="25"/>
  <c r="E16" i="25"/>
  <c r="E12" i="25"/>
  <c r="E10" i="25"/>
  <c r="E8" i="25"/>
  <c r="E38" i="24"/>
  <c r="E36" i="24"/>
  <c r="E34" i="24"/>
  <c r="E32" i="24"/>
  <c r="E30" i="24"/>
  <c r="E28" i="24"/>
  <c r="E26" i="24"/>
  <c r="E24" i="24"/>
  <c r="E22" i="24"/>
  <c r="E20" i="24"/>
  <c r="E18" i="24"/>
  <c r="E16" i="24"/>
  <c r="E12" i="24"/>
  <c r="E10" i="24"/>
  <c r="E8" i="24"/>
  <c r="E50" i="23"/>
  <c r="E48" i="23"/>
  <c r="E46" i="23"/>
  <c r="E44" i="23"/>
  <c r="E42" i="23"/>
  <c r="E40" i="23"/>
  <c r="E38" i="23"/>
  <c r="E36" i="23"/>
  <c r="E34" i="23"/>
  <c r="E32" i="23"/>
  <c r="E30" i="23"/>
  <c r="E28" i="23"/>
  <c r="E24" i="23"/>
  <c r="E22" i="23"/>
  <c r="E20" i="23"/>
  <c r="E18" i="23"/>
  <c r="E16" i="23"/>
  <c r="E14" i="23"/>
  <c r="E12" i="23"/>
  <c r="E10" i="23"/>
  <c r="E8" i="23"/>
  <c r="E54" i="22"/>
  <c r="E52" i="22"/>
  <c r="E50" i="22"/>
  <c r="E48" i="22"/>
  <c r="E46" i="22"/>
  <c r="E44" i="22"/>
  <c r="E42" i="22"/>
  <c r="E40" i="22"/>
  <c r="E38" i="22"/>
  <c r="E36" i="22"/>
  <c r="E34" i="22"/>
  <c r="E32" i="22"/>
  <c r="E28" i="22"/>
  <c r="E26" i="22"/>
  <c r="E24" i="22"/>
  <c r="E22" i="22"/>
  <c r="E20" i="22"/>
  <c r="E18" i="22"/>
  <c r="E16" i="22"/>
  <c r="E14" i="22"/>
  <c r="E12" i="22"/>
  <c r="E10" i="22"/>
  <c r="E8" i="22"/>
  <c r="E54" i="21"/>
  <c r="E52" i="21"/>
  <c r="E50" i="21"/>
  <c r="E48" i="21"/>
  <c r="E46" i="21"/>
  <c r="E44" i="21"/>
  <c r="E42" i="21"/>
  <c r="E40" i="21"/>
  <c r="E38" i="21"/>
  <c r="E36" i="21"/>
  <c r="E34" i="21"/>
  <c r="E32" i="21"/>
  <c r="E28" i="21"/>
  <c r="E26" i="21"/>
  <c r="E24" i="21"/>
  <c r="E22" i="21"/>
  <c r="E20" i="21"/>
  <c r="E18" i="21"/>
  <c r="E16" i="21"/>
  <c r="E14" i="21"/>
  <c r="E12" i="21"/>
  <c r="E10" i="21"/>
  <c r="E8" i="21"/>
  <c r="E54" i="20"/>
  <c r="E52" i="20"/>
  <c r="E50" i="20"/>
  <c r="E48" i="20"/>
  <c r="E46" i="20"/>
  <c r="E44" i="20"/>
  <c r="E42" i="20"/>
  <c r="E38" i="20"/>
  <c r="E36" i="20"/>
  <c r="E34" i="20"/>
  <c r="E32" i="20"/>
  <c r="E28" i="20"/>
  <c r="E26" i="20"/>
  <c r="E24" i="20"/>
  <c r="E22" i="20"/>
  <c r="E20" i="20"/>
  <c r="E18" i="20"/>
  <c r="E16" i="20"/>
  <c r="E14" i="20"/>
  <c r="E12" i="20"/>
  <c r="E10" i="20"/>
  <c r="E8" i="20"/>
  <c r="E54" i="19"/>
  <c r="E52" i="19"/>
  <c r="E50" i="19"/>
  <c r="E48" i="19"/>
  <c r="E46" i="19"/>
  <c r="E44" i="19"/>
  <c r="E42" i="19"/>
  <c r="E40" i="19"/>
  <c r="E38" i="19"/>
  <c r="E36" i="19"/>
  <c r="E34" i="19"/>
  <c r="E32" i="19"/>
  <c r="E28" i="19"/>
  <c r="E26" i="19"/>
  <c r="E24" i="19"/>
  <c r="E22" i="19"/>
  <c r="E20" i="19"/>
  <c r="E18" i="19"/>
  <c r="E16" i="19"/>
  <c r="E14" i="19"/>
  <c r="E12" i="19"/>
  <c r="E10" i="19"/>
  <c r="E8" i="19"/>
  <c r="E38" i="18"/>
  <c r="E36" i="18"/>
  <c r="E34" i="18"/>
  <c r="E32" i="18"/>
  <c r="E30" i="18"/>
  <c r="E28" i="18"/>
  <c r="E26" i="18"/>
  <c r="E24" i="18"/>
  <c r="E22" i="18"/>
  <c r="E20" i="18"/>
  <c r="E18" i="18"/>
  <c r="E16" i="18"/>
  <c r="E12" i="18"/>
  <c r="E10" i="18"/>
  <c r="E38" i="17"/>
  <c r="E36" i="17"/>
  <c r="E34" i="17"/>
  <c r="E32" i="17"/>
  <c r="E30" i="17"/>
  <c r="E28" i="17"/>
  <c r="E26" i="17"/>
  <c r="E24" i="17"/>
  <c r="E22" i="17"/>
  <c r="E20" i="17"/>
  <c r="E18" i="17"/>
  <c r="E16" i="17"/>
  <c r="E12" i="17"/>
  <c r="E10" i="17"/>
  <c r="E8" i="17"/>
  <c r="E37" i="16"/>
  <c r="E35" i="16"/>
  <c r="E33" i="16"/>
  <c r="E31" i="16"/>
  <c r="E29" i="16"/>
  <c r="E27" i="16"/>
  <c r="E25" i="16"/>
  <c r="E23" i="16"/>
  <c r="E21" i="16"/>
  <c r="E19" i="16"/>
  <c r="E16" i="16"/>
  <c r="E12" i="16"/>
  <c r="E10" i="16"/>
  <c r="E8" i="16"/>
  <c r="F38" i="15"/>
  <c r="F36" i="15"/>
  <c r="F34" i="15"/>
  <c r="F32" i="15"/>
  <c r="F30" i="15"/>
  <c r="F28" i="15"/>
  <c r="F26" i="15"/>
  <c r="F24" i="15"/>
  <c r="F22" i="15"/>
  <c r="F20" i="15"/>
  <c r="F18" i="15"/>
  <c r="F16" i="15"/>
  <c r="F12" i="15"/>
  <c r="F10" i="15"/>
  <c r="F8" i="15"/>
  <c r="F38" i="14"/>
  <c r="F36" i="14"/>
  <c r="F34" i="14"/>
  <c r="F32" i="14"/>
  <c r="F30" i="14"/>
  <c r="F28" i="14"/>
  <c r="F26" i="14"/>
  <c r="F24" i="14"/>
  <c r="F22" i="14"/>
  <c r="F20" i="14"/>
  <c r="F18" i="14"/>
  <c r="F16" i="14"/>
  <c r="F12" i="14"/>
  <c r="F10" i="14"/>
  <c r="F8" i="14"/>
  <c r="F38" i="13"/>
  <c r="F36" i="13"/>
  <c r="F34" i="13"/>
  <c r="F32" i="13"/>
  <c r="F30" i="13"/>
  <c r="F28" i="13"/>
  <c r="F26" i="13"/>
  <c r="F24" i="13"/>
  <c r="F22" i="13"/>
  <c r="F20" i="13"/>
  <c r="F16" i="13"/>
  <c r="F12" i="13"/>
  <c r="F8" i="13"/>
  <c r="E54" i="12"/>
  <c r="E52" i="12"/>
  <c r="E50" i="12"/>
  <c r="E48" i="12"/>
  <c r="E46" i="12"/>
  <c r="E44" i="12"/>
  <c r="E42" i="12"/>
  <c r="E40" i="12"/>
  <c r="E38" i="12"/>
  <c r="E36" i="12"/>
  <c r="E32" i="12"/>
  <c r="E28" i="12"/>
  <c r="E26" i="12"/>
  <c r="E24" i="12"/>
  <c r="E22" i="12"/>
  <c r="E20" i="12"/>
  <c r="E18" i="12"/>
  <c r="E16" i="12"/>
  <c r="E12" i="12"/>
  <c r="E10" i="12"/>
  <c r="E8" i="12"/>
  <c r="E55" i="11"/>
  <c r="E53" i="11"/>
  <c r="E51" i="11"/>
  <c r="E49" i="11"/>
  <c r="E47" i="11"/>
  <c r="E45" i="11"/>
  <c r="E43" i="11"/>
  <c r="E41" i="11"/>
  <c r="E39" i="11"/>
  <c r="E37" i="11"/>
  <c r="E34" i="11"/>
  <c r="E30" i="11"/>
  <c r="E28" i="11"/>
  <c r="E26" i="11"/>
  <c r="E24" i="11"/>
  <c r="E22" i="11"/>
  <c r="E20" i="11"/>
  <c r="E18" i="11"/>
  <c r="E16" i="11"/>
  <c r="E12" i="11"/>
  <c r="E10" i="11"/>
  <c r="E8" i="11"/>
  <c r="E58" i="10"/>
  <c r="E56" i="10"/>
  <c r="E54" i="10"/>
  <c r="E52" i="10"/>
  <c r="E50" i="10"/>
  <c r="E48" i="10"/>
  <c r="E46" i="10"/>
  <c r="E44" i="10"/>
  <c r="E42" i="10"/>
  <c r="E40" i="10"/>
  <c r="E38" i="10"/>
  <c r="E36" i="10"/>
  <c r="E32" i="10"/>
  <c r="E30" i="10"/>
  <c r="E28" i="10"/>
  <c r="E26" i="10"/>
  <c r="E24" i="10"/>
  <c r="E22" i="10"/>
  <c r="E20" i="10"/>
  <c r="E18" i="10"/>
  <c r="E16" i="10"/>
  <c r="E14" i="10"/>
  <c r="E12" i="10"/>
  <c r="E8" i="10"/>
  <c r="E10" i="10"/>
  <c r="E55" i="9"/>
  <c r="E53" i="9"/>
  <c r="E51" i="9"/>
  <c r="E49" i="9"/>
  <c r="E47" i="9"/>
  <c r="E45" i="9"/>
  <c r="E43" i="9"/>
  <c r="E40" i="9"/>
  <c r="E38" i="9"/>
  <c r="E36" i="9"/>
  <c r="E34" i="9"/>
  <c r="E30" i="9"/>
  <c r="E28" i="9"/>
  <c r="E26" i="9"/>
  <c r="E24" i="9"/>
  <c r="E22" i="9"/>
  <c r="E20" i="9"/>
  <c r="E18" i="9"/>
  <c r="E16" i="9"/>
  <c r="E14" i="8"/>
  <c r="E12" i="9"/>
  <c r="E10" i="9"/>
  <c r="E8" i="9"/>
  <c r="C61" i="8"/>
  <c r="E59" i="8"/>
  <c r="E57" i="8"/>
  <c r="E55" i="8"/>
  <c r="E53" i="8"/>
  <c r="E51" i="8"/>
  <c r="E49" i="8"/>
  <c r="E47" i="8"/>
  <c r="E43" i="8"/>
  <c r="E45" i="8" s="1"/>
  <c r="E41" i="8"/>
  <c r="E38" i="8"/>
  <c r="E40" i="8" s="1"/>
  <c r="E34" i="8"/>
  <c r="E32" i="8"/>
  <c r="E30" i="8"/>
  <c r="E24" i="8"/>
  <c r="E22" i="8"/>
  <c r="E20" i="8"/>
  <c r="C44" i="28"/>
  <c r="C44" i="27"/>
  <c r="C44" i="26"/>
  <c r="C44" i="25"/>
  <c r="C44" i="24"/>
  <c r="C56" i="23"/>
  <c r="C60" i="22"/>
  <c r="C60" i="21"/>
  <c r="C60" i="20"/>
  <c r="C60" i="19"/>
  <c r="C44" i="18"/>
  <c r="C44" i="17"/>
  <c r="C43" i="16"/>
  <c r="C44" i="15"/>
  <c r="C44" i="14"/>
  <c r="C44" i="13"/>
  <c r="E34" i="12"/>
  <c r="C60" i="12"/>
  <c r="C61" i="11"/>
  <c r="C64" i="10"/>
  <c r="C61" i="9"/>
  <c r="C65" i="8"/>
  <c r="C40" i="28" l="1"/>
  <c r="C40" i="27"/>
  <c r="C40" i="26"/>
  <c r="C40" i="25"/>
  <c r="C40" i="24"/>
  <c r="C52" i="23"/>
  <c r="C56" i="22"/>
  <c r="C56" i="21"/>
  <c r="C56" i="20"/>
  <c r="C56" i="19"/>
  <c r="C40" i="17"/>
  <c r="C39" i="16"/>
  <c r="C40" i="15"/>
  <c r="F10" i="13"/>
  <c r="E14" i="12"/>
  <c r="E14" i="11"/>
  <c r="C57" i="11"/>
  <c r="C60" i="10"/>
  <c r="E14" i="9"/>
  <c r="C14" i="28"/>
  <c r="C41" i="28" s="1"/>
  <c r="C42" i="28" s="1"/>
  <c r="C45" i="28" s="1"/>
  <c r="C14" i="26"/>
  <c r="C14" i="25"/>
  <c r="C14" i="24"/>
  <c r="C26" i="23"/>
  <c r="C30" i="22"/>
  <c r="C30" i="21"/>
  <c r="C30" i="20"/>
  <c r="C57" i="20" s="1"/>
  <c r="C58" i="20" s="1"/>
  <c r="C30" i="19"/>
  <c r="C14" i="18"/>
  <c r="C14" i="17"/>
  <c r="C14" i="16"/>
  <c r="C14" i="14"/>
  <c r="C14" i="13"/>
  <c r="C41" i="13" s="1"/>
  <c r="C42" i="13" s="1"/>
  <c r="C45" i="13" s="1"/>
  <c r="C30" i="12"/>
  <c r="C32" i="11"/>
  <c r="C34" i="10"/>
  <c r="C14" i="27" l="1"/>
  <c r="C41" i="27" s="1"/>
  <c r="C42" i="27" s="1"/>
  <c r="C45" i="27" s="1"/>
  <c r="C41" i="26"/>
  <c r="C42" i="26" s="1"/>
  <c r="C45" i="26" s="1"/>
  <c r="C41" i="24"/>
  <c r="C42" i="24" s="1"/>
  <c r="C45" i="24" s="1"/>
  <c r="C57" i="22"/>
  <c r="C41" i="17"/>
  <c r="C42" i="17" s="1"/>
  <c r="C14" i="15"/>
  <c r="C41" i="15" s="1"/>
  <c r="C42" i="15" s="1"/>
  <c r="C45" i="15" s="1"/>
  <c r="C41" i="14"/>
  <c r="C42" i="14" s="1"/>
  <c r="C45" i="14" s="1"/>
  <c r="C58" i="11"/>
  <c r="C59" i="11" s="1"/>
  <c r="C62" i="11" s="1"/>
  <c r="C41" i="25"/>
  <c r="C42" i="25" s="1"/>
  <c r="C45" i="25" s="1"/>
  <c r="C41" i="18"/>
  <c r="C42" i="18" s="1"/>
  <c r="C45" i="18" s="1"/>
  <c r="C53" i="23"/>
  <c r="C54" i="23" s="1"/>
  <c r="C57" i="23" s="1"/>
  <c r="C57" i="21"/>
  <c r="C58" i="21" s="1"/>
  <c r="C61" i="21" s="1"/>
  <c r="C57" i="19"/>
  <c r="C58" i="19" s="1"/>
  <c r="C61" i="19" s="1"/>
  <c r="C40" i="16"/>
  <c r="C41" i="16" s="1"/>
  <c r="C44" i="16" s="1"/>
  <c r="C57" i="12"/>
  <c r="C58" i="12" s="1"/>
  <c r="C61" i="12" s="1"/>
  <c r="C61" i="10"/>
  <c r="C62" i="10" s="1"/>
  <c r="C65" i="10" s="1"/>
  <c r="C62" i="9" l="1"/>
  <c r="C62" i="8" l="1"/>
  <c r="C63" i="8" s="1"/>
  <c r="C6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tc={BF5F607C-E2A6-4936-924A-44F6543460C6}</author>
    <author>tc={69B1F738-912D-4B69-B172-3DEA9F1B3E96}</author>
  </authors>
  <commentList>
    <comment ref="C34" authorId="0" shapeId="0" xr:uid="{BF5F607C-E2A6-4936-924A-44F6543460C6}">
      <text>
        <t>[Threaded comment]
Your version of Excel allows you to read this threaded comment; however, any edits to it will get removed if the file is opened in a newer version of Excel. Learn more: https://go.microsoft.com/fwlink/?linkid=870924
Comment:
    Nomainīju formulā aili no A32 uz C32</t>
      </text>
    </comment>
    <comment ref="C46" authorId="1" shapeId="0" xr:uid="{69B1F738-912D-4B69-B172-3DEA9F1B3E96}">
      <text>
        <t>[Threaded comment]
Your version of Excel allows you to read this threaded comment; however, any edits to it will get removed if the file is opened in a newer version of Excel. Learn more: https://go.microsoft.com/fwlink/?linkid=870924
Comment:
    Iztrūka 0 aiz komata</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tc={DD3E9778-5E84-4614-AF51-6DAAE1294CA1}</author>
  </authors>
  <commentList>
    <comment ref="C34" authorId="0" shapeId="0" xr:uid="{DD3E9778-5E84-4614-AF51-6DAAE1294CA1}">
      <text>
        <t>[Threaded comment]
Your version of Excel allows you to read this threaded comment; however, any edits to it will get removed if the file is opened in a newer version of Excel. Learn more: https://go.microsoft.com/fwlink/?linkid=870924
Comment:
    Pieliku klāt x12 mēneši formulā</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tc={E81D3A51-7244-41DB-9B5D-A021BDD15884}</author>
  </authors>
  <commentList>
    <comment ref="C22" authorId="0" shapeId="0" xr:uid="{E81D3A51-7244-41DB-9B5D-A021BDD15884}">
      <text>
        <t>[Threaded comment]
Your version of Excel allows you to read this threaded comment; however, any edits to it will get removed if the file is opened in a newer version of Excel. Learn more: https://go.microsoft.com/fwlink/?linkid=870924
Comment:
    Pievienoju X 12 mēneši</t>
      </text>
    </comment>
  </commentList>
</comments>
</file>

<file path=xl/sharedStrings.xml><?xml version="1.0" encoding="utf-8"?>
<sst xmlns="http://schemas.openxmlformats.org/spreadsheetml/2006/main" count="1353" uniqueCount="388">
  <si>
    <t>Tiešās izmaksas</t>
  </si>
  <si>
    <t>Netiešās izmaksas</t>
  </si>
  <si>
    <r>
      <t>Maksas pakalpojuma izcenojuma aprēķins</t>
    </r>
    <r>
      <rPr>
        <sz val="12"/>
        <color rgb="FF000000"/>
        <rFont val="Times New Roman"/>
        <family val="1"/>
      </rPr>
      <t> </t>
    </r>
  </si>
  <si>
    <t>Maksas pakalpojuma veids:  </t>
  </si>
  <si>
    <t>1.1. Viena urīna parauga analīze dopinga vielu noteikšanai sacensību laikā bez papildus izmeklējumiem ar atbildes sniegšanu 14 dienu laikā </t>
  </si>
  <si>
    <t>Laikposms:</t>
  </si>
  <si>
    <t>1 gads </t>
  </si>
  <si>
    <t>Plānotais pakalpojuma sniegšanas vienību skaits</t>
  </si>
  <si>
    <t>Izdevumu klasifikācijas kods </t>
  </si>
  <si>
    <t>Rādītājs (materiāla/izejvielas nosaukums, atlīdzība un citi izmaksu veidi) </t>
  </si>
  <si>
    <t>Izmaksu apjoms noteiktā laikposmā viena maksas pakalpojuma veida nodrošināšanai </t>
  </si>
  <si>
    <t>1119 </t>
  </si>
  <si>
    <t>(1690,00+1420,00)/2/21/8/11*12*424</t>
  </si>
  <si>
    <t>1150 </t>
  </si>
  <si>
    <t>60*53</t>
  </si>
  <si>
    <t>Darba devēja valsts sociālās apdrošināšanas obligātās iemaksas 23,59%.</t>
  </si>
  <si>
    <t>2219 </t>
  </si>
  <si>
    <t>Parauga nogāde laboratorijā notiek, izmantojot attiecīgā pakalpojuma sniedzēju "Ursus forwarding". Šī pakalpojuma maksa, atbilstoši izcenojumam ir 12.02 euro. Izmaksu aprēķins: </t>
  </si>
  <si>
    <t>12,02*53 </t>
  </si>
  <si>
    <t>2279 </t>
  </si>
  <si>
    <t>166,6*53</t>
  </si>
  <si>
    <t>2311 </t>
  </si>
  <si>
    <t>2.40*1,5*53</t>
  </si>
  <si>
    <t>Izdevumi par precēm (kancelejas preces) pakalpojuma nodrošināšanai – iepakojums transportēšanai (aploksnes). Uz vienu pakalpojumu izdevumi ir 0,0393 euro. Izdevumu aprēķins: </t>
  </si>
  <si>
    <t>0,0393*53</t>
  </si>
  <si>
    <t>16,22*53</t>
  </si>
  <si>
    <t>2350 </t>
  </si>
  <si>
    <t>Atkritumu, kas saistīti ar dopinga analīzēm utilizācijai izmanto miskastes maisu. Vienam pakalpojumam izmato 1 maisu. </t>
  </si>
  <si>
    <t>0,0275*1*53</t>
  </si>
  <si>
    <t>0,13*53</t>
  </si>
  <si>
    <t>2011,00*12*0,0956*53/108 </t>
  </si>
  <si>
    <t>1210 </t>
  </si>
  <si>
    <t>Kopējie izdevumi par sakaru pakalpojumu nodrošināšanu gadā, neskaitot kurjerpasta izdevumus dopinga kontroļu analīžu nogādāšanai laboratorijā, sastāda 1097,88 euro. Uz maksas pakalpojumiem attiecinās 9.56 % no kopēja pakalpojuma skaita. Ņemot vērā šī pakalpojuma īpatsvaru kopējā antidopinga maksas pakalpojumu skaitā, izdevumu aprēķinā: </t>
  </si>
  <si>
    <t>1097,88*0,0956*53/108 </t>
  </si>
  <si>
    <t>2224 </t>
  </si>
  <si>
    <t>267,89*0,0956*53/108 </t>
  </si>
  <si>
    <t>2250 </t>
  </si>
  <si>
    <t>1200*0,0956*53/108</t>
  </si>
  <si>
    <t>19884,6*0,0956*53/108 </t>
  </si>
  <si>
    <t>20211,84*0,0956*53/108</t>
  </si>
  <si>
    <t>2322 </t>
  </si>
  <si>
    <t>4564,197*0,0956*53/108</t>
  </si>
  <si>
    <t>Kopējie izdevumi par uzturēšanas materiālu iegādi ir 1015,00euro. Uz maksas pakalpojumiem attiecinās 9,56% no kopēja pakalpojuma skaita. Ņemot vērā šī pakalpojuma īpatsvaru kopējā antidopinga maksas pakalpojumu skaitā, izdevumu aprēķinā: </t>
  </si>
  <si>
    <t>1015*0,0956*53/108 </t>
  </si>
  <si>
    <t>Tehnoloģisko iekārtu nolietojums. Uz maksas pakalpojumiem attiecinās 9,56% no kopēja pakalpojuma skaita. Pakalpojumu sniegšanā tiek izmantotas 3 tehnoloģiskā iekārtas ar sākotnējo iegādes vērtību 332,75*4=1 331 euro un paredzamo derīgās lietošanas laiku 5 gadi. Ņemot vērā šī pakalpojuma īpatsvaru tehnoloģisko iekārtu nolietojuma izdevumus aprēķina šādi: </t>
  </si>
  <si>
    <t>53/108*1331/60*12*0,0956 </t>
  </si>
  <si>
    <t>Netiešās izmaksas kopā:</t>
  </si>
  <si>
    <t>Pakalpojuma izmaksas kopā:</t>
  </si>
  <si>
    <t>Pakalpojuma cena:</t>
  </si>
  <si>
    <t>Maksas pakalpojuma vienību skaits noteiktā laikposmā (gab.) </t>
  </si>
  <si>
    <t>1.2. Viena urīna parauga analīze dopinga vielu noteikšanai ārpus sacensībām bez papildus izmeklējumiem ar atbildes sniegšanu 14 dienu laikā</t>
  </si>
  <si>
    <t>(1690,00+1420,00)/2/21/8/11*12*48</t>
  </si>
  <si>
    <t>40*8</t>
  </si>
  <si>
    <t>(1690,00+1420,00)/2/21/8/11*12*16</t>
  </si>
  <si>
    <t>12,02*8 </t>
  </si>
  <si>
    <t>124,95*8</t>
  </si>
  <si>
    <t>2.40*1,5*8</t>
  </si>
  <si>
    <t>0,0393*8</t>
  </si>
  <si>
    <t>16,22*8</t>
  </si>
  <si>
    <t>0,0275*1*8</t>
  </si>
  <si>
    <t>0,13*8</t>
  </si>
  <si>
    <t xml:space="preserve">1.3. Viena urīna parauga analīze dopinga vielu noteikšanai sacensību laikā bez papildus izmeklējumiem ar atbildes sniegšanu 72 stundu laikā </t>
  </si>
  <si>
    <t>(1690,00+1420,00)/2/21/8/11*12*8</t>
  </si>
  <si>
    <t>60*1</t>
  </si>
  <si>
    <t>(1690,00+1420,00)/2/21/8/11*12*2</t>
  </si>
  <si>
    <t>12,02*1 </t>
  </si>
  <si>
    <t>274,89*1</t>
  </si>
  <si>
    <t>2.40*1,5*1</t>
  </si>
  <si>
    <t>0,0393*1</t>
  </si>
  <si>
    <t>16,22*1</t>
  </si>
  <si>
    <t>0,0275*1*1</t>
  </si>
  <si>
    <t>0,13*1</t>
  </si>
  <si>
    <t>2011,00*12*0,0956*1/108 </t>
  </si>
  <si>
    <t>1097,88*0,0956*1/108 </t>
  </si>
  <si>
    <t>267,89*0,0956*1/108 </t>
  </si>
  <si>
    <t>1200*0,0956*1/108</t>
  </si>
  <si>
    <t>19884,6*0,0956*1/108 </t>
  </si>
  <si>
    <t>20211,84*0,0956*1/108</t>
  </si>
  <si>
    <t>4564,197*0,0956*1/108</t>
  </si>
  <si>
    <t>1015*0,0956*1/108 </t>
  </si>
  <si>
    <t>1/108*1331/60*12*0,0956 </t>
  </si>
  <si>
    <t xml:space="preserve">1.4. Viena urīna parauga analīze dopinga vielu noteikšanai ārpus sacensībām bez papildus izmeklējumiem ar atbildes sniegšanu 72 stundu laikā </t>
  </si>
  <si>
    <t>(1690,00+1420,00)/2/21/8/11*12*12</t>
  </si>
  <si>
    <t>40*2</t>
  </si>
  <si>
    <t>(1690,00+1420,00)/2/21/8/11*12*4</t>
  </si>
  <si>
    <t>12,02*2</t>
  </si>
  <si>
    <t>224,91*2</t>
  </si>
  <si>
    <t>2.40*1,5*2</t>
  </si>
  <si>
    <t>0,0393*2</t>
  </si>
  <si>
    <t>16,22*2</t>
  </si>
  <si>
    <t>0,0275*1*2</t>
  </si>
  <si>
    <t>0,13*2</t>
  </si>
  <si>
    <t>2011,00*12*0,0956*2/108 </t>
  </si>
  <si>
    <t>1097,88*0,0956*2/108 </t>
  </si>
  <si>
    <t>267,89*0,0956*2/108 </t>
  </si>
  <si>
    <t>1200*0,0956*2/108</t>
  </si>
  <si>
    <t>19884,6*0,0956*2/108 </t>
  </si>
  <si>
    <t>20211,84*0,0956*2/108</t>
  </si>
  <si>
    <t>4564,197*0,0956*2/108</t>
  </si>
  <si>
    <t>1015*0,0956*2/108 </t>
  </si>
  <si>
    <t>2/108*1331/60*12*0,0956 </t>
  </si>
  <si>
    <t xml:space="preserve">1.5. Viena urīna parauga savākšana (bez paraugu transportēšanas uz laboratoriju, laboratorijas pakalpojumu un komandējuma izdevumu apmaksas) </t>
  </si>
  <si>
    <t>(1690,00+1420,00)/2/21/8/11*12*64</t>
  </si>
  <si>
    <t>60*8</t>
  </si>
  <si>
    <t>2011,00*12*0,0956*8/108 </t>
  </si>
  <si>
    <t>1097,88*0,0956*8/108 </t>
  </si>
  <si>
    <t>267,89*0,0956*8/108 </t>
  </si>
  <si>
    <t>1200*0,0956*8/108</t>
  </si>
  <si>
    <t>19884,6*0,0956*8/108 </t>
  </si>
  <si>
    <t>20211,84*0,0956*8/108</t>
  </si>
  <si>
    <t>4564,197*0,0956*8/108</t>
  </si>
  <si>
    <t>1015*0,0956*8/108 </t>
  </si>
  <si>
    <t>8/108*1331/60*12*0,0956 </t>
  </si>
  <si>
    <t xml:space="preserve">1.6. Viens papildus izmeklējums urīnā eritropoetīna noteikšanai </t>
  </si>
  <si>
    <t>209,44*6</t>
  </si>
  <si>
    <t xml:space="preserve">1.7. Viens papildus izmeklējums urīnā augšanas hormona atbrīvotājfaktoru noteikšanai </t>
  </si>
  <si>
    <t>1097,88*0,0956*12/108 </t>
  </si>
  <si>
    <t>267,89*0,0956*12/108 </t>
  </si>
  <si>
    <t>1200*0,0956*12/108</t>
  </si>
  <si>
    <t>19884,6*0,0956*12/108 </t>
  </si>
  <si>
    <t>20211,84*0,0956*12/108</t>
  </si>
  <si>
    <t>4564,197*0,0956*12/108</t>
  </si>
  <si>
    <t>1015*0,0956*12/108 </t>
  </si>
  <si>
    <t>12/108*1331/60*12*0,0956 </t>
  </si>
  <si>
    <t xml:space="preserve">1.8. Viens papildus izmeklējums urīnā gonadotropīna atbrīvotājhormona noteikšanai </t>
  </si>
  <si>
    <t>1.11. Viens izmeklējums urīnā endogēno steroīdu apstiprināšanai, t.sk. ar IRMS metodi</t>
  </si>
  <si>
    <t xml:space="preserve">1.12. Viena asins parauga analīze eritropoetīna noteikšanai asins serumā </t>
  </si>
  <si>
    <t>Parauga nogāde laboratorijā notiek, izmantojot attiecīgā pakalpojuma sniedzēju "Ursus forwarding" ātro piegādi. Šī pakalpojuma maksa, atbilstoši izcenojumam ir 16,66 euro. Izmaksu aprēķins: </t>
  </si>
  <si>
    <t xml:space="preserve">1.13. Viena asins parauga analīze augšanas hormona noteikšanai asins serumā </t>
  </si>
  <si>
    <t xml:space="preserve">1.14. Viena asins parauga analīze mākslīgu skābekļa pārnesēju uz hemoglobīna bāzes noteikšanai asins plazmā </t>
  </si>
  <si>
    <t xml:space="preserve">1.15. Viena asins parauga analīze sportista bioloģiskajai asins pasei asins plazmā </t>
  </si>
  <si>
    <t xml:space="preserve">1.16. Viena asins parauga savākšana (bez paraugu transportēšanas uz laboratoriju, laboratorijas pakalpojumu un komandējuma izdevumu apmaksas) </t>
  </si>
  <si>
    <t xml:space="preserve">1.17. Viena parauga B daļas kvalitatīvā analīze A paraugā noteiktās dopinga vielas apstiprināšanai </t>
  </si>
  <si>
    <t>1.18. Viena parauga B daļas kvantitatīvā analīze A paraugā noteiktās dopinga vielas apstiprināšanai</t>
  </si>
  <si>
    <t>1.19. Viena parauga B daļas izmeklējums ar IRMS metodi</t>
  </si>
  <si>
    <t>1.20. Laboratorijas sagatavots analītisko rezultātu pilns dokumentārs pārskats A vai B paraugam</t>
  </si>
  <si>
    <t>1.21. Laboratorijas sagatavots analītisko rezultātu pilns dokumentārs pārskats A un B paraugam</t>
  </si>
  <si>
    <t>1.pielikums
 Ministru kabineta noteikumu projektam 
"Grozījumi 10.07.2018. MK noteikumos Nr.410 
"Latvijas Antidopinga biroja maksas pakalpojumu cenrādis"" 
sākotnējās ietekmes novērtējuma
 ziņojumam (anotācijai)</t>
  </si>
  <si>
    <r>
      <t xml:space="preserve">Maksas pakalpojuma izcenojums (euro) </t>
    </r>
    <r>
      <rPr>
        <b/>
        <i/>
        <sz val="12"/>
        <color rgb="FF000000"/>
        <rFont val="Times New Roman"/>
        <family val="1"/>
      </rPr>
      <t>(pakalpojuma izmaksas kopā, dalītas ar maksas pakalpojuma vienību skaitu noteiktā laikposmā)</t>
    </r>
    <r>
      <rPr>
        <b/>
        <sz val="12"/>
        <color rgb="FF000000"/>
        <rFont val="Times New Roman"/>
        <family val="1"/>
      </rPr>
      <t> </t>
    </r>
  </si>
  <si>
    <t>Izdevumi par laboratorijas pakalpojumiem. Šī pakalpojuma maksa, atbilstoši laboratorijas izcenojumam ir 166.60 euro. Izmaksu aprēķins: </t>
  </si>
  <si>
    <t>0,38*3*53</t>
  </si>
  <si>
    <t xml:space="preserve">Dzeramā ūdens iegādes izdevumi. Pakalpojuma sniegšanas laika sportisti ir nodrošināti ar ūdeni. Vienas pudeles izmaksas ir 0,38 euro. Pakalpojuma sniegšanas laikā vidēji ir iztērētās 3 pudeles. Izdevumu aprēķins: </t>
  </si>
  <si>
    <t>Izdevumi par precēm (kancelejas preces) pakalpojuma nodrošināšanai – dopinga kontroles anketas (1,5 gab.)</t>
  </si>
  <si>
    <t>Atkritumiem, kas saistīti ar dopinga analīzēm utilizācijai, izmanto miskastes maisu. Vienam pakalpojumam izmato 1 maisu. </t>
  </si>
  <si>
    <t>0,05*10*53</t>
  </si>
  <si>
    <t>Darījumu uzskaiti par sniegtajiem maksas pakalpojumiem veic Biroja vadītāja ar noteikto mēnešalgu 2011,00 euro/mēnesī (1slodze) (amatu saime un līmenis 42 IV 10.mēnešalgu grupa). Visu antidopinga maksas pakalpojumu uzskaitei biroja vadītāja patērē 9,56 % sava laika. Ņemot vērā šī pakalpojuma īpatsvaru kopējā antidopinga maksas pakalpojumu skaitā, atlīdzību aprēķinā: </t>
  </si>
  <si>
    <t>3015*12*0,0956*53/108</t>
  </si>
  <si>
    <t>400.41*0.2359</t>
  </si>
  <si>
    <t>(1420,00+1690,00)/2/21/8/11*12*106</t>
  </si>
  <si>
    <t>(484.68+320+161.56)*0.2359</t>
  </si>
  <si>
    <t>Izdevumi par laboratorijas pakalpojumiem. Šī pakalpojuma maksa, atbilstoši laboratorijas izcenojumam ir 124,95 euro. Izmaksu aprēķins: </t>
  </si>
  <si>
    <t>0,05*10*8</t>
  </si>
  <si>
    <t>(4281.34+3180+1070.34)*0.2359</t>
  </si>
  <si>
    <t>Izdevumi par precēm (kancelejas preces) pakalpojuma nodrošināšanai – dopinga kontroles anketas (1,5 gab.) </t>
  </si>
  <si>
    <t>Kopējie izdevumi par laboratorijas preču iegādi. Vienam pakalpojumam izmato preces par kopējo summu 16,22 euro. Izdevumu aprēķins: </t>
  </si>
  <si>
    <t>Atkritumiem, kas saistīti ar dopinga analīzēm utilizācijai, izmanto miskastes maisu. Vienam pakalpojumam izmanto 1 maisu. </t>
  </si>
  <si>
    <t>170.89*0.2359</t>
  </si>
  <si>
    <t>Kopējie izdevumi par sakaru pakalpojumu nodrošināšanu gadā, neskaitot kurjerpasta izdevumus dopinga kontroļu analīžu nogādāšanai laboratorijā, sastāda 1097,88 euro. Uz maksas pakalpojumiem attiecinās 9.56 % no kopēja pakalpojuma skaita. Ņemot vērā šī pakalpojuma īpatsvaru kopējā antidopinga maksas pakalpojumu skaitā, izdevumus aprēķina: </t>
  </si>
  <si>
    <t>Kopējie izdevumi par medicīnisko atkritumu izvešanu gadā - 267,89 euro. Uz maksas pakalpojumiem attiecina 9,56% no kopējā pakalpojuma skaita. Ņemot vērā šī pakalpojuma īpatsvaru kopējā antidopinga maksas pakalpojumu skaitā, izdevumus aprēķina: </t>
  </si>
  <si>
    <t>Kopējie izdevumi par sakaru pakalpojumu nodrošināšanu gadā, neskaitot kurjerpasta izdevumus dopinga kontroļu analīžu nogādāšanai laboratorijā, sastāda 1097,88 euro. Uz maksas pakalpojumiem attiecina 9.56 % no kopēja pakalpojuma skaita. Ņemot vērā šī pakalpojuma īpatsvaru kopējā antidopinga maksas pakalpojumu skaitā, izdevumus aprēķina: </t>
  </si>
  <si>
    <t>Darījumu uzskaiti par sniegtajiem maksas pakalpojumiem veic Biroja vadītāja ar noteikto mēnešalgu 2011,00 euro/mēnesī (1slodze) (amatu saime un līmenis 42 IV 10.mēnešalgu grupa). Visu antidopinga maksas pakalpojumu uzskaitei biroja vadītāja patērē 9,56 % sava laika. Ņemot vērā šī pakalpojuma īpatsvaru kopējā antidopinga maksas pakalpojumu skaitā, atlīdzību aprēķina: </t>
  </si>
  <si>
    <t>0,38*3*1</t>
  </si>
  <si>
    <t xml:space="preserve">Dzeramā ūdens iegādes izdevumi. Pakalpojuma sniegšanas laika sportisti ir nodrošināti ar ūdeni. Vienas pudeles izmaksas ir 0,38 euro. Pakalpojuma sniegšanas laikā vidēji ir iztērētās 3 pudeles. Izdevumu aprēķins: 
</t>
  </si>
  <si>
    <t>0,05*10*1</t>
  </si>
  <si>
    <t>(80.78+60+20.20)*0.2359</t>
  </si>
  <si>
    <t xml:space="preserve">Nepieciešamo dokumentācijas sagatavošanu un noformēšanu nodrošina dopinga kontrolieris (urīns) (1 slodze) ar noteikto algu 1420 euro/mēnesī (amatu saime un līmenis 13 II, 8.mēnešalgu grupa) vai dopinga kontrolieris (asinis) (1 slodze), ar noteikto algu 1690,00 euro/mēnesī (amatu saime un līmenis 13 III, 9.mēnešalgu grupa). Šī maksas pakalpojuma sniegšanai eksperts velta 2 stundas (2 stundas*1pak.). Veidojot uzkrājumu eksperta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</si>
  <si>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(asisnis) (1 slodze), ar noteikto algu 1690,00 euro/mēnesī (amatu saime un līmenis 13 III, 9.mēnešalgu grupa). Šī maksas pakalpojuma sniegšanai eksperts velta 16 stundas (2 stundas*8pak.). Veidojot uzkrājumu eksperta atvaļinājumam, atlīdzības izdevumus aprēķina šādi: 
</t>
  </si>
  <si>
    <t xml:space="preserve">Nepieciešamo dokumentācijas sagatavošanu un noformēšanu nodrošina dopinga kontroliris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106 stundas (2 stundas*53pak.). Veidojot uzkrājumu eksperta atvaļinājumam, atlīdzības izdevumus aprēķina šādi: 
</t>
  </si>
  <si>
    <t>21.36*0.2359</t>
  </si>
  <si>
    <t>Kopējie izdevumi par laboratorijas preču iegādi. Vienam pakalpojumam izmanto preces par kopējo summu 16,22 euro. Izdevumu aprēķins: </t>
  </si>
  <si>
    <t>3015*12*0,0956*1/108</t>
  </si>
  <si>
    <t>32.06*0.2359</t>
  </si>
  <si>
    <t>Kopējie izdevumi par telpu īri, komunālajiem pakalpojumiem, elektroenerģiju un nomu gadā sastāda 19 884,6 euro. Uz maksas pakalpojumiem attiecina 9,56% no kopēja pakalpojuma skaita. Ņemot vērā šī pakalpojuma īpatsvaru kopējā antidopinga maksas pakalpojumu skaitā, izdevumus aprēķina: </t>
  </si>
  <si>
    <t>Kopējie izdevumi par medicīnisko atkritumu izvešanu gadā sastāda 267,89 euro. Uz maksas pakalpojumiem attiecina 9,56% no kopējā pakalpojuma skaita. Ņemot vērā šī pakalpojuma īpatsvaru kopējā antidopinga maksas pakalpojumu skaitā, izdevumus aprēķina: </t>
  </si>
  <si>
    <t>Kopējie izdevumi par medicīnisko atkritumu izvešanu gadā sastāda 267,89 euro. Uz maksas pakalpojumiem attiecina 9,56% no kopēja pakalpojuma skaita. Ņemot vērā šī pakalpojuma īpatsvaru kopējā antidopinga maksas pakalpojumu skaitā, izdevumus aprēķina: </t>
  </si>
  <si>
    <t xml:space="preserve">Kopējie izdevumi par transportlīdzekļu nomu gadā sastāda 20 211,84 euro. Uz maksas pakalpojumiem attiecinās 9,56% no kopēja pakalpojuma skaita. Ņemot vērā šī pakalpojuma īpatsvaru kopējā antidopinga maksas pakalpojumu skaitā, izdevumu aprēķinā: </t>
  </si>
  <si>
    <t xml:space="preserve">Kopējie izdevumi par transportlīdzekļuiztērēto degvielu gadā sastāda 4564,197 euro. Uz maksas pakalpojumiem attiecina 9,56% no kopējā pakalpojuma skaita. Ņemot vērā šī pakalpojuma īpatsvaru kopējā antidopinga maksas pakalpojumu skaitā, izdevumus aprēķina:  </t>
  </si>
  <si>
    <t xml:space="preserve">Kopējie izdevumi par transportlīdzekļu nomu gadā sastāda 20 211,84 euro. Uz maksas pakalpojumiem attiecina 9,56% no kopējā pakalpojuma skaita. Ņemot vērā šī pakalpojuma īpatsvaru kopējā antidopinga maksas pakalpojumu skaitā, izdevumus aprēķina: </t>
  </si>
  <si>
    <t>Kopējie izdevumi par telpu īri, komunālajiem pakalpojumiem, elektroenerģiju un nomu gadā sastāda 19 884,6 euro. Uz maksas pakalpojumiem attiecina 9,56% no kopējā pakalpojuma skaita. Ņemot vērā šī pakalpojuma īpatsvaru kopējā antidopinga maksas pakalpojumu skaitā, izdevumus aprēķina: </t>
  </si>
  <si>
    <t>Kopējie izdevumi par telpu īri, komunālajiem pakalpojumiem, elektroenerģiju un nomu gadā sastāda 19 884,6 euro. Uz maksas pakalpojumiem attiecinā 9,56% no kopējā pakalpojuma skaita. Ņemot vērā šī pakalpojuma īpatsvaru kopējā antidopinga maksas pakalpojumu skaitā, izdevumus aprēķina: </t>
  </si>
  <si>
    <t xml:space="preserve">Kopējie izdevumi par transportlīdzekļu iztērēto degvielu gadā sastāda 4564,197 euro. Uz maksas pakalpojumiem attiecina 9,56% no kopējā pakalpojuma skaita. Ņemot vērā šī pakalpojuma īpatsvaru kopējā antidopinga maksas pakalpojumu skaitā, izdevumus aprēķina:  </t>
  </si>
  <si>
    <t>Tehnoloģisko iekārtu nolietojums. Uz maksas pakalpojumiem attiecina 9,56% no kopējā pakalpojuma skaita. Pakalpojumu sniegšanā tiek izmantotas 3 tehnoloģiskā iekārtas ar sākotnējo iegādes vērtību 332,75*4=1 331 euro un paredzamo derīgās lietošanas laiku 5 gadi. Ņemot vērā šī pakalpojuma īpatsvaru tehnoloģisko iekārtu nolietojuma izdevumus aprēķina šādi: </t>
  </si>
  <si>
    <t>Kopējie izdevumi par uzturēšanas materiālu iegādi sastāda 1015,00 euro. Uz maksas pakalpojumiem attiecina 9,56% no kopējā pakalpojuma skaita. Ņemot vērā šī pakalpojuma īpatsvaru kopējā antidopinga maksas pakalpojumu skaitā, izdevumus aprēķina: </t>
  </si>
  <si>
    <t>Tehnoloģisko iekārtu nolietojums. Uz maksas pakalpojumiem attiecinās 9,56% no kopējā pakalpojuma skaita. Pakalpojumu sniegšanā tiek izmantotas 3 tehnoloģiskā iekārtas ar sākotnējo iegādes vērtību 332,75*4=1 331 euro un paredzamo derīgās lietošanas laiku 5 gadi. Ņemot vērā šī pakalpojuma īpatsvaru tehnoloģisko iekārtu nolietojuma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</si>
  <si>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8 stundas (8 stundas*1 pak.). Pieņemot, ka vidējais darba dienu skaits mēnesī ir 21 diena, un veidojot uzkrājumu atvaļinājumam, atlīdzības izdevumus aprēķina šādi: </t>
  </si>
  <si>
    <t>(121.17+80+40.39)*0.2359</t>
  </si>
  <si>
    <t>Atkritumu, kas saistīti ar dopinga analīzēm, utilizācijai izmanto miskastes maisu. Vienam pakalpojumam izmato 1 maisu. </t>
  </si>
  <si>
    <t>0,05*10*2</t>
  </si>
  <si>
    <t>Kopējie izdevumi par sakaru pakalpojumu nodrošināšanu gadā, neskaitot kurjerpasta izdevumus dopinga kontroļu analīžu nogādāšanai laboratorijā, sastāda 1097,88 euro. Uz maksas pakalpojumiem attiecina 9.56 % no kopējā pakalpojuma skaita. Ņemot vērā šī pakalpojuma īpatsvaru kopējā antidopinga maksas pakalpojumu skaitā, izdevumus aprēķina: </t>
  </si>
  <si>
    <t>3015*12*0,0956*2/108</t>
  </si>
  <si>
    <t>(42.72+10.08+64.05)*0.2359</t>
  </si>
  <si>
    <t xml:space="preserve">Datu bāžu uzturēšanas izmaksas sastāda 1200,00 euro. Uz maksas pakalpojumiem attiecina 9,56% no kopējā pakalpojuma skaita. Ņemot vērā šī pakalpojuma īpatsvaru kopējā antidopinga maksas pakalpojumu skaitā, izdevumus aprēķina: </t>
  </si>
  <si>
    <t xml:space="preserve">Datu bāžu uzturēšanas izmaksas sastāda 1200,00 euro. Uz maksas pakalpojumiem attiecina 9,56% no kopēja pakalpojuma skaita. Ņemot vērā šī pakalpojuma īpatsvaru kopējā antidopinga maksas pakalpojumu skaitā, izdevumus aprēķina: </t>
  </si>
  <si>
    <t>Kopējie izdevumi par uzturēšanas materiālu iegādi sastāda 1015,00 euro. Uz maksas pakalpojumiem attiecinās 9,56% no kopējā pakalpojuma skaita. Ņemot vērā šī pakalpojuma īpatsvaru kopējā antidopinga maksas pakalpojumu skaitā, izdevumus aprēķina: </t>
  </si>
  <si>
    <t>Pakalpojuma sniegšanā piedalās dopinga kontroliera asistents, kas nav iestādes darbinieks un izpilda pasūtījumu uz uzņēmuma līguma pamata. Samaksa par pakalpojumu noteikta 40 euro apmērā par darbu virs 8 stundām. Atalgojuma aprēķins: </t>
  </si>
  <si>
    <t>Pakalpojuma sniegšanā piedalās dopinga kontroliera asistents, kas nav iestādes darbinieks un izpilda pasūtījumu uz uzņēmuma līguma pamata. Samaksa par pakalpojumu noteikta 60 euro apmērā par darbu virs 8 stundām. Atalgojuma aprēķins: </t>
  </si>
  <si>
    <t>Pakalpojuma sniegšanā piedalās dopinga kontroliera asistents, kas nav iestādes darbinieks un izpilda pasūtījumu uz uzņēmuma līguma pamata. Samaksa par pakalpojumu noteikta 40 euro apmērā par darbu virs 8 stundām.  Atalgojuma aprēķins: </t>
  </si>
  <si>
    <t xml:space="preserve">Nepieciešamo dokumentācijas sagatavošanu un noformēšanu nodrošina dopinga kontrolieris (urīns) (1 slodze) ar noteikto algu 1420 euro/mēnesī (amatu saime un līmenis 13 II, 8.mēnešalgu grupa) vai dopinga kontrolieris (asinis) (1 slodze), ar noteikto algu 1690,00 euro/mēnesī (amatu saime un līmenis 13 III, 9.mēnešalgu grupa). Šī maksas pakalpojuma sniegšanai eksperts velta 16 stundas (2 stundas*8pak.). Veidojot uzkrājumu eksperta atvaļinājumam, atlīdzības izdevumus aprēķina šādi: 
</t>
  </si>
  <si>
    <t>(646.24+480+161.56)*0.2359</t>
  </si>
  <si>
    <t>0,38*3*8</t>
  </si>
  <si>
    <t>Atkritumu, kas saistīti ar dopinga analīzēm, utilizācijai izmanto miskastes maisu. Vienam pakalpojumam izmanto 1 maisu. </t>
  </si>
  <si>
    <t>170*89*0.2359</t>
  </si>
  <si>
    <t>Saziņu ar dopinga kontroļu pasūtītāju, organizāciju un dopinga kontroļu plānošanu veic direktora vietnieks noteikto mēnešalgu 3015,00euro/mēnesī (1slodze) (amatu saime un līmenis 36 VI, 12.mēnešalgu grupa). Šiem pienākumiem direktora vietnieks patērē 9,56 % sava laika. Ņemot vērā šī pakalpojuma īpatsvaru kopējā antidopinga maksas pakalpojumu skaitā, atlīdzību aprēķina: </t>
  </si>
  <si>
    <t>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</si>
  <si>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Saziņu ar dopinga kontroļu pasūtītāju, organizāciju un dopinga kontroļu plānošanu veic direktora vietnieks ar noteikto mēnešalgu 3015,00 euro/mēnesī (1slodze) (amatu saime un līmenis 36 VI, 12.mēnešalgu grupa). Šiem pienākumiem direktora vietnieks patērē 9,56 % sava laika. Ņemot vērā šī pakalpojuma īpatsvaru kopējā antidopinga maksas pakalpojumu skaitā, atlīdzību aprēķina: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</si>
  <si>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aprēķinā: 3015*12*0,0956*8/108</t>
  </si>
  <si>
    <t>3015*12*0,0956*8/108</t>
  </si>
  <si>
    <t>256.21*0.2359</t>
  </si>
  <si>
    <t>121.17*0.2359</t>
  </si>
  <si>
    <t>128.17*0.2359</t>
  </si>
  <si>
    <t>Kopējie izdevumi par sakaru pakalpojumu nodrošināšanu gadā, neskaitot kurjerpasta izdevumus dopinga kontroļu analīžu nogādāšanai laboratorijā, sastāda 1097,88 euro. Uz maksas pakalpojumiem attiecina 9.56 % no kopējā pakalpojuma skaita. Ņemot vērā šī pakalpojuma īpatsvaru kopējā antidopinga maksas pakalpojumu skaitā, izdevumu aprēķinā: </t>
  </si>
  <si>
    <t>192.16*0.2359</t>
  </si>
  <si>
    <t>3015*12*0,0956*6/108</t>
  </si>
  <si>
    <t xml:space="preserve">Kopējie izdevumi par transportlīdzekļu iztērēto degvielu gadā sastāda 4564,197 euro. Uz maksas pakalpojumiem attiecina 9,56% no kopējā pakalpojuma skaita. Ņemot vērā šī pakalpojuma īpatsvaru kopējā antidopinga maksas pakalpojumu skaitā, izdevumu aprēķinā:  </t>
  </si>
  <si>
    <t>242.34*0.2359</t>
  </si>
  <si>
    <t>Darījumu uzskaiti par sniegtajiem maksas pakalpojumiem veic Biroja vadītāja ar noteikto mēnešalgu 2011,00 euro/mēnesī (1 slodze) (amatu saime un līmenis 42 IV 10.mēnešalgu grupa). Visu antidopinga maksas pakalpojumu uzskaitei biroja vadītāja patērē 9,56 % sava laika. Ņemot vērā šī pakalpojuma īpatsvaru kopējā antidopinga maksas pakalpojumu skaitā, atlīdzību aprēķina: </t>
  </si>
  <si>
    <t>Darījumu uzskaiti par sniegtajiem maksas pakalpojumiem veic Biroja vadītāja ar noteikto mēnešalgu 2011,00 euro/mēnesī (1 slodze) (amatu saime un līmenis 42 IV 10.mēnešalgu grupa). Visu antidopinga maksas pakalpojumu uzskaitei biroja vadītāja patērē 9,56 % sava laika. Ņemot vērā šī pakalpojuma īpatsvaru kopējā antidopinga maksas pakalpojumu skaitā, atlīdzību aprēķinā: </t>
  </si>
  <si>
    <t>Darījumu uzskaiti par sniegtajiem maksas pakalpojumiem veic Biroja vadītāja ar noteikto mēnešalgu 2011,00 euro/mēnesī (1 slodze) (amatu saime un līmenis 42 IV 10.mēnešalgu grupa). Visu antidopinga maksas pakalpojumu uzskaitei biroja vadītāja patērē 9,56% sava laika. Ņemot vērā šī pakalpojuma īpatsvaru kopējā antidopinga maksas pakalpojumu skaitā, atlīdzību aprēķinā: </t>
  </si>
  <si>
    <t>256.34*0.2359</t>
  </si>
  <si>
    <t>Kopējie izdevumi par sakaru pakalpojumu nodrošināšanu gadā, neskaitot kurjerpasta izdevumus dopinga kontroļu analīžu nogādāšanai laboratorijā, sastāda 1097,88 euro. Uz maksas pakalpojumiem attiecinās 9.56 % no kopējā pakalpojuma skaita. Ņemot vērā šī pakalpojuma īpatsvaru kopējā antidopinga maksas pakalpojumu skaitā, izdevumus aprēķina: </t>
  </si>
  <si>
    <t> 3015*12*0,0956*12/108</t>
  </si>
  <si>
    <t>384.31*0.2359</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</si>
  <si>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2 stundas (2 stundas*1pak.). Veidojot uzkrājumu eksperta atvaļinājumam, atlīdzības izdevumus aprēķina šādi: 
</t>
  </si>
  <si>
    <t>20.20*0.2359</t>
  </si>
  <si>
    <t>Izdevumi par laboratorijas pakalpojumiem. Šī pakalpojuma maksa, atbilstoši laboratorijas izcenojumam ir 65,45 euro. Izmaksu aprēķins: </t>
  </si>
  <si>
    <t>32.03*0.2359</t>
  </si>
  <si>
    <t>Sazīnu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</si>
  <si>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 xml:space="preserve">Kopējie izdevumi par transportlīdzekļu iztērēto degvielu gadā ir 4564,197 euro. Uz maksas pakalpojumiem attiecina 9,56% no kopējā pakalpojuma skaita. Ņemot vērā šī pakalpojuma īpatsvaru kopējā antidopinga maksas pakalpojumu skaitā, izdevumus aprēķina:  </t>
  </si>
  <si>
    <t>Izdevumi par laboratorijas pakalpojumiem. Šī pakalpojuma maksa, atbilstoši laboratorijas izcenojumam ir 416,5 euro. Izmaksu aprēķins: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</si>
  <si>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3015*12*0,0956*1/108</t>
  </si>
  <si>
    <t>Izdevumi par laboratorijas pakalpojumiem. Šī pakalpojuma maksa, atbilstoši laboratorijas izcenojumam ir 160 euro. Izmaksu aprēķins: </t>
  </si>
  <si>
    <t>Izdevumi par laboratorijas pakalpojumiem. Šī pakalpojuma maksa, atbilstoši laboratorijas izcenojumam ir 400 euro. Izmaksu aprēķins: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</si>
  <si>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aprēķinā: </t>
  </si>
  <si>
    <t xml:space="preserve">Datu bāžu uzturēšanas izmaksas ir 1200,00 euro. Uz maksas pakalpojumiem attiecina 9,56% no kopējā pakalpojuma skaita. Ņemot vērā šī pakalpojuma īpatsvaru kopējā antidopinga maksas pakalpojumu skaitā, izdevumus aprēķina: </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</si>
  <si>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stundas*1pak.). Pieņemot, ka vidējais darba dienu skaits mēnesī ir 21 diena, un veidojot uzkrājumu atvaļinājumam, atlīdzības izdevumus aprēķina šādi: </t>
  </si>
  <si>
    <t>Pakalpojuma sniegšanā piedalās dopinga kontroliera asistents, kurš ir tiesīgs ievākt asins paraugus, kas nav iestādes darbinieks un izpilda pasūtījumu uz uzņēmuma līguma pamata. Samaksa par pakalpojumu noteikta 80 euro apmērā par darbu līdz 4 stundām. Atalgojuma aprēķins: </t>
  </si>
  <si>
    <t>(40.39+80+20.20)*0.2359</t>
  </si>
  <si>
    <t>Izdevumi par laboratorijas pakalpojumiem. Šī pakalpojuma maksa, atbilstoši laboratorijas izcenojumam ir 176,00 euro. Izmaksu aprēķins: </t>
  </si>
  <si>
    <t>Kopējie izdevumi par laboratorijas preču iegādi. Vienam pakalpojumam izmato preces par kopējo summu 66,03 euro. Izdevumu aprēķins: </t>
  </si>
  <si>
    <t xml:space="preserve"> 3015*12*0,0956*1/108</t>
  </si>
  <si>
    <t xml:space="preserve">Kopējie izdevumi par transportlīdzekļu nomu gadā ir 20 211,84 euro. Uz maksas pakalpojumiem attiecina 9,56% no kopējā pakalpojuma skaita. Ņemot vērā šī pakalpojuma īpatsvaru kopējā antidopinga maksas pakalpojumu skaitā, izdevumus aprēķina: </t>
  </si>
  <si>
    <t>Pakalpojuma sniegšanā piedalā dopinga kontroliera asistents, kurš ir tiesīgs ievākt asins paraugus, kas nav iestādes darbinieks un izpilda pasūtījumu uz uzņēmuma līguma pamata. Samaksa par pakalpojumu noteikta 80 euro apmērā par darbu līdz 4 stundām.  Atalgojuma aprēķins: </t>
  </si>
  <si>
    <t xml:space="preserve">Nepieciešamo dokumentācijas sagatavošanu un noformēšanu nodrošina dopinga kontrolieris (urīns) (1 slodze) ar noteikto algu 1420,00 euro/mēnesī (amatu saime un līmenis 13 II, 8.mēnešalgu grupa) vai dopinga kontroleiris (asinis) (1 slodze), ar noteikto algu 1690,00 euro/mēnesī (amatu saime un līmenis 13 III, 9.mēnešalgu grupa). Šī maksas pakalpojuma sniegšanai eksperts velta 2 stundas (2 stundas*4 pak.). Veidojot uzkrājumu eksperta atvaļinājumam, atlīdzības izdevumus aprēķina šādi: 
</t>
  </si>
  <si>
    <t>(161.56+320+80.78)*0.2359</t>
  </si>
  <si>
    <t>Izdevumi par laboratorijas pakalpojumiem. Šī pakalpojuma maksa, atbilstoši laboratorijas izcenojumam ir 123,76 euro. Izmaksu aprēķins: </t>
  </si>
  <si>
    <t>0,05*10*4</t>
  </si>
  <si>
    <t>Atkritumu, kas saistīti ar dopinga analīzēm, utilizācijai izmanto atbilstoši marķētos Lautus bīstamo atkritumu maisus. Vienam pakalpojumam izmanto 1 maisu.</t>
  </si>
  <si>
    <t>Atkritumu, kas saistīti ar dopinga analīzēm utilizācijai izmanto atbilstoši marķētos Lautus bīstamo atkritumu maisu. Vienam pakalpojumam izmanto 1 maisu.</t>
  </si>
  <si>
    <t xml:space="preserve">Sportista un dopinga kontroliera higienai izmanto salvetes.Vienam pakalpojumam izmanto 10 salvetes. 
</t>
  </si>
  <si>
    <t>85.45*0.2359</t>
  </si>
  <si>
    <t>3015*12*0,0956*4/108</t>
  </si>
  <si>
    <t>128.10*0.2359</t>
  </si>
  <si>
    <t xml:space="preserve">Kopējie izdevumi par transportlīdzekļu nomu gadā ir 20 211,84 euro. Uz maksas pakalpojumiem attiecinās 9,56% no kopējā pakalpojuma skaita. Ņemot vērā šī pakalpojuma īpatsvaru kopējā antidopinga maksas pakalpojumu skaitā, izdevumus aprēķina: </t>
  </si>
  <si>
    <t xml:space="preserve">Kopējie izdevumi par transportlīdzekļuiztērēto degvielu gadā ir 4564,197 euro. Uz maksas pakalpojumiem attiecinās 9,56% no kopējā pakalpojuma skaita. Ņemot vērā šī pakalpojuma īpatsvaru kopējā antidopinga maksas pakalpojumu skaitā, izdevumus aprēķina: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</si>
  <si>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stundas*1pak.). Pieņemot, ka vidējais darba dienu skaits mēnesī ir 21 diena, un veidojot uzkrājumu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</si>
  <si>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kontroleiris (asinis) (1 slodze), ar noteikto algu 1690,00 euro/mēnesī (amatu saime un līmenis 13 III, 9.mēnešalgu grupa). Šī maksas pakalpojuma sniegšanai eksperts velta 2 stundas (2 stundas*1 pak.). Veidojot uzkrājumu eksperta atvaļinājumam, atlīdzības izdevumus aprēķina šādi: 
</t>
  </si>
  <si>
    <t>Izdevumi par laboratorijas pakalpojumiem. Šī pakalpojuma maksa, atbilstoši laboratorijas izcenojumam ir 42,00 euro. Izmaksu aprēķins: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</si>
  <si>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</si>
  <si>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4 stundas (2 stundas*2 pak.). Veidojot uzkrājumu eksperta atvaļinājumam, atlīdzības izdevumus aprēķina šādi: 
</t>
  </si>
  <si>
    <t>(80.78+160+40.39)*0.2359</t>
  </si>
  <si>
    <t>Izdevumi par laboratorijas pakalpojumiem. Šī pakalpojuma maksa, atbilstoši laboratorijas izcenojumam ir 49,98 euro. Izmaksu aprēķins: </t>
  </si>
  <si>
    <t>Kopējie izdevumi par laboratorijas preču iegādi. Vienam pakalpojumam izmanto preces par kopējo summu 66,03 euro. Izdevumu aprēķins: </t>
  </si>
  <si>
    <t>Atkritumu, kas saistīti ar dopinga analīzēm, utilizācijai izmanto miskastes maisus. Vienam pakalpojumam izmanto 1 maisu. </t>
  </si>
  <si>
    <t>42.72*0.2359</t>
  </si>
  <si>
    <t xml:space="preserve">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</si>
  <si>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64.05*0.2359</t>
  </si>
  <si>
    <t>Kopējie izdevumi par uzturēšanas materiālu iegādi ir 1015,00 euro. Uz maksas pakalpojumiem attiecina 9,56% no kopējā pakalpojuma skaita. Ņemot vērā šī pakalpojuma īpatsvaru kopējā antidopinga maksas pakalpojumu skaitā, izdevumus aprēķina: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</si>
  <si>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2 stundas (2 stundas*1 pak.). Veidojot uzkrājumu eksperta atvaļinājumam, atlīdzības izdevumus aprēķina šādi: 
</t>
  </si>
  <si>
    <t xml:space="preserve">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aprēķinā: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</si>
  <si>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stundas*1pak.). Pieņemot, ka vidējais darba dienu skaits mēnesī ir 21 diena, un veidojot uzkrājumu atvaļinājumam, atlīdzības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</si>
  <si>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 pak.). Pieņemot, ka vidējais darba dienu skaits mēnesī ir 21 diena, un veidojot uzkrājumu atvaļinājumam, atlīdzības izdevumus aprēķina šādi: </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</si>
  <si>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8 stundas (4 stundas*2 pak.). Pieņemot, ka vidējais darba dienu skaits mēnesī ir 21 diena, un veidojot uzkrājumu atvaļinājumam, atlīdzības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</si>
  <si>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16 stundas (4 stundas*4 pak.). Pieņemot, ka vidējais darba dienu skaits mēnesī ir 21 diena, un veidojot uzkrājumu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</si>
  <si>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24 stundas (2 stundas*12 pak.). Veidojot uzkrājumu eksperta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</si>
  <si>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12 stundas (2 stundas*6 pak.). Veidojot uzkrājumu eksperta atvaļinājumam, atlīdzības izdevumus aprēķina šādi: 
</t>
  </si>
  <si>
    <t>Paskalpojumu sniedz dopinga kontrolierīs (urīns) (1 slodze) ar noteikto algu 142091,00 euro/mēnesī (amatu saime un līmenis 13 II, 8.mēnešalgu grupa) vai dopinga kontrolieris (asinis) (1 slodze) ar noteikto algu 1690,00 euro/mēnesī (amatu saime un līmenis 13 III, 9.mēnešalgu grupa). Šī maksas pakalpojuma sniegšanai dopinga kontrolieris velta 64 stundas (8 stundas*8 pak.). Pieņemot, ka vidējais darba dienu skaits mēnesī ir 21 diena, un veidojot uzkrājumu atvaļinājumam, atlīdzības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</si>
  <si>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12 stundas (6 stundas*2pak.). Pieņemot, ka vidējais darba dienu skaits mēnesī ir 21 diena, un veidojot uzkrājumu atvaļinājumam, atlīdzības izdevumus aprēķina šādi: </t>
  </si>
  <si>
    <t>Pakalpojumu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48 stundas (6 stundas*8 pak.). Pieņemot, ka vidējais darba dienu skaits mēnesī ir 21 diena, un veidojot uzkrājumu atvaļinājumam, atlīdzības izdevumus aprēķina šādi: </t>
  </si>
  <si>
    <t>Pakalpojumu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424 stundas (8 stundas*53 pak.). Pieņemot, ka vidējais darba dienu skaits mēnesī ir 21 diena, un veidojot uzkrājumu atvaļinājumam, atlīdzības izdevumus aprēķina šādi: </t>
  </si>
  <si>
    <t>Izdevumi par laboratorijas pakalpojumiem. Šī pakalpojuma maksa, atbilstoši laboratorijas izcenojumam ir 900,00 euro. Izmaksu aprēķins: </t>
  </si>
  <si>
    <t>40.39*0.2359</t>
  </si>
  <si>
    <t>Izdevumi par laboratorijas pakalpojumiem. Šī pakalpojuma maksa, atbilstoši laboratorijas izcenojumam ir 1200,00 euro. Izmaksu aprēķins: </t>
  </si>
  <si>
    <t xml:space="preserve">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</si>
  <si>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Izdevumi par laboratorijas pakalpojumiem. Šī pakalpojuma maksa, atbilstoši laboratorijas izcenojumam ir 1800,00 euro. Izmaksu aprēķins: </t>
  </si>
  <si>
    <t xml:space="preserve">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</si>
  <si>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Kopējie izdevumi par uzturēšanas materiālu iegādi sastāda 1015,00 euro. Uz maksas pakalpojumiem attiecinās 9,56% no kopēja pakalpojuma skaita. Ņemot vērā šī pakalpojuma īpatsvaru kopējā antidopinga maksas pakalpojumu skaitā, izdevumus aprēķina: </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</si>
  <si>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 pak.). Pieņemot, ka vidējais darba dienu skaits mēnesī ir 21 diena, un veidojot uzkrājumu atvaļinājumam, atlīdzības izdevumus aprēķina šādi: </t>
  </si>
  <si>
    <t>Izdevumi par laboratorijas pakalpojumiem. Šī pakalpojuma maksa, atbilstoši laboratorijas izcenojumam ir 1130,15 euro. Izmaksu aprēķins: </t>
  </si>
  <si>
    <t>Izdevumi par laboratorijas pakalpojumiem. Šī pakalpojuma maksa, atbilstoši laboratorijas izcenojumam ir 1350,00 euro. Izmaksu aprēķins: </t>
  </si>
  <si>
    <t xml:space="preserve">Datu bāžu uzturēšanas izmaksas sastāda 1200,00 euro. Uz maksas pakalpojumiem attiecinās 9,56% no kopējā pakalpojuma skaita. Ņemot vērā šī pakalpojuma īpatsvaru kopējā antidopinga maksas pakalpojumu skaitā, izdevumus aprēķina: </t>
  </si>
  <si>
    <t>Kopējie izdevumi par sakaru pakalpojumu nodrošināšanu gadā, neskaitot kurjerpasta izdevumus dopinga kontroļu analīžu nogādāšanai laboratorijā, sastāda 1097,88 euro. Uz maksas pakalpojumiem attiecinās 9.56 % no kopēja pakalpojuma skaita. Ņemot vērā šī pakalpojuma īpatsvaru kopējā antidopinga maksas pakalpojumu skaitā, izdevumu aprēķina: </t>
  </si>
  <si>
    <t>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t>
  </si>
  <si>
    <t>Atkritumiem, kas saistīti ar dopinga analīzēm utilizācijai, izmanto atbilstoši marķētos Lautus bīstamo atkritumu maisu. Vienam pakalpojumam izmanto 1 maisu.</t>
  </si>
  <si>
    <t xml:space="preserve">Sportista un dopinga kontroliera higienai izmanto salvetes.Vienam pakalpojumam izmanto 10 salvetes. 
</t>
  </si>
  <si>
    <t>Atkritumu, kas saistīti ar dopinga analīzēm, utilizācijai izmanto atbilstoši marķētos Lautus bīstamo atkritumu maisu. Vienam pakalpojumam izmanto 1 maisu.</t>
  </si>
  <si>
    <t>Atkritumu, kas saistīti ar dopinga analīzēm utilizācijai izmanto miskastes maisu. Vienam pakalpojumam izmanto 1 maisu. </t>
  </si>
  <si>
    <t>Atkritumu, kas saistīti ar dopinga analīzēm utilizācijai izmanto miskastes maisus. Vienam pakalpojumam izmanto 1 maisu. </t>
  </si>
  <si>
    <t xml:space="preserve">Nepieciešamo dokumentācijas sagatavošanu un noformēšanu nodrošina dopinga kontroliris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4 stundas (2stundas*2pak.). Veidojot uzkrājumu eksperta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</si>
  <si>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divas stundas (2 stundas*1pak.). Veidojot uzkrājumu dopinga kontroliera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</si>
  <si>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divas stundas (2 stunda*1pak.). Veidojot uzkrājumu dopinga kontroliera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</si>
  <si>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kontroleiris (asinis) (1 slodze), ar noteikto algu 1690,00 euro/mēnesī (amatu saime un līmenis 13 III, 9.mēnešalgu grupa). Šī maksas pakalpojuma sniegšanai dopinga kontrolieris velta divas stundas (2 stunda*1pak.). Veidojot uzkrājumu dopinga kontroliera atvaļinājumam, atlīdzības izdevumus aprēķina šādi: 
</t>
  </si>
  <si>
    <r>
      <t>2011,00*12*0,0956*</t>
    </r>
    <r>
      <rPr>
        <b/>
        <sz val="12"/>
        <rFont val="Times New Roman"/>
        <family val="1"/>
      </rPr>
      <t>8</t>
    </r>
    <r>
      <rPr>
        <sz val="12"/>
        <rFont val="Times New Roman"/>
        <family val="1"/>
      </rPr>
      <t>/108 </t>
    </r>
  </si>
  <si>
    <r>
      <t>1097,88*0,0956*</t>
    </r>
    <r>
      <rPr>
        <b/>
        <sz val="12"/>
        <rFont val="Times New Roman"/>
        <family val="1"/>
      </rPr>
      <t>8</t>
    </r>
    <r>
      <rPr>
        <sz val="12"/>
        <rFont val="Times New Roman"/>
        <family val="1"/>
      </rPr>
      <t>/108 </t>
    </r>
  </si>
  <si>
    <r>
      <t>Saziņu ar dopinga kontroļu pasūtītāju, organizāciju un dopinga kontroļu plānošanu veic direktora vietnieks ar noteikto mēnešalgu 3015,00 euro/mēnesī (1slodze) (amatu saime un līmenis 36 VI, 12.mēnešalgu grupa). Šiem pienākumiem direktora vietnieks patērē 9,56 % sava laika. Ņemot vērā šī pakalpojuma īpatsvaru kopējā antidopinga maksas pakalpojumu skaitā, atlīdzību aprēķina: 3015*12*0,0956*</t>
    </r>
    <r>
      <rPr>
        <b/>
        <sz val="12"/>
        <rFont val="Times New Roman"/>
        <family val="1"/>
      </rPr>
      <t>8</t>
    </r>
    <r>
      <rPr>
        <sz val="12"/>
        <rFont val="Times New Roman"/>
        <family val="1"/>
      </rPr>
      <t>/108</t>
    </r>
  </si>
  <si>
    <r>
      <t>267,89*0,0956*</t>
    </r>
    <r>
      <rPr>
        <b/>
        <sz val="12"/>
        <rFont val="Times New Roman"/>
        <family val="1"/>
      </rPr>
      <t>8</t>
    </r>
    <r>
      <rPr>
        <sz val="12"/>
        <rFont val="Times New Roman"/>
        <family val="1"/>
      </rPr>
      <t>/108 </t>
    </r>
  </si>
  <si>
    <r>
      <t>1200*0,0956*</t>
    </r>
    <r>
      <rPr>
        <b/>
        <sz val="12"/>
        <rFont val="Times New Roman"/>
        <family val="1"/>
      </rPr>
      <t>8</t>
    </r>
    <r>
      <rPr>
        <sz val="12"/>
        <rFont val="Times New Roman"/>
        <family val="1"/>
      </rPr>
      <t>/108</t>
    </r>
  </si>
  <si>
    <r>
      <t>19884,6*0,0956*</t>
    </r>
    <r>
      <rPr>
        <b/>
        <sz val="12"/>
        <rFont val="Times New Roman"/>
        <family val="1"/>
      </rPr>
      <t>8</t>
    </r>
    <r>
      <rPr>
        <sz val="12"/>
        <rFont val="Times New Roman"/>
        <family val="1"/>
      </rPr>
      <t>/108 </t>
    </r>
  </si>
  <si>
    <r>
      <t>20211,84*0,0956*</t>
    </r>
    <r>
      <rPr>
        <b/>
        <sz val="12"/>
        <rFont val="Times New Roman"/>
        <family val="1"/>
      </rPr>
      <t>8</t>
    </r>
    <r>
      <rPr>
        <sz val="12"/>
        <rFont val="Times New Roman"/>
        <family val="1"/>
      </rPr>
      <t>/108</t>
    </r>
  </si>
  <si>
    <r>
      <t>4564,197*0,0956*</t>
    </r>
    <r>
      <rPr>
        <b/>
        <sz val="12"/>
        <rFont val="Times New Roman"/>
        <family val="1"/>
      </rPr>
      <t>8</t>
    </r>
    <r>
      <rPr>
        <sz val="12"/>
        <rFont val="Times New Roman"/>
        <family val="1"/>
      </rPr>
      <t>/108</t>
    </r>
  </si>
  <si>
    <r>
      <t>1015*0,0956*</t>
    </r>
    <r>
      <rPr>
        <b/>
        <sz val="12"/>
        <rFont val="Times New Roman"/>
        <family val="1"/>
      </rPr>
      <t>8</t>
    </r>
    <r>
      <rPr>
        <sz val="12"/>
        <rFont val="Times New Roman"/>
        <family val="1"/>
      </rPr>
      <t>/108 </t>
    </r>
  </si>
  <si>
    <r>
      <rPr>
        <b/>
        <sz val="12"/>
        <rFont val="Times New Roman"/>
        <family val="1"/>
      </rPr>
      <t>8</t>
    </r>
    <r>
      <rPr>
        <sz val="12"/>
        <rFont val="Times New Roman"/>
        <family val="1"/>
      </rPr>
      <t>/108*1331/60*12*0,0956 </t>
    </r>
  </si>
  <si>
    <r>
      <t>2011,00*12*0,0956*</t>
    </r>
    <r>
      <rPr>
        <b/>
        <sz val="12"/>
        <rFont val="Times New Roman"/>
        <family val="1"/>
      </rPr>
      <t>6</t>
    </r>
    <r>
      <rPr>
        <sz val="12"/>
        <rFont val="Times New Roman"/>
        <family val="1"/>
      </rPr>
      <t>/108 </t>
    </r>
  </si>
  <si>
    <r>
      <t>1097,88*0,0956*</t>
    </r>
    <r>
      <rPr>
        <b/>
        <sz val="12"/>
        <rFont val="Times New Roman"/>
        <family val="1"/>
      </rPr>
      <t>6</t>
    </r>
    <r>
      <rPr>
        <sz val="12"/>
        <rFont val="Times New Roman"/>
        <family val="1"/>
      </rPr>
      <t>/108 </t>
    </r>
  </si>
  <si>
    <r>
      <t>267,89*0,0956*</t>
    </r>
    <r>
      <rPr>
        <b/>
        <sz val="12"/>
        <rFont val="Times New Roman"/>
        <family val="1"/>
      </rPr>
      <t>6</t>
    </r>
    <r>
      <rPr>
        <sz val="12"/>
        <rFont val="Times New Roman"/>
        <family val="1"/>
      </rPr>
      <t>/108 </t>
    </r>
  </si>
  <si>
    <r>
      <t>1200*0,0956*</t>
    </r>
    <r>
      <rPr>
        <b/>
        <sz val="12"/>
        <rFont val="Times New Roman"/>
        <family val="1"/>
      </rPr>
      <t>6</t>
    </r>
    <r>
      <rPr>
        <sz val="12"/>
        <rFont val="Times New Roman"/>
        <family val="1"/>
      </rPr>
      <t>/108</t>
    </r>
  </si>
  <si>
    <r>
      <t>19884,6*0,0956*</t>
    </r>
    <r>
      <rPr>
        <b/>
        <sz val="12"/>
        <rFont val="Times New Roman"/>
        <family val="1"/>
      </rPr>
      <t>6/</t>
    </r>
    <r>
      <rPr>
        <sz val="12"/>
        <rFont val="Times New Roman"/>
        <family val="1"/>
      </rPr>
      <t>108 </t>
    </r>
  </si>
  <si>
    <r>
      <t>20211,84*0,0956*</t>
    </r>
    <r>
      <rPr>
        <b/>
        <sz val="12"/>
        <rFont val="Times New Roman"/>
        <family val="1"/>
      </rPr>
      <t>6</t>
    </r>
    <r>
      <rPr>
        <sz val="12"/>
        <rFont val="Times New Roman"/>
        <family val="1"/>
      </rPr>
      <t>/108</t>
    </r>
  </si>
  <si>
    <r>
      <t>4564,197*0,0956*</t>
    </r>
    <r>
      <rPr>
        <b/>
        <sz val="12"/>
        <rFont val="Times New Roman"/>
        <family val="1"/>
      </rPr>
      <t>6</t>
    </r>
    <r>
      <rPr>
        <sz val="12"/>
        <rFont val="Times New Roman"/>
        <family val="1"/>
      </rPr>
      <t>/108</t>
    </r>
  </si>
  <si>
    <r>
      <t>1015*0,0956*</t>
    </r>
    <r>
      <rPr>
        <b/>
        <sz val="12"/>
        <rFont val="Times New Roman"/>
        <family val="1"/>
      </rPr>
      <t>6</t>
    </r>
    <r>
      <rPr>
        <sz val="12"/>
        <rFont val="Times New Roman"/>
        <family val="1"/>
      </rPr>
      <t>/108 </t>
    </r>
  </si>
  <si>
    <r>
      <rPr>
        <b/>
        <sz val="12"/>
        <rFont val="Times New Roman"/>
        <family val="1"/>
      </rPr>
      <t>6</t>
    </r>
    <r>
      <rPr>
        <sz val="12"/>
        <rFont val="Times New Roman"/>
        <family val="1"/>
      </rPr>
      <t>/108*1331/60*12*0,0956 </t>
    </r>
  </si>
  <si>
    <r>
      <t xml:space="preserve">Maksas pakalpojuma izcenojums (euro) </t>
    </r>
    <r>
      <rPr>
        <b/>
        <i/>
        <sz val="12"/>
        <rFont val="Times New Roman"/>
        <family val="1"/>
      </rPr>
      <t>(pakalpojuma izmaksas kopā, dalītas ar maksas pakalpojuma vienību skaitu noteiktā laikposmā)</t>
    </r>
    <r>
      <rPr>
        <b/>
        <sz val="12"/>
        <rFont val="Times New Roman"/>
        <family val="1"/>
      </rPr>
      <t> </t>
    </r>
  </si>
  <si>
    <r>
      <t>(1690,00+1420,00)/2/21/8/11*12*</t>
    </r>
    <r>
      <rPr>
        <b/>
        <sz val="12"/>
        <rFont val="Times New Roman"/>
        <family val="1"/>
      </rPr>
      <t>24</t>
    </r>
  </si>
  <si>
    <r>
      <t>65,45*</t>
    </r>
    <r>
      <rPr>
        <b/>
        <sz val="12"/>
        <rFont val="Times New Roman"/>
        <family val="1"/>
      </rPr>
      <t>12</t>
    </r>
  </si>
  <si>
    <r>
      <t>2011,00*12*0,0956*</t>
    </r>
    <r>
      <rPr>
        <b/>
        <sz val="12"/>
        <rFont val="Times New Roman"/>
        <family val="1"/>
      </rPr>
      <t>12</t>
    </r>
    <r>
      <rPr>
        <sz val="12"/>
        <rFont val="Times New Roman"/>
        <family val="1"/>
      </rPr>
      <t>/108 </t>
    </r>
  </si>
  <si>
    <r>
      <t>(1690,00+1420,00)/2/21/8/11*12*</t>
    </r>
    <r>
      <rPr>
        <b/>
        <sz val="12"/>
        <rFont val="Times New Roman"/>
        <family val="1"/>
      </rPr>
      <t>2</t>
    </r>
  </si>
  <si>
    <r>
      <t>65,45*</t>
    </r>
    <r>
      <rPr>
        <b/>
        <sz val="12"/>
        <rFont val="Times New Roman"/>
        <family val="1"/>
      </rPr>
      <t>1</t>
    </r>
  </si>
  <si>
    <r>
      <t>416.5*</t>
    </r>
    <r>
      <rPr>
        <b/>
        <sz val="12"/>
        <rFont val="Times New Roman"/>
        <family val="1"/>
      </rPr>
      <t>1</t>
    </r>
  </si>
  <si>
    <r>
      <t>160*</t>
    </r>
    <r>
      <rPr>
        <b/>
        <sz val="12"/>
        <rFont val="Times New Roman"/>
        <family val="1"/>
      </rPr>
      <t>1</t>
    </r>
  </si>
  <si>
    <r>
      <t>400*</t>
    </r>
    <r>
      <rPr>
        <b/>
        <sz val="12"/>
        <rFont val="Times New Roman"/>
        <family val="1"/>
      </rPr>
      <t>1</t>
    </r>
  </si>
  <si>
    <r>
      <t>(1690,00+1420,00)/2/21/8/11*12*</t>
    </r>
    <r>
      <rPr>
        <b/>
        <sz val="12"/>
        <rFont val="Times New Roman"/>
        <family val="1"/>
      </rPr>
      <t>4</t>
    </r>
  </si>
  <si>
    <r>
      <t>80*</t>
    </r>
    <r>
      <rPr>
        <b/>
        <sz val="12"/>
        <rFont val="Times New Roman"/>
        <family val="1"/>
      </rPr>
      <t>1</t>
    </r>
  </si>
  <si>
    <r>
      <t>16,66*</t>
    </r>
    <r>
      <rPr>
        <b/>
        <sz val="12"/>
        <rFont val="Times New Roman"/>
        <family val="1"/>
      </rPr>
      <t>1</t>
    </r>
    <r>
      <rPr>
        <sz val="12"/>
        <rFont val="Times New Roman"/>
        <family val="1"/>
      </rPr>
      <t> </t>
    </r>
  </si>
  <si>
    <r>
      <t>176,00*</t>
    </r>
    <r>
      <rPr>
        <b/>
        <sz val="12"/>
        <rFont val="Times New Roman"/>
        <family val="1"/>
      </rPr>
      <t>1</t>
    </r>
  </si>
  <si>
    <r>
      <t>66,03*</t>
    </r>
    <r>
      <rPr>
        <b/>
        <sz val="12"/>
        <rFont val="Times New Roman"/>
        <family val="1"/>
      </rPr>
      <t>1</t>
    </r>
  </si>
  <si>
    <r>
      <t>0,0275*1*</t>
    </r>
    <r>
      <rPr>
        <b/>
        <sz val="12"/>
        <rFont val="Times New Roman"/>
        <family val="1"/>
      </rPr>
      <t>1</t>
    </r>
  </si>
  <si>
    <r>
      <t>0,13*</t>
    </r>
    <r>
      <rPr>
        <b/>
        <sz val="12"/>
        <rFont val="Times New Roman"/>
        <family val="1"/>
      </rPr>
      <t>1</t>
    </r>
  </si>
  <si>
    <r>
      <t>2011,00*12*0,0956*</t>
    </r>
    <r>
      <rPr>
        <b/>
        <sz val="12"/>
        <rFont val="Times New Roman"/>
        <family val="1"/>
      </rPr>
      <t>1</t>
    </r>
    <r>
      <rPr>
        <sz val="12"/>
        <rFont val="Times New Roman"/>
        <family val="1"/>
      </rPr>
      <t>/108 </t>
    </r>
  </si>
  <si>
    <r>
      <t>1097,88*0,0956*</t>
    </r>
    <r>
      <rPr>
        <b/>
        <sz val="12"/>
        <rFont val="Times New Roman"/>
        <family val="1"/>
      </rPr>
      <t>1</t>
    </r>
    <r>
      <rPr>
        <sz val="12"/>
        <rFont val="Times New Roman"/>
        <family val="1"/>
      </rPr>
      <t>/108 </t>
    </r>
  </si>
  <si>
    <r>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3015*12*0,0956*</t>
    </r>
    <r>
      <rPr>
        <b/>
        <sz val="12"/>
        <rFont val="Times New Roman"/>
        <family val="1"/>
      </rPr>
      <t>1</t>
    </r>
    <r>
      <rPr>
        <sz val="12"/>
        <rFont val="Times New Roman"/>
        <family val="1"/>
      </rPr>
      <t>/108</t>
    </r>
  </si>
  <si>
    <r>
      <t>267,89*0,0956*</t>
    </r>
    <r>
      <rPr>
        <b/>
        <sz val="12"/>
        <rFont val="Times New Roman"/>
        <family val="1"/>
      </rPr>
      <t>1</t>
    </r>
    <r>
      <rPr>
        <sz val="12"/>
        <rFont val="Times New Roman"/>
        <family val="1"/>
      </rPr>
      <t>/108 </t>
    </r>
  </si>
  <si>
    <r>
      <t>1200*0,0956*</t>
    </r>
    <r>
      <rPr>
        <b/>
        <sz val="12"/>
        <rFont val="Times New Roman"/>
        <family val="1"/>
      </rPr>
      <t>1</t>
    </r>
    <r>
      <rPr>
        <sz val="12"/>
        <rFont val="Times New Roman"/>
        <family val="1"/>
      </rPr>
      <t>/108</t>
    </r>
  </si>
  <si>
    <r>
      <t>19884,6*0,0956*</t>
    </r>
    <r>
      <rPr>
        <b/>
        <sz val="12"/>
        <rFont val="Times New Roman"/>
        <family val="1"/>
      </rPr>
      <t>1</t>
    </r>
    <r>
      <rPr>
        <sz val="12"/>
        <rFont val="Times New Roman"/>
        <family val="1"/>
      </rPr>
      <t>/108 </t>
    </r>
  </si>
  <si>
    <r>
      <t>20211,84*0,0956*</t>
    </r>
    <r>
      <rPr>
        <b/>
        <sz val="12"/>
        <rFont val="Times New Roman"/>
        <family val="1"/>
      </rPr>
      <t>1/</t>
    </r>
    <r>
      <rPr>
        <sz val="12"/>
        <rFont val="Times New Roman"/>
        <family val="1"/>
      </rPr>
      <t>108</t>
    </r>
  </si>
  <si>
    <r>
      <t>4564,197*0,0956*</t>
    </r>
    <r>
      <rPr>
        <b/>
        <sz val="12"/>
        <rFont val="Times New Roman"/>
        <family val="1"/>
      </rPr>
      <t>1</t>
    </r>
    <r>
      <rPr>
        <sz val="12"/>
        <rFont val="Times New Roman"/>
        <family val="1"/>
      </rPr>
      <t>/108</t>
    </r>
  </si>
  <si>
    <r>
      <t>1015*0,0956*</t>
    </r>
    <r>
      <rPr>
        <b/>
        <sz val="12"/>
        <rFont val="Times New Roman"/>
        <family val="1"/>
      </rPr>
      <t>1</t>
    </r>
    <r>
      <rPr>
        <sz val="12"/>
        <rFont val="Times New Roman"/>
        <family val="1"/>
      </rPr>
      <t>/108 </t>
    </r>
  </si>
  <si>
    <r>
      <rPr>
        <b/>
        <sz val="12"/>
        <rFont val="Times New Roman"/>
        <family val="1"/>
      </rPr>
      <t>1</t>
    </r>
    <r>
      <rPr>
        <sz val="12"/>
        <rFont val="Times New Roman"/>
        <family val="1"/>
      </rPr>
      <t>/108*1331/60*12*0,0956 </t>
    </r>
  </si>
  <si>
    <r>
      <t>(1690,00+1420,00)/2/21/8/11*12*</t>
    </r>
    <r>
      <rPr>
        <b/>
        <sz val="12"/>
        <rFont val="Times New Roman"/>
        <family val="1"/>
      </rPr>
      <t>16</t>
    </r>
  </si>
  <si>
    <r>
      <t>80*</t>
    </r>
    <r>
      <rPr>
        <b/>
        <sz val="12"/>
        <rFont val="Times New Roman"/>
        <family val="1"/>
      </rPr>
      <t>4</t>
    </r>
  </si>
  <si>
    <r>
      <t>(1690,00+1420,00)/2/21/8/11*12*</t>
    </r>
    <r>
      <rPr>
        <b/>
        <sz val="12"/>
        <rFont val="Times New Roman"/>
        <family val="1"/>
      </rPr>
      <t>8</t>
    </r>
  </si>
  <si>
    <r>
      <t>16,66*</t>
    </r>
    <r>
      <rPr>
        <b/>
        <sz val="12"/>
        <rFont val="Times New Roman"/>
        <family val="1"/>
      </rPr>
      <t>4</t>
    </r>
    <r>
      <rPr>
        <sz val="12"/>
        <rFont val="Times New Roman"/>
        <family val="1"/>
      </rPr>
      <t> </t>
    </r>
  </si>
  <si>
    <r>
      <t>123,76*</t>
    </r>
    <r>
      <rPr>
        <b/>
        <sz val="12"/>
        <rFont val="Times New Roman"/>
        <family val="1"/>
      </rPr>
      <t>4</t>
    </r>
  </si>
  <si>
    <r>
      <t>2.40*1,5*</t>
    </r>
    <r>
      <rPr>
        <b/>
        <sz val="12"/>
        <rFont val="Times New Roman"/>
        <family val="1"/>
      </rPr>
      <t>4</t>
    </r>
  </si>
  <si>
    <r>
      <t>66,03*</t>
    </r>
    <r>
      <rPr>
        <b/>
        <sz val="12"/>
        <rFont val="Times New Roman"/>
        <family val="1"/>
      </rPr>
      <t>4</t>
    </r>
  </si>
  <si>
    <r>
      <t>0,0275*1*</t>
    </r>
    <r>
      <rPr>
        <b/>
        <sz val="12"/>
        <rFont val="Times New Roman"/>
        <family val="1"/>
      </rPr>
      <t>4</t>
    </r>
  </si>
  <si>
    <r>
      <t>0,13*</t>
    </r>
    <r>
      <rPr>
        <b/>
        <sz val="12"/>
        <rFont val="Times New Roman"/>
        <family val="1"/>
      </rPr>
      <t>4</t>
    </r>
  </si>
  <si>
    <r>
      <t>2011,00*12*0,0956*</t>
    </r>
    <r>
      <rPr>
        <b/>
        <sz val="12"/>
        <rFont val="Times New Roman"/>
        <family val="1"/>
      </rPr>
      <t>4</t>
    </r>
    <r>
      <rPr>
        <sz val="12"/>
        <rFont val="Times New Roman"/>
        <family val="1"/>
      </rPr>
      <t>/108 </t>
    </r>
  </si>
  <si>
    <r>
      <t>1097,88*0,0956*</t>
    </r>
    <r>
      <rPr>
        <b/>
        <sz val="12"/>
        <rFont val="Times New Roman"/>
        <family val="1"/>
      </rPr>
      <t>4</t>
    </r>
    <r>
      <rPr>
        <sz val="12"/>
        <rFont val="Times New Roman"/>
        <family val="1"/>
      </rPr>
      <t>/108 </t>
    </r>
  </si>
  <si>
    <r>
      <t>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3015*12*0,0956*</t>
    </r>
    <r>
      <rPr>
        <b/>
        <sz val="12"/>
        <rFont val="Times New Roman"/>
        <family val="1"/>
      </rPr>
      <t>4</t>
    </r>
    <r>
      <rPr>
        <sz val="12"/>
        <rFont val="Times New Roman"/>
        <family val="1"/>
      </rPr>
      <t>/108</t>
    </r>
  </si>
  <si>
    <r>
      <t>267,89*0,0956*</t>
    </r>
    <r>
      <rPr>
        <b/>
        <sz val="12"/>
        <rFont val="Times New Roman"/>
        <family val="1"/>
      </rPr>
      <t>4</t>
    </r>
    <r>
      <rPr>
        <sz val="12"/>
        <rFont val="Times New Roman"/>
        <family val="1"/>
      </rPr>
      <t>/108 </t>
    </r>
  </si>
  <si>
    <r>
      <t>1200*0,0956*</t>
    </r>
    <r>
      <rPr>
        <b/>
        <sz val="12"/>
        <rFont val="Times New Roman"/>
        <family val="1"/>
      </rPr>
      <t>4</t>
    </r>
    <r>
      <rPr>
        <sz val="12"/>
        <rFont val="Times New Roman"/>
        <family val="1"/>
      </rPr>
      <t>/108</t>
    </r>
  </si>
  <si>
    <r>
      <t>19884,6*0,0956*</t>
    </r>
    <r>
      <rPr>
        <b/>
        <sz val="12"/>
        <rFont val="Times New Roman"/>
        <family val="1"/>
      </rPr>
      <t>4</t>
    </r>
    <r>
      <rPr>
        <sz val="12"/>
        <rFont val="Times New Roman"/>
        <family val="1"/>
      </rPr>
      <t>/108 </t>
    </r>
  </si>
  <si>
    <r>
      <t>20211,84*0,0956*</t>
    </r>
    <r>
      <rPr>
        <b/>
        <sz val="12"/>
        <rFont val="Times New Roman"/>
        <family val="1"/>
      </rPr>
      <t>4/</t>
    </r>
    <r>
      <rPr>
        <sz val="12"/>
        <rFont val="Times New Roman"/>
        <family val="1"/>
      </rPr>
      <t>108</t>
    </r>
  </si>
  <si>
    <r>
      <t>4564,197*0,0956*</t>
    </r>
    <r>
      <rPr>
        <b/>
        <sz val="12"/>
        <rFont val="Times New Roman"/>
        <family val="1"/>
      </rPr>
      <t>4</t>
    </r>
    <r>
      <rPr>
        <sz val="12"/>
        <rFont val="Times New Roman"/>
        <family val="1"/>
      </rPr>
      <t>/108</t>
    </r>
  </si>
  <si>
    <r>
      <t>1015*0,0956*</t>
    </r>
    <r>
      <rPr>
        <b/>
        <sz val="12"/>
        <rFont val="Times New Roman"/>
        <family val="1"/>
      </rPr>
      <t>4</t>
    </r>
    <r>
      <rPr>
        <sz val="12"/>
        <rFont val="Times New Roman"/>
        <family val="1"/>
      </rPr>
      <t>/108 </t>
    </r>
  </si>
  <si>
    <r>
      <rPr>
        <b/>
        <sz val="12"/>
        <rFont val="Times New Roman"/>
        <family val="1"/>
      </rPr>
      <t>4</t>
    </r>
    <r>
      <rPr>
        <sz val="12"/>
        <rFont val="Times New Roman"/>
        <family val="1"/>
      </rPr>
      <t>/108*1331/60*12*0,0956 </t>
    </r>
  </si>
  <si>
    <r>
      <t>42,00*</t>
    </r>
    <r>
      <rPr>
        <b/>
        <sz val="12"/>
        <rFont val="Times New Roman"/>
        <family val="1"/>
      </rPr>
      <t>1</t>
    </r>
  </si>
  <si>
    <r>
      <t>80*</t>
    </r>
    <r>
      <rPr>
        <b/>
        <sz val="12"/>
        <rFont val="Times New Roman"/>
        <family val="1"/>
      </rPr>
      <t>2</t>
    </r>
  </si>
  <si>
    <r>
      <t>16,66*</t>
    </r>
    <r>
      <rPr>
        <b/>
        <sz val="12"/>
        <rFont val="Times New Roman"/>
        <family val="1"/>
      </rPr>
      <t>2</t>
    </r>
    <r>
      <rPr>
        <sz val="12"/>
        <rFont val="Times New Roman"/>
        <family val="1"/>
      </rPr>
      <t> </t>
    </r>
  </si>
  <si>
    <r>
      <t>49,98*</t>
    </r>
    <r>
      <rPr>
        <b/>
        <sz val="12"/>
        <rFont val="Times New Roman"/>
        <family val="1"/>
      </rPr>
      <t>2</t>
    </r>
  </si>
  <si>
    <r>
      <t>2.40*1,5*</t>
    </r>
    <r>
      <rPr>
        <b/>
        <sz val="12"/>
        <rFont val="Times New Roman"/>
        <family val="1"/>
      </rPr>
      <t>2</t>
    </r>
  </si>
  <si>
    <r>
      <t>66,03*</t>
    </r>
    <r>
      <rPr>
        <b/>
        <sz val="12"/>
        <rFont val="Times New Roman"/>
        <family val="1"/>
      </rPr>
      <t>2</t>
    </r>
  </si>
  <si>
    <r>
      <t>0,0275*1*</t>
    </r>
    <r>
      <rPr>
        <b/>
        <sz val="12"/>
        <rFont val="Times New Roman"/>
        <family val="1"/>
      </rPr>
      <t>2</t>
    </r>
  </si>
  <si>
    <r>
      <t>0,13*</t>
    </r>
    <r>
      <rPr>
        <b/>
        <sz val="12"/>
        <rFont val="Times New Roman"/>
        <family val="1"/>
      </rPr>
      <t>2</t>
    </r>
  </si>
  <si>
    <r>
      <t>2011,00*12*0,0956*</t>
    </r>
    <r>
      <rPr>
        <b/>
        <sz val="12"/>
        <rFont val="Times New Roman"/>
        <family val="1"/>
      </rPr>
      <t>2</t>
    </r>
    <r>
      <rPr>
        <sz val="12"/>
        <rFont val="Times New Roman"/>
        <family val="1"/>
      </rPr>
      <t>/108 </t>
    </r>
  </si>
  <si>
    <r>
      <t>1097,88*0,0956*</t>
    </r>
    <r>
      <rPr>
        <b/>
        <sz val="12"/>
        <rFont val="Times New Roman"/>
        <family val="1"/>
      </rPr>
      <t>2</t>
    </r>
    <r>
      <rPr>
        <sz val="12"/>
        <rFont val="Times New Roman"/>
        <family val="1"/>
      </rPr>
      <t>/108 </t>
    </r>
  </si>
  <si>
    <r>
      <t>267,89*0,0956*</t>
    </r>
    <r>
      <rPr>
        <b/>
        <sz val="12"/>
        <rFont val="Times New Roman"/>
        <family val="1"/>
      </rPr>
      <t>2</t>
    </r>
    <r>
      <rPr>
        <sz val="12"/>
        <rFont val="Times New Roman"/>
        <family val="1"/>
      </rPr>
      <t>/108 </t>
    </r>
  </si>
  <si>
    <r>
      <t>1200*0,0956*</t>
    </r>
    <r>
      <rPr>
        <b/>
        <sz val="12"/>
        <rFont val="Times New Roman"/>
        <family val="1"/>
      </rPr>
      <t>2</t>
    </r>
    <r>
      <rPr>
        <sz val="12"/>
        <rFont val="Times New Roman"/>
        <family val="1"/>
      </rPr>
      <t>/108</t>
    </r>
  </si>
  <si>
    <r>
      <t>19884,6*0,0956*</t>
    </r>
    <r>
      <rPr>
        <b/>
        <sz val="12"/>
        <rFont val="Times New Roman"/>
        <family val="1"/>
      </rPr>
      <t>2</t>
    </r>
    <r>
      <rPr>
        <sz val="12"/>
        <rFont val="Times New Roman"/>
        <family val="1"/>
      </rPr>
      <t>/108 </t>
    </r>
  </si>
  <si>
    <r>
      <t>20211,84*0,0956*</t>
    </r>
    <r>
      <rPr>
        <b/>
        <sz val="12"/>
        <rFont val="Times New Roman"/>
        <family val="1"/>
      </rPr>
      <t>2/</t>
    </r>
    <r>
      <rPr>
        <sz val="12"/>
        <rFont val="Times New Roman"/>
        <family val="1"/>
      </rPr>
      <t>108</t>
    </r>
  </si>
  <si>
    <r>
      <t>4564,197*0,0956*</t>
    </r>
    <r>
      <rPr>
        <b/>
        <sz val="12"/>
        <rFont val="Times New Roman"/>
        <family val="1"/>
      </rPr>
      <t>2</t>
    </r>
    <r>
      <rPr>
        <sz val="12"/>
        <rFont val="Times New Roman"/>
        <family val="1"/>
      </rPr>
      <t>/108</t>
    </r>
  </si>
  <si>
    <r>
      <t>1015*0,0956*</t>
    </r>
    <r>
      <rPr>
        <b/>
        <sz val="12"/>
        <rFont val="Times New Roman"/>
        <family val="1"/>
      </rPr>
      <t>2</t>
    </r>
    <r>
      <rPr>
        <sz val="12"/>
        <rFont val="Times New Roman"/>
        <family val="1"/>
      </rPr>
      <t>/108 </t>
    </r>
  </si>
  <si>
    <r>
      <rPr>
        <b/>
        <sz val="12"/>
        <rFont val="Times New Roman"/>
        <family val="1"/>
      </rPr>
      <t>2</t>
    </r>
    <r>
      <rPr>
        <sz val="12"/>
        <rFont val="Times New Roman"/>
        <family val="1"/>
      </rPr>
      <t>/108*1331/60*12*0,0956 </t>
    </r>
  </si>
  <si>
    <r>
      <t>2.40*1,5*</t>
    </r>
    <r>
      <rPr>
        <b/>
        <sz val="12"/>
        <rFont val="Times New Roman"/>
        <family val="1"/>
      </rPr>
      <t>1</t>
    </r>
  </si>
  <si>
    <r>
      <t>900,00*</t>
    </r>
    <r>
      <rPr>
        <b/>
        <sz val="12"/>
        <rFont val="Times New Roman"/>
        <family val="1"/>
      </rPr>
      <t>1</t>
    </r>
  </si>
  <si>
    <r>
      <t>1200,00*</t>
    </r>
    <r>
      <rPr>
        <b/>
        <sz val="12"/>
        <rFont val="Times New Roman"/>
        <family val="1"/>
      </rPr>
      <t>1</t>
    </r>
  </si>
  <si>
    <r>
      <t>1800,00*</t>
    </r>
    <r>
      <rPr>
        <b/>
        <sz val="12"/>
        <rFont val="Times New Roman"/>
        <family val="1"/>
      </rPr>
      <t>1</t>
    </r>
  </si>
  <si>
    <r>
      <t>1130,15*</t>
    </r>
    <r>
      <rPr>
        <b/>
        <sz val="12"/>
        <rFont val="Times New Roman"/>
        <family val="1"/>
      </rPr>
      <t>1</t>
    </r>
  </si>
  <si>
    <r>
      <t>1350,00*</t>
    </r>
    <r>
      <rPr>
        <b/>
        <sz val="12"/>
        <rFont val="Times New Roman"/>
        <family val="1"/>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</si>
</sst>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00"/>
    <numFmt numFmtId="166" formatCode="0.0000"/>
  </numFmts>
  <fonts count="11" x14ac:knownFonts="1">
    <font>
      <sz val="11"/>
      <color theme="1"/>
      <name val="Calibri"/>
      <family val="2"/>
      <charset val="186"/>
      <scheme val="minor"/>
    </font>
    <font>
      <sz val="12"/>
      <color theme="1"/>
      <name val="Times New Roman"/>
      <family val="1"/>
    </font>
    <font>
      <b/>
      <sz val="12"/>
      <color theme="1"/>
      <name val="Times New Roman"/>
      <family val="1"/>
    </font>
    <font>
      <sz val="12"/>
      <color rgb="FF000000"/>
      <name val="Times New Roman"/>
      <family val="1"/>
    </font>
    <font>
      <b/>
      <sz val="12"/>
      <color rgb="FF000000"/>
      <name val="Times New Roman"/>
      <family val="1"/>
    </font>
    <font>
      <sz val="12"/>
      <name val="Times New Roman"/>
      <family val="1"/>
    </font>
    <font>
      <sz val="12"/>
      <color rgb="FFFF0000"/>
      <name val="Times New Roman"/>
      <family val="1"/>
    </font>
    <font>
      <b/>
      <i/>
      <sz val="12"/>
      <color rgb="FF000000"/>
      <name val="Times New Roman"/>
      <family val="1"/>
    </font>
    <font>
      <b/>
      <sz val="12"/>
      <name val="Times New Roman"/>
      <family val="1"/>
    </font>
    <font>
      <b/>
      <i/>
      <sz val="12"/>
      <name val="Times New Roman"/>
      <family val="1"/>
    </font>
    <font>
      <sz val="12"/>
      <color theme="0"/>
      <name val="Times New Roman"/>
      <family val="1"/>
    </font>
  </fonts>
  <fills count="8">
    <fill>
      <patternFill patternType="none"/>
    </fill>
    <fill>
      <patternFill patternType="gray125"/>
    </fill>
    <fill>
      <patternFill patternType="solid">
        <fgColor theme="7" tint="0.399975585192419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C00000"/>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s>
  <cellStyleXfs count="1">
    <xf numFmtId="0" fontId="0" fillId="0" borderId="0"/>
  </cellStyleXfs>
  <cellXfs count="140">
    <xf numFmtId="0" fontId="0" fillId="0" borderId="0" xfId="0"/>
    <xf numFmtId="0" fontId="1" fillId="0" borderId="0" xfId="0" applyFont="1"/>
    <xf numFmtId="0" fontId="2" fillId="0" borderId="0" xfId="0" applyFont="1"/>
    <xf numFmtId="0" fontId="1" fillId="0" borderId="0" xfId="0" applyFont="1" applyAlignment="1">
      <alignment horizontal="center" vertical="center"/>
    </xf>
    <xf numFmtId="0" fontId="1" fillId="0" borderId="0" xfId="0" applyFont="1" applyAlignment="1">
      <alignment horizontal="right"/>
    </xf>
    <xf numFmtId="0" fontId="3" fillId="0" borderId="0" xfId="0" applyFont="1"/>
    <xf numFmtId="0" fontId="5" fillId="0" borderId="0" xfId="0" applyFont="1" applyAlignment="1">
      <alignment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5" fillId="4" borderId="1" xfId="0" applyFont="1" applyFill="1" applyBorder="1" applyAlignment="1">
      <alignment wrapText="1"/>
    </xf>
    <xf numFmtId="0" fontId="3" fillId="4" borderId="1" xfId="0" applyFont="1" applyFill="1" applyBorder="1"/>
    <xf numFmtId="0" fontId="5" fillId="4" borderId="8" xfId="0" applyFont="1" applyFill="1" applyBorder="1" applyAlignment="1">
      <alignment wrapText="1"/>
    </xf>
    <xf numFmtId="0" fontId="5" fillId="5" borderId="1" xfId="0" applyFont="1" applyFill="1" applyBorder="1" applyAlignment="1">
      <alignment wrapText="1"/>
    </xf>
    <xf numFmtId="2" fontId="3" fillId="5" borderId="6" xfId="0" applyNumberFormat="1" applyFont="1" applyFill="1" applyBorder="1"/>
    <xf numFmtId="0" fontId="3" fillId="5" borderId="1" xfId="0" applyFont="1" applyFill="1" applyBorder="1"/>
    <xf numFmtId="2" fontId="3" fillId="5" borderId="16" xfId="0" applyNumberFormat="1" applyFont="1" applyFill="1" applyBorder="1"/>
    <xf numFmtId="2" fontId="3" fillId="5" borderId="16" xfId="0" applyNumberFormat="1" applyFont="1" applyFill="1" applyBorder="1" applyAlignment="1">
      <alignment wrapText="1"/>
    </xf>
    <xf numFmtId="2" fontId="3" fillId="4" borderId="6" xfId="0" applyNumberFormat="1" applyFont="1" applyFill="1" applyBorder="1"/>
    <xf numFmtId="0" fontId="3" fillId="4" borderId="1" xfId="0" applyFont="1" applyFill="1" applyBorder="1" applyAlignment="1">
      <alignment wrapText="1"/>
    </xf>
    <xf numFmtId="0" fontId="5" fillId="0" borderId="0" xfId="0" applyFont="1" applyAlignment="1">
      <alignment horizontal="right" wrapText="1"/>
    </xf>
    <xf numFmtId="0" fontId="3" fillId="3" borderId="11" xfId="0" applyFont="1" applyFill="1" applyBorder="1" applyAlignment="1">
      <alignment horizontal="right" vertical="center" wrapText="1"/>
    </xf>
    <xf numFmtId="0" fontId="3" fillId="5" borderId="5" xfId="0" applyFont="1" applyFill="1" applyBorder="1" applyAlignment="1">
      <alignment horizontal="right"/>
    </xf>
    <xf numFmtId="0" fontId="3" fillId="4" borderId="5" xfId="0" applyFont="1" applyFill="1" applyBorder="1" applyAlignment="1">
      <alignment horizontal="right"/>
    </xf>
    <xf numFmtId="0" fontId="4" fillId="0" borderId="0" xfId="0" applyFont="1" applyAlignment="1">
      <alignment horizontal="center"/>
    </xf>
    <xf numFmtId="0" fontId="3" fillId="0" borderId="0" xfId="0" applyFont="1" applyAlignment="1">
      <alignment wrapText="1"/>
    </xf>
    <xf numFmtId="0" fontId="1" fillId="5" borderId="1" xfId="0" applyFont="1" applyFill="1" applyBorder="1" applyAlignment="1">
      <alignment wrapText="1"/>
    </xf>
    <xf numFmtId="4" fontId="3" fillId="5" borderId="6" xfId="0" applyNumberFormat="1" applyFont="1" applyFill="1" applyBorder="1"/>
    <xf numFmtId="0" fontId="1" fillId="4" borderId="1" xfId="0" applyFont="1" applyFill="1" applyBorder="1" applyAlignment="1">
      <alignment wrapText="1"/>
    </xf>
    <xf numFmtId="0" fontId="2" fillId="0" borderId="0" xfId="0" applyFont="1" applyAlignment="1">
      <alignment horizontal="center" vertical="center"/>
    </xf>
    <xf numFmtId="0" fontId="1" fillId="5" borderId="5" xfId="0" applyFont="1" applyFill="1" applyBorder="1"/>
    <xf numFmtId="0" fontId="2" fillId="5" borderId="1" xfId="0" applyFont="1" applyFill="1" applyBorder="1" applyAlignment="1">
      <alignment horizontal="center"/>
    </xf>
    <xf numFmtId="0" fontId="1" fillId="5" borderId="6" xfId="0" applyFont="1" applyFill="1" applyBorder="1"/>
    <xf numFmtId="0" fontId="6" fillId="0" borderId="0" xfId="0" applyFont="1"/>
    <xf numFmtId="0" fontId="2" fillId="6" borderId="14" xfId="0" applyFont="1" applyFill="1" applyBorder="1" applyAlignment="1">
      <alignment horizontal="center" vertical="center"/>
    </xf>
    <xf numFmtId="2" fontId="2" fillId="6" borderId="16" xfId="0" applyNumberFormat="1"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1" fillId="4" borderId="7" xfId="0" applyFont="1" applyFill="1" applyBorder="1"/>
    <xf numFmtId="0" fontId="1" fillId="4" borderId="9" xfId="0" applyFont="1" applyFill="1" applyBorder="1"/>
    <xf numFmtId="0" fontId="1" fillId="2" borderId="3" xfId="0" applyFont="1" applyFill="1" applyBorder="1"/>
    <xf numFmtId="0" fontId="2" fillId="2" borderId="2" xfId="0" applyFont="1" applyFill="1" applyBorder="1"/>
    <xf numFmtId="2" fontId="2" fillId="2" borderId="4" xfId="0" applyNumberFormat="1" applyFont="1" applyFill="1" applyBorder="1"/>
    <xf numFmtId="0" fontId="1" fillId="0" borderId="5" xfId="0" applyFont="1" applyBorder="1"/>
    <xf numFmtId="0" fontId="2" fillId="0" borderId="1" xfId="0" applyFont="1" applyBorder="1"/>
    <xf numFmtId="2" fontId="2" fillId="0" borderId="6" xfId="0" applyNumberFormat="1" applyFont="1" applyBorder="1"/>
    <xf numFmtId="0" fontId="1" fillId="0" borderId="7" xfId="0" applyFont="1" applyBorder="1"/>
    <xf numFmtId="0" fontId="2" fillId="0" borderId="8" xfId="0" applyFont="1" applyBorder="1"/>
    <xf numFmtId="2" fontId="2" fillId="0" borderId="9" xfId="0" applyNumberFormat="1" applyFont="1" applyBorder="1"/>
    <xf numFmtId="0" fontId="4" fillId="0" borderId="11" xfId="0" applyFont="1" applyBorder="1"/>
    <xf numFmtId="0" fontId="2" fillId="0" borderId="13" xfId="0" applyFont="1" applyBorder="1"/>
    <xf numFmtId="0" fontId="4" fillId="0" borderId="7" xfId="0" applyFont="1" applyBorder="1" applyAlignment="1">
      <alignment wrapText="1"/>
    </xf>
    <xf numFmtId="0" fontId="5" fillId="5" borderId="1" xfId="0" applyFont="1" applyFill="1" applyBorder="1" applyAlignment="1">
      <alignment vertical="top" wrapText="1"/>
    </xf>
    <xf numFmtId="0" fontId="3" fillId="0" borderId="0" xfId="0" applyFont="1" applyAlignment="1">
      <alignment horizontal="right"/>
    </xf>
    <xf numFmtId="0" fontId="3" fillId="0" borderId="0" xfId="0" applyFont="1" applyAlignment="1">
      <alignment horizontal="right" wrapText="1"/>
    </xf>
    <xf numFmtId="0" fontId="1" fillId="5" borderId="5" xfId="0" applyFont="1" applyFill="1" applyBorder="1" applyAlignment="1">
      <alignment horizontal="right"/>
    </xf>
    <xf numFmtId="0" fontId="3" fillId="5" borderId="15" xfId="0" applyFont="1" applyFill="1" applyBorder="1" applyAlignment="1">
      <alignment horizontal="right"/>
    </xf>
    <xf numFmtId="0" fontId="1" fillId="6" borderId="15" xfId="0" applyFont="1" applyFill="1" applyBorder="1" applyAlignment="1">
      <alignment horizontal="right"/>
    </xf>
    <xf numFmtId="0" fontId="1" fillId="4" borderId="11" xfId="0" applyFont="1" applyFill="1" applyBorder="1" applyAlignment="1">
      <alignment horizontal="right"/>
    </xf>
    <xf numFmtId="0" fontId="1" fillId="4" borderId="5" xfId="0" applyFont="1" applyFill="1" applyBorder="1" applyAlignment="1">
      <alignment horizontal="right"/>
    </xf>
    <xf numFmtId="0" fontId="1" fillId="4" borderId="7" xfId="0" applyFont="1" applyFill="1" applyBorder="1" applyAlignment="1">
      <alignment horizontal="right"/>
    </xf>
    <xf numFmtId="0" fontId="1" fillId="2" borderId="3" xfId="0" applyFont="1" applyFill="1" applyBorder="1" applyAlignment="1">
      <alignment horizontal="right"/>
    </xf>
    <xf numFmtId="0" fontId="1" fillId="0" borderId="5" xfId="0" applyFont="1" applyBorder="1" applyAlignment="1">
      <alignment horizontal="right"/>
    </xf>
    <xf numFmtId="0" fontId="1" fillId="0" borderId="7" xfId="0" applyFont="1" applyBorder="1" applyAlignment="1">
      <alignment horizontal="right"/>
    </xf>
    <xf numFmtId="0" fontId="5" fillId="0" borderId="0" xfId="0" applyFont="1" applyAlignment="1">
      <alignment horizontal="left" wrapText="1"/>
    </xf>
    <xf numFmtId="0" fontId="3" fillId="0" borderId="0" xfId="0" applyFont="1" applyAlignment="1">
      <alignment horizontal="left"/>
    </xf>
    <xf numFmtId="0" fontId="3" fillId="0" borderId="0" xfId="0" applyFont="1" applyAlignment="1">
      <alignment horizontal="left" wrapText="1"/>
    </xf>
    <xf numFmtId="0" fontId="1" fillId="5" borderId="1" xfId="0" applyFont="1" applyFill="1" applyBorder="1" applyAlignment="1">
      <alignment vertical="top" wrapText="1"/>
    </xf>
    <xf numFmtId="0" fontId="1" fillId="5" borderId="18" xfId="0" applyFont="1" applyFill="1" applyBorder="1" applyAlignment="1">
      <alignment wrapText="1"/>
    </xf>
    <xf numFmtId="4" fontId="2" fillId="6" borderId="16" xfId="0" applyNumberFormat="1" applyFont="1" applyFill="1" applyBorder="1" applyAlignment="1">
      <alignment horizontal="center" vertical="center"/>
    </xf>
    <xf numFmtId="0" fontId="5" fillId="4" borderId="1" xfId="0" applyFont="1" applyFill="1" applyBorder="1" applyAlignment="1">
      <alignment vertical="top" wrapText="1"/>
    </xf>
    <xf numFmtId="4" fontId="2" fillId="2" borderId="4" xfId="0" applyNumberFormat="1" applyFont="1" applyFill="1" applyBorder="1"/>
    <xf numFmtId="4" fontId="2" fillId="0" borderId="6" xfId="0" applyNumberFormat="1" applyFont="1" applyBorder="1"/>
    <xf numFmtId="4" fontId="2" fillId="0" borderId="9" xfId="0" applyNumberFormat="1" applyFont="1" applyBorder="1"/>
    <xf numFmtId="0" fontId="5" fillId="5" borderId="5" xfId="0" applyFont="1" applyFill="1" applyBorder="1" applyAlignment="1">
      <alignment horizontal="right"/>
    </xf>
    <xf numFmtId="0" fontId="5" fillId="0" borderId="0" xfId="0" applyFont="1"/>
    <xf numFmtId="0" fontId="5" fillId="5" borderId="1" xfId="0" applyFont="1" applyFill="1" applyBorder="1"/>
    <xf numFmtId="0" fontId="5" fillId="5" borderId="6" xfId="0" applyFont="1" applyFill="1" applyBorder="1"/>
    <xf numFmtId="0" fontId="4" fillId="0" borderId="7" xfId="0" applyFont="1" applyBorder="1" applyAlignment="1">
      <alignment vertical="top" wrapText="1"/>
    </xf>
    <xf numFmtId="4" fontId="3" fillId="4" borderId="6" xfId="0" applyNumberFormat="1" applyFont="1" applyFill="1" applyBorder="1"/>
    <xf numFmtId="4" fontId="2" fillId="0" borderId="0" xfId="0" applyNumberFormat="1" applyFont="1"/>
    <xf numFmtId="4" fontId="2" fillId="0" borderId="13" xfId="0" applyNumberFormat="1" applyFont="1" applyBorder="1"/>
    <xf numFmtId="0" fontId="5" fillId="3" borderId="12" xfId="0" applyFont="1" applyFill="1" applyBorder="1" applyAlignment="1">
      <alignment horizontal="center" vertical="center" wrapText="1"/>
    </xf>
    <xf numFmtId="0" fontId="8" fillId="5" borderId="1" xfId="0" applyFont="1" applyFill="1" applyBorder="1" applyAlignment="1">
      <alignment horizontal="center"/>
    </xf>
    <xf numFmtId="0" fontId="8" fillId="6" borderId="14" xfId="0" applyFont="1" applyFill="1" applyBorder="1" applyAlignment="1">
      <alignment horizontal="center" vertical="center"/>
    </xf>
    <xf numFmtId="0" fontId="8" fillId="4" borderId="12" xfId="0" applyFont="1" applyFill="1" applyBorder="1" applyAlignment="1">
      <alignment horizontal="center" vertical="center"/>
    </xf>
    <xf numFmtId="0" fontId="8" fillId="2" borderId="2" xfId="0" applyFont="1" applyFill="1" applyBorder="1"/>
    <xf numFmtId="0" fontId="8" fillId="0" borderId="1" xfId="0" applyFont="1" applyBorder="1"/>
    <xf numFmtId="0" fontId="8" fillId="0" borderId="8" xfId="0" applyFont="1" applyBorder="1"/>
    <xf numFmtId="0" fontId="8" fillId="0" borderId="0" xfId="0" applyFont="1"/>
    <xf numFmtId="0" fontId="8" fillId="0" borderId="11" xfId="0" applyFont="1" applyBorder="1"/>
    <xf numFmtId="0" fontId="8" fillId="0" borderId="7" xfId="0" applyFont="1" applyBorder="1" applyAlignment="1">
      <alignment vertical="top" wrapText="1"/>
    </xf>
    <xf numFmtId="0" fontId="5" fillId="5" borderId="18" xfId="0" applyFont="1" applyFill="1" applyBorder="1" applyAlignment="1">
      <alignment wrapText="1"/>
    </xf>
    <xf numFmtId="2" fontId="5" fillId="5" borderId="16" xfId="0" applyNumberFormat="1" applyFont="1" applyFill="1" applyBorder="1" applyAlignment="1">
      <alignment vertical="top" wrapText="1"/>
    </xf>
    <xf numFmtId="2" fontId="5" fillId="5" borderId="16" xfId="0" applyNumberFormat="1" applyFont="1" applyFill="1" applyBorder="1"/>
    <xf numFmtId="0" fontId="10" fillId="0" borderId="0" xfId="0" applyFont="1"/>
    <xf numFmtId="2" fontId="10" fillId="0" borderId="0" xfId="0" applyNumberFormat="1" applyFont="1"/>
    <xf numFmtId="166" fontId="10" fillId="0" borderId="0" xfId="0" applyNumberFormat="1" applyFont="1"/>
    <xf numFmtId="165" fontId="10" fillId="0" borderId="0" xfId="0" applyNumberFormat="1" applyFont="1"/>
    <xf numFmtId="0" fontId="1" fillId="5" borderId="17" xfId="0" applyFont="1" applyFill="1" applyBorder="1" applyAlignment="1">
      <alignment wrapText="1"/>
    </xf>
    <xf numFmtId="0" fontId="5" fillId="5" borderId="17" xfId="0" applyFont="1" applyFill="1" applyBorder="1" applyAlignment="1">
      <alignment wrapText="1"/>
    </xf>
    <xf numFmtId="0" fontId="3" fillId="5" borderId="17" xfId="0" applyFont="1" applyFill="1" applyBorder="1"/>
    <xf numFmtId="0" fontId="5" fillId="5" borderId="17" xfId="0" applyFont="1" applyFill="1" applyBorder="1" applyAlignment="1">
      <alignment vertical="top" wrapText="1"/>
    </xf>
    <xf numFmtId="2" fontId="3" fillId="5" borderId="18" xfId="0" applyNumberFormat="1" applyFont="1" applyFill="1" applyBorder="1" applyAlignment="1">
      <alignment vertical="top" wrapText="1"/>
    </xf>
    <xf numFmtId="0" fontId="1" fillId="5" borderId="16" xfId="0" applyFont="1" applyFill="1" applyBorder="1"/>
    <xf numFmtId="2" fontId="3" fillId="5" borderId="20" xfId="0" applyNumberFormat="1" applyFont="1" applyFill="1" applyBorder="1"/>
    <xf numFmtId="0" fontId="5" fillId="5" borderId="19" xfId="0" applyFont="1" applyFill="1" applyBorder="1"/>
    <xf numFmtId="2" fontId="5" fillId="5" borderId="19" xfId="0" applyNumberFormat="1" applyFont="1" applyFill="1" applyBorder="1"/>
    <xf numFmtId="0" fontId="5" fillId="4" borderId="17" xfId="0" applyFont="1" applyFill="1" applyBorder="1" applyAlignment="1">
      <alignment wrapText="1"/>
    </xf>
    <xf numFmtId="0" fontId="5" fillId="4" borderId="17" xfId="0" applyFont="1" applyFill="1" applyBorder="1" applyAlignment="1">
      <alignment vertical="top" wrapText="1"/>
    </xf>
    <xf numFmtId="0" fontId="5" fillId="4" borderId="17" xfId="0" applyFont="1" applyFill="1" applyBorder="1"/>
    <xf numFmtId="0" fontId="2" fillId="4" borderId="10" xfId="0" applyFont="1" applyFill="1" applyBorder="1" applyAlignment="1">
      <alignment horizontal="center" vertical="center"/>
    </xf>
    <xf numFmtId="0" fontId="1" fillId="4" borderId="21" xfId="0" applyFont="1" applyFill="1" applyBorder="1"/>
    <xf numFmtId="166" fontId="5" fillId="5" borderId="19" xfId="0" applyNumberFormat="1" applyFont="1" applyFill="1" applyBorder="1"/>
    <xf numFmtId="165" fontId="5" fillId="5" borderId="19" xfId="0" applyNumberFormat="1" applyFont="1" applyFill="1" applyBorder="1"/>
    <xf numFmtId="0" fontId="1" fillId="4" borderId="17" xfId="0" applyFont="1" applyFill="1" applyBorder="1" applyAlignment="1">
      <alignment wrapText="1"/>
    </xf>
    <xf numFmtId="0" fontId="3" fillId="4" borderId="17" xfId="0" applyFont="1" applyFill="1" applyBorder="1"/>
    <xf numFmtId="0" fontId="3" fillId="4" borderId="17" xfId="0" applyFont="1" applyFill="1" applyBorder="1" applyAlignment="1">
      <alignment vertical="top" wrapText="1"/>
    </xf>
    <xf numFmtId="2" fontId="5" fillId="4" borderId="19" xfId="0" applyNumberFormat="1" applyFont="1" applyFill="1" applyBorder="1"/>
    <xf numFmtId="2" fontId="3" fillId="5" borderId="18" xfId="0" applyNumberFormat="1" applyFont="1" applyFill="1" applyBorder="1"/>
    <xf numFmtId="2" fontId="2" fillId="6" borderId="20" xfId="0" applyNumberFormat="1" applyFont="1" applyFill="1" applyBorder="1" applyAlignment="1">
      <alignment horizontal="center" vertical="center"/>
    </xf>
    <xf numFmtId="0" fontId="3" fillId="4" borderId="17" xfId="0" applyFont="1" applyFill="1" applyBorder="1" applyAlignment="1">
      <alignment wrapText="1"/>
    </xf>
    <xf numFmtId="0" fontId="5" fillId="5" borderId="17" xfId="0" applyFont="1" applyFill="1" applyBorder="1"/>
    <xf numFmtId="4" fontId="1" fillId="5" borderId="4" xfId="0" applyNumberFormat="1" applyFont="1" applyFill="1" applyBorder="1"/>
    <xf numFmtId="4" fontId="2" fillId="4" borderId="10" xfId="0" applyNumberFormat="1" applyFont="1" applyFill="1" applyBorder="1" applyAlignment="1">
      <alignment horizontal="center" vertical="center"/>
    </xf>
    <xf numFmtId="4" fontId="1" fillId="4" borderId="21" xfId="0" applyNumberFormat="1" applyFont="1" applyFill="1" applyBorder="1"/>
    <xf numFmtId="0" fontId="1" fillId="5" borderId="4" xfId="0" applyFont="1" applyFill="1" applyBorder="1"/>
    <xf numFmtId="0" fontId="3" fillId="4" borderId="17" xfId="0" applyFont="1" applyFill="1" applyBorder="1" applyAlignment="1">
      <alignment vertical="top"/>
    </xf>
    <xf numFmtId="0" fontId="5" fillId="4" borderId="17" xfId="0" applyFont="1" applyFill="1" applyBorder="1" applyAlignment="1">
      <alignment vertical="top"/>
    </xf>
    <xf numFmtId="2" fontId="5" fillId="5" borderId="18" xfId="0" applyNumberFormat="1" applyFont="1" applyFill="1" applyBorder="1" applyAlignment="1">
      <alignment vertical="top" wrapText="1"/>
    </xf>
    <xf numFmtId="2" fontId="5" fillId="4" borderId="6" xfId="0" applyNumberFormat="1" applyFont="1" applyFill="1" applyBorder="1"/>
    <xf numFmtId="2" fontId="3" fillId="5" borderId="4" xfId="0" applyNumberFormat="1" applyFont="1" applyFill="1" applyBorder="1"/>
    <xf numFmtId="2" fontId="1" fillId="0" borderId="0" xfId="0" applyNumberFormat="1" applyFont="1"/>
    <xf numFmtId="2" fontId="3" fillId="7" borderId="6" xfId="0" applyNumberFormat="1" applyFont="1" applyFill="1" applyBorder="1"/>
    <xf numFmtId="0" fontId="5" fillId="7" borderId="17" xfId="0" applyFont="1" applyFill="1" applyBorder="1" applyAlignment="1">
      <alignment wrapText="1"/>
    </xf>
    <xf numFmtId="0" fontId="3" fillId="7" borderId="5" xfId="0" applyFont="1" applyFill="1" applyBorder="1" applyAlignment="1">
      <alignment horizontal="right"/>
    </xf>
    <xf numFmtId="0" fontId="3" fillId="7" borderId="17" xfId="0" applyFont="1" applyFill="1" applyBorder="1" applyAlignment="1">
      <alignment wrapText="1"/>
    </xf>
    <xf numFmtId="0" fontId="4" fillId="0" borderId="0" xfId="0" applyFont="1" applyAlignment="1">
      <alignment horizontal="center"/>
    </xf>
    <xf numFmtId="0" fontId="1" fillId="0" borderId="0" xfId="0" applyFont="1" applyAlignment="1"/>
    <xf numFmtId="0" fontId="1"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Alekss Ūpis" id="{CE7CFA1D-8387-4260-AA20-9DBFA9571C56}" userId="S::alekss.upis@antidopings.gov.lv::fffeb167-e86f-4122-922e-5bd355dadc9c"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4" dT="2024-05-27T08:49:35.62" personId="{CE7CFA1D-8387-4260-AA20-9DBFA9571C56}" id="{BF5F607C-E2A6-4936-924A-44F6543460C6}">
    <text>Nomainīju formulā aili no A32 uz C32</text>
  </threadedComment>
  <threadedComment ref="C46" dT="2024-05-27T08:17:23.78" personId="{CE7CFA1D-8387-4260-AA20-9DBFA9571C56}" id="{69B1F738-912D-4B69-B172-3DEA9F1B3E96}">
    <text>Iztrūka 0 aiz komata</text>
  </threadedComment>
</ThreadedComments>
</file>

<file path=xl/threadedComments/threadedComment2.xml><?xml version="1.0" encoding="utf-8"?>
<ThreadedComments xmlns="http://schemas.microsoft.com/office/spreadsheetml/2018/threadedcomments" xmlns:x="http://schemas.openxmlformats.org/spreadsheetml/2006/main">
  <threadedComment ref="C34" dT="2024-05-27T08:43:30.55" personId="{CE7CFA1D-8387-4260-AA20-9DBFA9571C56}" id="{DD3E9778-5E84-4614-AF51-6DAAE1294CA1}">
    <text>Pieliku klāt x12 mēneši formulā</text>
  </threadedComment>
</ThreadedComments>
</file>

<file path=xl/threadedComments/threadedComment3.xml><?xml version="1.0" encoding="utf-8"?>
<ThreadedComments xmlns="http://schemas.microsoft.com/office/spreadsheetml/2018/threadedcomments" xmlns:x="http://schemas.openxmlformats.org/spreadsheetml/2006/main">
  <threadedComment ref="C22" dT="2024-05-27T08:45:48.37" personId="{CE7CFA1D-8387-4260-AA20-9DBFA9571C56}" id="{E81D3A51-7244-41DB-9B5D-A021BDD15884}">
    <text>Pievienoju X 12 mēneši</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 Id="rId4" Type="http://schemas.microsoft.com/office/2017/10/relationships/threadedComment" Target="../threadedComments/threadedComment2.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9.bin"/><Relationship Id="rId4" Type="http://schemas.microsoft.com/office/2017/10/relationships/threadedComment" Target="../threadedComments/threadedComment3.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D3EC5-602A-41BF-A5EB-9B6514E983BC}">
  <dimension ref="A1:F66"/>
  <sheetViews>
    <sheetView tabSelected="1" view="pageBreakPreview" zoomScale="60" zoomScaleNormal="100" workbookViewId="0">
      <selection activeCell="C1" sqref="C1"/>
    </sheetView>
  </sheetViews>
  <sheetFormatPr defaultColWidth="9.140625" defaultRowHeight="15.75" x14ac:dyDescent="0.25"/>
  <cols>
    <col min="1" max="1" width="21.5703125" style="4" customWidth="1"/>
    <col min="2" max="2" width="80.7109375" style="1" customWidth="1"/>
    <col min="3" max="3" width="27.85546875" style="1" customWidth="1"/>
    <col min="4" max="4" width="9.140625" style="1"/>
    <col min="5" max="5" width="9.140625" style="95"/>
    <col min="6" max="16384" width="9.140625" style="1"/>
  </cols>
  <sheetData>
    <row r="1" spans="1:6" ht="129.75" customHeight="1" x14ac:dyDescent="0.25">
      <c r="A1" s="138"/>
      <c r="B1" s="138"/>
      <c r="C1" s="139" t="s">
        <v>137</v>
      </c>
      <c r="D1" s="138"/>
      <c r="E1" s="138"/>
      <c r="F1" s="138"/>
    </row>
    <row r="2" spans="1:6" x14ac:dyDescent="0.25">
      <c r="A2" s="137" t="s">
        <v>2</v>
      </c>
      <c r="B2" s="137"/>
      <c r="C2" s="137"/>
    </row>
    <row r="3" spans="1:6" x14ac:dyDescent="0.25">
      <c r="A3" s="24"/>
      <c r="B3" s="24"/>
      <c r="C3" s="24"/>
    </row>
    <row r="4" spans="1:6" ht="31.5" x14ac:dyDescent="0.25">
      <c r="A4" s="64" t="s">
        <v>3</v>
      </c>
      <c r="B4" s="6" t="s">
        <v>4</v>
      </c>
    </row>
    <row r="5" spans="1:6" x14ac:dyDescent="0.25">
      <c r="A5" s="65" t="s">
        <v>5</v>
      </c>
      <c r="B5" s="5" t="s">
        <v>6</v>
      </c>
    </row>
    <row r="6" spans="1:6" ht="47.25" x14ac:dyDescent="0.25">
      <c r="A6" s="66" t="s">
        <v>7</v>
      </c>
      <c r="B6" s="29">
        <v>53</v>
      </c>
    </row>
    <row r="8" spans="1:6" ht="63" x14ac:dyDescent="0.25">
      <c r="A8" s="7" t="s">
        <v>8</v>
      </c>
      <c r="B8" s="8" t="s">
        <v>9</v>
      </c>
      <c r="C8" s="9" t="s">
        <v>10</v>
      </c>
    </row>
    <row r="9" spans="1:6" x14ac:dyDescent="0.25">
      <c r="A9" s="55"/>
      <c r="B9" s="31" t="s">
        <v>0</v>
      </c>
      <c r="C9" s="32"/>
    </row>
    <row r="10" spans="1:6" ht="96.75" customHeight="1" x14ac:dyDescent="0.25">
      <c r="A10" s="22" t="s">
        <v>11</v>
      </c>
      <c r="B10" s="67" t="s">
        <v>278</v>
      </c>
      <c r="C10" s="27">
        <f>(1690+1420)/2/21/8/11*12*424</f>
        <v>4281.2987012987014</v>
      </c>
      <c r="E10" s="96">
        <f>(1690+1420)/2/21/8/11*12*424</f>
        <v>4281.2987012987014</v>
      </c>
    </row>
    <row r="11" spans="1:6" x14ac:dyDescent="0.25">
      <c r="A11" s="55"/>
      <c r="B11" s="13" t="s">
        <v>12</v>
      </c>
      <c r="C11" s="32"/>
      <c r="D11" s="33"/>
    </row>
    <row r="12" spans="1:6" ht="47.25" x14ac:dyDescent="0.25">
      <c r="A12" s="22" t="s">
        <v>13</v>
      </c>
      <c r="B12" s="13" t="s">
        <v>195</v>
      </c>
      <c r="C12" s="27">
        <f>60*53</f>
        <v>3180</v>
      </c>
      <c r="E12" s="96">
        <f>60*53</f>
        <v>3180</v>
      </c>
    </row>
    <row r="13" spans="1:6" x14ac:dyDescent="0.25">
      <c r="A13" s="55"/>
      <c r="B13" s="13" t="s">
        <v>14</v>
      </c>
      <c r="C13" s="32"/>
    </row>
    <row r="14" spans="1:6" ht="110.25" x14ac:dyDescent="0.25">
      <c r="A14" s="74">
        <v>1119</v>
      </c>
      <c r="B14" s="13" t="s">
        <v>167</v>
      </c>
      <c r="C14" s="27">
        <f>(1690+1420)/2/21/8/11*12*106</f>
        <v>1070.3246753246754</v>
      </c>
      <c r="D14" s="75"/>
      <c r="E14" s="95">
        <f>(1690+1420)/2/21/8/11*12*106</f>
        <v>1070.3246753246754</v>
      </c>
    </row>
    <row r="15" spans="1:6" x14ac:dyDescent="0.25">
      <c r="A15" s="74"/>
      <c r="B15" s="76" t="s">
        <v>148</v>
      </c>
      <c r="C15" s="77"/>
      <c r="D15" s="75"/>
    </row>
    <row r="16" spans="1:6" x14ac:dyDescent="0.25">
      <c r="A16" s="22">
        <v>1210</v>
      </c>
      <c r="B16" s="15" t="s">
        <v>15</v>
      </c>
      <c r="C16" s="27">
        <f>(C10+C12+C14)*0.2359</f>
        <v>2012.6099545454545</v>
      </c>
      <c r="E16" s="95">
        <f>(C10+C12+C14)*0.2359</f>
        <v>2012.6099545454545</v>
      </c>
    </row>
    <row r="17" spans="1:5" x14ac:dyDescent="0.25">
      <c r="A17" s="22"/>
      <c r="B17" s="15" t="s">
        <v>152</v>
      </c>
      <c r="C17" s="14"/>
    </row>
    <row r="18" spans="1:5" ht="32.25" customHeight="1" x14ac:dyDescent="0.25">
      <c r="A18" s="22" t="s">
        <v>16</v>
      </c>
      <c r="B18" s="52" t="s">
        <v>17</v>
      </c>
      <c r="C18" s="27">
        <f>12.02*53</f>
        <v>637.05999999999995</v>
      </c>
      <c r="E18" s="95">
        <f>12.02*53</f>
        <v>637.05999999999995</v>
      </c>
    </row>
    <row r="19" spans="1:5" x14ac:dyDescent="0.25">
      <c r="A19" s="55"/>
      <c r="B19" s="13" t="s">
        <v>18</v>
      </c>
      <c r="C19" s="32"/>
    </row>
    <row r="20" spans="1:5" ht="31.5" x14ac:dyDescent="0.25">
      <c r="A20" s="22" t="s">
        <v>19</v>
      </c>
      <c r="B20" s="13" t="s">
        <v>139</v>
      </c>
      <c r="C20" s="27">
        <f>166.6*53</f>
        <v>8829.7999999999993</v>
      </c>
      <c r="E20" s="96">
        <f>166.6*53</f>
        <v>8829.7999999999993</v>
      </c>
    </row>
    <row r="21" spans="1:5" x14ac:dyDescent="0.25">
      <c r="A21" s="55"/>
      <c r="B21" s="13" t="s">
        <v>20</v>
      </c>
      <c r="C21" s="32"/>
    </row>
    <row r="22" spans="1:5" ht="47.25" x14ac:dyDescent="0.25">
      <c r="A22" s="22" t="s">
        <v>19</v>
      </c>
      <c r="B22" s="13" t="s">
        <v>141</v>
      </c>
      <c r="C22" s="27">
        <f>0.38*3*53</f>
        <v>60.420000000000009</v>
      </c>
      <c r="E22" s="95">
        <f>0.38*3*53</f>
        <v>60.420000000000009</v>
      </c>
    </row>
    <row r="23" spans="1:5" x14ac:dyDescent="0.25">
      <c r="A23" s="22"/>
      <c r="B23" s="13" t="s">
        <v>140</v>
      </c>
      <c r="C23" s="14"/>
    </row>
    <row r="24" spans="1:5" ht="31.5" x14ac:dyDescent="0.25">
      <c r="A24" s="22" t="s">
        <v>21</v>
      </c>
      <c r="B24" s="13" t="s">
        <v>142</v>
      </c>
      <c r="C24" s="27">
        <f>2.4*1.5*53</f>
        <v>190.79999999999998</v>
      </c>
      <c r="E24" s="96">
        <f>2.4*1.5*53</f>
        <v>190.79999999999998</v>
      </c>
    </row>
    <row r="25" spans="1:5" x14ac:dyDescent="0.25">
      <c r="A25" s="55"/>
      <c r="B25" s="13" t="s">
        <v>22</v>
      </c>
      <c r="C25" s="27"/>
    </row>
    <row r="26" spans="1:5" ht="47.25" x14ac:dyDescent="0.25">
      <c r="A26" s="22" t="s">
        <v>21</v>
      </c>
      <c r="B26" s="13" t="s">
        <v>23</v>
      </c>
      <c r="C26" s="27">
        <f>0.0393*53</f>
        <v>2.0829</v>
      </c>
      <c r="E26" s="95">
        <f>0.0393*53</f>
        <v>2.0829</v>
      </c>
    </row>
    <row r="27" spans="1:5" x14ac:dyDescent="0.25">
      <c r="A27" s="55"/>
      <c r="B27" s="13" t="s">
        <v>24</v>
      </c>
      <c r="C27" s="27"/>
    </row>
    <row r="28" spans="1:5" ht="31.5" x14ac:dyDescent="0.25">
      <c r="A28" s="22">
        <v>2341</v>
      </c>
      <c r="B28" s="13" t="s">
        <v>169</v>
      </c>
      <c r="C28" s="27">
        <f>16.22*53</f>
        <v>859.66</v>
      </c>
      <c r="E28" s="95">
        <f>16.22*53</f>
        <v>859.66</v>
      </c>
    </row>
    <row r="29" spans="1:5" x14ac:dyDescent="0.25">
      <c r="A29" s="55"/>
      <c r="B29" s="13" t="s">
        <v>25</v>
      </c>
      <c r="C29" s="27"/>
    </row>
    <row r="30" spans="1:5" ht="31.5" x14ac:dyDescent="0.25">
      <c r="A30" s="22" t="s">
        <v>26</v>
      </c>
      <c r="B30" s="13" t="s">
        <v>143</v>
      </c>
      <c r="C30" s="27">
        <f>0.0275*1*53</f>
        <v>1.4575</v>
      </c>
      <c r="E30" s="95">
        <f>0.0275*1*53</f>
        <v>1.4575</v>
      </c>
    </row>
    <row r="31" spans="1:5" x14ac:dyDescent="0.25">
      <c r="A31" s="55"/>
      <c r="B31" s="13" t="s">
        <v>28</v>
      </c>
      <c r="C31" s="27"/>
    </row>
    <row r="32" spans="1:5" ht="47.25" x14ac:dyDescent="0.25">
      <c r="A32" s="22">
        <v>2350</v>
      </c>
      <c r="B32" s="26" t="s">
        <v>293</v>
      </c>
      <c r="C32" s="27">
        <f>0.05*10*53</f>
        <v>26.5</v>
      </c>
      <c r="E32" s="96">
        <f>0.05*10*53</f>
        <v>26.5</v>
      </c>
    </row>
    <row r="33" spans="1:5" x14ac:dyDescent="0.25">
      <c r="A33" s="56"/>
      <c r="B33" s="68" t="s">
        <v>144</v>
      </c>
      <c r="C33" s="27"/>
      <c r="E33" s="96"/>
    </row>
    <row r="34" spans="1:5" ht="31.5" x14ac:dyDescent="0.25">
      <c r="A34" s="56"/>
      <c r="B34" s="17" t="s">
        <v>292</v>
      </c>
      <c r="C34" s="27">
        <f>0.13*53</f>
        <v>6.8900000000000006</v>
      </c>
      <c r="E34" s="95">
        <f>0.13*53</f>
        <v>6.8900000000000006</v>
      </c>
    </row>
    <row r="35" spans="1:5" x14ac:dyDescent="0.25">
      <c r="A35" s="56"/>
      <c r="B35" s="16" t="s">
        <v>29</v>
      </c>
      <c r="C35" s="27"/>
    </row>
    <row r="36" spans="1:5" x14ac:dyDescent="0.25">
      <c r="A36" s="57"/>
      <c r="B36" s="34"/>
      <c r="C36" s="69">
        <f>SUM(C10:C34)</f>
        <v>21158.903731168826</v>
      </c>
    </row>
    <row r="37" spans="1:5" x14ac:dyDescent="0.25">
      <c r="A37" s="58"/>
      <c r="B37" s="36" t="s">
        <v>1</v>
      </c>
      <c r="C37" s="37"/>
    </row>
    <row r="38" spans="1:5" ht="78.75" x14ac:dyDescent="0.25">
      <c r="A38" s="23">
        <v>1119</v>
      </c>
      <c r="B38" s="28" t="s">
        <v>160</v>
      </c>
      <c r="C38" s="79">
        <f>2011*12*0.0956*53/108</f>
        <v>1132.1483111111111</v>
      </c>
      <c r="E38" s="95">
        <f>2011*12*0.0956*53/108</f>
        <v>1132.1483111111111</v>
      </c>
    </row>
    <row r="39" spans="1:5" x14ac:dyDescent="0.25">
      <c r="A39" s="59"/>
      <c r="B39" s="10" t="s">
        <v>30</v>
      </c>
      <c r="C39" s="79"/>
    </row>
    <row r="40" spans="1:5" x14ac:dyDescent="0.25">
      <c r="A40" s="23" t="s">
        <v>31</v>
      </c>
      <c r="B40" s="19" t="s">
        <v>15</v>
      </c>
      <c r="C40" s="79">
        <f>C38*0.2359</f>
        <v>267.07378659111112</v>
      </c>
      <c r="D40" s="33"/>
      <c r="E40" s="95">
        <f>E38*0.2359</f>
        <v>267.07378659111112</v>
      </c>
    </row>
    <row r="41" spans="1:5" ht="63.75" customHeight="1" x14ac:dyDescent="0.25">
      <c r="A41" s="23" t="s">
        <v>16</v>
      </c>
      <c r="B41" s="70" t="s">
        <v>157</v>
      </c>
      <c r="C41" s="79">
        <f>1097.88*0.0956*53/108</f>
        <v>51.506836888888898</v>
      </c>
      <c r="E41" s="95">
        <f>1097.88*0.0956*53/108</f>
        <v>51.506836888888898</v>
      </c>
    </row>
    <row r="42" spans="1:5" x14ac:dyDescent="0.25">
      <c r="A42" s="59"/>
      <c r="B42" s="10" t="s">
        <v>33</v>
      </c>
      <c r="C42" s="79"/>
    </row>
    <row r="43" spans="1:5" ht="78.75" x14ac:dyDescent="0.25">
      <c r="A43" s="23">
        <v>1119</v>
      </c>
      <c r="B43" s="28" t="s">
        <v>204</v>
      </c>
      <c r="C43" s="79">
        <f>3015*12*0.0956*53/108</f>
        <v>1697.3779999999999</v>
      </c>
      <c r="E43" s="95">
        <f>3015*12*0.0956*53/108</f>
        <v>1697.3779999999999</v>
      </c>
    </row>
    <row r="44" spans="1:5" x14ac:dyDescent="0.25">
      <c r="A44" s="23"/>
      <c r="B44" s="28" t="s">
        <v>146</v>
      </c>
      <c r="C44" s="79"/>
    </row>
    <row r="45" spans="1:5" x14ac:dyDescent="0.25">
      <c r="A45" s="23" t="s">
        <v>31</v>
      </c>
      <c r="B45" s="19" t="s">
        <v>15</v>
      </c>
      <c r="C45" s="79">
        <f>C43*0.2359</f>
        <v>400.4114702</v>
      </c>
      <c r="D45" s="33"/>
      <c r="E45" s="95">
        <f>E43*0.2359</f>
        <v>400.4114702</v>
      </c>
    </row>
    <row r="46" spans="1:5" x14ac:dyDescent="0.25">
      <c r="A46" s="23"/>
      <c r="B46" s="19" t="s">
        <v>147</v>
      </c>
      <c r="C46" s="79"/>
      <c r="D46" s="33"/>
    </row>
    <row r="47" spans="1:5" ht="48.75" customHeight="1" x14ac:dyDescent="0.25">
      <c r="A47" s="23" t="s">
        <v>34</v>
      </c>
      <c r="B47" s="70" t="s">
        <v>174</v>
      </c>
      <c r="C47" s="79">
        <f>267.89*0.0956*53/108</f>
        <v>12.56800974074074</v>
      </c>
      <c r="E47" s="95">
        <f>267.89*0.0956*53/108</f>
        <v>12.56800974074074</v>
      </c>
    </row>
    <row r="48" spans="1:5" x14ac:dyDescent="0.25">
      <c r="A48" s="59"/>
      <c r="B48" s="10" t="s">
        <v>35</v>
      </c>
      <c r="C48" s="79"/>
    </row>
    <row r="49" spans="1:5" ht="47.25" x14ac:dyDescent="0.25">
      <c r="A49" s="23" t="s">
        <v>36</v>
      </c>
      <c r="B49" s="10" t="s">
        <v>192</v>
      </c>
      <c r="C49" s="79">
        <f>1200*0.0956*53/108</f>
        <v>56.297777777777775</v>
      </c>
      <c r="E49" s="95">
        <f>1200*0.0956*53/108</f>
        <v>56.297777777777775</v>
      </c>
    </row>
    <row r="50" spans="1:5" x14ac:dyDescent="0.25">
      <c r="A50" s="59"/>
      <c r="B50" s="10" t="s">
        <v>37</v>
      </c>
      <c r="C50" s="79"/>
    </row>
    <row r="51" spans="1:5" ht="63" x14ac:dyDescent="0.25">
      <c r="A51" s="23">
        <v>2261</v>
      </c>
      <c r="B51" s="10" t="s">
        <v>172</v>
      </c>
      <c r="C51" s="79">
        <f>19884.6*0.0956*53/108</f>
        <v>932.8823266666667</v>
      </c>
      <c r="E51" s="95">
        <f>19884.6*0.0956*53/108</f>
        <v>932.8823266666667</v>
      </c>
    </row>
    <row r="52" spans="1:5" x14ac:dyDescent="0.25">
      <c r="A52" s="59"/>
      <c r="B52" s="10" t="s">
        <v>38</v>
      </c>
      <c r="C52" s="79"/>
    </row>
    <row r="53" spans="1:5" ht="48.75" customHeight="1" x14ac:dyDescent="0.25">
      <c r="A53" s="23">
        <v>2262</v>
      </c>
      <c r="B53" s="70" t="s">
        <v>177</v>
      </c>
      <c r="C53" s="79">
        <f>20211.84*0.0956*53/108</f>
        <v>948.23473066666679</v>
      </c>
      <c r="E53" s="95">
        <f>20211.84*0.0956*53/108</f>
        <v>948.23473066666679</v>
      </c>
    </row>
    <row r="54" spans="1:5" x14ac:dyDescent="0.25">
      <c r="A54" s="59"/>
      <c r="B54" s="10" t="s">
        <v>39</v>
      </c>
      <c r="C54" s="79"/>
    </row>
    <row r="55" spans="1:5" ht="46.5" customHeight="1" x14ac:dyDescent="0.25">
      <c r="A55" s="23" t="s">
        <v>40</v>
      </c>
      <c r="B55" s="70" t="s">
        <v>180</v>
      </c>
      <c r="C55" s="79">
        <f>4564.197*0.0956*53/108</f>
        <v>214.12845703333335</v>
      </c>
      <c r="E55" s="95">
        <f>4564.197*0.0956*53/108</f>
        <v>214.12845703333335</v>
      </c>
    </row>
    <row r="56" spans="1:5" x14ac:dyDescent="0.25">
      <c r="A56" s="59"/>
      <c r="B56" s="11" t="s">
        <v>41</v>
      </c>
      <c r="C56" s="79"/>
    </row>
    <row r="57" spans="1:5" ht="48" customHeight="1" x14ac:dyDescent="0.25">
      <c r="A57" s="23" t="s">
        <v>26</v>
      </c>
      <c r="B57" s="70" t="s">
        <v>193</v>
      </c>
      <c r="C57" s="79">
        <f>1015*0.0956*53/108</f>
        <v>47.618537037037044</v>
      </c>
      <c r="E57" s="95">
        <f>1015*0.0956*53/108</f>
        <v>47.618537037037044</v>
      </c>
    </row>
    <row r="58" spans="1:5" x14ac:dyDescent="0.25">
      <c r="A58" s="59"/>
      <c r="B58" s="10" t="s">
        <v>43</v>
      </c>
      <c r="C58" s="79"/>
    </row>
    <row r="59" spans="1:5" ht="78.75" x14ac:dyDescent="0.25">
      <c r="A59" s="23">
        <v>5220</v>
      </c>
      <c r="B59" s="10" t="s">
        <v>183</v>
      </c>
      <c r="C59" s="79">
        <f>53/108*1331/60*12*0.0956</f>
        <v>12.488723703703704</v>
      </c>
      <c r="E59" s="95">
        <f>53/108*1331/60*12*0.0956</f>
        <v>12.488723703703704</v>
      </c>
    </row>
    <row r="60" spans="1:5" ht="16.5" thickBot="1" x14ac:dyDescent="0.3">
      <c r="A60" s="60"/>
      <c r="B60" s="12" t="s">
        <v>45</v>
      </c>
      <c r="C60" s="39"/>
    </row>
    <row r="61" spans="1:5" x14ac:dyDescent="0.25">
      <c r="A61" s="61"/>
      <c r="B61" s="41" t="s">
        <v>46</v>
      </c>
      <c r="C61" s="71">
        <f>SUM(C38:C60)</f>
        <v>5772.7369674170377</v>
      </c>
    </row>
    <row r="62" spans="1:5" x14ac:dyDescent="0.25">
      <c r="A62" s="62"/>
      <c r="B62" s="44" t="s">
        <v>47</v>
      </c>
      <c r="C62" s="72">
        <f>C61+C36</f>
        <v>26931.640698585863</v>
      </c>
    </row>
    <row r="63" spans="1:5" x14ac:dyDescent="0.25">
      <c r="A63" s="63"/>
      <c r="B63" s="47" t="s">
        <v>48</v>
      </c>
      <c r="C63" s="73">
        <f>C62/C65</f>
        <v>508.14416412426158</v>
      </c>
    </row>
    <row r="64" spans="1:5" x14ac:dyDescent="0.25">
      <c r="B64" s="2"/>
      <c r="C64" s="2"/>
    </row>
    <row r="65" spans="2:3" x14ac:dyDescent="0.25">
      <c r="B65" s="49" t="s">
        <v>49</v>
      </c>
      <c r="C65" s="50">
        <f>B6</f>
        <v>53</v>
      </c>
    </row>
    <row r="66" spans="2:3" ht="31.5" x14ac:dyDescent="0.25">
      <c r="B66" s="51" t="s">
        <v>138</v>
      </c>
      <c r="C66" s="48">
        <f>C63</f>
        <v>508.14416412426158</v>
      </c>
    </row>
  </sheetData>
  <mergeCells count="1">
    <mergeCell ref="A2:C2"/>
  </mergeCells>
  <pageMargins left="0.7" right="0.7" top="0.75" bottom="0.75" header="0.3" footer="0.3"/>
  <pageSetup paperSize="9" scale="67" orientation="portrait" r:id="rId1"/>
  <colBreaks count="1" manualBreakCount="1">
    <brk id="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0CE81-4146-4552-9ABC-AA409D299858}">
  <dimension ref="A1:O62"/>
  <sheetViews>
    <sheetView view="pageBreakPreview" topLeftCell="A26" zoomScale="60" zoomScaleNormal="100" workbookViewId="0">
      <selection activeCell="C47" sqref="C47"/>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10.7109375" style="95" bestFit="1" customWidth="1"/>
    <col min="6" max="16384" width="9.140625" style="1"/>
  </cols>
  <sheetData>
    <row r="1" spans="1:15" x14ac:dyDescent="0.25">
      <c r="A1" s="137" t="s">
        <v>2</v>
      </c>
      <c r="B1" s="137"/>
      <c r="C1" s="137"/>
    </row>
    <row r="2" spans="1:15" ht="31.5" x14ac:dyDescent="0.25">
      <c r="A2" s="6" t="s">
        <v>3</v>
      </c>
      <c r="B2" s="6" t="s">
        <v>50</v>
      </c>
    </row>
    <row r="3" spans="1:15" x14ac:dyDescent="0.25">
      <c r="A3" s="5" t="s">
        <v>5</v>
      </c>
      <c r="B3" s="5" t="s">
        <v>6</v>
      </c>
    </row>
    <row r="4" spans="1:15" ht="48.75" customHeight="1" x14ac:dyDescent="0.25">
      <c r="A4" s="25" t="s">
        <v>7</v>
      </c>
      <c r="B4" s="29">
        <v>8</v>
      </c>
    </row>
    <row r="6" spans="1:15" ht="68.25" customHeight="1" x14ac:dyDescent="0.25">
      <c r="A6" s="7" t="s">
        <v>8</v>
      </c>
      <c r="B6" s="8" t="s">
        <v>9</v>
      </c>
      <c r="C6" s="9" t="s">
        <v>10</v>
      </c>
    </row>
    <row r="7" spans="1:15" x14ac:dyDescent="0.25">
      <c r="A7" s="30"/>
      <c r="B7" s="31" t="s">
        <v>0</v>
      </c>
      <c r="C7" s="104"/>
    </row>
    <row r="8" spans="1:15" ht="94.5" x14ac:dyDescent="0.25">
      <c r="A8" s="22" t="s">
        <v>11</v>
      </c>
      <c r="B8" s="99" t="s">
        <v>277</v>
      </c>
      <c r="C8" s="14">
        <f>(1690+1420)/2/21/8/11*12*48</f>
        <v>484.67532467532465</v>
      </c>
      <c r="E8" s="95">
        <f>(1690+1420)/2/21/8/11*12*48</f>
        <v>484.67532467532465</v>
      </c>
      <c r="O8" s="132">
        <f>(C8+C10+C12+C14+C34+C36+C40+C42)/8*4</f>
        <v>861.00952049971136</v>
      </c>
    </row>
    <row r="9" spans="1:15" x14ac:dyDescent="0.25">
      <c r="A9" s="55"/>
      <c r="B9" s="100" t="s">
        <v>51</v>
      </c>
      <c r="C9" s="14"/>
    </row>
    <row r="10" spans="1:15" ht="47.25" x14ac:dyDescent="0.25">
      <c r="A10" s="22" t="s">
        <v>13</v>
      </c>
      <c r="B10" s="100" t="s">
        <v>196</v>
      </c>
      <c r="C10" s="14">
        <f>40*8</f>
        <v>320</v>
      </c>
      <c r="E10" s="96">
        <f>40*8</f>
        <v>320</v>
      </c>
    </row>
    <row r="11" spans="1:15" x14ac:dyDescent="0.25">
      <c r="A11" s="55"/>
      <c r="B11" s="100" t="s">
        <v>52</v>
      </c>
      <c r="C11" s="14"/>
    </row>
    <row r="12" spans="1:15" ht="110.25" x14ac:dyDescent="0.25">
      <c r="A12" s="22">
        <v>1119</v>
      </c>
      <c r="B12" s="99" t="s">
        <v>166</v>
      </c>
      <c r="C12" s="14">
        <f>(1690+1420)/2/21/8/11*12*16</f>
        <v>161.55844155844156</v>
      </c>
      <c r="E12" s="95">
        <f>(1690+1420)/2/21/8/11*12*16</f>
        <v>161.55844155844156</v>
      </c>
    </row>
    <row r="13" spans="1:15" x14ac:dyDescent="0.25">
      <c r="A13" s="55"/>
      <c r="B13" s="101" t="s">
        <v>53</v>
      </c>
      <c r="C13" s="14"/>
      <c r="D13" s="33"/>
    </row>
    <row r="14" spans="1:15" x14ac:dyDescent="0.25">
      <c r="A14" s="22">
        <v>1210</v>
      </c>
      <c r="B14" s="101" t="s">
        <v>15</v>
      </c>
      <c r="C14" s="14">
        <f>(C8+C10+C12)*0.2359</f>
        <v>227.93454545454546</v>
      </c>
      <c r="E14" s="95">
        <f>(C8+C10+C12)*0.2359</f>
        <v>227.93454545454546</v>
      </c>
    </row>
    <row r="15" spans="1:15" x14ac:dyDescent="0.25">
      <c r="A15" s="22"/>
      <c r="B15" s="101" t="s">
        <v>149</v>
      </c>
      <c r="C15" s="14"/>
    </row>
    <row r="16" spans="1:15" ht="33" customHeight="1" x14ac:dyDescent="0.25">
      <c r="A16" s="22" t="s">
        <v>16</v>
      </c>
      <c r="B16" s="102" t="s">
        <v>17</v>
      </c>
      <c r="C16" s="14">
        <f>12.02*8</f>
        <v>96.16</v>
      </c>
      <c r="E16" s="95">
        <f>12.02*8</f>
        <v>96.16</v>
      </c>
    </row>
    <row r="17" spans="1:5" x14ac:dyDescent="0.25">
      <c r="A17" s="55"/>
      <c r="B17" s="100" t="s">
        <v>54</v>
      </c>
      <c r="C17" s="14"/>
    </row>
    <row r="18" spans="1:5" ht="31.5" x14ac:dyDescent="0.25">
      <c r="A18" s="22" t="s">
        <v>19</v>
      </c>
      <c r="B18" s="100" t="s">
        <v>150</v>
      </c>
      <c r="C18" s="14">
        <f>124.95*8</f>
        <v>999.6</v>
      </c>
      <c r="E18" s="96">
        <f>124.95*8</f>
        <v>999.6</v>
      </c>
    </row>
    <row r="19" spans="1:5" x14ac:dyDescent="0.25">
      <c r="A19" s="55"/>
      <c r="B19" s="100" t="s">
        <v>55</v>
      </c>
      <c r="C19" s="14"/>
    </row>
    <row r="20" spans="1:5" ht="31.5" x14ac:dyDescent="0.25">
      <c r="A20" s="22" t="s">
        <v>21</v>
      </c>
      <c r="B20" s="100" t="s">
        <v>153</v>
      </c>
      <c r="C20" s="14">
        <f>2.4*1.5*8</f>
        <v>28.799999999999997</v>
      </c>
      <c r="E20" s="96">
        <f>2.4*1.5*8</f>
        <v>28.799999999999997</v>
      </c>
    </row>
    <row r="21" spans="1:5" x14ac:dyDescent="0.25">
      <c r="A21" s="55"/>
      <c r="B21" s="100" t="s">
        <v>56</v>
      </c>
      <c r="C21" s="14"/>
    </row>
    <row r="22" spans="1:5" ht="47.25" x14ac:dyDescent="0.25">
      <c r="A22" s="22" t="s">
        <v>21</v>
      </c>
      <c r="B22" s="100" t="s">
        <v>23</v>
      </c>
      <c r="C22" s="14">
        <f>0.0393*8</f>
        <v>0.31440000000000001</v>
      </c>
      <c r="E22" s="95">
        <f>0.0393*8</f>
        <v>0.31440000000000001</v>
      </c>
    </row>
    <row r="23" spans="1:5" x14ac:dyDescent="0.25">
      <c r="A23" s="55"/>
      <c r="B23" s="100" t="s">
        <v>57</v>
      </c>
      <c r="C23" s="14"/>
    </row>
    <row r="24" spans="1:5" ht="31.5" x14ac:dyDescent="0.25">
      <c r="A24" s="22">
        <v>2341</v>
      </c>
      <c r="B24" s="100" t="s">
        <v>154</v>
      </c>
      <c r="C24" s="14">
        <f>16.22*8</f>
        <v>129.76</v>
      </c>
      <c r="E24" s="95">
        <f>16.22*8</f>
        <v>129.76</v>
      </c>
    </row>
    <row r="25" spans="1:5" x14ac:dyDescent="0.25">
      <c r="A25" s="55"/>
      <c r="B25" s="100" t="s">
        <v>58</v>
      </c>
      <c r="C25" s="106"/>
    </row>
    <row r="26" spans="1:5" ht="31.5" x14ac:dyDescent="0.25">
      <c r="A26" s="22" t="s">
        <v>26</v>
      </c>
      <c r="B26" s="100" t="s">
        <v>155</v>
      </c>
      <c r="C26" s="106">
        <f>0.0275*1*8</f>
        <v>0.22</v>
      </c>
      <c r="E26" s="95">
        <f>0.0275*1*8</f>
        <v>0.22</v>
      </c>
    </row>
    <row r="27" spans="1:5" x14ac:dyDescent="0.25">
      <c r="A27" s="55"/>
      <c r="B27" s="100" t="s">
        <v>59</v>
      </c>
      <c r="C27" s="106"/>
    </row>
    <row r="28" spans="1:5" ht="31.5" customHeight="1" x14ac:dyDescent="0.25">
      <c r="A28" s="22">
        <v>2350</v>
      </c>
      <c r="B28" s="99" t="s">
        <v>248</v>
      </c>
      <c r="C28" s="107">
        <f>0.05*10*8</f>
        <v>4</v>
      </c>
      <c r="E28" s="96">
        <f>0.05*10*8</f>
        <v>4</v>
      </c>
    </row>
    <row r="29" spans="1:5" x14ac:dyDescent="0.25">
      <c r="A29" s="56"/>
      <c r="B29" s="68" t="s">
        <v>151</v>
      </c>
      <c r="C29" s="106"/>
    </row>
    <row r="30" spans="1:5" ht="32.25" customHeight="1" x14ac:dyDescent="0.25">
      <c r="A30" s="56"/>
      <c r="B30" s="103" t="s">
        <v>294</v>
      </c>
      <c r="C30" s="106">
        <f>0.13*8</f>
        <v>1.04</v>
      </c>
      <c r="E30" s="95">
        <f>0.13*8</f>
        <v>1.04</v>
      </c>
    </row>
    <row r="31" spans="1:5" ht="15" customHeight="1" x14ac:dyDescent="0.25">
      <c r="A31" s="56"/>
      <c r="B31" s="16" t="s">
        <v>60</v>
      </c>
      <c r="C31" s="105"/>
    </row>
    <row r="32" spans="1:5" x14ac:dyDescent="0.25">
      <c r="A32" s="57"/>
      <c r="B32" s="34"/>
      <c r="C32" s="69">
        <f>SUM(C8:C30)</f>
        <v>2454.062711688312</v>
      </c>
    </row>
    <row r="33" spans="1:5" x14ac:dyDescent="0.25">
      <c r="A33" s="58"/>
      <c r="B33" s="36" t="s">
        <v>1</v>
      </c>
      <c r="C33" s="111"/>
    </row>
    <row r="34" spans="1:5" ht="78.75" x14ac:dyDescent="0.25">
      <c r="A34" s="23">
        <v>1119</v>
      </c>
      <c r="B34" s="108" t="s">
        <v>160</v>
      </c>
      <c r="C34" s="18">
        <f>2011*12*0.0956*8/108</f>
        <v>170.89031111111112</v>
      </c>
      <c r="E34" s="95">
        <f>2011*12*0.0956*8/108</f>
        <v>170.89031111111112</v>
      </c>
    </row>
    <row r="35" spans="1:5" x14ac:dyDescent="0.25">
      <c r="A35" s="59"/>
      <c r="B35" s="108" t="s">
        <v>301</v>
      </c>
      <c r="C35" s="18"/>
      <c r="D35" s="33"/>
    </row>
    <row r="36" spans="1:5" x14ac:dyDescent="0.25">
      <c r="A36" s="23" t="s">
        <v>31</v>
      </c>
      <c r="B36" s="108" t="s">
        <v>15</v>
      </c>
      <c r="C36" s="18">
        <f>170.89*0.2359</f>
        <v>40.312950999999998</v>
      </c>
      <c r="D36" s="33"/>
      <c r="E36" s="95">
        <f>170.89*0.2359</f>
        <v>40.312950999999998</v>
      </c>
    </row>
    <row r="37" spans="1:5" x14ac:dyDescent="0.25">
      <c r="A37" s="23"/>
      <c r="B37" s="108" t="s">
        <v>156</v>
      </c>
      <c r="C37" s="18"/>
      <c r="D37" s="33"/>
    </row>
    <row r="38" spans="1:5" ht="63.75" customHeight="1" x14ac:dyDescent="0.25">
      <c r="A38" s="23" t="s">
        <v>16</v>
      </c>
      <c r="B38" s="109" t="s">
        <v>159</v>
      </c>
      <c r="C38" s="18">
        <f>1097.88*0.0956*8/108</f>
        <v>7.7746168888888905</v>
      </c>
      <c r="E38" s="95">
        <f>1097.88*0.0956*8/108</f>
        <v>7.7746168888888905</v>
      </c>
    </row>
    <row r="39" spans="1:5" x14ac:dyDescent="0.25">
      <c r="A39" s="59"/>
      <c r="B39" s="108" t="s">
        <v>302</v>
      </c>
      <c r="C39" s="18"/>
      <c r="D39" s="33"/>
    </row>
    <row r="40" spans="1:5" ht="78.75" x14ac:dyDescent="0.25">
      <c r="A40" s="23">
        <v>1119</v>
      </c>
      <c r="B40" s="108" t="s">
        <v>303</v>
      </c>
      <c r="C40" s="18">
        <f>3015*12*0.0956*8/108</f>
        <v>256.20800000000003</v>
      </c>
      <c r="D40" s="33"/>
      <c r="E40" s="95">
        <f>3015*12*0.0956*8/108</f>
        <v>256.20800000000003</v>
      </c>
    </row>
    <row r="41" spans="1:5" ht="15" customHeight="1" x14ac:dyDescent="0.25">
      <c r="A41" s="23" t="s">
        <v>31</v>
      </c>
      <c r="B41" s="108" t="s">
        <v>15</v>
      </c>
      <c r="C41" s="18"/>
      <c r="D41" s="33"/>
    </row>
    <row r="42" spans="1:5" ht="15" customHeight="1" x14ac:dyDescent="0.25">
      <c r="A42" s="23"/>
      <c r="B42" s="108" t="s">
        <v>207</v>
      </c>
      <c r="C42" s="18">
        <f>C40*0.2359</f>
        <v>60.439467200000003</v>
      </c>
      <c r="D42" s="33"/>
    </row>
    <row r="43" spans="1:5" ht="48" customHeight="1" x14ac:dyDescent="0.25">
      <c r="A43" s="23" t="s">
        <v>34</v>
      </c>
      <c r="B43" s="109" t="s">
        <v>173</v>
      </c>
      <c r="C43" s="18">
        <f>267.89*0.0956*8/108</f>
        <v>1.8970580740740741</v>
      </c>
      <c r="D43" s="33"/>
      <c r="E43" s="95">
        <f>267.89*0.0956*8/108</f>
        <v>1.8970580740740741</v>
      </c>
    </row>
    <row r="44" spans="1:5" x14ac:dyDescent="0.25">
      <c r="A44" s="59"/>
      <c r="B44" s="108" t="s">
        <v>304</v>
      </c>
      <c r="C44" s="18"/>
    </row>
    <row r="45" spans="1:5" ht="47.25" x14ac:dyDescent="0.25">
      <c r="A45" s="23" t="s">
        <v>36</v>
      </c>
      <c r="B45" s="108" t="s">
        <v>192</v>
      </c>
      <c r="C45" s="18">
        <f>1200*0.0956*8/108</f>
        <v>8.4977777777777774</v>
      </c>
      <c r="D45" s="33"/>
      <c r="E45" s="95">
        <f>1200*0.0956*8/108</f>
        <v>8.4977777777777774</v>
      </c>
    </row>
    <row r="46" spans="1:5" x14ac:dyDescent="0.25">
      <c r="A46" s="59"/>
      <c r="B46" s="108" t="s">
        <v>305</v>
      </c>
      <c r="C46" s="18"/>
    </row>
    <row r="47" spans="1:5" ht="63" x14ac:dyDescent="0.25">
      <c r="A47" s="23">
        <v>2261</v>
      </c>
      <c r="B47" s="108" t="s">
        <v>179</v>
      </c>
      <c r="C47" s="18">
        <f>19884.6*0.0956*8/108</f>
        <v>140.81242666666665</v>
      </c>
      <c r="D47" s="33"/>
      <c r="E47" s="95">
        <f>19884.6*0.0956*8/108</f>
        <v>140.81242666666665</v>
      </c>
    </row>
    <row r="48" spans="1:5" x14ac:dyDescent="0.25">
      <c r="A48" s="59"/>
      <c r="B48" s="108" t="s">
        <v>306</v>
      </c>
      <c r="C48" s="18"/>
    </row>
    <row r="49" spans="1:5" ht="48" customHeight="1" x14ac:dyDescent="0.25">
      <c r="A49" s="23">
        <v>2262</v>
      </c>
      <c r="B49" s="109" t="s">
        <v>177</v>
      </c>
      <c r="C49" s="18">
        <f>20211.84*0.0956*8/108</f>
        <v>143.12977066666667</v>
      </c>
      <c r="D49" s="33"/>
      <c r="E49" s="95">
        <f>20211.84*0.0956*8/108</f>
        <v>143.12977066666667</v>
      </c>
    </row>
    <row r="50" spans="1:5" x14ac:dyDescent="0.25">
      <c r="A50" s="59"/>
      <c r="B50" s="108" t="s">
        <v>307</v>
      </c>
      <c r="C50" s="18"/>
    </row>
    <row r="51" spans="1:5" ht="51" customHeight="1" x14ac:dyDescent="0.25">
      <c r="A51" s="23" t="s">
        <v>40</v>
      </c>
      <c r="B51" s="109" t="s">
        <v>180</v>
      </c>
      <c r="C51" s="18">
        <f>4564.197*0.0956*8/108</f>
        <v>32.321276533333332</v>
      </c>
      <c r="D51" s="33"/>
      <c r="E51" s="95">
        <f>4564.197*0.0956*8/108</f>
        <v>32.321276533333332</v>
      </c>
    </row>
    <row r="52" spans="1:5" x14ac:dyDescent="0.25">
      <c r="A52" s="59"/>
      <c r="B52" s="110" t="s">
        <v>308</v>
      </c>
      <c r="C52" s="18"/>
    </row>
    <row r="53" spans="1:5" ht="49.5" customHeight="1" x14ac:dyDescent="0.25">
      <c r="A53" s="23" t="s">
        <v>26</v>
      </c>
      <c r="B53" s="109" t="s">
        <v>193</v>
      </c>
      <c r="C53" s="18">
        <f>1015*0.0956*8/108</f>
        <v>7.1877037037037042</v>
      </c>
      <c r="D53" s="33"/>
      <c r="E53" s="95">
        <f>1015*0.0956*8/108</f>
        <v>7.1877037037037042</v>
      </c>
    </row>
    <row r="54" spans="1:5" x14ac:dyDescent="0.25">
      <c r="A54" s="59"/>
      <c r="B54" s="108" t="s">
        <v>309</v>
      </c>
      <c r="C54" s="18"/>
      <c r="D54" s="33"/>
    </row>
    <row r="55" spans="1:5" ht="78.75" x14ac:dyDescent="0.25">
      <c r="A55" s="23">
        <v>5220</v>
      </c>
      <c r="B55" s="108" t="s">
        <v>181</v>
      </c>
      <c r="C55" s="18">
        <f>8/108*1331/60*12*0.0956</f>
        <v>1.8850903703703701</v>
      </c>
      <c r="D55" s="33"/>
      <c r="E55" s="95">
        <f>8/108*1331/60*12*0.0956</f>
        <v>1.8850903703703701</v>
      </c>
    </row>
    <row r="56" spans="1:5" x14ac:dyDescent="0.25">
      <c r="A56" s="60"/>
      <c r="B56" s="12" t="s">
        <v>310</v>
      </c>
      <c r="C56" s="112"/>
    </row>
    <row r="57" spans="1:5" x14ac:dyDescent="0.25">
      <c r="A57" s="40"/>
      <c r="B57" s="41" t="s">
        <v>46</v>
      </c>
      <c r="C57" s="71">
        <f>SUM(C34:C56)</f>
        <v>871.3564499925925</v>
      </c>
    </row>
    <row r="58" spans="1:5" x14ac:dyDescent="0.25">
      <c r="A58" s="43"/>
      <c r="B58" s="44" t="s">
        <v>47</v>
      </c>
      <c r="C58" s="72">
        <f>C57+C32</f>
        <v>3325.4191616809044</v>
      </c>
      <c r="E58" s="95">
        <f>C58/2</f>
        <v>1662.7095808404522</v>
      </c>
    </row>
    <row r="59" spans="1:5" x14ac:dyDescent="0.25">
      <c r="A59" s="46"/>
      <c r="B59" s="47" t="s">
        <v>48</v>
      </c>
      <c r="C59" s="73">
        <f>C58/C61</f>
        <v>415.67739521011305</v>
      </c>
    </row>
    <row r="60" spans="1:5" x14ac:dyDescent="0.25">
      <c r="B60" s="2"/>
      <c r="C60" s="2"/>
    </row>
    <row r="61" spans="1:5" x14ac:dyDescent="0.25">
      <c r="B61" s="49" t="s">
        <v>49</v>
      </c>
      <c r="C61" s="50">
        <f>B4</f>
        <v>8</v>
      </c>
    </row>
    <row r="62" spans="1:5" ht="33" customHeight="1" x14ac:dyDescent="0.25">
      <c r="B62" s="78" t="s">
        <v>138</v>
      </c>
      <c r="C62" s="48">
        <f>C59</f>
        <v>415.67739521011305</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54137-57DA-4094-AA69-2FB50367A7FE}">
  <dimension ref="A1:E65"/>
  <sheetViews>
    <sheetView view="pageBreakPreview" topLeftCell="A43" zoomScale="60" zoomScaleNormal="100" workbookViewId="0">
      <selection activeCell="L71" sqref="L71"/>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10.7109375" style="95" bestFit="1" customWidth="1"/>
    <col min="6" max="16384" width="9.140625" style="1"/>
  </cols>
  <sheetData>
    <row r="1" spans="1:5" x14ac:dyDescent="0.25">
      <c r="A1" s="137" t="s">
        <v>2</v>
      </c>
      <c r="B1" s="137"/>
      <c r="C1" s="137"/>
    </row>
    <row r="2" spans="1:5" ht="31.5" x14ac:dyDescent="0.25">
      <c r="A2" s="6" t="s">
        <v>3</v>
      </c>
      <c r="B2" s="6" t="s">
        <v>61</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184</v>
      </c>
      <c r="C8" s="14">
        <f>(1690+1420)/2/21/8/11*12*8</f>
        <v>80.779220779220779</v>
      </c>
      <c r="E8" s="95">
        <f>(1690+1420)/2/21/8/11*12*8</f>
        <v>80.779220779220779</v>
      </c>
    </row>
    <row r="9" spans="1:5" x14ac:dyDescent="0.25">
      <c r="A9" s="55"/>
      <c r="B9" s="100" t="s">
        <v>62</v>
      </c>
      <c r="C9" s="106"/>
    </row>
    <row r="10" spans="1:5" ht="47.25" x14ac:dyDescent="0.25">
      <c r="A10" s="22" t="s">
        <v>13</v>
      </c>
      <c r="B10" s="100" t="s">
        <v>195</v>
      </c>
      <c r="C10" s="106">
        <f>60*1</f>
        <v>60</v>
      </c>
      <c r="E10" s="96">
        <f>60*1</f>
        <v>60</v>
      </c>
    </row>
    <row r="11" spans="1:5" x14ac:dyDescent="0.25">
      <c r="A11" s="55"/>
      <c r="B11" s="100" t="s">
        <v>63</v>
      </c>
      <c r="C11" s="106"/>
    </row>
    <row r="12" spans="1:5" ht="110.25" x14ac:dyDescent="0.25">
      <c r="A12" s="22">
        <v>1119</v>
      </c>
      <c r="B12" s="100" t="s">
        <v>165</v>
      </c>
      <c r="C12" s="14">
        <f>(1690+1420)/2/21/8/11*12*2</f>
        <v>20.194805194805195</v>
      </c>
      <c r="D12" s="33"/>
      <c r="E12" s="95">
        <f>(1690+1420)/2/21/8/11*12*2</f>
        <v>20.194805194805195</v>
      </c>
    </row>
    <row r="13" spans="1:5" x14ac:dyDescent="0.25">
      <c r="A13" s="55"/>
      <c r="B13" s="101" t="s">
        <v>64</v>
      </c>
      <c r="C13" s="106"/>
    </row>
    <row r="14" spans="1:5" x14ac:dyDescent="0.25">
      <c r="A14" s="22">
        <v>1210</v>
      </c>
      <c r="B14" s="101" t="s">
        <v>15</v>
      </c>
      <c r="C14" s="14">
        <f>(80.78+60+20.2)*0.2359</f>
        <v>37.975181999999997</v>
      </c>
      <c r="E14" s="95">
        <f>(80.78+60+20.2)*0.2359</f>
        <v>37.975181999999997</v>
      </c>
    </row>
    <row r="15" spans="1:5" x14ac:dyDescent="0.25">
      <c r="A15" s="22"/>
      <c r="B15" s="101" t="s">
        <v>164</v>
      </c>
      <c r="C15" s="106"/>
    </row>
    <row r="16" spans="1:5" ht="31.5" customHeight="1" x14ac:dyDescent="0.25">
      <c r="A16" s="22" t="s">
        <v>16</v>
      </c>
      <c r="B16" s="102" t="s">
        <v>17</v>
      </c>
      <c r="C16" s="106">
        <f>12.02*1</f>
        <v>12.02</v>
      </c>
      <c r="E16" s="95">
        <f>12.02*1</f>
        <v>12.02</v>
      </c>
    </row>
    <row r="17" spans="1:5" x14ac:dyDescent="0.25">
      <c r="A17" s="55"/>
      <c r="B17" s="100" t="s">
        <v>65</v>
      </c>
      <c r="C17" s="106"/>
    </row>
    <row r="18" spans="1:5" ht="31.5" x14ac:dyDescent="0.25">
      <c r="A18" s="22" t="s">
        <v>19</v>
      </c>
      <c r="B18" s="100" t="s">
        <v>139</v>
      </c>
      <c r="C18" s="106">
        <f>274.89*1</f>
        <v>274.89</v>
      </c>
      <c r="E18" s="95">
        <f>274.89*1</f>
        <v>274.89</v>
      </c>
    </row>
    <row r="19" spans="1:5" x14ac:dyDescent="0.25">
      <c r="A19" s="55"/>
      <c r="B19" s="100" t="s">
        <v>66</v>
      </c>
      <c r="C19" s="106"/>
    </row>
    <row r="20" spans="1:5" ht="48" customHeight="1" x14ac:dyDescent="0.25">
      <c r="A20" s="22" t="s">
        <v>19</v>
      </c>
      <c r="B20" s="102" t="s">
        <v>162</v>
      </c>
      <c r="C20" s="106">
        <f>0.38*3*1</f>
        <v>1.1400000000000001</v>
      </c>
      <c r="E20" s="95">
        <f>0.38*3*1</f>
        <v>1.1400000000000001</v>
      </c>
    </row>
    <row r="21" spans="1:5" x14ac:dyDescent="0.25">
      <c r="A21" s="22"/>
      <c r="B21" s="100" t="s">
        <v>161</v>
      </c>
      <c r="C21" s="106"/>
    </row>
    <row r="22" spans="1:5" ht="31.5" x14ac:dyDescent="0.25">
      <c r="A22" s="22" t="s">
        <v>21</v>
      </c>
      <c r="B22" s="100" t="s">
        <v>153</v>
      </c>
      <c r="C22" s="107">
        <f>2.4*1.5*1</f>
        <v>3.5999999999999996</v>
      </c>
      <c r="E22" s="96">
        <f>2.4*1.5*1</f>
        <v>3.5999999999999996</v>
      </c>
    </row>
    <row r="23" spans="1:5" x14ac:dyDescent="0.25">
      <c r="A23" s="55"/>
      <c r="B23" s="100" t="s">
        <v>67</v>
      </c>
      <c r="C23" s="106"/>
    </row>
    <row r="24" spans="1:5" ht="47.25" x14ac:dyDescent="0.25">
      <c r="A24" s="22" t="s">
        <v>21</v>
      </c>
      <c r="B24" s="100" t="s">
        <v>23</v>
      </c>
      <c r="C24" s="113">
        <f>0.0393*1</f>
        <v>3.9300000000000002E-2</v>
      </c>
      <c r="E24" s="97">
        <f>0.0393*1</f>
        <v>3.9300000000000002E-2</v>
      </c>
    </row>
    <row r="25" spans="1:5" x14ac:dyDescent="0.25">
      <c r="A25" s="55"/>
      <c r="B25" s="100" t="s">
        <v>68</v>
      </c>
      <c r="C25" s="106"/>
    </row>
    <row r="26" spans="1:5" ht="31.5" x14ac:dyDescent="0.25">
      <c r="A26" s="22">
        <v>2341</v>
      </c>
      <c r="B26" s="100" t="s">
        <v>154</v>
      </c>
      <c r="C26" s="106">
        <f>16.22*1</f>
        <v>16.22</v>
      </c>
      <c r="E26" s="95">
        <f>16.22*1</f>
        <v>16.22</v>
      </c>
    </row>
    <row r="27" spans="1:5" x14ac:dyDescent="0.25">
      <c r="A27" s="55"/>
      <c r="B27" s="100" t="s">
        <v>69</v>
      </c>
      <c r="C27" s="106"/>
    </row>
    <row r="28" spans="1:5" ht="31.5" x14ac:dyDescent="0.25">
      <c r="A28" s="22" t="s">
        <v>26</v>
      </c>
      <c r="B28" s="100" t="s">
        <v>295</v>
      </c>
      <c r="C28" s="114">
        <f>0.0275*1*1</f>
        <v>2.75E-2</v>
      </c>
      <c r="E28" s="98">
        <f>0.0275*1*1</f>
        <v>2.75E-2</v>
      </c>
    </row>
    <row r="29" spans="1:5" x14ac:dyDescent="0.25">
      <c r="A29" s="55"/>
      <c r="B29" s="100" t="s">
        <v>70</v>
      </c>
      <c r="C29" s="106"/>
    </row>
    <row r="30" spans="1:5" ht="47.25" x14ac:dyDescent="0.25">
      <c r="A30" s="22">
        <v>2350</v>
      </c>
      <c r="B30" s="99" t="s">
        <v>293</v>
      </c>
      <c r="C30" s="106">
        <f>0.05*10*1</f>
        <v>0.5</v>
      </c>
      <c r="E30" s="95">
        <f>0.05*10*1</f>
        <v>0.5</v>
      </c>
    </row>
    <row r="31" spans="1:5" x14ac:dyDescent="0.25">
      <c r="A31" s="56"/>
      <c r="B31" s="68" t="s">
        <v>163</v>
      </c>
      <c r="C31" s="106"/>
    </row>
    <row r="32" spans="1:5" ht="32.25" customHeight="1" x14ac:dyDescent="0.25">
      <c r="A32" s="56"/>
      <c r="B32" s="103" t="s">
        <v>246</v>
      </c>
      <c r="C32" s="107">
        <f>0.13*1</f>
        <v>0.13</v>
      </c>
      <c r="E32" s="96">
        <f>0.13*1</f>
        <v>0.13</v>
      </c>
    </row>
    <row r="33" spans="1:5" ht="15" customHeight="1" x14ac:dyDescent="0.25">
      <c r="A33" s="56"/>
      <c r="B33" s="16" t="s">
        <v>71</v>
      </c>
      <c r="C33" s="105"/>
    </row>
    <row r="34" spans="1:5" x14ac:dyDescent="0.25">
      <c r="A34" s="57"/>
      <c r="B34" s="34"/>
      <c r="C34" s="35">
        <f>SUM(C8:C32)</f>
        <v>507.51600797402597</v>
      </c>
    </row>
    <row r="35" spans="1:5" x14ac:dyDescent="0.25">
      <c r="A35" s="58"/>
      <c r="B35" s="36" t="s">
        <v>1</v>
      </c>
      <c r="C35" s="111"/>
    </row>
    <row r="36" spans="1:5" ht="78.75" x14ac:dyDescent="0.25">
      <c r="A36" s="23">
        <v>1119</v>
      </c>
      <c r="B36" s="115" t="s">
        <v>215</v>
      </c>
      <c r="C36" s="118">
        <f>2011*12*0.0956*1/108</f>
        <v>21.36128888888889</v>
      </c>
      <c r="E36" s="95">
        <f>2011*12*0.0956*1/108</f>
        <v>21.36128888888889</v>
      </c>
    </row>
    <row r="37" spans="1:5" x14ac:dyDescent="0.25">
      <c r="A37" s="59"/>
      <c r="B37" s="108" t="s">
        <v>72</v>
      </c>
      <c r="C37" s="118"/>
    </row>
    <row r="38" spans="1:5" x14ac:dyDescent="0.25">
      <c r="A38" s="23" t="s">
        <v>31</v>
      </c>
      <c r="B38" s="116" t="s">
        <v>15</v>
      </c>
      <c r="C38" s="118">
        <f>21.36*0.2359</f>
        <v>5.038824</v>
      </c>
      <c r="D38" s="33"/>
      <c r="E38" s="95">
        <f>21.36*0.2359</f>
        <v>5.038824</v>
      </c>
    </row>
    <row r="39" spans="1:5" x14ac:dyDescent="0.25">
      <c r="A39" s="23"/>
      <c r="B39" s="116" t="s">
        <v>168</v>
      </c>
      <c r="C39" s="118"/>
      <c r="D39" s="33"/>
    </row>
    <row r="40" spans="1:5" ht="63.75" customHeight="1" x14ac:dyDescent="0.25">
      <c r="A40" s="23" t="s">
        <v>16</v>
      </c>
      <c r="B40" s="109" t="s">
        <v>159</v>
      </c>
      <c r="C40" s="118">
        <f>1097.88*0.0956*1/108</f>
        <v>0.97182711111111131</v>
      </c>
      <c r="E40" s="95">
        <f>1097.88*0.0956*1/108</f>
        <v>0.97182711111111131</v>
      </c>
    </row>
    <row r="41" spans="1:5" x14ac:dyDescent="0.25">
      <c r="A41" s="59"/>
      <c r="B41" s="108" t="s">
        <v>73</v>
      </c>
      <c r="C41" s="118"/>
    </row>
    <row r="42" spans="1:5" ht="78.75" x14ac:dyDescent="0.25">
      <c r="A42" s="23">
        <v>1119</v>
      </c>
      <c r="B42" s="115" t="s">
        <v>203</v>
      </c>
      <c r="C42" s="118">
        <f>3015*12*0.0956*1/108</f>
        <v>32.026000000000003</v>
      </c>
      <c r="E42" s="95">
        <f>3015*12*0.0956*1/108</f>
        <v>32.026000000000003</v>
      </c>
    </row>
    <row r="43" spans="1:5" x14ac:dyDescent="0.25">
      <c r="A43" s="23"/>
      <c r="B43" s="115" t="s">
        <v>170</v>
      </c>
      <c r="C43" s="118"/>
    </row>
    <row r="44" spans="1:5" ht="17.25" customHeight="1" x14ac:dyDescent="0.25">
      <c r="A44" s="23" t="s">
        <v>31</v>
      </c>
      <c r="B44" s="117" t="s">
        <v>15</v>
      </c>
      <c r="C44" s="118">
        <f>32.03*0.2359</f>
        <v>7.5558770000000006</v>
      </c>
      <c r="D44" s="33"/>
      <c r="E44" s="95">
        <f>32.03*0.2359</f>
        <v>7.5558770000000006</v>
      </c>
    </row>
    <row r="45" spans="1:5" ht="17.25" customHeight="1" x14ac:dyDescent="0.25">
      <c r="A45" s="23"/>
      <c r="B45" s="117" t="s">
        <v>171</v>
      </c>
      <c r="C45" s="118"/>
      <c r="D45" s="33"/>
    </row>
    <row r="46" spans="1:5" ht="48.75" customHeight="1" x14ac:dyDescent="0.25">
      <c r="A46" s="23" t="s">
        <v>34</v>
      </c>
      <c r="B46" s="109" t="s">
        <v>174</v>
      </c>
      <c r="C46" s="118">
        <f>267.89*0.0956*1/108</f>
        <v>0.23713225925925926</v>
      </c>
      <c r="E46" s="95">
        <f>267.89*0.0956*1/108</f>
        <v>0.23713225925925926</v>
      </c>
    </row>
    <row r="47" spans="1:5" x14ac:dyDescent="0.25">
      <c r="A47" s="59"/>
      <c r="B47" s="108" t="s">
        <v>74</v>
      </c>
      <c r="C47" s="118"/>
    </row>
    <row r="48" spans="1:5" ht="47.25" x14ac:dyDescent="0.25">
      <c r="A48" s="23" t="s">
        <v>36</v>
      </c>
      <c r="B48" s="108" t="s">
        <v>192</v>
      </c>
      <c r="C48" s="118">
        <f>1200*0.0956*1/108</f>
        <v>1.0622222222222222</v>
      </c>
      <c r="E48" s="95">
        <f>1200*0.0956*1/108</f>
        <v>1.0622222222222222</v>
      </c>
    </row>
    <row r="49" spans="1:5" x14ac:dyDescent="0.25">
      <c r="A49" s="59"/>
      <c r="B49" s="108" t="s">
        <v>75</v>
      </c>
      <c r="C49" s="118"/>
    </row>
    <row r="50" spans="1:5" ht="63" x14ac:dyDescent="0.25">
      <c r="A50" s="23">
        <v>2261</v>
      </c>
      <c r="B50" s="108" t="s">
        <v>178</v>
      </c>
      <c r="C50" s="118">
        <f>19884.6*0.0956*1/108</f>
        <v>17.601553333333332</v>
      </c>
      <c r="E50" s="95">
        <f>19884.6*0.0956*1/108</f>
        <v>17.601553333333332</v>
      </c>
    </row>
    <row r="51" spans="1:5" x14ac:dyDescent="0.25">
      <c r="A51" s="59"/>
      <c r="B51" s="108" t="s">
        <v>76</v>
      </c>
      <c r="C51" s="118"/>
    </row>
    <row r="52" spans="1:5" ht="50.25" customHeight="1" x14ac:dyDescent="0.25">
      <c r="A52" s="23">
        <v>2262</v>
      </c>
      <c r="B52" s="109" t="s">
        <v>177</v>
      </c>
      <c r="C52" s="118">
        <f>20211.84*0.0956*1/108</f>
        <v>17.891221333333334</v>
      </c>
      <c r="E52" s="95">
        <f>20211.84*0.0956*1/108</f>
        <v>17.891221333333334</v>
      </c>
    </row>
    <row r="53" spans="1:5" x14ac:dyDescent="0.25">
      <c r="A53" s="59"/>
      <c r="B53" s="108" t="s">
        <v>77</v>
      </c>
      <c r="C53" s="118"/>
    </row>
    <row r="54" spans="1:5" ht="48.75" customHeight="1" x14ac:dyDescent="0.25">
      <c r="A54" s="23" t="s">
        <v>40</v>
      </c>
      <c r="B54" s="109" t="s">
        <v>176</v>
      </c>
      <c r="C54" s="118">
        <f>4564.197*0.0956*1/108</f>
        <v>4.0401595666666665</v>
      </c>
      <c r="E54" s="95">
        <f>4564.197*0.0956*1/108</f>
        <v>4.0401595666666665</v>
      </c>
    </row>
    <row r="55" spans="1:5" x14ac:dyDescent="0.25">
      <c r="A55" s="59"/>
      <c r="B55" s="116" t="s">
        <v>78</v>
      </c>
      <c r="C55" s="118"/>
    </row>
    <row r="56" spans="1:5" ht="48" customHeight="1" x14ac:dyDescent="0.25">
      <c r="A56" s="23" t="s">
        <v>26</v>
      </c>
      <c r="B56" s="109" t="s">
        <v>182</v>
      </c>
      <c r="C56" s="118">
        <f>1015*0.0956*1/108</f>
        <v>0.89846296296296302</v>
      </c>
      <c r="E56" s="95">
        <f>1015*0.0956*1/108</f>
        <v>0.89846296296296302</v>
      </c>
    </row>
    <row r="57" spans="1:5" x14ac:dyDescent="0.25">
      <c r="A57" s="59"/>
      <c r="B57" s="108" t="s">
        <v>79</v>
      </c>
      <c r="C57" s="118"/>
    </row>
    <row r="58" spans="1:5" ht="78.75" x14ac:dyDescent="0.25">
      <c r="A58" s="23">
        <v>5220</v>
      </c>
      <c r="B58" s="108" t="s">
        <v>181</v>
      </c>
      <c r="C58" s="118">
        <f>1/108*1331/60*12*0.0956</f>
        <v>0.23563629629629626</v>
      </c>
      <c r="E58" s="95">
        <f>1/108*1331/60*12*0.0956</f>
        <v>0.23563629629629626</v>
      </c>
    </row>
    <row r="59" spans="1:5" x14ac:dyDescent="0.25">
      <c r="A59" s="60"/>
      <c r="B59" s="12" t="s">
        <v>80</v>
      </c>
      <c r="C59" s="112"/>
    </row>
    <row r="60" spans="1:5" x14ac:dyDescent="0.25">
      <c r="A60" s="40"/>
      <c r="B60" s="41" t="s">
        <v>46</v>
      </c>
      <c r="C60" s="42">
        <f>SUM(C36:C59)</f>
        <v>108.92020497407405</v>
      </c>
    </row>
    <row r="61" spans="1:5" x14ac:dyDescent="0.25">
      <c r="A61" s="43"/>
      <c r="B61" s="44" t="s">
        <v>47</v>
      </c>
      <c r="C61" s="45">
        <f>C60+C34</f>
        <v>616.43621294809998</v>
      </c>
    </row>
    <row r="62" spans="1:5" x14ac:dyDescent="0.25">
      <c r="A62" s="46"/>
      <c r="B62" s="47" t="s">
        <v>48</v>
      </c>
      <c r="C62" s="48">
        <f>C61/C64</f>
        <v>616.43621294809998</v>
      </c>
    </row>
    <row r="63" spans="1:5" x14ac:dyDescent="0.25">
      <c r="B63" s="2"/>
      <c r="C63" s="2"/>
    </row>
    <row r="64" spans="1:5" x14ac:dyDescent="0.25">
      <c r="B64" s="49" t="s">
        <v>49</v>
      </c>
      <c r="C64" s="50">
        <f>B4</f>
        <v>1</v>
      </c>
    </row>
    <row r="65" spans="2:3" ht="32.25" customHeight="1" x14ac:dyDescent="0.25">
      <c r="B65" s="78" t="s">
        <v>138</v>
      </c>
      <c r="C65" s="48">
        <f>C62</f>
        <v>616.43621294809998</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1F0AD-6DC2-44B4-B4F9-AD125FE32C45}">
  <dimension ref="A1:E62"/>
  <sheetViews>
    <sheetView view="pageBreakPreview" topLeftCell="A41" zoomScale="60" zoomScaleNormal="100" workbookViewId="0">
      <selection activeCell="G37" sqref="G37"/>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81</v>
      </c>
    </row>
    <row r="3" spans="1:5" x14ac:dyDescent="0.25">
      <c r="A3" s="5" t="s">
        <v>5</v>
      </c>
      <c r="B3" s="5" t="s">
        <v>6</v>
      </c>
    </row>
    <row r="4" spans="1:5" ht="48.75" customHeight="1" x14ac:dyDescent="0.25">
      <c r="A4" s="25" t="s">
        <v>7</v>
      </c>
      <c r="B4" s="29">
        <v>2</v>
      </c>
    </row>
    <row r="6" spans="1:5" ht="68.25" customHeight="1" x14ac:dyDescent="0.25">
      <c r="A6" s="7" t="s">
        <v>8</v>
      </c>
      <c r="B6" s="8" t="s">
        <v>9</v>
      </c>
      <c r="C6" s="9" t="s">
        <v>10</v>
      </c>
    </row>
    <row r="7" spans="1:5" x14ac:dyDescent="0.25">
      <c r="A7" s="30"/>
      <c r="B7" s="31" t="s">
        <v>0</v>
      </c>
      <c r="C7" s="104"/>
    </row>
    <row r="8" spans="1:5" ht="94.5" x14ac:dyDescent="0.25">
      <c r="A8" s="74" t="s">
        <v>11</v>
      </c>
      <c r="B8" s="100" t="s">
        <v>276</v>
      </c>
      <c r="C8" s="14">
        <f>(1690+1420)/2/21/8/11*12*12</f>
        <v>121.16883116883116</v>
      </c>
      <c r="D8" s="33"/>
      <c r="E8" s="95">
        <f>(1690+1420)/2/21/8/11*12*12</f>
        <v>121.16883116883116</v>
      </c>
    </row>
    <row r="9" spans="1:5" x14ac:dyDescent="0.25">
      <c r="A9" s="55"/>
      <c r="B9" s="100" t="s">
        <v>82</v>
      </c>
      <c r="C9" s="14"/>
    </row>
    <row r="10" spans="1:5" ht="47.25" x14ac:dyDescent="0.25">
      <c r="A10" s="22" t="s">
        <v>13</v>
      </c>
      <c r="B10" s="100" t="s">
        <v>194</v>
      </c>
      <c r="C10" s="14">
        <f>40*2</f>
        <v>80</v>
      </c>
      <c r="E10" s="95">
        <f>40*2</f>
        <v>80</v>
      </c>
    </row>
    <row r="11" spans="1:5" x14ac:dyDescent="0.25">
      <c r="A11" s="55"/>
      <c r="B11" s="100" t="s">
        <v>83</v>
      </c>
      <c r="C11" s="14"/>
    </row>
    <row r="12" spans="1:5" ht="110.25" x14ac:dyDescent="0.25">
      <c r="A12" s="74">
        <v>1119</v>
      </c>
      <c r="B12" s="100" t="s">
        <v>297</v>
      </c>
      <c r="C12" s="14">
        <f>(1690+1420)/2/21/8/11*12*4</f>
        <v>40.38961038961039</v>
      </c>
      <c r="D12" s="33"/>
      <c r="E12" s="95">
        <f>(1690+1420)/2/21/8/11*12*4</f>
        <v>40.38961038961039</v>
      </c>
    </row>
    <row r="13" spans="1:5" x14ac:dyDescent="0.25">
      <c r="A13" s="55"/>
      <c r="B13" s="101" t="s">
        <v>84</v>
      </c>
      <c r="C13" s="106"/>
    </row>
    <row r="14" spans="1:5" x14ac:dyDescent="0.25">
      <c r="A14" s="22">
        <v>1210</v>
      </c>
      <c r="B14" s="101" t="s">
        <v>15</v>
      </c>
      <c r="C14" s="14">
        <f>(C8+C10+C12)*0.2359</f>
        <v>56.983636363636364</v>
      </c>
      <c r="E14" s="95">
        <f>(C8+C10+C12)*0.2359</f>
        <v>56.983636363636364</v>
      </c>
    </row>
    <row r="15" spans="1:5" x14ac:dyDescent="0.25">
      <c r="A15" s="22"/>
      <c r="B15" s="101" t="s">
        <v>185</v>
      </c>
      <c r="C15" s="106"/>
    </row>
    <row r="16" spans="1:5" ht="33" customHeight="1" x14ac:dyDescent="0.25">
      <c r="A16" s="22" t="s">
        <v>16</v>
      </c>
      <c r="B16" s="102" t="s">
        <v>17</v>
      </c>
      <c r="C16" s="106">
        <f>12.02*2</f>
        <v>24.04</v>
      </c>
      <c r="E16" s="95">
        <f>12.02*2</f>
        <v>24.04</v>
      </c>
    </row>
    <row r="17" spans="1:5" x14ac:dyDescent="0.25">
      <c r="A17" s="55"/>
      <c r="B17" s="100" t="s">
        <v>85</v>
      </c>
      <c r="C17" s="106"/>
    </row>
    <row r="18" spans="1:5" ht="31.5" x14ac:dyDescent="0.25">
      <c r="A18" s="22" t="s">
        <v>19</v>
      </c>
      <c r="B18" s="100" t="s">
        <v>150</v>
      </c>
      <c r="C18" s="106">
        <f>224.91*2</f>
        <v>449.82</v>
      </c>
      <c r="E18" s="95">
        <f>224.91*2</f>
        <v>449.82</v>
      </c>
    </row>
    <row r="19" spans="1:5" x14ac:dyDescent="0.25">
      <c r="A19" s="55"/>
      <c r="B19" s="100" t="s">
        <v>86</v>
      </c>
      <c r="C19" s="106"/>
    </row>
    <row r="20" spans="1:5" ht="31.5" x14ac:dyDescent="0.25">
      <c r="A20" s="22" t="s">
        <v>21</v>
      </c>
      <c r="B20" s="100" t="s">
        <v>153</v>
      </c>
      <c r="C20" s="106">
        <f>2.4*1.5*2</f>
        <v>7.1999999999999993</v>
      </c>
      <c r="E20" s="95">
        <f>2.4*1.5*2</f>
        <v>7.1999999999999993</v>
      </c>
    </row>
    <row r="21" spans="1:5" x14ac:dyDescent="0.25">
      <c r="A21" s="55"/>
      <c r="B21" s="100" t="s">
        <v>87</v>
      </c>
      <c r="C21" s="106"/>
    </row>
    <row r="22" spans="1:5" ht="47.25" x14ac:dyDescent="0.25">
      <c r="A22" s="22" t="s">
        <v>21</v>
      </c>
      <c r="B22" s="100" t="s">
        <v>23</v>
      </c>
      <c r="C22" s="14">
        <f>0.0393*2</f>
        <v>7.8600000000000003E-2</v>
      </c>
      <c r="E22" s="95">
        <f>0.0393*2</f>
        <v>7.8600000000000003E-2</v>
      </c>
    </row>
    <row r="23" spans="1:5" x14ac:dyDescent="0.25">
      <c r="A23" s="55"/>
      <c r="B23" s="100" t="s">
        <v>88</v>
      </c>
      <c r="C23" s="106"/>
    </row>
    <row r="24" spans="1:5" ht="31.5" x14ac:dyDescent="0.25">
      <c r="A24" s="22">
        <v>2341</v>
      </c>
      <c r="B24" s="100" t="s">
        <v>154</v>
      </c>
      <c r="C24" s="106">
        <f>16.22*2</f>
        <v>32.44</v>
      </c>
      <c r="E24" s="95">
        <f>16.22*2</f>
        <v>32.44</v>
      </c>
    </row>
    <row r="25" spans="1:5" x14ac:dyDescent="0.25">
      <c r="A25" s="55"/>
      <c r="B25" s="100" t="s">
        <v>89</v>
      </c>
      <c r="C25" s="106"/>
    </row>
    <row r="26" spans="1:5" ht="31.5" x14ac:dyDescent="0.25">
      <c r="A26" s="22" t="s">
        <v>26</v>
      </c>
      <c r="B26" s="100" t="s">
        <v>186</v>
      </c>
      <c r="C26" s="106">
        <f>0.0275*1*2</f>
        <v>5.5E-2</v>
      </c>
      <c r="E26" s="95">
        <f>0.0275*1*2</f>
        <v>5.5E-2</v>
      </c>
    </row>
    <row r="27" spans="1:5" x14ac:dyDescent="0.25">
      <c r="A27" s="55"/>
      <c r="B27" s="100" t="s">
        <v>90</v>
      </c>
      <c r="C27" s="106"/>
    </row>
    <row r="28" spans="1:5" ht="31.5" customHeight="1" x14ac:dyDescent="0.25">
      <c r="A28" s="22">
        <v>2350</v>
      </c>
      <c r="B28" s="99" t="s">
        <v>248</v>
      </c>
      <c r="C28" s="106">
        <f>0.05*10*2</f>
        <v>1</v>
      </c>
      <c r="E28" s="95">
        <f>0.05*10*2</f>
        <v>1</v>
      </c>
    </row>
    <row r="29" spans="1:5" x14ac:dyDescent="0.25">
      <c r="A29" s="56"/>
      <c r="B29" s="68" t="s">
        <v>187</v>
      </c>
      <c r="C29" s="106"/>
    </row>
    <row r="30" spans="1:5" ht="33" customHeight="1" x14ac:dyDescent="0.25">
      <c r="A30" s="56"/>
      <c r="B30" s="103" t="s">
        <v>247</v>
      </c>
      <c r="C30" s="106">
        <f>0.13*2</f>
        <v>0.26</v>
      </c>
      <c r="E30" s="95">
        <f>0.13*2</f>
        <v>0.26</v>
      </c>
    </row>
    <row r="31" spans="1:5" ht="15" customHeight="1" x14ac:dyDescent="0.25">
      <c r="A31" s="56"/>
      <c r="B31" s="119" t="s">
        <v>91</v>
      </c>
      <c r="C31" s="106"/>
    </row>
    <row r="32" spans="1:5" x14ac:dyDescent="0.25">
      <c r="A32" s="57"/>
      <c r="B32" s="34"/>
      <c r="C32" s="120">
        <f>SUM(C8:C30)</f>
        <v>813.43567792207807</v>
      </c>
    </row>
    <row r="33" spans="1:5" x14ac:dyDescent="0.25">
      <c r="A33" s="58"/>
      <c r="B33" s="36" t="s">
        <v>1</v>
      </c>
      <c r="C33" s="111"/>
    </row>
    <row r="34" spans="1:5" ht="78.75" x14ac:dyDescent="0.25">
      <c r="A34" s="23">
        <v>1119</v>
      </c>
      <c r="B34" s="115" t="s">
        <v>160</v>
      </c>
      <c r="C34" s="18">
        <f>2011*12*0.0956*2/108</f>
        <v>42.722577777777779</v>
      </c>
      <c r="E34" s="95">
        <f>2011*12*0.0956*2/108</f>
        <v>42.722577777777779</v>
      </c>
    </row>
    <row r="35" spans="1:5" x14ac:dyDescent="0.25">
      <c r="A35" s="59"/>
      <c r="B35" s="108" t="s">
        <v>92</v>
      </c>
      <c r="C35" s="18"/>
    </row>
    <row r="36" spans="1:5" x14ac:dyDescent="0.25">
      <c r="A36" s="23" t="s">
        <v>31</v>
      </c>
      <c r="B36" s="121" t="s">
        <v>15</v>
      </c>
      <c r="C36" s="18"/>
      <c r="D36" s="33"/>
    </row>
    <row r="37" spans="1:5" ht="65.25" customHeight="1" x14ac:dyDescent="0.25">
      <c r="A37" s="23" t="s">
        <v>16</v>
      </c>
      <c r="B37" s="109" t="s">
        <v>188</v>
      </c>
      <c r="C37" s="18">
        <f>1097.88*0.0956*2/108</f>
        <v>1.9436542222222226</v>
      </c>
      <c r="E37" s="95">
        <f>1097.88*0.0956*2/108</f>
        <v>1.9436542222222226</v>
      </c>
    </row>
    <row r="38" spans="1:5" x14ac:dyDescent="0.25">
      <c r="A38" s="59"/>
      <c r="B38" s="108" t="s">
        <v>93</v>
      </c>
      <c r="C38" s="18"/>
    </row>
    <row r="39" spans="1:5" ht="78.75" x14ac:dyDescent="0.25">
      <c r="A39" s="23">
        <v>1119</v>
      </c>
      <c r="B39" s="115" t="s">
        <v>202</v>
      </c>
      <c r="C39" s="18">
        <f>3015*12*0.0956*2/108</f>
        <v>64.052000000000007</v>
      </c>
      <c r="E39" s="95">
        <f>3015*12*0.0956*2/108</f>
        <v>64.052000000000007</v>
      </c>
    </row>
    <row r="40" spans="1:5" x14ac:dyDescent="0.25">
      <c r="A40" s="23"/>
      <c r="B40" s="115" t="s">
        <v>189</v>
      </c>
      <c r="C40" s="18"/>
    </row>
    <row r="41" spans="1:5" ht="16.5" customHeight="1" x14ac:dyDescent="0.25">
      <c r="A41" s="23" t="s">
        <v>31</v>
      </c>
      <c r="B41" s="117" t="s">
        <v>15</v>
      </c>
      <c r="C41" s="18">
        <f>(C34+C37+C39)*0.2359</f>
        <v>25.646630928800001</v>
      </c>
      <c r="D41" s="33"/>
      <c r="E41" s="95">
        <f>(C34+C36+C37)*0.2359</f>
        <v>10.5367641288</v>
      </c>
    </row>
    <row r="42" spans="1:5" ht="15.75" customHeight="1" x14ac:dyDescent="0.25">
      <c r="A42" s="23"/>
      <c r="B42" s="121" t="s">
        <v>190</v>
      </c>
      <c r="C42" s="18"/>
      <c r="D42" s="33"/>
    </row>
    <row r="43" spans="1:5" ht="46.5" customHeight="1" x14ac:dyDescent="0.25">
      <c r="A43" s="23" t="s">
        <v>34</v>
      </c>
      <c r="B43" s="109" t="s">
        <v>158</v>
      </c>
      <c r="C43" s="18">
        <f>267.89*0.0956*2/108</f>
        <v>0.47426451851851853</v>
      </c>
      <c r="E43" s="95">
        <f>267.89*0.0956*2/108</f>
        <v>0.47426451851851853</v>
      </c>
    </row>
    <row r="44" spans="1:5" x14ac:dyDescent="0.25">
      <c r="A44" s="59"/>
      <c r="B44" s="108" t="s">
        <v>94</v>
      </c>
      <c r="C44" s="18"/>
    </row>
    <row r="45" spans="1:5" ht="47.25" x14ac:dyDescent="0.25">
      <c r="A45" s="23" t="s">
        <v>36</v>
      </c>
      <c r="B45" s="108" t="s">
        <v>191</v>
      </c>
      <c r="C45" s="18">
        <f>1200*0.0956*2/108</f>
        <v>2.1244444444444444</v>
      </c>
      <c r="E45" s="95">
        <f>1200*0.0956*2/108</f>
        <v>2.1244444444444444</v>
      </c>
    </row>
    <row r="46" spans="1:5" x14ac:dyDescent="0.25">
      <c r="A46" s="59"/>
      <c r="B46" s="108" t="s">
        <v>95</v>
      </c>
      <c r="C46" s="18"/>
    </row>
    <row r="47" spans="1:5" ht="63" x14ac:dyDescent="0.25">
      <c r="A47" s="23">
        <v>2261</v>
      </c>
      <c r="B47" s="108" t="s">
        <v>178</v>
      </c>
      <c r="C47" s="18">
        <f>19884.6*0.0956*2/108</f>
        <v>35.203106666666663</v>
      </c>
      <c r="E47" s="95">
        <f>19884.6*0.0956*2/108</f>
        <v>35.203106666666663</v>
      </c>
    </row>
    <row r="48" spans="1:5" x14ac:dyDescent="0.25">
      <c r="A48" s="59"/>
      <c r="B48" s="108" t="s">
        <v>96</v>
      </c>
      <c r="C48" s="18"/>
    </row>
    <row r="49" spans="1:5" ht="48.75" customHeight="1" x14ac:dyDescent="0.25">
      <c r="A49" s="23">
        <v>2262</v>
      </c>
      <c r="B49" s="109" t="s">
        <v>177</v>
      </c>
      <c r="C49" s="18">
        <f>20211.84*0.0956*2/108</f>
        <v>35.782442666666668</v>
      </c>
      <c r="E49" s="95">
        <f>20211.84*0.0956*2/108</f>
        <v>35.782442666666668</v>
      </c>
    </row>
    <row r="50" spans="1:5" x14ac:dyDescent="0.25">
      <c r="A50" s="59"/>
      <c r="B50" s="108" t="s">
        <v>97</v>
      </c>
      <c r="C50" s="18"/>
    </row>
    <row r="51" spans="1:5" ht="48.75" customHeight="1" x14ac:dyDescent="0.25">
      <c r="A51" s="23" t="s">
        <v>40</v>
      </c>
      <c r="B51" s="109" t="s">
        <v>180</v>
      </c>
      <c r="C51" s="18">
        <f>4564.198*0.0956*2/108</f>
        <v>8.0803209037037043</v>
      </c>
      <c r="E51" s="95">
        <f>4564.198*0.0956*2/108</f>
        <v>8.0803209037037043</v>
      </c>
    </row>
    <row r="52" spans="1:5" x14ac:dyDescent="0.25">
      <c r="A52" s="59"/>
      <c r="B52" s="116" t="s">
        <v>98</v>
      </c>
      <c r="C52" s="18"/>
    </row>
    <row r="53" spans="1:5" ht="49.5" customHeight="1" x14ac:dyDescent="0.25">
      <c r="A53" s="23" t="s">
        <v>26</v>
      </c>
      <c r="B53" s="109" t="s">
        <v>182</v>
      </c>
      <c r="C53" s="18">
        <f>1015*0.0956*2/108</f>
        <v>1.796925925925926</v>
      </c>
      <c r="E53" s="95">
        <f>1015*0.0956*2/108</f>
        <v>1.796925925925926</v>
      </c>
    </row>
    <row r="54" spans="1:5" x14ac:dyDescent="0.25">
      <c r="A54" s="59"/>
      <c r="B54" s="108" t="s">
        <v>99</v>
      </c>
      <c r="C54" s="18"/>
    </row>
    <row r="55" spans="1:5" ht="78.75" x14ac:dyDescent="0.25">
      <c r="A55" s="23">
        <v>5220</v>
      </c>
      <c r="B55" s="108" t="s">
        <v>181</v>
      </c>
      <c r="C55" s="18">
        <f>2/108*1331/60*12*0.0956</f>
        <v>0.47127259259259252</v>
      </c>
      <c r="E55" s="95">
        <f>2/108*1331/60*12*0.0956</f>
        <v>0.47127259259259252</v>
      </c>
    </row>
    <row r="56" spans="1:5" x14ac:dyDescent="0.25">
      <c r="A56" s="38"/>
      <c r="B56" s="12" t="s">
        <v>100</v>
      </c>
      <c r="C56" s="112"/>
    </row>
    <row r="57" spans="1:5" x14ac:dyDescent="0.25">
      <c r="A57" s="40"/>
      <c r="B57" s="41" t="s">
        <v>46</v>
      </c>
      <c r="C57" s="71">
        <f>SUM(C34:C56)</f>
        <v>218.29764064731847</v>
      </c>
    </row>
    <row r="58" spans="1:5" x14ac:dyDescent="0.25">
      <c r="A58" s="43"/>
      <c r="B58" s="44" t="s">
        <v>47</v>
      </c>
      <c r="C58" s="72">
        <f>C57+C32</f>
        <v>1031.7333185693965</v>
      </c>
    </row>
    <row r="59" spans="1:5" x14ac:dyDescent="0.25">
      <c r="A59" s="46"/>
      <c r="B59" s="47" t="s">
        <v>48</v>
      </c>
      <c r="C59" s="73">
        <f>C58/C61</f>
        <v>515.86665928469824</v>
      </c>
    </row>
    <row r="60" spans="1:5" x14ac:dyDescent="0.25">
      <c r="B60" s="2"/>
      <c r="C60" s="2"/>
    </row>
    <row r="61" spans="1:5" x14ac:dyDescent="0.25">
      <c r="B61" s="49" t="s">
        <v>49</v>
      </c>
      <c r="C61" s="50">
        <f>B4</f>
        <v>2</v>
      </c>
    </row>
    <row r="62" spans="1:5" ht="32.25" customHeight="1" x14ac:dyDescent="0.25">
      <c r="B62" s="78" t="s">
        <v>138</v>
      </c>
      <c r="C62" s="48">
        <f>C59</f>
        <v>515.86665928469824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57E32-D748-44DF-AC39-CA5100442630}">
  <dimension ref="A1:E61"/>
  <sheetViews>
    <sheetView view="pageBreakPreview" topLeftCell="A54" zoomScale="60" zoomScaleNormal="100" workbookViewId="0">
      <selection activeCell="C61" sqref="C61"/>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101</v>
      </c>
    </row>
    <row r="3" spans="1:5" x14ac:dyDescent="0.25">
      <c r="A3" s="5" t="s">
        <v>5</v>
      </c>
      <c r="B3" s="5" t="s">
        <v>6</v>
      </c>
    </row>
    <row r="4" spans="1:5" ht="48.75" customHeight="1" x14ac:dyDescent="0.25">
      <c r="A4" s="25" t="s">
        <v>7</v>
      </c>
      <c r="B4" s="29">
        <v>8</v>
      </c>
    </row>
    <row r="6" spans="1:5" ht="68.25" customHeight="1" x14ac:dyDescent="0.25">
      <c r="A6" s="7" t="s">
        <v>8</v>
      </c>
      <c r="B6" s="8" t="s">
        <v>9</v>
      </c>
      <c r="C6" s="9" t="s">
        <v>10</v>
      </c>
    </row>
    <row r="7" spans="1:5" x14ac:dyDescent="0.25">
      <c r="A7" s="30"/>
      <c r="B7" s="31" t="s">
        <v>0</v>
      </c>
      <c r="C7" s="104"/>
    </row>
    <row r="8" spans="1:5" ht="94.5" x14ac:dyDescent="0.25">
      <c r="A8" s="74" t="s">
        <v>11</v>
      </c>
      <c r="B8" s="100" t="s">
        <v>275</v>
      </c>
      <c r="C8" s="14">
        <f>(1690+1420)/2/21/8/11*12*64</f>
        <v>646.23376623376623</v>
      </c>
      <c r="E8" s="95">
        <f>(1690+1420)/2/21/8/11*12*64</f>
        <v>646.23376623376623</v>
      </c>
    </row>
    <row r="9" spans="1:5" x14ac:dyDescent="0.25">
      <c r="A9" s="55"/>
      <c r="B9" s="100" t="s">
        <v>102</v>
      </c>
      <c r="C9" s="14"/>
    </row>
    <row r="10" spans="1:5" ht="47.25" x14ac:dyDescent="0.25">
      <c r="A10" s="22" t="s">
        <v>13</v>
      </c>
      <c r="B10" s="100" t="s">
        <v>195</v>
      </c>
      <c r="C10" s="14">
        <f>60*8</f>
        <v>480</v>
      </c>
      <c r="E10" s="95">
        <f>60*8</f>
        <v>480</v>
      </c>
    </row>
    <row r="11" spans="1:5" x14ac:dyDescent="0.25">
      <c r="A11" s="55"/>
      <c r="B11" s="100" t="s">
        <v>103</v>
      </c>
      <c r="C11" s="14"/>
    </row>
    <row r="12" spans="1:5" ht="120" customHeight="1" x14ac:dyDescent="0.25">
      <c r="A12" s="74">
        <v>1119</v>
      </c>
      <c r="B12" s="102" t="s">
        <v>197</v>
      </c>
      <c r="C12" s="14">
        <f>(1690+1420)/2/21/8/11*12*16</f>
        <v>161.55844155844156</v>
      </c>
      <c r="D12" s="33"/>
      <c r="E12" s="95">
        <f>(1690+1420)/2/21/8/11*12*16</f>
        <v>161.55844155844156</v>
      </c>
    </row>
    <row r="13" spans="1:5" x14ac:dyDescent="0.25">
      <c r="A13" s="55"/>
      <c r="B13" s="101" t="s">
        <v>53</v>
      </c>
      <c r="C13" s="14"/>
    </row>
    <row r="14" spans="1:5" x14ac:dyDescent="0.25">
      <c r="A14" s="22">
        <v>1210</v>
      </c>
      <c r="B14" s="101" t="s">
        <v>15</v>
      </c>
      <c r="C14" s="14">
        <f>(C8+C10+C12)*0.2359</f>
        <v>303.79018181818185</v>
      </c>
      <c r="E14" s="95">
        <f>(C8+C10+C12)*0.2359</f>
        <v>303.79018181818185</v>
      </c>
    </row>
    <row r="15" spans="1:5" x14ac:dyDescent="0.25">
      <c r="A15" s="22"/>
      <c r="B15" s="101" t="s">
        <v>198</v>
      </c>
      <c r="C15" s="14"/>
    </row>
    <row r="16" spans="1:5" ht="47.25" x14ac:dyDescent="0.25">
      <c r="A16" s="22" t="s">
        <v>19</v>
      </c>
      <c r="B16" s="100" t="s">
        <v>141</v>
      </c>
      <c r="C16" s="14">
        <f>0.38*3*8</f>
        <v>9.120000000000001</v>
      </c>
      <c r="E16" s="95">
        <f>0.38*3*8</f>
        <v>9.120000000000001</v>
      </c>
    </row>
    <row r="17" spans="1:5" x14ac:dyDescent="0.25">
      <c r="A17" s="22"/>
      <c r="B17" s="100" t="s">
        <v>199</v>
      </c>
      <c r="C17" s="14"/>
    </row>
    <row r="18" spans="1:5" ht="31.5" x14ac:dyDescent="0.25">
      <c r="A18" s="22" t="s">
        <v>21</v>
      </c>
      <c r="B18" s="100" t="s">
        <v>153</v>
      </c>
      <c r="C18" s="14">
        <f>2.4*1.5*8</f>
        <v>28.799999999999997</v>
      </c>
      <c r="E18" s="95">
        <f>2.4*1.5*8</f>
        <v>28.799999999999997</v>
      </c>
    </row>
    <row r="19" spans="1:5" x14ac:dyDescent="0.25">
      <c r="A19" s="55"/>
      <c r="B19" s="100" t="s">
        <v>56</v>
      </c>
      <c r="C19" s="14"/>
    </row>
    <row r="20" spans="1:5" ht="47.25" x14ac:dyDescent="0.25">
      <c r="A20" s="22" t="s">
        <v>21</v>
      </c>
      <c r="B20" s="100" t="s">
        <v>23</v>
      </c>
      <c r="C20" s="14">
        <f>0.0393*8</f>
        <v>0.31440000000000001</v>
      </c>
      <c r="E20" s="95">
        <f>0.0393*8</f>
        <v>0.31440000000000001</v>
      </c>
    </row>
    <row r="21" spans="1:5" x14ac:dyDescent="0.25">
      <c r="A21" s="55"/>
      <c r="B21" s="100" t="s">
        <v>57</v>
      </c>
      <c r="C21" s="14"/>
    </row>
    <row r="22" spans="1:5" ht="31.5" x14ac:dyDescent="0.25">
      <c r="A22" s="22">
        <v>2341</v>
      </c>
      <c r="B22" s="100" t="s">
        <v>169</v>
      </c>
      <c r="C22" s="14">
        <f>16.22*8</f>
        <v>129.76</v>
      </c>
      <c r="E22" s="95">
        <f>16.22*8</f>
        <v>129.76</v>
      </c>
    </row>
    <row r="23" spans="1:5" x14ac:dyDescent="0.25">
      <c r="A23" s="55"/>
      <c r="B23" s="100" t="s">
        <v>58</v>
      </c>
      <c r="C23" s="14"/>
    </row>
    <row r="24" spans="1:5" ht="31.5" x14ac:dyDescent="0.25">
      <c r="A24" s="22" t="s">
        <v>26</v>
      </c>
      <c r="B24" s="100" t="s">
        <v>200</v>
      </c>
      <c r="C24" s="14">
        <f>0.0275*1*8</f>
        <v>0.22</v>
      </c>
      <c r="E24" s="95">
        <f>0.0275*1*8</f>
        <v>0.22</v>
      </c>
    </row>
    <row r="25" spans="1:5" x14ac:dyDescent="0.25">
      <c r="A25" s="55"/>
      <c r="B25" s="100" t="s">
        <v>59</v>
      </c>
      <c r="C25" s="14"/>
    </row>
    <row r="26" spans="1:5" ht="31.5" customHeight="1" x14ac:dyDescent="0.25">
      <c r="A26" s="22">
        <v>2350</v>
      </c>
      <c r="B26" s="99" t="s">
        <v>248</v>
      </c>
      <c r="C26" s="14">
        <f>0.05*10*8</f>
        <v>4</v>
      </c>
      <c r="E26" s="96">
        <f>0.05*10*8</f>
        <v>4</v>
      </c>
    </row>
    <row r="27" spans="1:5" x14ac:dyDescent="0.25">
      <c r="A27" s="56"/>
      <c r="B27" s="68" t="s">
        <v>151</v>
      </c>
      <c r="C27" s="14"/>
    </row>
    <row r="28" spans="1:5" ht="32.25" customHeight="1" x14ac:dyDescent="0.25">
      <c r="A28" s="56"/>
      <c r="B28" s="103" t="s">
        <v>294</v>
      </c>
      <c r="C28" s="14">
        <f>0.13*8</f>
        <v>1.04</v>
      </c>
      <c r="E28" s="95">
        <f>0.13*8</f>
        <v>1.04</v>
      </c>
    </row>
    <row r="29" spans="1:5" ht="15" customHeight="1" x14ac:dyDescent="0.25">
      <c r="A29" s="56"/>
      <c r="B29" s="16" t="s">
        <v>60</v>
      </c>
      <c r="C29" s="105"/>
    </row>
    <row r="30" spans="1:5" x14ac:dyDescent="0.25">
      <c r="A30" s="57"/>
      <c r="B30" s="34"/>
      <c r="C30" s="35">
        <f>SUM(C8:C28)</f>
        <v>1764.8367896103896</v>
      </c>
    </row>
    <row r="31" spans="1:5" x14ac:dyDescent="0.25">
      <c r="A31" s="58"/>
      <c r="B31" s="36" t="s">
        <v>1</v>
      </c>
      <c r="C31" s="111"/>
    </row>
    <row r="32" spans="1:5" ht="78.75" x14ac:dyDescent="0.25">
      <c r="A32" s="23">
        <v>1119</v>
      </c>
      <c r="B32" s="115" t="s">
        <v>216</v>
      </c>
      <c r="C32" s="18">
        <f>2011*12*0.0956*8/108</f>
        <v>170.89031111111112</v>
      </c>
      <c r="E32" s="95">
        <f>2011*12*0.0956*8/108</f>
        <v>170.89031111111112</v>
      </c>
    </row>
    <row r="33" spans="1:5" x14ac:dyDescent="0.25">
      <c r="A33" s="59"/>
      <c r="B33" s="108" t="s">
        <v>104</v>
      </c>
      <c r="C33" s="18"/>
    </row>
    <row r="34" spans="1:5" x14ac:dyDescent="0.25">
      <c r="A34" s="135" t="s">
        <v>31</v>
      </c>
      <c r="B34" s="136" t="s">
        <v>15</v>
      </c>
      <c r="C34" s="133">
        <f>C32*0.2359</f>
        <v>40.313024391111114</v>
      </c>
      <c r="D34" s="33"/>
      <c r="E34" s="95">
        <f>C32*0.2359</f>
        <v>40.313024391111114</v>
      </c>
    </row>
    <row r="35" spans="1:5" x14ac:dyDescent="0.25">
      <c r="A35" s="23"/>
      <c r="B35" s="121" t="s">
        <v>201</v>
      </c>
      <c r="C35" s="18"/>
      <c r="D35" s="33"/>
    </row>
    <row r="36" spans="1:5" ht="63.75" customHeight="1" x14ac:dyDescent="0.25">
      <c r="A36" s="23" t="s">
        <v>16</v>
      </c>
      <c r="B36" s="109" t="s">
        <v>159</v>
      </c>
      <c r="C36" s="18">
        <f>1097.88*0.0956*8/108</f>
        <v>7.7746168888888905</v>
      </c>
      <c r="E36" s="95">
        <f>1097.88*0.0956*8/108</f>
        <v>7.7746168888888905</v>
      </c>
    </row>
    <row r="37" spans="1:5" x14ac:dyDescent="0.25">
      <c r="A37" s="59"/>
      <c r="B37" s="108" t="s">
        <v>105</v>
      </c>
      <c r="C37" s="18"/>
    </row>
    <row r="38" spans="1:5" ht="78.75" x14ac:dyDescent="0.25">
      <c r="A38" s="23">
        <v>1119</v>
      </c>
      <c r="B38" s="115" t="s">
        <v>205</v>
      </c>
      <c r="C38" s="18">
        <f>3015*12*0.0956*8/108</f>
        <v>256.20800000000003</v>
      </c>
      <c r="E38" s="95">
        <f>3015*12*0.0956*8/108</f>
        <v>256.20800000000003</v>
      </c>
    </row>
    <row r="39" spans="1:5" x14ac:dyDescent="0.25">
      <c r="A39" s="23"/>
      <c r="B39" s="115" t="s">
        <v>206</v>
      </c>
      <c r="C39" s="18"/>
    </row>
    <row r="40" spans="1:5" ht="16.5" customHeight="1" x14ac:dyDescent="0.25">
      <c r="A40" s="23" t="s">
        <v>31</v>
      </c>
      <c r="B40" s="121" t="s">
        <v>15</v>
      </c>
      <c r="C40" s="18">
        <f>256.21*0.2359</f>
        <v>60.439938999999995</v>
      </c>
      <c r="D40" s="33"/>
      <c r="E40" s="95">
        <f>256.21*0.2359</f>
        <v>60.439938999999995</v>
      </c>
    </row>
    <row r="41" spans="1:5" ht="16.5" customHeight="1" x14ac:dyDescent="0.25">
      <c r="A41" s="23"/>
      <c r="B41" s="121" t="s">
        <v>207</v>
      </c>
      <c r="C41" s="18"/>
      <c r="D41" s="33"/>
    </row>
    <row r="42" spans="1:5" ht="48" customHeight="1" x14ac:dyDescent="0.25">
      <c r="A42" s="23" t="s">
        <v>34</v>
      </c>
      <c r="B42" s="109" t="s">
        <v>173</v>
      </c>
      <c r="C42" s="18">
        <f>267.89*0.0956*8/108</f>
        <v>1.8970580740740741</v>
      </c>
      <c r="E42" s="95">
        <f>267.89*0.0956*8/108</f>
        <v>1.8970580740740741</v>
      </c>
    </row>
    <row r="43" spans="1:5" x14ac:dyDescent="0.25">
      <c r="A43" s="59"/>
      <c r="B43" s="108" t="s">
        <v>106</v>
      </c>
      <c r="C43" s="18"/>
    </row>
    <row r="44" spans="1:5" ht="47.25" x14ac:dyDescent="0.25">
      <c r="A44" s="23" t="s">
        <v>36</v>
      </c>
      <c r="B44" s="108" t="s">
        <v>192</v>
      </c>
      <c r="C44" s="18">
        <f>1200*0.0956*8/108</f>
        <v>8.4977777777777774</v>
      </c>
      <c r="E44" s="95">
        <f>1200*0.0956*8/108</f>
        <v>8.4977777777777774</v>
      </c>
    </row>
    <row r="45" spans="1:5" x14ac:dyDescent="0.25">
      <c r="A45" s="59"/>
      <c r="B45" s="108" t="s">
        <v>107</v>
      </c>
      <c r="C45" s="18"/>
    </row>
    <row r="46" spans="1:5" ht="63" x14ac:dyDescent="0.25">
      <c r="A46" s="23">
        <v>2261</v>
      </c>
      <c r="B46" s="108" t="s">
        <v>178</v>
      </c>
      <c r="C46" s="133">
        <f>19884.6*0.0956*8/108</f>
        <v>140.81242666666665</v>
      </c>
      <c r="E46" s="95">
        <f>19884.6*0.956*8/108</f>
        <v>1408.1242666666667</v>
      </c>
    </row>
    <row r="47" spans="1:5" x14ac:dyDescent="0.25">
      <c r="A47" s="59"/>
      <c r="B47" s="108" t="s">
        <v>108</v>
      </c>
      <c r="C47" s="18"/>
    </row>
    <row r="48" spans="1:5" ht="49.5" customHeight="1" x14ac:dyDescent="0.25">
      <c r="A48" s="23">
        <v>2262</v>
      </c>
      <c r="B48" s="109" t="s">
        <v>177</v>
      </c>
      <c r="C48" s="18">
        <f>20211.84*0.0956*8/108</f>
        <v>143.12977066666667</v>
      </c>
      <c r="E48" s="95">
        <f>20211.84*0.0956*8/108</f>
        <v>143.12977066666667</v>
      </c>
    </row>
    <row r="49" spans="1:5" x14ac:dyDescent="0.25">
      <c r="A49" s="59"/>
      <c r="B49" s="108" t="s">
        <v>109</v>
      </c>
      <c r="C49" s="18"/>
    </row>
    <row r="50" spans="1:5" ht="47.25" customHeight="1" x14ac:dyDescent="0.25">
      <c r="A50" s="23" t="s">
        <v>40</v>
      </c>
      <c r="B50" s="109" t="s">
        <v>176</v>
      </c>
      <c r="C50" s="18">
        <f>4564.198*0.0956*8/108</f>
        <v>32.321283614814817</v>
      </c>
      <c r="E50" s="95">
        <f>4564.198*0.0956*8/108</f>
        <v>32.321283614814817</v>
      </c>
    </row>
    <row r="51" spans="1:5" x14ac:dyDescent="0.25">
      <c r="A51" s="59"/>
      <c r="B51" s="116" t="s">
        <v>110</v>
      </c>
      <c r="C51" s="18"/>
    </row>
    <row r="52" spans="1:5" ht="49.5" customHeight="1" x14ac:dyDescent="0.25">
      <c r="A52" s="23" t="s">
        <v>26</v>
      </c>
      <c r="B52" s="109" t="s">
        <v>182</v>
      </c>
      <c r="C52" s="18">
        <f>1015*0.0956*8/108</f>
        <v>7.1877037037037042</v>
      </c>
      <c r="E52" s="95">
        <f>1015*0.0956*8/108</f>
        <v>7.1877037037037042</v>
      </c>
    </row>
    <row r="53" spans="1:5" x14ac:dyDescent="0.25">
      <c r="A53" s="59"/>
      <c r="B53" s="108" t="s">
        <v>111</v>
      </c>
      <c r="C53" s="18"/>
    </row>
    <row r="54" spans="1:5" ht="78.75" x14ac:dyDescent="0.25">
      <c r="A54" s="23">
        <v>5220</v>
      </c>
      <c r="B54" s="108" t="s">
        <v>181</v>
      </c>
      <c r="C54" s="18">
        <f>8/108*1331/60*12*0.0956</f>
        <v>1.8850903703703701</v>
      </c>
      <c r="E54" s="95">
        <f>8/108*1331/60*12*0.0956</f>
        <v>1.8850903703703701</v>
      </c>
    </row>
    <row r="55" spans="1:5" x14ac:dyDescent="0.25">
      <c r="A55" s="38"/>
      <c r="B55" s="12" t="s">
        <v>112</v>
      </c>
      <c r="C55" s="112"/>
    </row>
    <row r="56" spans="1:5" x14ac:dyDescent="0.25">
      <c r="A56" s="40"/>
      <c r="B56" s="41" t="s">
        <v>46</v>
      </c>
      <c r="C56" s="71">
        <f>SUM(C32:C55)</f>
        <v>871.35700226518509</v>
      </c>
    </row>
    <row r="57" spans="1:5" x14ac:dyDescent="0.25">
      <c r="A57" s="43"/>
      <c r="B57" s="44" t="s">
        <v>47</v>
      </c>
      <c r="C57" s="72">
        <f>C56+C30</f>
        <v>2636.1937918755748</v>
      </c>
    </row>
    <row r="58" spans="1:5" x14ac:dyDescent="0.25">
      <c r="A58" s="46"/>
      <c r="B58" s="47" t="s">
        <v>48</v>
      </c>
      <c r="C58" s="73">
        <f>C57/C60</f>
        <v>329.52422398444685</v>
      </c>
    </row>
    <row r="59" spans="1:5" x14ac:dyDescent="0.25">
      <c r="B59" s="2"/>
      <c r="C59" s="2"/>
    </row>
    <row r="60" spans="1:5" x14ac:dyDescent="0.25">
      <c r="B60" s="49" t="s">
        <v>49</v>
      </c>
      <c r="C60" s="50">
        <f>B4</f>
        <v>8</v>
      </c>
    </row>
    <row r="61" spans="1:5" ht="32.25" customHeight="1" x14ac:dyDescent="0.25">
      <c r="B61" s="78" t="s">
        <v>138</v>
      </c>
      <c r="C61" s="48">
        <f>C58</f>
        <v>329.52422398444685</v>
      </c>
    </row>
  </sheetData>
  <mergeCells count="1">
    <mergeCell ref="A1:C1"/>
  </mergeCells>
  <pageMargins left="0.7" right="0.7" top="0.75" bottom="0.75" header="0.3" footer="0.3"/>
  <pageSetup paperSize="9" scale="67" orientation="portrait" r:id="rId1"/>
  <colBreaks count="1" manualBreakCount="1">
    <brk id="3" max="1048575" man="1"/>
  </col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4D8EC-8070-4730-8090-A05BBB22BC0E}">
  <dimension ref="A1:F45"/>
  <sheetViews>
    <sheetView view="pageBreakPreview" topLeftCell="A16" zoomScale="60" zoomScaleNormal="100" workbookViewId="0">
      <selection activeCell="C30" sqref="C30"/>
    </sheetView>
  </sheetViews>
  <sheetFormatPr defaultColWidth="9.140625" defaultRowHeight="15.75" x14ac:dyDescent="0.25"/>
  <cols>
    <col min="1" max="1" width="21.5703125" style="1" customWidth="1"/>
    <col min="2" max="2" width="80.7109375" style="1" customWidth="1"/>
    <col min="3" max="3" width="27.85546875" style="1" customWidth="1"/>
    <col min="4" max="5" width="9.140625" style="1"/>
    <col min="6" max="6" width="9.140625" style="95"/>
    <col min="7" max="16384" width="9.140625" style="1"/>
  </cols>
  <sheetData>
    <row r="1" spans="1:6" x14ac:dyDescent="0.25">
      <c r="A1" s="137" t="s">
        <v>2</v>
      </c>
      <c r="B1" s="137"/>
      <c r="C1" s="137"/>
    </row>
    <row r="2" spans="1:6" ht="31.5" x14ac:dyDescent="0.25">
      <c r="A2" s="6" t="s">
        <v>3</v>
      </c>
      <c r="B2" s="6" t="s">
        <v>113</v>
      </c>
    </row>
    <row r="3" spans="1:6" x14ac:dyDescent="0.25">
      <c r="A3" s="5" t="s">
        <v>5</v>
      </c>
      <c r="B3" s="5" t="s">
        <v>6</v>
      </c>
    </row>
    <row r="4" spans="1:6" ht="48.75" customHeight="1" x14ac:dyDescent="0.25">
      <c r="A4" s="25" t="s">
        <v>7</v>
      </c>
      <c r="B4" s="29">
        <v>6</v>
      </c>
    </row>
    <row r="6" spans="1:6" ht="68.25" customHeight="1" x14ac:dyDescent="0.25">
      <c r="A6" s="7" t="s">
        <v>8</v>
      </c>
      <c r="B6" s="82" t="s">
        <v>9</v>
      </c>
      <c r="C6" s="9" t="s">
        <v>10</v>
      </c>
    </row>
    <row r="7" spans="1:6" x14ac:dyDescent="0.25">
      <c r="A7" s="30"/>
      <c r="B7" s="83" t="s">
        <v>0</v>
      </c>
      <c r="C7" s="104"/>
    </row>
    <row r="8" spans="1:6" ht="97.5" customHeight="1" x14ac:dyDescent="0.25">
      <c r="A8" s="22">
        <v>1119</v>
      </c>
      <c r="B8" s="102" t="s">
        <v>274</v>
      </c>
      <c r="C8" s="27">
        <f>(1690+1420)/2/21/8/11*12*12</f>
        <v>121.16883116883116</v>
      </c>
      <c r="D8" s="33"/>
      <c r="F8" s="95">
        <f>(1690+1420)/2/21/8/11*12*12</f>
        <v>121.16883116883116</v>
      </c>
    </row>
    <row r="9" spans="1:6" x14ac:dyDescent="0.25">
      <c r="A9" s="55"/>
      <c r="B9" s="122" t="s">
        <v>82</v>
      </c>
      <c r="C9" s="27"/>
    </row>
    <row r="10" spans="1:6" x14ac:dyDescent="0.25">
      <c r="A10" s="22">
        <v>1210</v>
      </c>
      <c r="B10" s="122" t="s">
        <v>15</v>
      </c>
      <c r="C10" s="27">
        <f>C8*0.2359</f>
        <v>28.58372727272727</v>
      </c>
      <c r="F10" s="95">
        <f>C8*0.2359</f>
        <v>28.58372727272727</v>
      </c>
    </row>
    <row r="11" spans="1:6" x14ac:dyDescent="0.25">
      <c r="A11" s="22"/>
      <c r="B11" s="122" t="s">
        <v>208</v>
      </c>
      <c r="C11" s="27"/>
    </row>
    <row r="12" spans="1:6" ht="31.5" x14ac:dyDescent="0.25">
      <c r="A12" s="22" t="s">
        <v>19</v>
      </c>
      <c r="B12" s="100" t="s">
        <v>150</v>
      </c>
      <c r="C12" s="27">
        <f>209.44*6</f>
        <v>1256.6399999999999</v>
      </c>
      <c r="F12" s="95">
        <f>209.44*6</f>
        <v>1256.6399999999999</v>
      </c>
    </row>
    <row r="13" spans="1:6" x14ac:dyDescent="0.25">
      <c r="A13" s="55"/>
      <c r="B13" s="13" t="s">
        <v>114</v>
      </c>
      <c r="C13" s="123"/>
    </row>
    <row r="14" spans="1:6" x14ac:dyDescent="0.25">
      <c r="A14" s="57"/>
      <c r="B14" s="84"/>
      <c r="C14" s="69">
        <f>SUM(C8:C13)</f>
        <v>1406.3925584415583</v>
      </c>
    </row>
    <row r="15" spans="1:6" x14ac:dyDescent="0.25">
      <c r="A15" s="58"/>
      <c r="B15" s="85" t="s">
        <v>1</v>
      </c>
      <c r="C15" s="124"/>
    </row>
    <row r="16" spans="1:6" ht="78.75" x14ac:dyDescent="0.25">
      <c r="A16" s="23">
        <v>1119</v>
      </c>
      <c r="B16" s="108" t="s">
        <v>215</v>
      </c>
      <c r="C16" s="79">
        <f>2011*12*0.0956*6/108</f>
        <v>128.16773333333333</v>
      </c>
      <c r="D16" s="33"/>
      <c r="F16" s="95">
        <f>2011*12*0.0956*6/108</f>
        <v>128.16773333333333</v>
      </c>
    </row>
    <row r="17" spans="1:6" x14ac:dyDescent="0.25">
      <c r="A17" s="59"/>
      <c r="B17" s="108" t="s">
        <v>311</v>
      </c>
      <c r="C17" s="79"/>
    </row>
    <row r="18" spans="1:6" x14ac:dyDescent="0.25">
      <c r="A18" s="23" t="s">
        <v>31</v>
      </c>
      <c r="B18" s="108" t="s">
        <v>15</v>
      </c>
      <c r="C18" s="79">
        <f>C16*0.2359</f>
        <v>30.234768293333332</v>
      </c>
      <c r="D18" s="33"/>
    </row>
    <row r="19" spans="1:6" x14ac:dyDescent="0.25">
      <c r="A19" s="23"/>
      <c r="B19" s="108" t="s">
        <v>209</v>
      </c>
      <c r="C19" s="79"/>
      <c r="D19" s="33"/>
    </row>
    <row r="20" spans="1:6" ht="63.75" customHeight="1" x14ac:dyDescent="0.25">
      <c r="A20" s="23" t="s">
        <v>16</v>
      </c>
      <c r="B20" s="109" t="s">
        <v>188</v>
      </c>
      <c r="C20" s="79">
        <f>1097.88*0.0956*6/108</f>
        <v>5.8309626666666681</v>
      </c>
      <c r="D20" s="33"/>
      <c r="F20" s="95">
        <f>1097.88*0.0956*6/108</f>
        <v>5.8309626666666681</v>
      </c>
    </row>
    <row r="21" spans="1:6" x14ac:dyDescent="0.25">
      <c r="A21" s="59"/>
      <c r="B21" s="108" t="s">
        <v>312</v>
      </c>
      <c r="C21" s="79"/>
    </row>
    <row r="22" spans="1:6" ht="78.75" x14ac:dyDescent="0.25">
      <c r="A22" s="23">
        <v>1119</v>
      </c>
      <c r="B22" s="108" t="s">
        <v>203</v>
      </c>
      <c r="C22" s="79">
        <f>3015*12*0.0956*6/108</f>
        <v>192.15599999999998</v>
      </c>
      <c r="D22" s="33"/>
      <c r="F22" s="95">
        <f>3015*12*0.0956*6/108</f>
        <v>192.15599999999998</v>
      </c>
    </row>
    <row r="23" spans="1:6" x14ac:dyDescent="0.25">
      <c r="A23" s="23"/>
      <c r="B23" s="108" t="s">
        <v>212</v>
      </c>
      <c r="C23" s="79"/>
      <c r="D23" s="33"/>
    </row>
    <row r="24" spans="1:6" ht="15.75" customHeight="1" x14ac:dyDescent="0.25">
      <c r="A24" s="23" t="s">
        <v>31</v>
      </c>
      <c r="B24" s="108" t="s">
        <v>15</v>
      </c>
      <c r="C24" s="79">
        <f>192.16*0.2359</f>
        <v>45.330543999999996</v>
      </c>
      <c r="D24" s="33"/>
      <c r="F24" s="95">
        <f>192.16*0.2359</f>
        <v>45.330543999999996</v>
      </c>
    </row>
    <row r="25" spans="1:6" ht="15.75" customHeight="1" x14ac:dyDescent="0.25">
      <c r="A25" s="23"/>
      <c r="B25" s="108" t="s">
        <v>211</v>
      </c>
      <c r="C25" s="79"/>
      <c r="D25" s="33"/>
    </row>
    <row r="26" spans="1:6" ht="48" customHeight="1" x14ac:dyDescent="0.25">
      <c r="A26" s="23" t="s">
        <v>34</v>
      </c>
      <c r="B26" s="109" t="s">
        <v>173</v>
      </c>
      <c r="C26" s="79">
        <f>267.89*0.0956*6/108</f>
        <v>1.4227935555555555</v>
      </c>
      <c r="D26" s="33"/>
      <c r="F26" s="95">
        <f>267.89*0.0956*6/108</f>
        <v>1.4227935555555555</v>
      </c>
    </row>
    <row r="27" spans="1:6" x14ac:dyDescent="0.25">
      <c r="A27" s="59"/>
      <c r="B27" s="108" t="s">
        <v>313</v>
      </c>
      <c r="C27" s="79"/>
    </row>
    <row r="28" spans="1:6" ht="47.25" x14ac:dyDescent="0.25">
      <c r="A28" s="23" t="s">
        <v>36</v>
      </c>
      <c r="B28" s="108" t="s">
        <v>191</v>
      </c>
      <c r="C28" s="79">
        <f>1200*0.0956*6/108</f>
        <v>6.3733333333333331</v>
      </c>
      <c r="D28" s="33"/>
      <c r="F28" s="95">
        <f>1200*0.0956*6/108</f>
        <v>6.3733333333333331</v>
      </c>
    </row>
    <row r="29" spans="1:6" x14ac:dyDescent="0.25">
      <c r="A29" s="59"/>
      <c r="B29" s="108" t="s">
        <v>314</v>
      </c>
      <c r="C29" s="79"/>
    </row>
    <row r="30" spans="1:6" ht="63" x14ac:dyDescent="0.25">
      <c r="A30" s="23">
        <v>2261</v>
      </c>
      <c r="B30" s="108" t="s">
        <v>178</v>
      </c>
      <c r="C30" s="79">
        <f>19884.6*0.0956*6/108</f>
        <v>105.60932000000001</v>
      </c>
      <c r="D30" s="33"/>
      <c r="F30" s="95">
        <f>19884.6*0.0956*6/108</f>
        <v>105.60932000000001</v>
      </c>
    </row>
    <row r="31" spans="1:6" x14ac:dyDescent="0.25">
      <c r="A31" s="59"/>
      <c r="B31" s="108" t="s">
        <v>315</v>
      </c>
      <c r="C31" s="79"/>
    </row>
    <row r="32" spans="1:6" ht="48.75" customHeight="1" x14ac:dyDescent="0.25">
      <c r="A32" s="23">
        <v>2262</v>
      </c>
      <c r="B32" s="109" t="s">
        <v>177</v>
      </c>
      <c r="C32" s="79">
        <f>20211.84*0.0956*6/108</f>
        <v>107.347328</v>
      </c>
      <c r="D32" s="33"/>
      <c r="F32" s="95">
        <f>20211.84*0.0956*6/108</f>
        <v>107.347328</v>
      </c>
    </row>
    <row r="33" spans="1:6" x14ac:dyDescent="0.25">
      <c r="A33" s="59"/>
      <c r="B33" s="108" t="s">
        <v>316</v>
      </c>
      <c r="C33" s="79"/>
    </row>
    <row r="34" spans="1:6" ht="47.25" customHeight="1" x14ac:dyDescent="0.25">
      <c r="A34" s="23" t="s">
        <v>40</v>
      </c>
      <c r="B34" s="109" t="s">
        <v>213</v>
      </c>
      <c r="C34" s="79">
        <f>4564.197*0.0956*6/108</f>
        <v>24.240957400000003</v>
      </c>
      <c r="D34" s="33"/>
      <c r="F34" s="95">
        <f>4564.197*0.0956*6/108</f>
        <v>24.240957400000003</v>
      </c>
    </row>
    <row r="35" spans="1:6" x14ac:dyDescent="0.25">
      <c r="A35" s="59"/>
      <c r="B35" s="110" t="s">
        <v>317</v>
      </c>
      <c r="C35" s="79"/>
    </row>
    <row r="36" spans="1:6" ht="51" customHeight="1" x14ac:dyDescent="0.25">
      <c r="A36" s="23" t="s">
        <v>26</v>
      </c>
      <c r="B36" s="109" t="s">
        <v>182</v>
      </c>
      <c r="C36" s="79">
        <f>1015*0.0956*6/108</f>
        <v>5.3907777777777781</v>
      </c>
      <c r="D36" s="33"/>
      <c r="F36" s="95">
        <f>1015*0.0956*6/108</f>
        <v>5.3907777777777781</v>
      </c>
    </row>
    <row r="37" spans="1:6" x14ac:dyDescent="0.25">
      <c r="A37" s="59"/>
      <c r="B37" s="108" t="s">
        <v>318</v>
      </c>
      <c r="C37" s="79"/>
    </row>
    <row r="38" spans="1:6" ht="78.75" x14ac:dyDescent="0.25">
      <c r="A38" s="23">
        <v>5220</v>
      </c>
      <c r="B38" s="108" t="s">
        <v>181</v>
      </c>
      <c r="C38" s="79">
        <f>6/108*1331/60*12*0.0956</f>
        <v>1.4138177777777778</v>
      </c>
      <c r="D38" s="33"/>
      <c r="F38" s="95">
        <f>6/108*1331/60*12*0.0956</f>
        <v>1.4138177777777778</v>
      </c>
    </row>
    <row r="39" spans="1:6" x14ac:dyDescent="0.25">
      <c r="A39" s="38"/>
      <c r="B39" s="12" t="s">
        <v>319</v>
      </c>
      <c r="C39" s="125"/>
    </row>
    <row r="40" spans="1:6" x14ac:dyDescent="0.25">
      <c r="A40" s="40"/>
      <c r="B40" s="86" t="s">
        <v>46</v>
      </c>
      <c r="C40" s="71">
        <f>SUM(C16:C39)</f>
        <v>653.51833613777774</v>
      </c>
    </row>
    <row r="41" spans="1:6" x14ac:dyDescent="0.25">
      <c r="A41" s="43"/>
      <c r="B41" s="87" t="s">
        <v>47</v>
      </c>
      <c r="C41" s="72">
        <f>C40+C14</f>
        <v>2059.9108945793359</v>
      </c>
    </row>
    <row r="42" spans="1:6" x14ac:dyDescent="0.25">
      <c r="A42" s="46"/>
      <c r="B42" s="88" t="s">
        <v>48</v>
      </c>
      <c r="C42" s="73">
        <f>C41/C44</f>
        <v>343.31848242988934</v>
      </c>
    </row>
    <row r="43" spans="1:6" x14ac:dyDescent="0.25">
      <c r="B43" s="89"/>
      <c r="C43" s="2"/>
    </row>
    <row r="44" spans="1:6" x14ac:dyDescent="0.25">
      <c r="B44" s="90" t="s">
        <v>49</v>
      </c>
      <c r="C44" s="50">
        <f>B4</f>
        <v>6</v>
      </c>
    </row>
    <row r="45" spans="1:6" ht="34.5" customHeight="1" x14ac:dyDescent="0.25">
      <c r="B45" s="91" t="s">
        <v>320</v>
      </c>
      <c r="C45" s="48">
        <f>C42</f>
        <v>343.31848242988934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6C2B4-1766-4FB4-B718-5E104BC7EFC3}">
  <dimension ref="A1:F45"/>
  <sheetViews>
    <sheetView view="pageBreakPreview" topLeftCell="A18" zoomScale="60" zoomScaleNormal="100" workbookViewId="0">
      <selection activeCell="C20" sqref="C20"/>
    </sheetView>
  </sheetViews>
  <sheetFormatPr defaultColWidth="9.140625" defaultRowHeight="15.75" x14ac:dyDescent="0.25"/>
  <cols>
    <col min="1" max="1" width="21.5703125" style="1" customWidth="1"/>
    <col min="2" max="2" width="80.7109375" style="1" customWidth="1"/>
    <col min="3" max="3" width="27.85546875" style="1" customWidth="1"/>
    <col min="4" max="5" width="9.140625" style="1"/>
    <col min="6" max="6" width="9.140625" style="95"/>
    <col min="7" max="16384" width="9.140625" style="1"/>
  </cols>
  <sheetData>
    <row r="1" spans="1:6" x14ac:dyDescent="0.25">
      <c r="A1" s="137" t="s">
        <v>2</v>
      </c>
      <c r="B1" s="137"/>
      <c r="C1" s="137"/>
    </row>
    <row r="2" spans="1:6" ht="31.5" x14ac:dyDescent="0.25">
      <c r="A2" s="6" t="s">
        <v>3</v>
      </c>
      <c r="B2" s="6" t="s">
        <v>115</v>
      </c>
    </row>
    <row r="3" spans="1:6" x14ac:dyDescent="0.25">
      <c r="A3" s="5" t="s">
        <v>5</v>
      </c>
      <c r="B3" s="5" t="s">
        <v>6</v>
      </c>
    </row>
    <row r="4" spans="1:6" ht="48.75" customHeight="1" x14ac:dyDescent="0.25">
      <c r="A4" s="25" t="s">
        <v>7</v>
      </c>
      <c r="B4" s="29">
        <v>12</v>
      </c>
    </row>
    <row r="6" spans="1:6" ht="68.25" customHeight="1" x14ac:dyDescent="0.25">
      <c r="A6" s="7" t="s">
        <v>8</v>
      </c>
      <c r="B6" s="8" t="s">
        <v>9</v>
      </c>
      <c r="C6" s="9" t="s">
        <v>10</v>
      </c>
    </row>
    <row r="7" spans="1:6" x14ac:dyDescent="0.25">
      <c r="A7" s="30"/>
      <c r="B7" s="31" t="s">
        <v>0</v>
      </c>
      <c r="C7" s="104"/>
    </row>
    <row r="8" spans="1:6" ht="93" customHeight="1" x14ac:dyDescent="0.25">
      <c r="A8" s="22">
        <v>1119</v>
      </c>
      <c r="B8" s="100" t="s">
        <v>273</v>
      </c>
      <c r="C8" s="14">
        <f>(1690+1420)/2/21/8/11*12*24</f>
        <v>242.33766233766232</v>
      </c>
      <c r="D8" s="33"/>
      <c r="F8" s="95">
        <f>(1690+1420)/2/21/8/11*12*24</f>
        <v>242.33766233766232</v>
      </c>
    </row>
    <row r="9" spans="1:6" x14ac:dyDescent="0.25">
      <c r="A9" s="55"/>
      <c r="B9" s="122" t="s">
        <v>321</v>
      </c>
      <c r="C9" s="14"/>
    </row>
    <row r="10" spans="1:6" x14ac:dyDescent="0.25">
      <c r="A10" s="22">
        <v>1210</v>
      </c>
      <c r="B10" s="122" t="s">
        <v>15</v>
      </c>
      <c r="C10" s="14">
        <f>C8*0.2359</f>
        <v>57.16745454545454</v>
      </c>
      <c r="F10" s="95">
        <f>242.34*0.2359</f>
        <v>57.168005999999998</v>
      </c>
    </row>
    <row r="11" spans="1:6" x14ac:dyDescent="0.25">
      <c r="A11" s="22"/>
      <c r="B11" s="122" t="s">
        <v>214</v>
      </c>
      <c r="C11" s="14"/>
    </row>
    <row r="12" spans="1:6" ht="31.5" x14ac:dyDescent="0.25">
      <c r="A12" s="22" t="s">
        <v>19</v>
      </c>
      <c r="B12" s="100" t="s">
        <v>150</v>
      </c>
      <c r="C12" s="106">
        <f>65.45*12</f>
        <v>785.40000000000009</v>
      </c>
      <c r="F12" s="95">
        <f>65.45*12</f>
        <v>785.40000000000009</v>
      </c>
    </row>
    <row r="13" spans="1:6" x14ac:dyDescent="0.25">
      <c r="A13" s="55"/>
      <c r="B13" s="100" t="s">
        <v>322</v>
      </c>
      <c r="C13" s="106"/>
    </row>
    <row r="14" spans="1:6" x14ac:dyDescent="0.25">
      <c r="A14" s="57"/>
      <c r="B14" s="84"/>
      <c r="C14" s="120">
        <f>SUM(C8:C13)</f>
        <v>1084.905116883117</v>
      </c>
    </row>
    <row r="15" spans="1:6" x14ac:dyDescent="0.25">
      <c r="A15" s="58"/>
      <c r="B15" s="85" t="s">
        <v>1</v>
      </c>
      <c r="C15" s="111"/>
    </row>
    <row r="16" spans="1:6" ht="78.75" x14ac:dyDescent="0.25">
      <c r="A16" s="23">
        <v>1119</v>
      </c>
      <c r="B16" s="108" t="s">
        <v>217</v>
      </c>
      <c r="C16" s="79">
        <f>2011*12*0.0956*12/108</f>
        <v>256.33546666666666</v>
      </c>
      <c r="D16" s="33"/>
      <c r="F16" s="95">
        <f>2011*12*0.0956*12/108</f>
        <v>256.33546666666666</v>
      </c>
    </row>
    <row r="17" spans="1:6" x14ac:dyDescent="0.25">
      <c r="A17" s="59"/>
      <c r="B17" s="108" t="s">
        <v>323</v>
      </c>
      <c r="C17" s="79"/>
    </row>
    <row r="18" spans="1:6" x14ac:dyDescent="0.25">
      <c r="A18" s="23" t="s">
        <v>31</v>
      </c>
      <c r="B18" s="108" t="s">
        <v>15</v>
      </c>
      <c r="C18" s="79">
        <f>256.34*0.2359</f>
        <v>60.470605999999997</v>
      </c>
      <c r="D18" s="33"/>
      <c r="F18" s="95">
        <f>256.34*0.2359</f>
        <v>60.470605999999997</v>
      </c>
    </row>
    <row r="19" spans="1:6" x14ac:dyDescent="0.25">
      <c r="A19" s="23"/>
      <c r="B19" s="108" t="s">
        <v>218</v>
      </c>
      <c r="C19" s="79"/>
      <c r="D19" s="33"/>
    </row>
    <row r="20" spans="1:6" ht="65.25" customHeight="1" x14ac:dyDescent="0.25">
      <c r="A20" s="23" t="s">
        <v>16</v>
      </c>
      <c r="B20" s="109" t="s">
        <v>219</v>
      </c>
      <c r="C20" s="79">
        <f>1097.88*0.0956*12/108</f>
        <v>11.661925333333336</v>
      </c>
      <c r="D20" s="33"/>
      <c r="F20" s="95">
        <f>1097.88*0.0956*12/108</f>
        <v>11.661925333333336</v>
      </c>
    </row>
    <row r="21" spans="1:6" x14ac:dyDescent="0.25">
      <c r="A21" s="59"/>
      <c r="B21" s="108" t="s">
        <v>116</v>
      </c>
      <c r="C21" s="79"/>
      <c r="D21" s="33"/>
    </row>
    <row r="22" spans="1:6" ht="78.75" x14ac:dyDescent="0.25">
      <c r="A22" s="23">
        <v>1119</v>
      </c>
      <c r="B22" s="108" t="s">
        <v>203</v>
      </c>
      <c r="C22" s="79">
        <f>3015*12*0.0956*12/108</f>
        <v>384.31199999999995</v>
      </c>
      <c r="D22" s="33"/>
      <c r="F22" s="95">
        <f>3015*12*0.0956*12/108</f>
        <v>384.31199999999995</v>
      </c>
    </row>
    <row r="23" spans="1:6" x14ac:dyDescent="0.25">
      <c r="A23" s="23"/>
      <c r="B23" s="108" t="s">
        <v>220</v>
      </c>
      <c r="C23" s="79"/>
      <c r="D23" s="33"/>
    </row>
    <row r="24" spans="1:6" ht="15" customHeight="1" x14ac:dyDescent="0.25">
      <c r="A24" s="23" t="s">
        <v>31</v>
      </c>
      <c r="B24" s="109" t="s">
        <v>15</v>
      </c>
      <c r="C24" s="79">
        <f>384.31*0.2359</f>
        <v>90.658728999999994</v>
      </c>
      <c r="D24" s="33"/>
      <c r="F24" s="95">
        <f>384.31*0.2359</f>
        <v>90.658728999999994</v>
      </c>
    </row>
    <row r="25" spans="1:6" ht="15" customHeight="1" x14ac:dyDescent="0.25">
      <c r="A25" s="23"/>
      <c r="B25" s="109" t="s">
        <v>221</v>
      </c>
      <c r="C25" s="79"/>
      <c r="D25" s="33"/>
    </row>
    <row r="26" spans="1:6" ht="47.25" customHeight="1" x14ac:dyDescent="0.25">
      <c r="A26" s="23" t="s">
        <v>34</v>
      </c>
      <c r="B26" s="109" t="s">
        <v>173</v>
      </c>
      <c r="C26" s="79">
        <f>267.89*0.0956*12/108</f>
        <v>2.8455871111111111</v>
      </c>
      <c r="D26" s="33"/>
      <c r="F26" s="95">
        <f>267.89*0.0956*12/108</f>
        <v>2.8455871111111111</v>
      </c>
    </row>
    <row r="27" spans="1:6" x14ac:dyDescent="0.25">
      <c r="A27" s="59"/>
      <c r="B27" s="108" t="s">
        <v>117</v>
      </c>
      <c r="C27" s="79"/>
      <c r="D27" s="33"/>
    </row>
    <row r="28" spans="1:6" ht="47.25" x14ac:dyDescent="0.25">
      <c r="A28" s="23" t="s">
        <v>36</v>
      </c>
      <c r="B28" s="108" t="s">
        <v>191</v>
      </c>
      <c r="C28" s="79">
        <f>1200*0.0956*12/108</f>
        <v>12.746666666666666</v>
      </c>
      <c r="D28" s="33"/>
      <c r="F28" s="95">
        <f>1200*0.0956*12/108</f>
        <v>12.746666666666666</v>
      </c>
    </row>
    <row r="29" spans="1:6" x14ac:dyDescent="0.25">
      <c r="A29" s="59"/>
      <c r="B29" s="108" t="s">
        <v>118</v>
      </c>
      <c r="C29" s="79"/>
    </row>
    <row r="30" spans="1:6" ht="63" x14ac:dyDescent="0.25">
      <c r="A30" s="23">
        <v>2261</v>
      </c>
      <c r="B30" s="108" t="s">
        <v>178</v>
      </c>
      <c r="C30" s="79">
        <f>19884.6*0.0956*12/108</f>
        <v>211.21864000000002</v>
      </c>
      <c r="D30" s="33"/>
      <c r="F30" s="95">
        <f>19884.6*0.0956*12/108</f>
        <v>211.21864000000002</v>
      </c>
    </row>
    <row r="31" spans="1:6" x14ac:dyDescent="0.25">
      <c r="A31" s="59"/>
      <c r="B31" s="108" t="s">
        <v>119</v>
      </c>
      <c r="C31" s="79"/>
      <c r="D31" s="33"/>
    </row>
    <row r="32" spans="1:6" ht="48.75" customHeight="1" x14ac:dyDescent="0.25">
      <c r="A32" s="23">
        <v>2262</v>
      </c>
      <c r="B32" s="109" t="s">
        <v>177</v>
      </c>
      <c r="C32" s="79">
        <f>20211.84*0.0956*12/108</f>
        <v>214.69465600000001</v>
      </c>
      <c r="D32" s="33"/>
      <c r="F32" s="95">
        <f>20211.84*0.0956*12/108</f>
        <v>214.69465600000001</v>
      </c>
    </row>
    <row r="33" spans="1:6" x14ac:dyDescent="0.25">
      <c r="A33" s="59"/>
      <c r="B33" s="108" t="s">
        <v>120</v>
      </c>
      <c r="C33" s="79"/>
      <c r="D33" s="33"/>
    </row>
    <row r="34" spans="1:6" ht="48" customHeight="1" x14ac:dyDescent="0.25">
      <c r="A34" s="23" t="s">
        <v>40</v>
      </c>
      <c r="B34" s="109" t="s">
        <v>176</v>
      </c>
      <c r="C34" s="79">
        <f>4564.197*0.0956*12/108</f>
        <v>48.481914800000006</v>
      </c>
      <c r="D34" s="33"/>
      <c r="F34" s="95">
        <f>4564.197*0.0956*12/108</f>
        <v>48.481914800000006</v>
      </c>
    </row>
    <row r="35" spans="1:6" x14ac:dyDescent="0.25">
      <c r="A35" s="59"/>
      <c r="B35" s="116" t="s">
        <v>121</v>
      </c>
      <c r="C35" s="79"/>
      <c r="D35" s="33"/>
    </row>
    <row r="36" spans="1:6" ht="48" customHeight="1" x14ac:dyDescent="0.25">
      <c r="A36" s="23" t="s">
        <v>26</v>
      </c>
      <c r="B36" s="109" t="s">
        <v>182</v>
      </c>
      <c r="C36" s="79">
        <f>1015*0.0956*12/108</f>
        <v>10.781555555555556</v>
      </c>
      <c r="D36" s="33"/>
      <c r="F36" s="95">
        <f>1015*0.0956*12/108</f>
        <v>10.781555555555556</v>
      </c>
    </row>
    <row r="37" spans="1:6" x14ac:dyDescent="0.25">
      <c r="A37" s="59"/>
      <c r="B37" s="108" t="s">
        <v>122</v>
      </c>
      <c r="C37" s="79"/>
      <c r="D37" s="33"/>
    </row>
    <row r="38" spans="1:6" ht="78.75" x14ac:dyDescent="0.25">
      <c r="A38" s="23">
        <v>5220</v>
      </c>
      <c r="B38" s="108" t="s">
        <v>181</v>
      </c>
      <c r="C38" s="79">
        <f>12/108*1331/60*12*0.0956</f>
        <v>2.8276355555555557</v>
      </c>
      <c r="D38" s="33"/>
      <c r="F38" s="95">
        <f>12/108*1331/60*12*0.0956</f>
        <v>2.8276355555555557</v>
      </c>
    </row>
    <row r="39" spans="1:6" x14ac:dyDescent="0.25">
      <c r="A39" s="38"/>
      <c r="B39" s="12" t="s">
        <v>123</v>
      </c>
      <c r="C39" s="112"/>
    </row>
    <row r="40" spans="1:6" x14ac:dyDescent="0.25">
      <c r="A40" s="40"/>
      <c r="B40" s="41" t="s">
        <v>46</v>
      </c>
      <c r="C40" s="42">
        <f>SUM(C16:C39)</f>
        <v>1307.0353826888888</v>
      </c>
    </row>
    <row r="41" spans="1:6" x14ac:dyDescent="0.25">
      <c r="A41" s="43"/>
      <c r="B41" s="44" t="s">
        <v>47</v>
      </c>
      <c r="C41" s="45">
        <f>C40+C14</f>
        <v>2391.940499572006</v>
      </c>
    </row>
    <row r="42" spans="1:6" x14ac:dyDescent="0.25">
      <c r="A42" s="46"/>
      <c r="B42" s="47" t="s">
        <v>48</v>
      </c>
      <c r="C42" s="48">
        <f>C41/C44</f>
        <v>199.32837496433385</v>
      </c>
    </row>
    <row r="43" spans="1:6" x14ac:dyDescent="0.25">
      <c r="B43" s="2"/>
      <c r="C43" s="2"/>
    </row>
    <row r="44" spans="1:6" x14ac:dyDescent="0.25">
      <c r="B44" s="49" t="s">
        <v>49</v>
      </c>
      <c r="C44" s="50">
        <f>B4</f>
        <v>12</v>
      </c>
    </row>
    <row r="45" spans="1:6" ht="33.75" customHeight="1" x14ac:dyDescent="0.25">
      <c r="B45" s="78" t="s">
        <v>138</v>
      </c>
      <c r="C45" s="48">
        <f>C42</f>
        <v>199.32837496433385</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41267-B222-4B32-875D-839676BCA092}">
  <dimension ref="A1:F45"/>
  <sheetViews>
    <sheetView view="pageBreakPreview" topLeftCell="A20" zoomScale="60" zoomScaleNormal="100" workbookViewId="0">
      <selection activeCell="E45" sqref="E45"/>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1" customWidth="1"/>
    <col min="6" max="6" width="14" style="95" bestFit="1" customWidth="1"/>
    <col min="7" max="16384" width="9.140625" style="1"/>
  </cols>
  <sheetData>
    <row r="1" spans="1:6" x14ac:dyDescent="0.25">
      <c r="A1" s="137" t="s">
        <v>2</v>
      </c>
      <c r="B1" s="137"/>
      <c r="C1" s="137"/>
    </row>
    <row r="2" spans="1:6" ht="31.5" x14ac:dyDescent="0.25">
      <c r="A2" s="6" t="s">
        <v>3</v>
      </c>
      <c r="B2" s="6" t="s">
        <v>124</v>
      </c>
    </row>
    <row r="3" spans="1:6" x14ac:dyDescent="0.25">
      <c r="A3" s="5" t="s">
        <v>5</v>
      </c>
      <c r="B3" s="5" t="s">
        <v>6</v>
      </c>
    </row>
    <row r="4" spans="1:6" ht="48.75" customHeight="1" x14ac:dyDescent="0.25">
      <c r="A4" s="25" t="s">
        <v>7</v>
      </c>
      <c r="B4" s="29">
        <v>1</v>
      </c>
    </row>
    <row r="6" spans="1:6" ht="68.25" customHeight="1" x14ac:dyDescent="0.25">
      <c r="A6" s="7" t="s">
        <v>8</v>
      </c>
      <c r="B6" s="8" t="s">
        <v>9</v>
      </c>
      <c r="C6" s="9" t="s">
        <v>10</v>
      </c>
    </row>
    <row r="7" spans="1:6" x14ac:dyDescent="0.25">
      <c r="A7" s="30"/>
      <c r="B7" s="31" t="s">
        <v>0</v>
      </c>
      <c r="C7" s="104"/>
    </row>
    <row r="8" spans="1:6" s="33" customFormat="1" ht="96" customHeight="1" x14ac:dyDescent="0.25">
      <c r="A8" s="55">
        <v>1119</v>
      </c>
      <c r="B8" s="102" t="s">
        <v>298</v>
      </c>
      <c r="C8" s="14">
        <f>(1690+1420)/21/8/11*12*1</f>
        <v>20.194805194805195</v>
      </c>
      <c r="F8" s="95">
        <f>(1690+1420)/21/8/11*12*1</f>
        <v>20.194805194805195</v>
      </c>
    </row>
    <row r="9" spans="1:6" x14ac:dyDescent="0.25">
      <c r="A9" s="55"/>
      <c r="B9" s="122" t="s">
        <v>324</v>
      </c>
      <c r="C9" s="106"/>
    </row>
    <row r="10" spans="1:6" x14ac:dyDescent="0.25">
      <c r="A10" s="22">
        <v>1210</v>
      </c>
      <c r="B10" s="122" t="s">
        <v>15</v>
      </c>
      <c r="C10" s="14">
        <f>C8*0.2359</f>
        <v>4.7639545454545456</v>
      </c>
      <c r="F10" s="95">
        <f>20.2*0.2359</f>
        <v>4.76518</v>
      </c>
    </row>
    <row r="11" spans="1:6" x14ac:dyDescent="0.25">
      <c r="A11" s="22"/>
      <c r="B11" s="122" t="s">
        <v>223</v>
      </c>
      <c r="C11" s="106"/>
    </row>
    <row r="12" spans="1:6" ht="31.5" x14ac:dyDescent="0.25">
      <c r="A12" s="22" t="s">
        <v>19</v>
      </c>
      <c r="B12" s="100" t="s">
        <v>224</v>
      </c>
      <c r="C12" s="106">
        <f>65.45*1</f>
        <v>65.45</v>
      </c>
      <c r="F12" s="95">
        <f>65.45*1</f>
        <v>65.45</v>
      </c>
    </row>
    <row r="13" spans="1:6" x14ac:dyDescent="0.25">
      <c r="A13" s="55"/>
      <c r="B13" s="13" t="s">
        <v>325</v>
      </c>
      <c r="C13" s="126"/>
    </row>
    <row r="14" spans="1:6" x14ac:dyDescent="0.25">
      <c r="A14" s="57"/>
      <c r="B14" s="84"/>
      <c r="C14" s="35">
        <f>SUM(C8:C13)</f>
        <v>90.40875974025974</v>
      </c>
    </row>
    <row r="15" spans="1:6" x14ac:dyDescent="0.25">
      <c r="A15" s="58"/>
      <c r="B15" s="85" t="s">
        <v>1</v>
      </c>
      <c r="C15" s="111"/>
    </row>
    <row r="16" spans="1:6" ht="78.75" x14ac:dyDescent="0.25">
      <c r="A16" s="23">
        <v>1119</v>
      </c>
      <c r="B16" s="108" t="s">
        <v>216</v>
      </c>
      <c r="C16" s="79">
        <f>2011*12*0.0956*1/108</f>
        <v>21.36128888888889</v>
      </c>
      <c r="D16" s="33"/>
      <c r="F16" s="95">
        <f>2011*12*0.0956*1/108</f>
        <v>21.36128888888889</v>
      </c>
    </row>
    <row r="17" spans="1:6" x14ac:dyDescent="0.25">
      <c r="A17" s="59"/>
      <c r="B17" s="108" t="s">
        <v>72</v>
      </c>
      <c r="C17" s="79"/>
      <c r="D17" s="33"/>
    </row>
    <row r="18" spans="1:6" x14ac:dyDescent="0.25">
      <c r="A18" s="23" t="s">
        <v>31</v>
      </c>
      <c r="B18" s="108" t="s">
        <v>15</v>
      </c>
      <c r="C18" s="79">
        <f>21.36*0.2359</f>
        <v>5.038824</v>
      </c>
      <c r="D18" s="33"/>
      <c r="F18" s="95">
        <f>21.36*0.2359</f>
        <v>5.038824</v>
      </c>
    </row>
    <row r="19" spans="1:6" x14ac:dyDescent="0.25">
      <c r="A19" s="23"/>
      <c r="B19" s="108" t="s">
        <v>168</v>
      </c>
      <c r="C19" s="79"/>
      <c r="D19" s="33"/>
    </row>
    <row r="20" spans="1:6" ht="65.25" customHeight="1" x14ac:dyDescent="0.25">
      <c r="A20" s="23" t="s">
        <v>16</v>
      </c>
      <c r="B20" s="109" t="s">
        <v>188</v>
      </c>
      <c r="C20" s="79">
        <f>1097.88*0.0956*1/108</f>
        <v>0.97182711111111131</v>
      </c>
      <c r="D20" s="33"/>
      <c r="F20" s="95">
        <f>1097.88*0.0956*1/108</f>
        <v>0.97182711111111131</v>
      </c>
    </row>
    <row r="21" spans="1:6" x14ac:dyDescent="0.25">
      <c r="A21" s="59"/>
      <c r="B21" s="108" t="s">
        <v>73</v>
      </c>
      <c r="C21" s="79"/>
    </row>
    <row r="22" spans="1:6" ht="78.75" x14ac:dyDescent="0.25">
      <c r="A22" s="23">
        <v>1119</v>
      </c>
      <c r="B22" s="108" t="s">
        <v>226</v>
      </c>
      <c r="C22" s="79">
        <f>3015*12*0.0956*1/108</f>
        <v>32.026000000000003</v>
      </c>
      <c r="D22" s="33"/>
      <c r="F22" s="95">
        <f>3015*12*0.0956*1/108</f>
        <v>32.026000000000003</v>
      </c>
    </row>
    <row r="23" spans="1:6" x14ac:dyDescent="0.25">
      <c r="A23" s="23"/>
      <c r="B23" s="108" t="s">
        <v>170</v>
      </c>
      <c r="C23" s="79"/>
      <c r="D23" s="33"/>
    </row>
    <row r="24" spans="1:6" ht="15" customHeight="1" x14ac:dyDescent="0.25">
      <c r="A24" s="23" t="s">
        <v>31</v>
      </c>
      <c r="B24" s="108" t="s">
        <v>15</v>
      </c>
      <c r="C24" s="79">
        <f>32.03*0.2359</f>
        <v>7.5558770000000006</v>
      </c>
      <c r="D24" s="33"/>
      <c r="F24" s="95">
        <f>32.03*0.2359</f>
        <v>7.5558770000000006</v>
      </c>
    </row>
    <row r="25" spans="1:6" ht="16.5" customHeight="1" x14ac:dyDescent="0.25">
      <c r="A25" s="23"/>
      <c r="B25" s="108" t="s">
        <v>225</v>
      </c>
      <c r="C25" s="79"/>
      <c r="D25" s="33"/>
    </row>
    <row r="26" spans="1:6" ht="51" customHeight="1" x14ac:dyDescent="0.25">
      <c r="A26" s="23" t="s">
        <v>34</v>
      </c>
      <c r="B26" s="109" t="s">
        <v>173</v>
      </c>
      <c r="C26" s="79">
        <f>267.89*0.0956*1/108</f>
        <v>0.23713225925925926</v>
      </c>
      <c r="D26" s="33"/>
      <c r="F26" s="95">
        <f>267.89*0.0956*1/108</f>
        <v>0.23713225925925926</v>
      </c>
    </row>
    <row r="27" spans="1:6" x14ac:dyDescent="0.25">
      <c r="A27" s="59"/>
      <c r="B27" s="108" t="s">
        <v>74</v>
      </c>
      <c r="C27" s="79"/>
      <c r="D27" s="33"/>
    </row>
    <row r="28" spans="1:6" ht="47.25" x14ac:dyDescent="0.25">
      <c r="A28" s="23" t="s">
        <v>36</v>
      </c>
      <c r="B28" s="108" t="s">
        <v>191</v>
      </c>
      <c r="C28" s="79">
        <f>1200*0.0956*1/108</f>
        <v>1.0622222222222222</v>
      </c>
      <c r="D28" s="33"/>
      <c r="F28" s="95">
        <f>1200*0.0956*1/108</f>
        <v>1.0622222222222222</v>
      </c>
    </row>
    <row r="29" spans="1:6" x14ac:dyDescent="0.25">
      <c r="A29" s="59"/>
      <c r="B29" s="108" t="s">
        <v>75</v>
      </c>
      <c r="C29" s="79"/>
      <c r="D29" s="33"/>
    </row>
    <row r="30" spans="1:6" ht="63" x14ac:dyDescent="0.25">
      <c r="A30" s="23">
        <v>2261</v>
      </c>
      <c r="B30" s="108" t="s">
        <v>178</v>
      </c>
      <c r="C30" s="79">
        <f>19884.6*0.0956*1/108</f>
        <v>17.601553333333332</v>
      </c>
      <c r="D30" s="33"/>
      <c r="F30" s="95">
        <f>19884.6*0.0956*1/108</f>
        <v>17.601553333333332</v>
      </c>
    </row>
    <row r="31" spans="1:6" x14ac:dyDescent="0.25">
      <c r="A31" s="59"/>
      <c r="B31" s="108" t="s">
        <v>76</v>
      </c>
      <c r="C31" s="79"/>
    </row>
    <row r="32" spans="1:6" ht="46.5" customHeight="1" x14ac:dyDescent="0.25">
      <c r="A32" s="23">
        <v>2262</v>
      </c>
      <c r="B32" s="109" t="s">
        <v>177</v>
      </c>
      <c r="C32" s="79">
        <f>20211.84*0.0956*1/108</f>
        <v>17.891221333333334</v>
      </c>
      <c r="D32" s="33"/>
      <c r="F32" s="95">
        <f>20211.84*0.0956*1/108</f>
        <v>17.891221333333334</v>
      </c>
    </row>
    <row r="33" spans="1:6" x14ac:dyDescent="0.25">
      <c r="A33" s="59"/>
      <c r="B33" s="108" t="s">
        <v>77</v>
      </c>
      <c r="C33" s="79"/>
    </row>
    <row r="34" spans="1:6" ht="48.75" customHeight="1" x14ac:dyDescent="0.25">
      <c r="A34" s="23" t="s">
        <v>40</v>
      </c>
      <c r="B34" s="109" t="s">
        <v>227</v>
      </c>
      <c r="C34" s="79">
        <f>4564.197*0.0956*1/108</f>
        <v>4.0401595666666665</v>
      </c>
      <c r="D34" s="33"/>
      <c r="F34" s="95">
        <f>4564.197*0.0956*1/108</f>
        <v>4.0401595666666665</v>
      </c>
    </row>
    <row r="35" spans="1:6" x14ac:dyDescent="0.25">
      <c r="A35" s="59"/>
      <c r="B35" s="110" t="s">
        <v>78</v>
      </c>
      <c r="C35" s="79"/>
      <c r="D35" s="33"/>
    </row>
    <row r="36" spans="1:6" ht="48" customHeight="1" x14ac:dyDescent="0.25">
      <c r="A36" s="23" t="s">
        <v>26</v>
      </c>
      <c r="B36" s="109" t="s">
        <v>182</v>
      </c>
      <c r="C36" s="79">
        <f>1015*0.0956*1/108</f>
        <v>0.89846296296296302</v>
      </c>
      <c r="D36" s="33"/>
      <c r="F36" s="95">
        <f>1015*0.0956*1/108</f>
        <v>0.89846296296296302</v>
      </c>
    </row>
    <row r="37" spans="1:6" x14ac:dyDescent="0.25">
      <c r="A37" s="59"/>
      <c r="B37" s="108" t="s">
        <v>79</v>
      </c>
      <c r="C37" s="79"/>
      <c r="D37" s="33"/>
    </row>
    <row r="38" spans="1:6" ht="78.75" x14ac:dyDescent="0.25">
      <c r="A38" s="23">
        <v>5220</v>
      </c>
      <c r="B38" s="108" t="s">
        <v>181</v>
      </c>
      <c r="C38" s="79">
        <f>1/108*1331/60*12*0.0956</f>
        <v>0.23563629629629626</v>
      </c>
      <c r="D38" s="33"/>
      <c r="F38" s="95">
        <f>1/108*1331/60*12*0.0956</f>
        <v>0.23563629629629626</v>
      </c>
    </row>
    <row r="39" spans="1:6" x14ac:dyDescent="0.25">
      <c r="A39" s="38"/>
      <c r="B39" s="12" t="s">
        <v>80</v>
      </c>
      <c r="C39" s="112"/>
    </row>
    <row r="40" spans="1:6" x14ac:dyDescent="0.25">
      <c r="A40" s="40"/>
      <c r="B40" s="41" t="s">
        <v>46</v>
      </c>
      <c r="C40" s="42">
        <f>SUM(C16:C39)</f>
        <v>108.92020497407405</v>
      </c>
    </row>
    <row r="41" spans="1:6" x14ac:dyDescent="0.25">
      <c r="A41" s="43"/>
      <c r="B41" s="44" t="s">
        <v>47</v>
      </c>
      <c r="C41" s="45">
        <f>C40+C14</f>
        <v>199.32896471433378</v>
      </c>
    </row>
    <row r="42" spans="1:6" x14ac:dyDescent="0.25">
      <c r="A42" s="46"/>
      <c r="B42" s="47" t="s">
        <v>48</v>
      </c>
      <c r="C42" s="48">
        <f>C41/C44</f>
        <v>199.32896471433378</v>
      </c>
    </row>
    <row r="43" spans="1:6" x14ac:dyDescent="0.25">
      <c r="B43" s="2"/>
      <c r="C43" s="2"/>
    </row>
    <row r="44" spans="1:6" x14ac:dyDescent="0.25">
      <c r="B44" s="49" t="s">
        <v>49</v>
      </c>
      <c r="C44" s="50">
        <f>B4</f>
        <v>1</v>
      </c>
    </row>
    <row r="45" spans="1:6" ht="33.75" customHeight="1" x14ac:dyDescent="0.25">
      <c r="B45" s="78" t="s">
        <v>138</v>
      </c>
      <c r="C45" s="48">
        <f>C42</f>
        <v>199.32896471433378</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0C51B-E34E-48AD-B880-08E1A73260EB}">
  <dimension ref="A1:E44"/>
  <sheetViews>
    <sheetView view="pageBreakPreview" topLeftCell="A16" zoomScale="60" zoomScaleNormal="100" workbookViewId="0">
      <selection activeCell="G41" sqref="G41"/>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124</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s="33" customFormat="1" ht="96.75" customHeight="1" x14ac:dyDescent="0.25">
      <c r="A8" s="74">
        <v>1119</v>
      </c>
      <c r="B8" s="102" t="s">
        <v>299</v>
      </c>
      <c r="C8" s="14">
        <f>(1690+1420)/21/8/11*12*1</f>
        <v>20.194805194805195</v>
      </c>
      <c r="E8" s="95">
        <f>(1690+1420)/21/8/11*12*1</f>
        <v>20.194805194805195</v>
      </c>
    </row>
    <row r="9" spans="1:5" x14ac:dyDescent="0.25">
      <c r="A9" s="55"/>
      <c r="B9" s="122" t="s">
        <v>324</v>
      </c>
      <c r="C9" s="106"/>
    </row>
    <row r="10" spans="1:5" x14ac:dyDescent="0.25">
      <c r="A10" s="22">
        <v>1210</v>
      </c>
      <c r="B10" s="122" t="s">
        <v>15</v>
      </c>
      <c r="C10" s="14">
        <f>C8*0.2359</f>
        <v>4.7639545454545456</v>
      </c>
      <c r="E10" s="95">
        <f>20.2*0.2359</f>
        <v>4.76518</v>
      </c>
    </row>
    <row r="11" spans="1:5" x14ac:dyDescent="0.25">
      <c r="A11" s="22"/>
      <c r="B11" s="122" t="s">
        <v>223</v>
      </c>
      <c r="C11" s="106"/>
    </row>
    <row r="12" spans="1:5" ht="31.5" x14ac:dyDescent="0.25">
      <c r="A12" s="22" t="s">
        <v>19</v>
      </c>
      <c r="B12" s="100" t="s">
        <v>228</v>
      </c>
      <c r="C12" s="106">
        <f>416.5*1</f>
        <v>416.5</v>
      </c>
      <c r="E12" s="95">
        <f>416.5*1</f>
        <v>416.5</v>
      </c>
    </row>
    <row r="13" spans="1:5" x14ac:dyDescent="0.25">
      <c r="A13" s="55"/>
      <c r="B13" s="100" t="s">
        <v>326</v>
      </c>
      <c r="C13" s="106"/>
    </row>
    <row r="14" spans="1:5" x14ac:dyDescent="0.25">
      <c r="A14" s="57"/>
      <c r="B14" s="84"/>
      <c r="C14" s="120">
        <f>SUM(C8:C13)</f>
        <v>441.45875974025972</v>
      </c>
    </row>
    <row r="15" spans="1:5" x14ac:dyDescent="0.25">
      <c r="A15" s="58"/>
      <c r="B15" s="85" t="s">
        <v>1</v>
      </c>
      <c r="C15" s="111"/>
    </row>
    <row r="16" spans="1:5" ht="78.75" x14ac:dyDescent="0.25">
      <c r="A16" s="23">
        <v>1119</v>
      </c>
      <c r="B16" s="108" t="s">
        <v>215</v>
      </c>
      <c r="C16" s="79">
        <f>2011*12*0.0956*1/108</f>
        <v>21.36128888888889</v>
      </c>
      <c r="D16" s="33"/>
      <c r="E16" s="95">
        <f>2011*12*0.0956*1/108</f>
        <v>21.36128888888889</v>
      </c>
    </row>
    <row r="17" spans="1:5" x14ac:dyDescent="0.25">
      <c r="A17" s="59"/>
      <c r="B17" s="108" t="s">
        <v>72</v>
      </c>
      <c r="C17" s="79"/>
    </row>
    <row r="18" spans="1:5" x14ac:dyDescent="0.25">
      <c r="A18" s="23" t="s">
        <v>31</v>
      </c>
      <c r="B18" s="108" t="s">
        <v>15</v>
      </c>
      <c r="C18" s="79"/>
      <c r="D18" s="33"/>
    </row>
    <row r="19" spans="1:5" ht="66" customHeight="1" x14ac:dyDescent="0.25">
      <c r="A19" s="23" t="s">
        <v>16</v>
      </c>
      <c r="B19" s="109" t="s">
        <v>210</v>
      </c>
      <c r="C19" s="79">
        <f>1097.88*0.0956*1/108</f>
        <v>0.97182711111111131</v>
      </c>
      <c r="D19" s="33"/>
      <c r="E19" s="95">
        <f>1097.88*0.0956*1/108</f>
        <v>0.97182711111111131</v>
      </c>
    </row>
    <row r="20" spans="1:5" x14ac:dyDescent="0.25">
      <c r="A20" s="59"/>
      <c r="B20" s="108" t="s">
        <v>73</v>
      </c>
      <c r="C20" s="79"/>
      <c r="D20" s="33"/>
    </row>
    <row r="21" spans="1:5" ht="78.75" x14ac:dyDescent="0.25">
      <c r="A21" s="23">
        <v>1119</v>
      </c>
      <c r="B21" s="108" t="s">
        <v>229</v>
      </c>
      <c r="C21" s="79">
        <f>3015*12*0.0956*1/108</f>
        <v>32.026000000000003</v>
      </c>
      <c r="D21" s="33"/>
      <c r="E21" s="95">
        <f>3015*12*0.0956*1/108</f>
        <v>32.026000000000003</v>
      </c>
    </row>
    <row r="22" spans="1:5" x14ac:dyDescent="0.25">
      <c r="A22" s="23"/>
      <c r="B22" s="108" t="s">
        <v>170</v>
      </c>
      <c r="C22" s="79"/>
      <c r="D22" s="33"/>
    </row>
    <row r="23" spans="1:5" ht="18" customHeight="1" x14ac:dyDescent="0.25">
      <c r="A23" s="23" t="s">
        <v>31</v>
      </c>
      <c r="B23" s="109" t="s">
        <v>15</v>
      </c>
      <c r="C23" s="79">
        <f>32.03*0.2359</f>
        <v>7.5558770000000006</v>
      </c>
      <c r="D23" s="33"/>
      <c r="E23" s="95">
        <f>32.03*0.2359</f>
        <v>7.5558770000000006</v>
      </c>
    </row>
    <row r="24" spans="1:5" ht="15" customHeight="1" x14ac:dyDescent="0.25">
      <c r="A24" s="23"/>
      <c r="B24" s="108" t="s">
        <v>225</v>
      </c>
      <c r="C24" s="79"/>
      <c r="D24" s="33"/>
    </row>
    <row r="25" spans="1:5" ht="48.75" customHeight="1" x14ac:dyDescent="0.25">
      <c r="A25" s="23" t="s">
        <v>34</v>
      </c>
      <c r="B25" s="109" t="s">
        <v>173</v>
      </c>
      <c r="C25" s="79">
        <f>267.89*0.0956*1/108</f>
        <v>0.23713225925925926</v>
      </c>
      <c r="D25" s="33"/>
      <c r="E25" s="95">
        <f>267.89*0.0956*1/108</f>
        <v>0.23713225925925926</v>
      </c>
    </row>
    <row r="26" spans="1:5" x14ac:dyDescent="0.25">
      <c r="A26" s="59"/>
      <c r="B26" s="108" t="s">
        <v>74</v>
      </c>
      <c r="C26" s="79"/>
      <c r="D26" s="33"/>
    </row>
    <row r="27" spans="1:5" ht="47.25" x14ac:dyDescent="0.25">
      <c r="A27" s="23" t="s">
        <v>36</v>
      </c>
      <c r="B27" s="108" t="s">
        <v>191</v>
      </c>
      <c r="C27" s="79">
        <f>1200*0.0956*1/108</f>
        <v>1.0622222222222222</v>
      </c>
      <c r="D27" s="33"/>
      <c r="E27" s="95">
        <f>1200*0.0956*1/108</f>
        <v>1.0622222222222222</v>
      </c>
    </row>
    <row r="28" spans="1:5" x14ac:dyDescent="0.25">
      <c r="A28" s="59"/>
      <c r="B28" s="108" t="s">
        <v>75</v>
      </c>
      <c r="C28" s="79"/>
      <c r="D28" s="33"/>
    </row>
    <row r="29" spans="1:5" ht="63" x14ac:dyDescent="0.25">
      <c r="A29" s="23">
        <v>2261</v>
      </c>
      <c r="B29" s="108" t="s">
        <v>178</v>
      </c>
      <c r="C29" s="79">
        <f>19884.6*0.0956*1/108</f>
        <v>17.601553333333332</v>
      </c>
      <c r="D29" s="33"/>
      <c r="E29" s="95">
        <f>19884.6*0.0956*1/108</f>
        <v>17.601553333333332</v>
      </c>
    </row>
    <row r="30" spans="1:5" x14ac:dyDescent="0.25">
      <c r="A30" s="59"/>
      <c r="B30" s="108" t="s">
        <v>76</v>
      </c>
      <c r="C30" s="79"/>
      <c r="D30" s="33"/>
    </row>
    <row r="31" spans="1:5" ht="46.5" customHeight="1" x14ac:dyDescent="0.25">
      <c r="A31" s="23">
        <v>2262</v>
      </c>
      <c r="B31" s="109" t="s">
        <v>177</v>
      </c>
      <c r="C31" s="79">
        <f>20211.84*0.0956*1/108</f>
        <v>17.891221333333334</v>
      </c>
      <c r="D31" s="33"/>
      <c r="E31" s="95">
        <f>20211.84*0.0956*1/108</f>
        <v>17.891221333333334</v>
      </c>
    </row>
    <row r="32" spans="1:5" x14ac:dyDescent="0.25">
      <c r="A32" s="59"/>
      <c r="B32" s="108" t="s">
        <v>77</v>
      </c>
      <c r="C32" s="79"/>
      <c r="D32" s="33"/>
    </row>
    <row r="33" spans="1:5" ht="51" customHeight="1" x14ac:dyDescent="0.25">
      <c r="A33" s="23" t="s">
        <v>40</v>
      </c>
      <c r="B33" s="109" t="s">
        <v>180</v>
      </c>
      <c r="C33" s="79">
        <f>4564.197*0.0956*1/108</f>
        <v>4.0401595666666665</v>
      </c>
      <c r="D33" s="33"/>
      <c r="E33" s="95">
        <f>4564.197*0.0956*1/108</f>
        <v>4.0401595666666665</v>
      </c>
    </row>
    <row r="34" spans="1:5" x14ac:dyDescent="0.25">
      <c r="A34" s="59"/>
      <c r="B34" s="110" t="s">
        <v>78</v>
      </c>
      <c r="C34" s="79"/>
      <c r="D34" s="33"/>
    </row>
    <row r="35" spans="1:5" ht="48" customHeight="1" x14ac:dyDescent="0.25">
      <c r="A35" s="23" t="s">
        <v>26</v>
      </c>
      <c r="B35" s="109" t="s">
        <v>182</v>
      </c>
      <c r="C35" s="79">
        <f>1015*0.0956*1/108</f>
        <v>0.89846296296296302</v>
      </c>
      <c r="D35" s="33"/>
      <c r="E35" s="95">
        <f>1015*0.0956*1/108</f>
        <v>0.89846296296296302</v>
      </c>
    </row>
    <row r="36" spans="1:5" x14ac:dyDescent="0.25">
      <c r="A36" s="59"/>
      <c r="B36" s="108" t="s">
        <v>79</v>
      </c>
      <c r="C36" s="79"/>
      <c r="D36" s="33"/>
    </row>
    <row r="37" spans="1:5" ht="78.75" x14ac:dyDescent="0.25">
      <c r="A37" s="23">
        <v>5220</v>
      </c>
      <c r="B37" s="108" t="s">
        <v>181</v>
      </c>
      <c r="C37" s="79">
        <f>1/108*1331/60*12*0.0956</f>
        <v>0.23563629629629626</v>
      </c>
      <c r="D37" s="33"/>
      <c r="E37" s="95">
        <f>1/108*1331/60*12*0.0956</f>
        <v>0.23563629629629626</v>
      </c>
    </row>
    <row r="38" spans="1:5" x14ac:dyDescent="0.25">
      <c r="A38" s="38"/>
      <c r="B38" s="12" t="s">
        <v>80</v>
      </c>
      <c r="C38" s="112"/>
    </row>
    <row r="39" spans="1:5" x14ac:dyDescent="0.25">
      <c r="A39" s="40"/>
      <c r="B39" s="41" t="s">
        <v>46</v>
      </c>
      <c r="C39" s="42">
        <f>SUM(C16:C38)</f>
        <v>103.88138097407408</v>
      </c>
    </row>
    <row r="40" spans="1:5" x14ac:dyDescent="0.25">
      <c r="A40" s="43"/>
      <c r="B40" s="44" t="s">
        <v>47</v>
      </c>
      <c r="C40" s="45">
        <f>C39+C14</f>
        <v>545.34014071433376</v>
      </c>
    </row>
    <row r="41" spans="1:5" x14ac:dyDescent="0.25">
      <c r="A41" s="46"/>
      <c r="B41" s="47" t="s">
        <v>48</v>
      </c>
      <c r="C41" s="48">
        <f>C40/C43</f>
        <v>545.34014071433376</v>
      </c>
    </row>
    <row r="42" spans="1:5" x14ac:dyDescent="0.25">
      <c r="B42" s="2"/>
      <c r="C42" s="2"/>
    </row>
    <row r="43" spans="1:5" x14ac:dyDescent="0.25">
      <c r="B43" s="49" t="s">
        <v>49</v>
      </c>
      <c r="C43" s="50">
        <f>B4</f>
        <v>1</v>
      </c>
    </row>
    <row r="44" spans="1:5" ht="32.25" customHeight="1" x14ac:dyDescent="0.25">
      <c r="B44" s="78" t="s">
        <v>138</v>
      </c>
      <c r="C44" s="48">
        <f>C41</f>
        <v>545.34014071433376</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93A3-3B4F-493B-9F08-F5EDFA0ECF8B}">
  <dimension ref="A1:E45"/>
  <sheetViews>
    <sheetView view="pageBreakPreview" topLeftCell="A20" zoomScale="60" zoomScaleNormal="100" workbookViewId="0">
      <selection activeCell="C8" sqref="C8"/>
    </sheetView>
  </sheetViews>
  <sheetFormatPr defaultColWidth="9.140625" defaultRowHeight="15.75" x14ac:dyDescent="0.25"/>
  <cols>
    <col min="1" max="1" width="21.5703125" style="4"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20" t="s">
        <v>3</v>
      </c>
      <c r="B2" s="6" t="s">
        <v>124</v>
      </c>
    </row>
    <row r="3" spans="1:5" x14ac:dyDescent="0.25">
      <c r="A3" s="53" t="s">
        <v>5</v>
      </c>
      <c r="B3" s="5" t="s">
        <v>6</v>
      </c>
    </row>
    <row r="4" spans="1:5" ht="48.75" customHeight="1" x14ac:dyDescent="0.25">
      <c r="A4" s="54" t="s">
        <v>7</v>
      </c>
      <c r="B4" s="3">
        <v>1</v>
      </c>
    </row>
    <row r="6" spans="1:5" ht="68.25" customHeight="1" x14ac:dyDescent="0.25">
      <c r="A6" s="21" t="s">
        <v>8</v>
      </c>
      <c r="B6" s="8" t="s">
        <v>9</v>
      </c>
      <c r="C6" s="9" t="s">
        <v>10</v>
      </c>
    </row>
    <row r="7" spans="1:5" x14ac:dyDescent="0.25">
      <c r="A7" s="55"/>
      <c r="B7" s="31" t="s">
        <v>0</v>
      </c>
      <c r="C7" s="104"/>
    </row>
    <row r="8" spans="1:5" s="33" customFormat="1" ht="97.5" customHeight="1" x14ac:dyDescent="0.25">
      <c r="A8" s="74">
        <v>1119</v>
      </c>
      <c r="B8" s="102" t="s">
        <v>300</v>
      </c>
      <c r="C8" s="14">
        <f>(1690+1420)/21/8/11*12*1</f>
        <v>20.194805194805195</v>
      </c>
      <c r="D8" s="75"/>
      <c r="E8" s="95">
        <f>(1690+1420)/21/8/11*12*1</f>
        <v>20.194805194805195</v>
      </c>
    </row>
    <row r="9" spans="1:5" x14ac:dyDescent="0.25">
      <c r="A9" s="55"/>
      <c r="B9" s="122" t="s">
        <v>324</v>
      </c>
      <c r="C9" s="106"/>
    </row>
    <row r="10" spans="1:5" x14ac:dyDescent="0.25">
      <c r="A10" s="22">
        <v>1210</v>
      </c>
      <c r="B10" s="122" t="s">
        <v>15</v>
      </c>
      <c r="C10" s="14">
        <f>C8*0.2359</f>
        <v>4.7639545454545456</v>
      </c>
      <c r="E10" s="95">
        <f>20.2*0.2359</f>
        <v>4.76518</v>
      </c>
    </row>
    <row r="11" spans="1:5" x14ac:dyDescent="0.25">
      <c r="A11" s="22"/>
      <c r="B11" s="122" t="s">
        <v>223</v>
      </c>
      <c r="C11" s="106"/>
    </row>
    <row r="12" spans="1:5" ht="31.5" x14ac:dyDescent="0.25">
      <c r="A12" s="22" t="s">
        <v>19</v>
      </c>
      <c r="B12" s="100" t="s">
        <v>230</v>
      </c>
      <c r="C12" s="106">
        <f>160*1</f>
        <v>160</v>
      </c>
      <c r="E12" s="95">
        <f>160*1</f>
        <v>160</v>
      </c>
    </row>
    <row r="13" spans="1:5" x14ac:dyDescent="0.25">
      <c r="A13" s="55"/>
      <c r="B13" s="100" t="s">
        <v>327</v>
      </c>
      <c r="C13" s="106"/>
    </row>
    <row r="14" spans="1:5" x14ac:dyDescent="0.25">
      <c r="A14" s="57"/>
      <c r="B14" s="84"/>
      <c r="C14" s="120">
        <f>SUM(C8:C13)</f>
        <v>184.95875974025975</v>
      </c>
    </row>
    <row r="15" spans="1:5" x14ac:dyDescent="0.25">
      <c r="A15" s="58"/>
      <c r="B15" s="85" t="s">
        <v>1</v>
      </c>
      <c r="C15" s="111"/>
    </row>
    <row r="16" spans="1:5" ht="78.75" x14ac:dyDescent="0.25">
      <c r="A16" s="23">
        <v>1119</v>
      </c>
      <c r="B16" s="108" t="s">
        <v>215</v>
      </c>
      <c r="C16" s="79">
        <f>2011*12*0.0956*1/108</f>
        <v>21.36128888888889</v>
      </c>
      <c r="D16" s="33"/>
      <c r="E16" s="95">
        <f>2011*12*0.0956*1/108</f>
        <v>21.36128888888889</v>
      </c>
    </row>
    <row r="17" spans="1:5" x14ac:dyDescent="0.25">
      <c r="A17" s="59"/>
      <c r="B17" s="108" t="s">
        <v>72</v>
      </c>
      <c r="C17" s="79"/>
    </row>
    <row r="18" spans="1:5" x14ac:dyDescent="0.25">
      <c r="A18" s="23" t="s">
        <v>31</v>
      </c>
      <c r="B18" s="116" t="s">
        <v>15</v>
      </c>
      <c r="C18" s="79">
        <f>21.36*0.2359</f>
        <v>5.038824</v>
      </c>
      <c r="D18" s="33"/>
      <c r="E18" s="95">
        <f>21.36*0.2359</f>
        <v>5.038824</v>
      </c>
    </row>
    <row r="19" spans="1:5" x14ac:dyDescent="0.25">
      <c r="A19" s="23"/>
      <c r="B19" s="116" t="s">
        <v>168</v>
      </c>
      <c r="C19" s="79"/>
      <c r="D19" s="33"/>
    </row>
    <row r="20" spans="1:5" ht="63.75" customHeight="1" x14ac:dyDescent="0.25">
      <c r="A20" s="23" t="s">
        <v>16</v>
      </c>
      <c r="B20" s="109" t="s">
        <v>188</v>
      </c>
      <c r="C20" s="79">
        <f>1097.88*0.0956*1/108</f>
        <v>0.97182711111111131</v>
      </c>
      <c r="D20" s="33"/>
      <c r="E20" s="95">
        <f>1097.88*0.0956*1/108</f>
        <v>0.97182711111111131</v>
      </c>
    </row>
    <row r="21" spans="1:5" x14ac:dyDescent="0.25">
      <c r="A21" s="59"/>
      <c r="B21" s="108" t="s">
        <v>73</v>
      </c>
      <c r="C21" s="79"/>
      <c r="D21" s="33"/>
    </row>
    <row r="22" spans="1:5" ht="78.75" x14ac:dyDescent="0.25">
      <c r="A22" s="23">
        <v>1119</v>
      </c>
      <c r="B22" s="115" t="s">
        <v>203</v>
      </c>
      <c r="C22" s="79">
        <f>3015*12*0.0956*1/108</f>
        <v>32.026000000000003</v>
      </c>
      <c r="D22" s="33"/>
      <c r="E22" s="95">
        <f>3015*12*0.0956*1/108</f>
        <v>32.026000000000003</v>
      </c>
    </row>
    <row r="23" spans="1:5" x14ac:dyDescent="0.25">
      <c r="A23" s="23"/>
      <c r="B23" s="115" t="s">
        <v>170</v>
      </c>
      <c r="C23" s="79"/>
      <c r="D23" s="33"/>
    </row>
    <row r="24" spans="1:5" ht="17.25" customHeight="1" x14ac:dyDescent="0.25">
      <c r="A24" s="23" t="s">
        <v>31</v>
      </c>
      <c r="B24" s="127" t="s">
        <v>15</v>
      </c>
      <c r="C24" s="79">
        <f>32.03*0.2359</f>
        <v>7.5558770000000006</v>
      </c>
      <c r="D24" s="33"/>
      <c r="E24" s="95">
        <f>32.03*0.2359</f>
        <v>7.5558770000000006</v>
      </c>
    </row>
    <row r="25" spans="1:5" ht="17.25" customHeight="1" x14ac:dyDescent="0.25">
      <c r="A25" s="23"/>
      <c r="B25" s="127" t="s">
        <v>225</v>
      </c>
      <c r="C25" s="79"/>
      <c r="D25" s="33"/>
    </row>
    <row r="26" spans="1:5" ht="50.25" customHeight="1" x14ac:dyDescent="0.25">
      <c r="A26" s="23" t="s">
        <v>34</v>
      </c>
      <c r="B26" s="109" t="s">
        <v>173</v>
      </c>
      <c r="C26" s="79">
        <f>267.89*0.0956*1/108</f>
        <v>0.23713225925925926</v>
      </c>
      <c r="D26" s="33"/>
      <c r="E26" s="95">
        <f>267.89*0.0956*1/108</f>
        <v>0.23713225925925926</v>
      </c>
    </row>
    <row r="27" spans="1:5" x14ac:dyDescent="0.25">
      <c r="A27" s="59"/>
      <c r="B27" s="108" t="s">
        <v>74</v>
      </c>
      <c r="C27" s="79"/>
      <c r="D27" s="33"/>
    </row>
    <row r="28" spans="1:5" ht="47.25" x14ac:dyDescent="0.25">
      <c r="A28" s="23" t="s">
        <v>36</v>
      </c>
      <c r="B28" s="108" t="s">
        <v>191</v>
      </c>
      <c r="C28" s="79">
        <f>1200*0.0956*1/108</f>
        <v>1.0622222222222222</v>
      </c>
      <c r="D28" s="33"/>
      <c r="E28" s="95">
        <f>1200*0.0956*1/108</f>
        <v>1.0622222222222222</v>
      </c>
    </row>
    <row r="29" spans="1:5" x14ac:dyDescent="0.25">
      <c r="A29" s="59"/>
      <c r="B29" s="108" t="s">
        <v>75</v>
      </c>
      <c r="C29" s="79"/>
      <c r="D29" s="33"/>
    </row>
    <row r="30" spans="1:5" ht="63" x14ac:dyDescent="0.25">
      <c r="A30" s="23">
        <v>2261</v>
      </c>
      <c r="B30" s="108" t="s">
        <v>178</v>
      </c>
      <c r="C30" s="79">
        <f>19884.6*0.0956*1/108</f>
        <v>17.601553333333332</v>
      </c>
      <c r="D30" s="33"/>
      <c r="E30" s="95">
        <f>19884.6*0.0956*1/108</f>
        <v>17.601553333333332</v>
      </c>
    </row>
    <row r="31" spans="1:5" x14ac:dyDescent="0.25">
      <c r="A31" s="59"/>
      <c r="B31" s="108" t="s">
        <v>76</v>
      </c>
      <c r="C31" s="79"/>
      <c r="D31" s="33"/>
    </row>
    <row r="32" spans="1:5" ht="48.75" customHeight="1" x14ac:dyDescent="0.25">
      <c r="A32" s="23">
        <v>2262</v>
      </c>
      <c r="B32" s="109" t="s">
        <v>175</v>
      </c>
      <c r="C32" s="79">
        <f>20211.84*0.0956*1/108</f>
        <v>17.891221333333334</v>
      </c>
      <c r="D32" s="33"/>
      <c r="E32" s="95">
        <f>20211.84*0.0956*1/108</f>
        <v>17.891221333333334</v>
      </c>
    </row>
    <row r="33" spans="1:5" x14ac:dyDescent="0.25">
      <c r="A33" s="59"/>
      <c r="B33" s="108" t="s">
        <v>77</v>
      </c>
      <c r="C33" s="79"/>
      <c r="D33" s="33"/>
    </row>
    <row r="34" spans="1:5" ht="49.5" customHeight="1" x14ac:dyDescent="0.25">
      <c r="A34" s="23" t="s">
        <v>40</v>
      </c>
      <c r="B34" s="109" t="s">
        <v>180</v>
      </c>
      <c r="C34" s="79">
        <f>4564.197*0.0956*1/108</f>
        <v>4.0401595666666665</v>
      </c>
      <c r="D34" s="33"/>
      <c r="E34" s="95">
        <f>4564.197*0.0956*1/108</f>
        <v>4.0401595666666665</v>
      </c>
    </row>
    <row r="35" spans="1:5" x14ac:dyDescent="0.25">
      <c r="A35" s="59"/>
      <c r="B35" s="116" t="s">
        <v>78</v>
      </c>
      <c r="C35" s="79"/>
      <c r="D35" s="33"/>
    </row>
    <row r="36" spans="1:5" ht="48.75" customHeight="1" x14ac:dyDescent="0.25">
      <c r="A36" s="23" t="s">
        <v>26</v>
      </c>
      <c r="B36" s="109" t="s">
        <v>182</v>
      </c>
      <c r="C36" s="79">
        <f>1015*0.0956*1/108</f>
        <v>0.89846296296296302</v>
      </c>
      <c r="D36" s="33"/>
      <c r="E36" s="95">
        <f>1015*0.0956*1/108</f>
        <v>0.89846296296296302</v>
      </c>
    </row>
    <row r="37" spans="1:5" x14ac:dyDescent="0.25">
      <c r="A37" s="59"/>
      <c r="B37" s="108" t="s">
        <v>79</v>
      </c>
      <c r="C37" s="79"/>
      <c r="D37" s="33"/>
    </row>
    <row r="38" spans="1:5" ht="78.75" x14ac:dyDescent="0.25">
      <c r="A38" s="23">
        <v>5220</v>
      </c>
      <c r="B38" s="108" t="s">
        <v>181</v>
      </c>
      <c r="C38" s="79">
        <f>1/108*1331/60*12*0.0956</f>
        <v>0.23563629629629626</v>
      </c>
      <c r="D38" s="33"/>
      <c r="E38" s="95">
        <f>1/108*1331/60*12*0.0956</f>
        <v>0.23563629629629626</v>
      </c>
    </row>
    <row r="39" spans="1:5" x14ac:dyDescent="0.25">
      <c r="A39" s="60"/>
      <c r="B39" s="12" t="s">
        <v>80</v>
      </c>
      <c r="C39" s="112"/>
    </row>
    <row r="40" spans="1:5" x14ac:dyDescent="0.25">
      <c r="A40" s="61"/>
      <c r="B40" s="41" t="s">
        <v>46</v>
      </c>
      <c r="C40" s="42">
        <f>SUM(C16:C39)</f>
        <v>108.92020497407405</v>
      </c>
    </row>
    <row r="41" spans="1:5" x14ac:dyDescent="0.25">
      <c r="A41" s="62"/>
      <c r="B41" s="44" t="s">
        <v>47</v>
      </c>
      <c r="C41" s="45">
        <f>C40+C14</f>
        <v>293.87896471433379</v>
      </c>
    </row>
    <row r="42" spans="1:5" x14ac:dyDescent="0.25">
      <c r="A42" s="63"/>
      <c r="B42" s="47" t="s">
        <v>48</v>
      </c>
      <c r="C42" s="48">
        <f>C41/C44</f>
        <v>293.87896471433379</v>
      </c>
    </row>
    <row r="43" spans="1:5" x14ac:dyDescent="0.25">
      <c r="B43" s="2"/>
      <c r="C43" s="2"/>
    </row>
    <row r="44" spans="1:5" x14ac:dyDescent="0.25">
      <c r="B44" s="49" t="s">
        <v>49</v>
      </c>
      <c r="C44" s="50">
        <f>B4</f>
        <v>1</v>
      </c>
    </row>
    <row r="45" spans="1:5" ht="32.25" customHeight="1" x14ac:dyDescent="0.25">
      <c r="B45" s="78" t="s">
        <v>138</v>
      </c>
      <c r="C45" s="48">
        <f>C42</f>
        <v>293.87896471433379</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66778-2493-4CE7-8900-A94CA3F08EA9}">
  <dimension ref="A1:E45"/>
  <sheetViews>
    <sheetView view="pageBreakPreview" topLeftCell="A16" zoomScale="60" zoomScaleNormal="100" workbookViewId="0">
      <selection activeCell="F20" sqref="F20"/>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125</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s="33" customFormat="1" ht="96" customHeight="1" x14ac:dyDescent="0.25">
      <c r="A8" s="55">
        <v>1119</v>
      </c>
      <c r="B8" s="102" t="s">
        <v>298</v>
      </c>
      <c r="C8" s="14">
        <f>(1690+1420)/21/8/11*12*1</f>
        <v>20.194805194805195</v>
      </c>
      <c r="D8" s="1"/>
      <c r="E8" s="95">
        <f>(1690+1420)/21/8/11*12*1</f>
        <v>20.194805194805195</v>
      </c>
    </row>
    <row r="9" spans="1:5" x14ac:dyDescent="0.25">
      <c r="A9" s="55"/>
      <c r="B9" s="122" t="s">
        <v>324</v>
      </c>
      <c r="C9" s="106"/>
    </row>
    <row r="10" spans="1:5" x14ac:dyDescent="0.25">
      <c r="A10" s="22">
        <v>1210</v>
      </c>
      <c r="B10" s="122" t="s">
        <v>15</v>
      </c>
      <c r="C10" s="14">
        <f>C8*0.2359</f>
        <v>4.7639545454545456</v>
      </c>
      <c r="E10" s="95">
        <f>20.2*0.2359</f>
        <v>4.76518</v>
      </c>
    </row>
    <row r="11" spans="1:5" x14ac:dyDescent="0.25">
      <c r="A11" s="22"/>
      <c r="B11" s="122" t="s">
        <v>223</v>
      </c>
      <c r="C11" s="106"/>
    </row>
    <row r="12" spans="1:5" ht="31.5" x14ac:dyDescent="0.25">
      <c r="A12" s="22" t="s">
        <v>19</v>
      </c>
      <c r="B12" s="100" t="s">
        <v>231</v>
      </c>
      <c r="C12" s="106">
        <f>400*1</f>
        <v>400</v>
      </c>
      <c r="E12" s="95">
        <f>400*1</f>
        <v>400</v>
      </c>
    </row>
    <row r="13" spans="1:5" x14ac:dyDescent="0.25">
      <c r="A13" s="55"/>
      <c r="B13" s="13" t="s">
        <v>328</v>
      </c>
      <c r="C13" s="126"/>
    </row>
    <row r="14" spans="1:5" x14ac:dyDescent="0.25">
      <c r="A14" s="57"/>
      <c r="B14" s="84"/>
      <c r="C14" s="35">
        <f>SUM(C8:C13)</f>
        <v>424.95875974025972</v>
      </c>
    </row>
    <row r="15" spans="1:5" x14ac:dyDescent="0.25">
      <c r="A15" s="58"/>
      <c r="B15" s="85" t="s">
        <v>1</v>
      </c>
      <c r="C15" s="111"/>
    </row>
    <row r="16" spans="1:5" ht="78.75" x14ac:dyDescent="0.25">
      <c r="A16" s="23">
        <v>1119</v>
      </c>
      <c r="B16" s="108" t="s">
        <v>215</v>
      </c>
      <c r="C16" s="18">
        <f>2011*12*0.0956*1/108</f>
        <v>21.36128888888889</v>
      </c>
      <c r="D16" s="33"/>
      <c r="E16" s="95">
        <f>2011*12*0.0956*1/108</f>
        <v>21.36128888888889</v>
      </c>
    </row>
    <row r="17" spans="1:5" x14ac:dyDescent="0.25">
      <c r="A17" s="59"/>
      <c r="B17" s="108" t="s">
        <v>72</v>
      </c>
      <c r="C17" s="18"/>
    </row>
    <row r="18" spans="1:5" x14ac:dyDescent="0.25">
      <c r="A18" s="23" t="s">
        <v>31</v>
      </c>
      <c r="B18" s="116" t="s">
        <v>15</v>
      </c>
      <c r="C18" s="18">
        <f>21.36*0.2359</f>
        <v>5.038824</v>
      </c>
      <c r="D18" s="33"/>
      <c r="E18" s="95">
        <f>21.36*0.2359</f>
        <v>5.038824</v>
      </c>
    </row>
    <row r="19" spans="1:5" x14ac:dyDescent="0.25">
      <c r="A19" s="23"/>
      <c r="B19" s="116" t="s">
        <v>168</v>
      </c>
      <c r="C19" s="18"/>
      <c r="D19" s="33"/>
    </row>
    <row r="20" spans="1:5" ht="62.25" customHeight="1" x14ac:dyDescent="0.25">
      <c r="A20" s="23" t="s">
        <v>16</v>
      </c>
      <c r="B20" s="109" t="s">
        <v>188</v>
      </c>
      <c r="C20" s="18">
        <f>1097.88*0.0956*1/108</f>
        <v>0.97182711111111131</v>
      </c>
      <c r="D20" s="33"/>
      <c r="E20" s="95">
        <f>1097.88*0.0956*1/108</f>
        <v>0.97182711111111131</v>
      </c>
    </row>
    <row r="21" spans="1:5" x14ac:dyDescent="0.25">
      <c r="A21" s="59"/>
      <c r="B21" s="108" t="s">
        <v>73</v>
      </c>
      <c r="C21" s="18"/>
      <c r="D21" s="33"/>
    </row>
    <row r="22" spans="1:5" ht="78.75" x14ac:dyDescent="0.25">
      <c r="A22" s="23">
        <v>1119</v>
      </c>
      <c r="B22" s="115" t="s">
        <v>232</v>
      </c>
      <c r="C22" s="18">
        <f>3015*12*0.0956*1/108</f>
        <v>32.026000000000003</v>
      </c>
      <c r="D22" s="33"/>
      <c r="E22" s="95">
        <f>3015*12*0.0956*1/108</f>
        <v>32.026000000000003</v>
      </c>
    </row>
    <row r="23" spans="1:5" x14ac:dyDescent="0.25">
      <c r="A23" s="23"/>
      <c r="B23" s="115" t="s">
        <v>170</v>
      </c>
      <c r="C23" s="18"/>
      <c r="D23" s="33"/>
    </row>
    <row r="24" spans="1:5" ht="18" customHeight="1" x14ac:dyDescent="0.25">
      <c r="A24" s="23" t="s">
        <v>31</v>
      </c>
      <c r="B24" s="127" t="s">
        <v>15</v>
      </c>
      <c r="C24" s="18">
        <f>32.03*0.2359</f>
        <v>7.5558770000000006</v>
      </c>
      <c r="D24" s="33"/>
      <c r="E24" s="95">
        <f>32.03*0.2359</f>
        <v>7.5558770000000006</v>
      </c>
    </row>
    <row r="25" spans="1:5" ht="16.5" customHeight="1" x14ac:dyDescent="0.25">
      <c r="A25" s="23"/>
      <c r="B25" s="127" t="s">
        <v>225</v>
      </c>
      <c r="C25" s="18"/>
      <c r="D25" s="33"/>
    </row>
    <row r="26" spans="1:5" ht="48.75" customHeight="1" x14ac:dyDescent="0.25">
      <c r="A26" s="23" t="s">
        <v>34</v>
      </c>
      <c r="B26" s="109" t="s">
        <v>173</v>
      </c>
      <c r="C26" s="18">
        <f>267.89*0.0956*1/108</f>
        <v>0.23713225925925926</v>
      </c>
      <c r="D26" s="33"/>
      <c r="E26" s="95">
        <f>267.89*0.0956*1/108</f>
        <v>0.23713225925925926</v>
      </c>
    </row>
    <row r="27" spans="1:5" x14ac:dyDescent="0.25">
      <c r="A27" s="59"/>
      <c r="B27" s="108" t="s">
        <v>74</v>
      </c>
      <c r="C27" s="18"/>
      <c r="D27" s="33"/>
    </row>
    <row r="28" spans="1:5" ht="47.25" x14ac:dyDescent="0.25">
      <c r="A28" s="23" t="s">
        <v>36</v>
      </c>
      <c r="B28" s="108" t="s">
        <v>233</v>
      </c>
      <c r="C28" s="18">
        <f>1200*0.0956*1/108</f>
        <v>1.0622222222222222</v>
      </c>
      <c r="D28" s="33"/>
      <c r="E28" s="95">
        <f>1200*0.0956*1/108</f>
        <v>1.0622222222222222</v>
      </c>
    </row>
    <row r="29" spans="1:5" x14ac:dyDescent="0.25">
      <c r="A29" s="59"/>
      <c r="B29" s="108" t="s">
        <v>75</v>
      </c>
      <c r="C29" s="18"/>
      <c r="D29" s="33"/>
    </row>
    <row r="30" spans="1:5" ht="63" x14ac:dyDescent="0.25">
      <c r="A30" s="23">
        <v>2261</v>
      </c>
      <c r="B30" s="108" t="s">
        <v>178</v>
      </c>
      <c r="C30" s="18">
        <f>19884.6*0.0956*1/108</f>
        <v>17.601553333333332</v>
      </c>
      <c r="D30" s="33"/>
      <c r="E30" s="95">
        <f>19884.6*0.0956*1/108</f>
        <v>17.601553333333332</v>
      </c>
    </row>
    <row r="31" spans="1:5" x14ac:dyDescent="0.25">
      <c r="A31" s="59"/>
      <c r="B31" s="108" t="s">
        <v>76</v>
      </c>
      <c r="C31" s="18"/>
      <c r="D31" s="33"/>
    </row>
    <row r="32" spans="1:5" ht="50.25" customHeight="1" x14ac:dyDescent="0.25">
      <c r="A32" s="23">
        <v>2262</v>
      </c>
      <c r="B32" s="109" t="s">
        <v>175</v>
      </c>
      <c r="C32" s="18">
        <f>20211.84*0.0956*1/108</f>
        <v>17.891221333333334</v>
      </c>
      <c r="D32" s="33"/>
      <c r="E32" s="95">
        <f>20211.84*0.0956*1/108</f>
        <v>17.891221333333334</v>
      </c>
    </row>
    <row r="33" spans="1:5" x14ac:dyDescent="0.25">
      <c r="A33" s="59"/>
      <c r="B33" s="108" t="s">
        <v>77</v>
      </c>
      <c r="C33" s="18"/>
      <c r="D33" s="33"/>
    </row>
    <row r="34" spans="1:5" ht="46.5" customHeight="1" x14ac:dyDescent="0.25">
      <c r="A34" s="23" t="s">
        <v>40</v>
      </c>
      <c r="B34" s="109" t="s">
        <v>180</v>
      </c>
      <c r="C34" s="18">
        <f>4564.197*0.0956*1/108</f>
        <v>4.0401595666666665</v>
      </c>
      <c r="D34" s="33"/>
      <c r="E34" s="95">
        <f>4564.197*0.0956*1/108</f>
        <v>4.0401595666666665</v>
      </c>
    </row>
    <row r="35" spans="1:5" x14ac:dyDescent="0.25">
      <c r="A35" s="59"/>
      <c r="B35" s="116" t="s">
        <v>78</v>
      </c>
      <c r="C35" s="18"/>
      <c r="D35" s="33"/>
    </row>
    <row r="36" spans="1:5" ht="49.5" customHeight="1" x14ac:dyDescent="0.25">
      <c r="A36" s="23" t="s">
        <v>26</v>
      </c>
      <c r="B36" s="109" t="s">
        <v>42</v>
      </c>
      <c r="C36" s="18">
        <f>1015*0.0956*1/108</f>
        <v>0.89846296296296302</v>
      </c>
      <c r="D36" s="33"/>
      <c r="E36" s="95">
        <f>1015*0.0956*1/108</f>
        <v>0.89846296296296302</v>
      </c>
    </row>
    <row r="37" spans="1:5" x14ac:dyDescent="0.25">
      <c r="A37" s="59"/>
      <c r="B37" s="108" t="s">
        <v>79</v>
      </c>
      <c r="C37" s="18"/>
      <c r="D37" s="33"/>
    </row>
    <row r="38" spans="1:5" ht="78.75" x14ac:dyDescent="0.25">
      <c r="A38" s="23">
        <v>5220</v>
      </c>
      <c r="B38" s="108" t="s">
        <v>181</v>
      </c>
      <c r="C38" s="18">
        <f>1/108*1331/60*12*0.0956</f>
        <v>0.23563629629629626</v>
      </c>
      <c r="D38" s="33"/>
      <c r="E38" s="95">
        <f>1/108*1331/60*12*0.0956</f>
        <v>0.23563629629629626</v>
      </c>
    </row>
    <row r="39" spans="1:5" x14ac:dyDescent="0.25">
      <c r="A39" s="38"/>
      <c r="B39" s="12" t="s">
        <v>80</v>
      </c>
      <c r="C39" s="112"/>
    </row>
    <row r="40" spans="1:5" x14ac:dyDescent="0.25">
      <c r="A40" s="40"/>
      <c r="B40" s="41" t="s">
        <v>46</v>
      </c>
      <c r="C40" s="42">
        <f>SUM(C16:C39)</f>
        <v>108.92020497407405</v>
      </c>
    </row>
    <row r="41" spans="1:5" x14ac:dyDescent="0.25">
      <c r="A41" s="43"/>
      <c r="B41" s="44" t="s">
        <v>47</v>
      </c>
      <c r="C41" s="45">
        <f>C40+C14</f>
        <v>533.87896471433373</v>
      </c>
    </row>
    <row r="42" spans="1:5" x14ac:dyDescent="0.25">
      <c r="A42" s="46"/>
      <c r="B42" s="47" t="s">
        <v>48</v>
      </c>
      <c r="C42" s="48">
        <f>C41/C44</f>
        <v>533.87896471433373</v>
      </c>
    </row>
    <row r="43" spans="1:5" x14ac:dyDescent="0.25">
      <c r="B43" s="2"/>
      <c r="C43" s="2"/>
    </row>
    <row r="44" spans="1:5" x14ac:dyDescent="0.25">
      <c r="B44" s="49" t="s">
        <v>49</v>
      </c>
      <c r="C44" s="50">
        <f>B4</f>
        <v>1</v>
      </c>
    </row>
    <row r="45" spans="1:5" ht="32.25" customHeight="1" x14ac:dyDescent="0.25">
      <c r="B45" s="78" t="s">
        <v>138</v>
      </c>
      <c r="C45" s="48">
        <f>C42</f>
        <v>533.87896471433373</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00AB4-7021-44AD-93B5-AEEF1BAF195C}">
  <dimension ref="A1:E61"/>
  <sheetViews>
    <sheetView view="pageBreakPreview" topLeftCell="A36" zoomScale="60" zoomScaleNormal="100" workbookViewId="0">
      <selection activeCell="K38" sqref="K38"/>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126</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234</v>
      </c>
      <c r="C8" s="14">
        <f>(1690+1420)/2/21/8/11*12*4</f>
        <v>40.38961038961039</v>
      </c>
      <c r="E8" s="95">
        <f>(1690+1420)/2/21/8/11*12*4</f>
        <v>40.38961038961039</v>
      </c>
    </row>
    <row r="9" spans="1:5" x14ac:dyDescent="0.25">
      <c r="A9" s="55"/>
      <c r="B9" s="100" t="s">
        <v>329</v>
      </c>
      <c r="C9" s="14"/>
    </row>
    <row r="10" spans="1:5" ht="63" x14ac:dyDescent="0.25">
      <c r="A10" s="22" t="s">
        <v>13</v>
      </c>
      <c r="B10" s="100" t="s">
        <v>235</v>
      </c>
      <c r="C10" s="14">
        <f>80*1</f>
        <v>80</v>
      </c>
      <c r="E10" s="95">
        <f>80*1</f>
        <v>80</v>
      </c>
    </row>
    <row r="11" spans="1:5" x14ac:dyDescent="0.25">
      <c r="A11" s="55"/>
      <c r="B11" s="100" t="s">
        <v>330</v>
      </c>
      <c r="C11" s="14"/>
    </row>
    <row r="12" spans="1:5" ht="101.25" customHeight="1" x14ac:dyDescent="0.25">
      <c r="A12" s="22">
        <v>1119</v>
      </c>
      <c r="B12" s="102" t="s">
        <v>222</v>
      </c>
      <c r="C12" s="14">
        <f>(1690+1420)/2/21/8/11*12*2</f>
        <v>20.194805194805195</v>
      </c>
      <c r="D12" s="33"/>
      <c r="E12" s="95">
        <f>(1690+1420)/2/21/8/11*12*2</f>
        <v>20.194805194805195</v>
      </c>
    </row>
    <row r="13" spans="1:5" x14ac:dyDescent="0.25">
      <c r="A13" s="55"/>
      <c r="B13" s="122" t="s">
        <v>324</v>
      </c>
      <c r="C13" s="14"/>
    </row>
    <row r="14" spans="1:5" x14ac:dyDescent="0.25">
      <c r="A14" s="22">
        <v>1210</v>
      </c>
      <c r="B14" s="122" t="s">
        <v>15</v>
      </c>
      <c r="C14" s="14">
        <f>(40.39+80+20.2)*0.2359</f>
        <v>33.165181000000004</v>
      </c>
      <c r="E14" s="95">
        <f>(40.39+80+20.2)*0.2359</f>
        <v>33.165181000000004</v>
      </c>
    </row>
    <row r="15" spans="1:5" x14ac:dyDescent="0.25">
      <c r="A15" s="22"/>
      <c r="B15" s="122" t="s">
        <v>236</v>
      </c>
      <c r="C15" s="14"/>
    </row>
    <row r="16" spans="1:5" ht="47.25" x14ac:dyDescent="0.25">
      <c r="A16" s="22" t="s">
        <v>16</v>
      </c>
      <c r="B16" s="100" t="s">
        <v>127</v>
      </c>
      <c r="C16" s="14">
        <f>16.66*1</f>
        <v>16.66</v>
      </c>
      <c r="E16" s="95">
        <f>16.66*1</f>
        <v>16.66</v>
      </c>
    </row>
    <row r="17" spans="1:5" x14ac:dyDescent="0.25">
      <c r="A17" s="55"/>
      <c r="B17" s="100" t="s">
        <v>331</v>
      </c>
      <c r="C17" s="14"/>
    </row>
    <row r="18" spans="1:5" ht="31.5" x14ac:dyDescent="0.25">
      <c r="A18" s="22" t="s">
        <v>19</v>
      </c>
      <c r="B18" s="100" t="s">
        <v>237</v>
      </c>
      <c r="C18" s="14">
        <f>176*1</f>
        <v>176</v>
      </c>
      <c r="E18" s="95">
        <f>176*1</f>
        <v>176</v>
      </c>
    </row>
    <row r="19" spans="1:5" x14ac:dyDescent="0.25">
      <c r="A19" s="55"/>
      <c r="B19" s="100" t="s">
        <v>332</v>
      </c>
      <c r="C19" s="14"/>
    </row>
    <row r="20" spans="1:5" ht="31.5" x14ac:dyDescent="0.25">
      <c r="A20" s="22" t="s">
        <v>21</v>
      </c>
      <c r="B20" s="100" t="s">
        <v>153</v>
      </c>
      <c r="C20" s="14">
        <f>2.4*1.5*1</f>
        <v>3.5999999999999996</v>
      </c>
      <c r="E20" s="95">
        <f>2.4*1.5*1</f>
        <v>3.5999999999999996</v>
      </c>
    </row>
    <row r="21" spans="1:5" x14ac:dyDescent="0.25">
      <c r="A21" s="55"/>
      <c r="B21" s="100" t="s">
        <v>67</v>
      </c>
      <c r="C21" s="14"/>
    </row>
    <row r="22" spans="1:5" ht="31.5" x14ac:dyDescent="0.25">
      <c r="A22" s="22">
        <v>2341</v>
      </c>
      <c r="B22" s="100" t="s">
        <v>238</v>
      </c>
      <c r="C22" s="14">
        <f>66.03*1</f>
        <v>66.03</v>
      </c>
      <c r="E22" s="95">
        <f>66.03*1</f>
        <v>66.03</v>
      </c>
    </row>
    <row r="23" spans="1:5" x14ac:dyDescent="0.25">
      <c r="A23" s="55"/>
      <c r="B23" s="100" t="s">
        <v>333</v>
      </c>
      <c r="C23" s="14"/>
    </row>
    <row r="24" spans="1:5" ht="31.5" x14ac:dyDescent="0.25">
      <c r="A24" s="22" t="s">
        <v>26</v>
      </c>
      <c r="B24" s="100" t="s">
        <v>200</v>
      </c>
      <c r="C24" s="14">
        <f>0.0275*1</f>
        <v>2.75E-2</v>
      </c>
      <c r="E24" s="95">
        <f>0.0275*1</f>
        <v>2.75E-2</v>
      </c>
    </row>
    <row r="25" spans="1:5" x14ac:dyDescent="0.25">
      <c r="A25" s="55"/>
      <c r="B25" s="100" t="s">
        <v>334</v>
      </c>
      <c r="C25" s="14"/>
    </row>
    <row r="26" spans="1:5" ht="32.25" customHeight="1" x14ac:dyDescent="0.25">
      <c r="A26" s="22">
        <v>2350</v>
      </c>
      <c r="B26" s="102" t="s">
        <v>248</v>
      </c>
      <c r="C26" s="14">
        <f>0.05*10*1</f>
        <v>0.5</v>
      </c>
      <c r="E26" s="95">
        <f>0.05*10*1</f>
        <v>0.5</v>
      </c>
    </row>
    <row r="27" spans="1:5" x14ac:dyDescent="0.25">
      <c r="A27" s="56"/>
      <c r="B27" s="92" t="s">
        <v>163</v>
      </c>
      <c r="C27" s="14"/>
    </row>
    <row r="28" spans="1:5" ht="32.25" customHeight="1" x14ac:dyDescent="0.25">
      <c r="A28" s="56"/>
      <c r="B28" s="93" t="s">
        <v>247</v>
      </c>
      <c r="C28" s="14">
        <f>0.13*1</f>
        <v>0.13</v>
      </c>
      <c r="E28" s="95">
        <f>0.13*1</f>
        <v>0.13</v>
      </c>
    </row>
    <row r="29" spans="1:5" ht="15" customHeight="1" x14ac:dyDescent="0.25">
      <c r="A29" s="56"/>
      <c r="B29" s="94" t="s">
        <v>335</v>
      </c>
      <c r="C29" s="16"/>
    </row>
    <row r="30" spans="1:5" x14ac:dyDescent="0.25">
      <c r="A30" s="57"/>
      <c r="B30" s="84"/>
      <c r="C30" s="35">
        <f>SUM(C8:C28)</f>
        <v>436.69709658441553</v>
      </c>
    </row>
    <row r="31" spans="1:5" x14ac:dyDescent="0.25">
      <c r="A31" s="58"/>
      <c r="B31" s="85" t="s">
        <v>1</v>
      </c>
      <c r="C31" s="111"/>
    </row>
    <row r="32" spans="1:5" ht="78.75" x14ac:dyDescent="0.25">
      <c r="A32" s="23">
        <v>1119</v>
      </c>
      <c r="B32" s="108" t="s">
        <v>215</v>
      </c>
      <c r="C32" s="18">
        <f>2011*12*0.0956*1/108</f>
        <v>21.36128888888889</v>
      </c>
      <c r="D32" s="33"/>
      <c r="E32" s="95">
        <f>2011*12*0.0956*1/108</f>
        <v>21.36128888888889</v>
      </c>
    </row>
    <row r="33" spans="1:5" x14ac:dyDescent="0.25">
      <c r="A33" s="59"/>
      <c r="B33" s="108" t="s">
        <v>336</v>
      </c>
      <c r="C33" s="18"/>
    </row>
    <row r="34" spans="1:5" x14ac:dyDescent="0.25">
      <c r="A34" s="23" t="s">
        <v>31</v>
      </c>
      <c r="B34" s="110" t="s">
        <v>15</v>
      </c>
      <c r="C34" s="18">
        <f>21.36*0.2359</f>
        <v>5.038824</v>
      </c>
      <c r="D34" s="33"/>
      <c r="E34" s="95">
        <f>21.36*0.2359</f>
        <v>5.038824</v>
      </c>
    </row>
    <row r="35" spans="1:5" x14ac:dyDescent="0.25">
      <c r="A35" s="23"/>
      <c r="B35" s="110" t="s">
        <v>168</v>
      </c>
      <c r="C35" s="18"/>
      <c r="D35" s="33"/>
    </row>
    <row r="36" spans="1:5" ht="65.25" customHeight="1" x14ac:dyDescent="0.25">
      <c r="A36" s="23" t="s">
        <v>16</v>
      </c>
      <c r="B36" s="109" t="s">
        <v>32</v>
      </c>
      <c r="C36" s="18">
        <f>1097.88*0.0956*1/108</f>
        <v>0.97182711111111131</v>
      </c>
      <c r="D36" s="33"/>
      <c r="E36" s="95">
        <f>1097.88*0.0956*1/108</f>
        <v>0.97182711111111131</v>
      </c>
    </row>
    <row r="37" spans="1:5" x14ac:dyDescent="0.25">
      <c r="A37" s="59"/>
      <c r="B37" s="108" t="s">
        <v>337</v>
      </c>
      <c r="C37" s="18"/>
      <c r="D37" s="33"/>
    </row>
    <row r="38" spans="1:5" ht="78.75" x14ac:dyDescent="0.25">
      <c r="A38" s="23">
        <v>1119</v>
      </c>
      <c r="B38" s="108" t="s">
        <v>338</v>
      </c>
      <c r="C38" s="18">
        <f>3015*12*0.0956*1/108</f>
        <v>32.026000000000003</v>
      </c>
      <c r="D38" s="33"/>
      <c r="E38" s="95">
        <f>3015*12*0.0956*1/108</f>
        <v>32.026000000000003</v>
      </c>
    </row>
    <row r="39" spans="1:5" x14ac:dyDescent="0.25">
      <c r="A39" s="23"/>
      <c r="B39" s="108" t="s">
        <v>239</v>
      </c>
      <c r="C39" s="18"/>
      <c r="D39" s="33"/>
    </row>
    <row r="40" spans="1:5" ht="18" customHeight="1" x14ac:dyDescent="0.25">
      <c r="A40" s="23" t="s">
        <v>31</v>
      </c>
      <c r="B40" s="128" t="s">
        <v>15</v>
      </c>
      <c r="C40" s="18">
        <f>32.03*0.2359</f>
        <v>7.5558770000000006</v>
      </c>
      <c r="D40" s="33"/>
      <c r="E40" s="95">
        <f>32.03*0.2359</f>
        <v>7.5558770000000006</v>
      </c>
    </row>
    <row r="41" spans="1:5" ht="17.25" customHeight="1" x14ac:dyDescent="0.25">
      <c r="A41" s="23"/>
      <c r="B41" s="128" t="s">
        <v>225</v>
      </c>
      <c r="C41" s="18"/>
      <c r="D41" s="33"/>
    </row>
    <row r="42" spans="1:5" ht="50.25" customHeight="1" x14ac:dyDescent="0.25">
      <c r="A42" s="23" t="s">
        <v>34</v>
      </c>
      <c r="B42" s="109" t="s">
        <v>173</v>
      </c>
      <c r="C42" s="18">
        <f>267.89*0.0956*1/108</f>
        <v>0.23713225925925926</v>
      </c>
      <c r="D42" s="33"/>
      <c r="E42" s="95">
        <f>267.89*0.0956*1/108</f>
        <v>0.23713225925925926</v>
      </c>
    </row>
    <row r="43" spans="1:5" x14ac:dyDescent="0.25">
      <c r="A43" s="59"/>
      <c r="B43" s="108" t="s">
        <v>339</v>
      </c>
      <c r="C43" s="18"/>
      <c r="D43" s="33"/>
    </row>
    <row r="44" spans="1:5" ht="47.25" x14ac:dyDescent="0.25">
      <c r="A44" s="23" t="s">
        <v>36</v>
      </c>
      <c r="B44" s="108" t="s">
        <v>191</v>
      </c>
      <c r="C44" s="18">
        <f>1200*0.0956*1/108</f>
        <v>1.0622222222222222</v>
      </c>
      <c r="D44" s="33"/>
      <c r="E44" s="95">
        <f>1200*0.0956*1/108</f>
        <v>1.0622222222222222</v>
      </c>
    </row>
    <row r="45" spans="1:5" x14ac:dyDescent="0.25">
      <c r="A45" s="59"/>
      <c r="B45" s="108" t="s">
        <v>340</v>
      </c>
      <c r="C45" s="18"/>
      <c r="D45" s="33"/>
    </row>
    <row r="46" spans="1:5" ht="63" x14ac:dyDescent="0.25">
      <c r="A46" s="23">
        <v>2261</v>
      </c>
      <c r="B46" s="108" t="s">
        <v>178</v>
      </c>
      <c r="C46" s="18">
        <f>19884.6*0.0956*1/108</f>
        <v>17.601553333333332</v>
      </c>
      <c r="D46" s="33"/>
      <c r="E46" s="95">
        <f>19884.6*0.0956*1/108</f>
        <v>17.601553333333332</v>
      </c>
    </row>
    <row r="47" spans="1:5" x14ac:dyDescent="0.25">
      <c r="A47" s="59"/>
      <c r="B47" s="108" t="s">
        <v>341</v>
      </c>
      <c r="C47" s="18"/>
      <c r="D47" s="33"/>
    </row>
    <row r="48" spans="1:5" ht="49.5" customHeight="1" x14ac:dyDescent="0.25">
      <c r="A48" s="23">
        <v>2262</v>
      </c>
      <c r="B48" s="109" t="s">
        <v>177</v>
      </c>
      <c r="C48" s="18">
        <f>20211.84*0.0956*1/108</f>
        <v>17.891221333333334</v>
      </c>
      <c r="D48" s="33"/>
      <c r="E48" s="95">
        <f>20211.84*0.0956*1/108</f>
        <v>17.891221333333334</v>
      </c>
    </row>
    <row r="49" spans="1:5" x14ac:dyDescent="0.25">
      <c r="A49" s="59"/>
      <c r="B49" s="108" t="s">
        <v>342</v>
      </c>
      <c r="C49" s="18"/>
      <c r="D49" s="33"/>
    </row>
    <row r="50" spans="1:5" ht="49.5" customHeight="1" x14ac:dyDescent="0.25">
      <c r="A50" s="23" t="s">
        <v>40</v>
      </c>
      <c r="B50" s="109" t="s">
        <v>180</v>
      </c>
      <c r="C50" s="18">
        <f>4564.197*0.0956*1/108</f>
        <v>4.0401595666666665</v>
      </c>
      <c r="D50" s="33"/>
      <c r="E50" s="95">
        <f>4564.197*0.0956*1/108</f>
        <v>4.0401595666666665</v>
      </c>
    </row>
    <row r="51" spans="1:5" x14ac:dyDescent="0.25">
      <c r="A51" s="59"/>
      <c r="B51" s="110" t="s">
        <v>343</v>
      </c>
      <c r="C51" s="18"/>
      <c r="D51" s="33"/>
    </row>
    <row r="52" spans="1:5" ht="48" customHeight="1" x14ac:dyDescent="0.25">
      <c r="A52" s="23" t="s">
        <v>26</v>
      </c>
      <c r="B52" s="109" t="s">
        <v>182</v>
      </c>
      <c r="C52" s="18">
        <f>1015*0.0956*1/108</f>
        <v>0.89846296296296302</v>
      </c>
      <c r="D52" s="33"/>
      <c r="E52" s="95">
        <f>1015*0.0956*1/108</f>
        <v>0.89846296296296302</v>
      </c>
    </row>
    <row r="53" spans="1:5" x14ac:dyDescent="0.25">
      <c r="A53" s="59"/>
      <c r="B53" s="108" t="s">
        <v>344</v>
      </c>
      <c r="C53" s="18"/>
      <c r="D53" s="33"/>
    </row>
    <row r="54" spans="1:5" ht="78.75" x14ac:dyDescent="0.25">
      <c r="A54" s="23">
        <v>5220</v>
      </c>
      <c r="B54" s="108" t="s">
        <v>181</v>
      </c>
      <c r="C54" s="18">
        <f>1/108*1331/60*12*0.0956</f>
        <v>0.23563629629629626</v>
      </c>
      <c r="D54" s="33"/>
      <c r="E54" s="95">
        <f>1/108*1331/60*12*0.0956</f>
        <v>0.23563629629629626</v>
      </c>
    </row>
    <row r="55" spans="1:5" x14ac:dyDescent="0.25">
      <c r="A55" s="38"/>
      <c r="B55" s="12" t="s">
        <v>345</v>
      </c>
      <c r="C55" s="112"/>
    </row>
    <row r="56" spans="1:5" x14ac:dyDescent="0.25">
      <c r="A56" s="40"/>
      <c r="B56" s="41" t="s">
        <v>46</v>
      </c>
      <c r="C56" s="42">
        <f>SUM(C32:C55)</f>
        <v>108.92020497407405</v>
      </c>
    </row>
    <row r="57" spans="1:5" x14ac:dyDescent="0.25">
      <c r="A57" s="43"/>
      <c r="B57" s="44" t="s">
        <v>47</v>
      </c>
      <c r="C57" s="45">
        <f>C56+C30</f>
        <v>545.61730155848954</v>
      </c>
    </row>
    <row r="58" spans="1:5" x14ac:dyDescent="0.25">
      <c r="A58" s="46"/>
      <c r="B58" s="47" t="s">
        <v>48</v>
      </c>
      <c r="C58" s="48">
        <f>C57/C60</f>
        <v>545.61730155848954</v>
      </c>
    </row>
    <row r="59" spans="1:5" x14ac:dyDescent="0.25">
      <c r="B59" s="2"/>
      <c r="C59" s="2"/>
    </row>
    <row r="60" spans="1:5" x14ac:dyDescent="0.25">
      <c r="B60" s="49" t="s">
        <v>49</v>
      </c>
      <c r="C60" s="50">
        <f>B4</f>
        <v>1</v>
      </c>
    </row>
    <row r="61" spans="1:5" ht="32.25" customHeight="1" x14ac:dyDescent="0.25">
      <c r="B61" s="78" t="s">
        <v>138</v>
      </c>
      <c r="C61" s="48">
        <f>C58</f>
        <v>545.61730155848954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7101E-1C45-44A7-B082-5F19911CEDB9}">
  <dimension ref="A1:E61"/>
  <sheetViews>
    <sheetView view="pageBreakPreview" topLeftCell="A36" zoomScale="60" zoomScaleNormal="100" workbookViewId="0">
      <selection activeCell="C61" sqref="C61"/>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128</v>
      </c>
    </row>
    <row r="3" spans="1:5" x14ac:dyDescent="0.25">
      <c r="A3" s="5" t="s">
        <v>5</v>
      </c>
      <c r="B3" s="5" t="s">
        <v>6</v>
      </c>
    </row>
    <row r="4" spans="1:5" ht="48.75" customHeight="1" x14ac:dyDescent="0.25">
      <c r="A4" s="25" t="s">
        <v>7</v>
      </c>
      <c r="B4" s="29">
        <v>4</v>
      </c>
    </row>
    <row r="6" spans="1:5" ht="68.25" customHeight="1" x14ac:dyDescent="0.25">
      <c r="A6" s="7" t="s">
        <v>8</v>
      </c>
      <c r="B6" s="8" t="s">
        <v>9</v>
      </c>
      <c r="C6" s="9" t="s">
        <v>10</v>
      </c>
    </row>
    <row r="7" spans="1:5" x14ac:dyDescent="0.25">
      <c r="A7" s="30"/>
      <c r="B7" s="31" t="s">
        <v>0</v>
      </c>
      <c r="C7" s="104"/>
    </row>
    <row r="8" spans="1:5" ht="94.5" x14ac:dyDescent="0.25">
      <c r="A8" s="22" t="s">
        <v>11</v>
      </c>
      <c r="B8" s="100" t="s">
        <v>272</v>
      </c>
      <c r="C8" s="14">
        <f>(1690+1420)/2/21/8/11*12*16</f>
        <v>161.55844155844156</v>
      </c>
      <c r="E8" s="95">
        <f>(1690+1420)/2/21/8/11*12*16</f>
        <v>161.55844155844156</v>
      </c>
    </row>
    <row r="9" spans="1:5" x14ac:dyDescent="0.25">
      <c r="A9" s="55"/>
      <c r="B9" s="100" t="s">
        <v>346</v>
      </c>
      <c r="C9" s="14"/>
    </row>
    <row r="10" spans="1:5" ht="63" x14ac:dyDescent="0.25">
      <c r="A10" s="22" t="s">
        <v>13</v>
      </c>
      <c r="B10" s="100" t="s">
        <v>241</v>
      </c>
      <c r="C10" s="14">
        <f>80*4</f>
        <v>320</v>
      </c>
      <c r="E10" s="95">
        <f>80*4</f>
        <v>320</v>
      </c>
    </row>
    <row r="11" spans="1:5" x14ac:dyDescent="0.25">
      <c r="A11" s="55"/>
      <c r="B11" s="100" t="s">
        <v>347</v>
      </c>
      <c r="C11" s="14"/>
    </row>
    <row r="12" spans="1:5" ht="98.25" customHeight="1" x14ac:dyDescent="0.25">
      <c r="A12" s="22">
        <v>1119</v>
      </c>
      <c r="B12" s="102" t="s">
        <v>242</v>
      </c>
      <c r="C12" s="14">
        <f>(1690+1420)/2/21/8/11*12*8</f>
        <v>80.779220779220779</v>
      </c>
      <c r="D12" s="33"/>
      <c r="E12" s="95">
        <f>(1690+1420)/2/21/8/11*12*8</f>
        <v>80.779220779220779</v>
      </c>
    </row>
    <row r="13" spans="1:5" x14ac:dyDescent="0.25">
      <c r="A13" s="55"/>
      <c r="B13" s="122" t="s">
        <v>348</v>
      </c>
      <c r="C13" s="14"/>
    </row>
    <row r="14" spans="1:5" x14ac:dyDescent="0.25">
      <c r="A14" s="22">
        <v>1210</v>
      </c>
      <c r="B14" s="122" t="s">
        <v>15</v>
      </c>
      <c r="C14" s="14">
        <f>(161.56+320+80.78)*0.2359</f>
        <v>132.65600600000002</v>
      </c>
      <c r="E14" s="95">
        <f>(161.56+320+80.78)*0.2359</f>
        <v>132.65600600000002</v>
      </c>
    </row>
    <row r="15" spans="1:5" x14ac:dyDescent="0.25">
      <c r="A15" s="22"/>
      <c r="B15" s="122" t="s">
        <v>243</v>
      </c>
      <c r="C15" s="14"/>
    </row>
    <row r="16" spans="1:5" ht="47.25" x14ac:dyDescent="0.25">
      <c r="A16" s="22" t="s">
        <v>16</v>
      </c>
      <c r="B16" s="100" t="s">
        <v>127</v>
      </c>
      <c r="C16" s="14">
        <f>16.66*4</f>
        <v>66.64</v>
      </c>
      <c r="E16" s="95">
        <f>16.66*4</f>
        <v>66.64</v>
      </c>
    </row>
    <row r="17" spans="1:5" x14ac:dyDescent="0.25">
      <c r="A17" s="55"/>
      <c r="B17" s="100" t="s">
        <v>349</v>
      </c>
      <c r="C17" s="14"/>
    </row>
    <row r="18" spans="1:5" ht="31.5" x14ac:dyDescent="0.25">
      <c r="A18" s="22" t="s">
        <v>19</v>
      </c>
      <c r="B18" s="100" t="s">
        <v>244</v>
      </c>
      <c r="C18" s="14">
        <f>123.76*4</f>
        <v>495.04</v>
      </c>
      <c r="E18" s="95">
        <f>123.76*4</f>
        <v>495.04</v>
      </c>
    </row>
    <row r="19" spans="1:5" x14ac:dyDescent="0.25">
      <c r="A19" s="55"/>
      <c r="B19" s="100" t="s">
        <v>350</v>
      </c>
      <c r="C19" s="14"/>
    </row>
    <row r="20" spans="1:5" ht="31.5" x14ac:dyDescent="0.25">
      <c r="A20" s="22" t="s">
        <v>21</v>
      </c>
      <c r="B20" s="100" t="s">
        <v>153</v>
      </c>
      <c r="C20" s="14">
        <f>2.4*1.5*4</f>
        <v>14.399999999999999</v>
      </c>
      <c r="E20" s="95">
        <f>2.4*1.5*4</f>
        <v>14.399999999999999</v>
      </c>
    </row>
    <row r="21" spans="1:5" x14ac:dyDescent="0.25">
      <c r="A21" s="55"/>
      <c r="B21" s="100" t="s">
        <v>351</v>
      </c>
      <c r="C21" s="14"/>
    </row>
    <row r="22" spans="1:5" ht="31.5" x14ac:dyDescent="0.25">
      <c r="A22" s="22">
        <v>2341</v>
      </c>
      <c r="B22" s="100" t="s">
        <v>238</v>
      </c>
      <c r="C22" s="14">
        <f>66.03*4</f>
        <v>264.12</v>
      </c>
      <c r="D22" s="33"/>
      <c r="E22" s="95">
        <f>66.03*4</f>
        <v>264.12</v>
      </c>
    </row>
    <row r="23" spans="1:5" x14ac:dyDescent="0.25">
      <c r="A23" s="55"/>
      <c r="B23" s="100" t="s">
        <v>352</v>
      </c>
      <c r="C23" s="14"/>
    </row>
    <row r="24" spans="1:5" ht="31.5" x14ac:dyDescent="0.25">
      <c r="A24" s="22" t="s">
        <v>26</v>
      </c>
      <c r="B24" s="100" t="s">
        <v>200</v>
      </c>
      <c r="C24" s="14">
        <f>0.0275*1*4</f>
        <v>0.11</v>
      </c>
      <c r="E24" s="95">
        <f>0.0275*1*4</f>
        <v>0.11</v>
      </c>
    </row>
    <row r="25" spans="1:5" x14ac:dyDescent="0.25">
      <c r="A25" s="55"/>
      <c r="B25" s="100" t="s">
        <v>353</v>
      </c>
      <c r="C25" s="14"/>
    </row>
    <row r="26" spans="1:5" ht="31.5" customHeight="1" x14ac:dyDescent="0.25">
      <c r="A26" s="22">
        <v>2350</v>
      </c>
      <c r="B26" s="100" t="s">
        <v>293</v>
      </c>
      <c r="C26" s="14">
        <f>0.05*10*4</f>
        <v>2</v>
      </c>
      <c r="E26" s="95">
        <f>0.05*10*4</f>
        <v>2</v>
      </c>
    </row>
    <row r="27" spans="1:5" x14ac:dyDescent="0.25">
      <c r="A27" s="56"/>
      <c r="B27" s="92" t="s">
        <v>245</v>
      </c>
      <c r="C27" s="14"/>
    </row>
    <row r="28" spans="1:5" ht="33" customHeight="1" x14ac:dyDescent="0.25">
      <c r="A28" s="56"/>
      <c r="B28" s="129" t="s">
        <v>246</v>
      </c>
      <c r="C28" s="14">
        <f>0.13*4</f>
        <v>0.52</v>
      </c>
      <c r="E28" s="95">
        <f>0.13*4</f>
        <v>0.52</v>
      </c>
    </row>
    <row r="29" spans="1:5" ht="15" customHeight="1" x14ac:dyDescent="0.25">
      <c r="A29" s="56"/>
      <c r="B29" s="94" t="s">
        <v>354</v>
      </c>
      <c r="C29" s="105"/>
    </row>
    <row r="30" spans="1:5" x14ac:dyDescent="0.25">
      <c r="A30" s="57"/>
      <c r="B30" s="84"/>
      <c r="C30" s="35">
        <f>SUM(C8:C28)</f>
        <v>1537.8236683376624</v>
      </c>
    </row>
    <row r="31" spans="1:5" x14ac:dyDescent="0.25">
      <c r="A31" s="58"/>
      <c r="B31" s="85" t="s">
        <v>1</v>
      </c>
      <c r="C31" s="111"/>
    </row>
    <row r="32" spans="1:5" ht="78.75" x14ac:dyDescent="0.25">
      <c r="A32" s="23">
        <v>1119</v>
      </c>
      <c r="B32" s="108" t="s">
        <v>216</v>
      </c>
      <c r="C32" s="18">
        <f>2011*12*0.0956*4/108</f>
        <v>85.445155555555559</v>
      </c>
      <c r="E32" s="95">
        <f>2011*12*0.0956*4/108</f>
        <v>85.445155555555559</v>
      </c>
    </row>
    <row r="33" spans="1:5" x14ac:dyDescent="0.25">
      <c r="A33" s="59"/>
      <c r="B33" s="108" t="s">
        <v>355</v>
      </c>
      <c r="C33" s="18"/>
    </row>
    <row r="34" spans="1:5" x14ac:dyDescent="0.25">
      <c r="A34" s="23" t="s">
        <v>31</v>
      </c>
      <c r="B34" s="110" t="s">
        <v>15</v>
      </c>
      <c r="C34" s="18">
        <f>85.45*0.2359</f>
        <v>20.157655000000002</v>
      </c>
      <c r="D34" s="33"/>
      <c r="E34" s="95">
        <f>85.45*0.2359</f>
        <v>20.157655000000002</v>
      </c>
    </row>
    <row r="35" spans="1:5" x14ac:dyDescent="0.25">
      <c r="A35" s="23"/>
      <c r="B35" s="110" t="s">
        <v>249</v>
      </c>
      <c r="C35" s="18"/>
      <c r="D35" s="33"/>
    </row>
    <row r="36" spans="1:5" ht="64.5" customHeight="1" x14ac:dyDescent="0.25">
      <c r="A36" s="23" t="s">
        <v>16</v>
      </c>
      <c r="B36" s="109" t="s">
        <v>188</v>
      </c>
      <c r="C36" s="18">
        <f>1097.88*0.0956*4/108</f>
        <v>3.8873084444444452</v>
      </c>
      <c r="E36" s="95">
        <f>1097.88*0.0956*4/108</f>
        <v>3.8873084444444452</v>
      </c>
    </row>
    <row r="37" spans="1:5" x14ac:dyDescent="0.25">
      <c r="A37" s="59"/>
      <c r="B37" s="108" t="s">
        <v>356</v>
      </c>
      <c r="C37" s="18"/>
    </row>
    <row r="38" spans="1:5" ht="78.75" x14ac:dyDescent="0.25">
      <c r="A38" s="23">
        <v>1119</v>
      </c>
      <c r="B38" s="108" t="s">
        <v>357</v>
      </c>
      <c r="C38" s="18">
        <f>3015*12*0.0956*4/108</f>
        <v>128.10400000000001</v>
      </c>
      <c r="E38" s="95">
        <f>3015*12*0.0956*4/108</f>
        <v>128.10400000000001</v>
      </c>
    </row>
    <row r="39" spans="1:5" x14ac:dyDescent="0.25">
      <c r="A39" s="23"/>
      <c r="B39" s="108" t="s">
        <v>250</v>
      </c>
      <c r="C39" s="18"/>
    </row>
    <row r="40" spans="1:5" ht="15" customHeight="1" x14ac:dyDescent="0.25">
      <c r="A40" s="23" t="s">
        <v>31</v>
      </c>
      <c r="B40" s="128" t="s">
        <v>15</v>
      </c>
      <c r="C40" s="18"/>
      <c r="D40" s="33"/>
    </row>
    <row r="41" spans="1:5" ht="16.5" customHeight="1" x14ac:dyDescent="0.25">
      <c r="A41" s="23"/>
      <c r="B41" s="128" t="s">
        <v>251</v>
      </c>
      <c r="C41" s="18"/>
      <c r="D41" s="33"/>
    </row>
    <row r="42" spans="1:5" ht="50.25" customHeight="1" x14ac:dyDescent="0.25">
      <c r="A42" s="23" t="s">
        <v>34</v>
      </c>
      <c r="B42" s="109" t="s">
        <v>173</v>
      </c>
      <c r="C42" s="18">
        <f>267.89*0.0956*4/108</f>
        <v>0.94852903703703706</v>
      </c>
      <c r="E42" s="95">
        <f>267.89*0.0956*4/108</f>
        <v>0.94852903703703706</v>
      </c>
    </row>
    <row r="43" spans="1:5" x14ac:dyDescent="0.25">
      <c r="A43" s="59"/>
      <c r="B43" s="108" t="s">
        <v>358</v>
      </c>
      <c r="C43" s="18"/>
    </row>
    <row r="44" spans="1:5" ht="47.25" x14ac:dyDescent="0.25">
      <c r="A44" s="23" t="s">
        <v>36</v>
      </c>
      <c r="B44" s="108" t="s">
        <v>191</v>
      </c>
      <c r="C44" s="18">
        <f>1200*0.0956*4/108</f>
        <v>4.2488888888888887</v>
      </c>
      <c r="E44" s="95">
        <f>1200*0.0956*4/108</f>
        <v>4.2488888888888887</v>
      </c>
    </row>
    <row r="45" spans="1:5" x14ac:dyDescent="0.25">
      <c r="A45" s="59"/>
      <c r="B45" s="108" t="s">
        <v>359</v>
      </c>
      <c r="C45" s="18"/>
    </row>
    <row r="46" spans="1:5" ht="63" x14ac:dyDescent="0.25">
      <c r="A46" s="23">
        <v>2261</v>
      </c>
      <c r="B46" s="108" t="s">
        <v>178</v>
      </c>
      <c r="C46" s="18">
        <f>16884.6*0.0956*4/108</f>
        <v>59.783991111111114</v>
      </c>
      <c r="E46" s="95">
        <f>16884.6*0.0956*4/108</f>
        <v>59.783991111111114</v>
      </c>
    </row>
    <row r="47" spans="1:5" x14ac:dyDescent="0.25">
      <c r="A47" s="59"/>
      <c r="B47" s="108" t="s">
        <v>360</v>
      </c>
      <c r="C47" s="18"/>
    </row>
    <row r="48" spans="1:5" ht="47.25" customHeight="1" x14ac:dyDescent="0.25">
      <c r="A48" s="23">
        <v>2262</v>
      </c>
      <c r="B48" s="109" t="s">
        <v>252</v>
      </c>
      <c r="C48" s="18">
        <f>20211.84*0.0956*4/108</f>
        <v>71.564885333333336</v>
      </c>
      <c r="E48" s="95">
        <f>20211.84*0.0956*4/108</f>
        <v>71.564885333333336</v>
      </c>
    </row>
    <row r="49" spans="1:5" x14ac:dyDescent="0.25">
      <c r="A49" s="59"/>
      <c r="B49" s="108" t="s">
        <v>361</v>
      </c>
      <c r="C49" s="18"/>
    </row>
    <row r="50" spans="1:5" ht="47.25" customHeight="1" x14ac:dyDescent="0.25">
      <c r="A50" s="23" t="s">
        <v>40</v>
      </c>
      <c r="B50" s="109" t="s">
        <v>253</v>
      </c>
      <c r="C50" s="18">
        <f>4564.197*0.0956*4/108</f>
        <v>16.160638266666666</v>
      </c>
      <c r="E50" s="95">
        <f>4564.197*0.0956*4/108</f>
        <v>16.160638266666666</v>
      </c>
    </row>
    <row r="51" spans="1:5" x14ac:dyDescent="0.25">
      <c r="A51" s="59"/>
      <c r="B51" s="110" t="s">
        <v>362</v>
      </c>
      <c r="C51" s="18"/>
    </row>
    <row r="52" spans="1:5" ht="48" customHeight="1" x14ac:dyDescent="0.25">
      <c r="A52" s="23" t="s">
        <v>26</v>
      </c>
      <c r="B52" s="109" t="s">
        <v>266</v>
      </c>
      <c r="C52" s="18">
        <f>1015*0.0956*4/108</f>
        <v>3.5938518518518521</v>
      </c>
      <c r="E52" s="95">
        <f>1015*0.0956*4/108</f>
        <v>3.5938518518518521</v>
      </c>
    </row>
    <row r="53" spans="1:5" x14ac:dyDescent="0.25">
      <c r="A53" s="59"/>
      <c r="B53" s="108" t="s">
        <v>363</v>
      </c>
      <c r="C53" s="18"/>
    </row>
    <row r="54" spans="1:5" ht="78.75" x14ac:dyDescent="0.25">
      <c r="A54" s="23">
        <v>5220</v>
      </c>
      <c r="B54" s="108" t="s">
        <v>181</v>
      </c>
      <c r="C54" s="18">
        <f>4/108*1331/60*12*0.0956</f>
        <v>0.94254518518518504</v>
      </c>
      <c r="E54" s="95">
        <f>4/108*1331/60*12*0.0956</f>
        <v>0.94254518518518504</v>
      </c>
    </row>
    <row r="55" spans="1:5" x14ac:dyDescent="0.25">
      <c r="A55" s="38"/>
      <c r="B55" s="12" t="s">
        <v>364</v>
      </c>
      <c r="C55" s="112"/>
    </row>
    <row r="56" spans="1:5" x14ac:dyDescent="0.25">
      <c r="A56" s="40"/>
      <c r="B56" s="86" t="s">
        <v>46</v>
      </c>
      <c r="C56" s="71">
        <f>SUM(C32:C55)</f>
        <v>394.8374486740741</v>
      </c>
    </row>
    <row r="57" spans="1:5" x14ac:dyDescent="0.25">
      <c r="A57" s="43"/>
      <c r="B57" s="44" t="s">
        <v>47</v>
      </c>
      <c r="C57" s="72">
        <f>C56+C30</f>
        <v>1932.6611170117365</v>
      </c>
    </row>
    <row r="58" spans="1:5" x14ac:dyDescent="0.25">
      <c r="A58" s="46"/>
      <c r="B58" s="47" t="s">
        <v>48</v>
      </c>
      <c r="C58" s="73">
        <f>C57/C60</f>
        <v>483.16527925293411</v>
      </c>
    </row>
    <row r="59" spans="1:5" x14ac:dyDescent="0.25">
      <c r="B59" s="2"/>
      <c r="C59" s="2"/>
    </row>
    <row r="60" spans="1:5" x14ac:dyDescent="0.25">
      <c r="B60" s="49" t="s">
        <v>49</v>
      </c>
      <c r="C60" s="50">
        <f>B4</f>
        <v>4</v>
      </c>
    </row>
    <row r="61" spans="1:5" ht="33.75" customHeight="1" x14ac:dyDescent="0.25">
      <c r="B61" s="78" t="s">
        <v>138</v>
      </c>
      <c r="C61" s="48">
        <f>C58</f>
        <v>483.16527925293411</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B21BF-0342-4E6E-B8F7-CDACE3121F74}">
  <dimension ref="A1:E61"/>
  <sheetViews>
    <sheetView view="pageBreakPreview" topLeftCell="A32" zoomScale="60" zoomScaleNormal="100" workbookViewId="0">
      <selection activeCell="M50" sqref="M50"/>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129</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270</v>
      </c>
      <c r="C8" s="14">
        <f>(1690+1420)/2/21/8/11*12*4</f>
        <v>40.38961038961039</v>
      </c>
      <c r="E8" s="95">
        <f>(1690+1420)/2/21/8/11*12*4</f>
        <v>40.38961038961039</v>
      </c>
    </row>
    <row r="9" spans="1:5" x14ac:dyDescent="0.25">
      <c r="A9" s="55"/>
      <c r="B9" s="100" t="s">
        <v>329</v>
      </c>
      <c r="C9" s="14"/>
    </row>
    <row r="10" spans="1:5" ht="63" x14ac:dyDescent="0.25">
      <c r="A10" s="22" t="s">
        <v>13</v>
      </c>
      <c r="B10" s="100" t="s">
        <v>235</v>
      </c>
      <c r="C10" s="14">
        <f>80*1</f>
        <v>80</v>
      </c>
      <c r="E10" s="95">
        <f>80*1</f>
        <v>80</v>
      </c>
    </row>
    <row r="11" spans="1:5" x14ac:dyDescent="0.25">
      <c r="A11" s="55"/>
      <c r="B11" s="100" t="s">
        <v>330</v>
      </c>
      <c r="C11" s="14"/>
    </row>
    <row r="12" spans="1:5" ht="95.25" customHeight="1" x14ac:dyDescent="0.25">
      <c r="A12" s="22">
        <v>1119</v>
      </c>
      <c r="B12" s="102" t="s">
        <v>255</v>
      </c>
      <c r="C12" s="14">
        <f>(1690+1420)/2/21/8/11*12*2</f>
        <v>20.194805194805195</v>
      </c>
      <c r="D12" s="33"/>
      <c r="E12" s="95">
        <f>(1690+1420)/2/21/8/11*12*2</f>
        <v>20.194805194805195</v>
      </c>
    </row>
    <row r="13" spans="1:5" x14ac:dyDescent="0.25">
      <c r="A13" s="55"/>
      <c r="B13" s="122" t="s">
        <v>324</v>
      </c>
      <c r="C13" s="14"/>
    </row>
    <row r="14" spans="1:5" x14ac:dyDescent="0.25">
      <c r="A14" s="22">
        <v>1210</v>
      </c>
      <c r="B14" s="122" t="s">
        <v>15</v>
      </c>
      <c r="C14" s="14">
        <f>(40.39+80+20.2)*0.2359</f>
        <v>33.165181000000004</v>
      </c>
      <c r="E14" s="95">
        <f>(40.39+80+20.2)*0.2359</f>
        <v>33.165181000000004</v>
      </c>
    </row>
    <row r="15" spans="1:5" x14ac:dyDescent="0.25">
      <c r="A15" s="22"/>
      <c r="B15" s="122" t="s">
        <v>236</v>
      </c>
      <c r="C15" s="14"/>
    </row>
    <row r="16" spans="1:5" ht="47.25" x14ac:dyDescent="0.25">
      <c r="A16" s="22" t="s">
        <v>16</v>
      </c>
      <c r="B16" s="100" t="s">
        <v>127</v>
      </c>
      <c r="C16" s="14">
        <f>16.66*1</f>
        <v>16.66</v>
      </c>
      <c r="E16" s="95">
        <f>16.66*1</f>
        <v>16.66</v>
      </c>
    </row>
    <row r="17" spans="1:5" x14ac:dyDescent="0.25">
      <c r="A17" s="55"/>
      <c r="B17" s="100" t="s">
        <v>331</v>
      </c>
      <c r="C17" s="14"/>
    </row>
    <row r="18" spans="1:5" ht="31.5" x14ac:dyDescent="0.25">
      <c r="A18" s="22" t="s">
        <v>19</v>
      </c>
      <c r="B18" s="100" t="s">
        <v>256</v>
      </c>
      <c r="C18" s="14">
        <f>42*1</f>
        <v>42</v>
      </c>
      <c r="E18" s="95">
        <f>42*1</f>
        <v>42</v>
      </c>
    </row>
    <row r="19" spans="1:5" x14ac:dyDescent="0.25">
      <c r="A19" s="55"/>
      <c r="B19" s="100" t="s">
        <v>365</v>
      </c>
      <c r="C19" s="14"/>
    </row>
    <row r="20" spans="1:5" ht="31.5" x14ac:dyDescent="0.25">
      <c r="A20" s="22" t="s">
        <v>21</v>
      </c>
      <c r="B20" s="100" t="s">
        <v>153</v>
      </c>
      <c r="C20" s="14">
        <f>2.4*1.5*1</f>
        <v>3.5999999999999996</v>
      </c>
      <c r="E20" s="95">
        <f>2.4*1.5*1</f>
        <v>3.5999999999999996</v>
      </c>
    </row>
    <row r="21" spans="1:5" x14ac:dyDescent="0.25">
      <c r="A21" s="55"/>
      <c r="B21" s="100" t="s">
        <v>67</v>
      </c>
      <c r="C21" s="14"/>
    </row>
    <row r="22" spans="1:5" ht="31.5" x14ac:dyDescent="0.25">
      <c r="A22" s="22">
        <v>2341</v>
      </c>
      <c r="B22" s="100" t="s">
        <v>238</v>
      </c>
      <c r="C22" s="14">
        <f>66.03*1</f>
        <v>66.03</v>
      </c>
      <c r="E22" s="95">
        <f>66.03*1</f>
        <v>66.03</v>
      </c>
    </row>
    <row r="23" spans="1:5" x14ac:dyDescent="0.25">
      <c r="A23" s="55"/>
      <c r="B23" s="100" t="s">
        <v>333</v>
      </c>
      <c r="C23" s="14"/>
    </row>
    <row r="24" spans="1:5" ht="31.5" x14ac:dyDescent="0.25">
      <c r="A24" s="22" t="s">
        <v>26</v>
      </c>
      <c r="B24" s="100" t="s">
        <v>27</v>
      </c>
      <c r="C24" s="14">
        <f>0.0275*1*1</f>
        <v>2.75E-2</v>
      </c>
      <c r="E24" s="95">
        <f>0.0275*1*1</f>
        <v>2.75E-2</v>
      </c>
    </row>
    <row r="25" spans="1:5" x14ac:dyDescent="0.25">
      <c r="A25" s="55"/>
      <c r="B25" s="100" t="s">
        <v>334</v>
      </c>
      <c r="C25" s="14"/>
    </row>
    <row r="26" spans="1:5" ht="31.5" customHeight="1" x14ac:dyDescent="0.25">
      <c r="A26" s="22">
        <v>2350</v>
      </c>
      <c r="B26" s="100" t="s">
        <v>248</v>
      </c>
      <c r="C26" s="14">
        <f>0.05*10*1</f>
        <v>0.5</v>
      </c>
      <c r="E26" s="95">
        <f>0.05*10*1</f>
        <v>0.5</v>
      </c>
    </row>
    <row r="27" spans="1:5" x14ac:dyDescent="0.25">
      <c r="A27" s="56"/>
      <c r="B27" s="92" t="s">
        <v>163</v>
      </c>
      <c r="C27" s="14"/>
    </row>
    <row r="28" spans="1:5" ht="32.25" customHeight="1" x14ac:dyDescent="0.25">
      <c r="A28" s="56"/>
      <c r="B28" s="129" t="s">
        <v>246</v>
      </c>
      <c r="C28" s="14">
        <f>0.13*1</f>
        <v>0.13</v>
      </c>
      <c r="E28" s="95">
        <f>0.13*1</f>
        <v>0.13</v>
      </c>
    </row>
    <row r="29" spans="1:5" ht="15" customHeight="1" x14ac:dyDescent="0.25">
      <c r="A29" s="56"/>
      <c r="B29" s="94" t="s">
        <v>335</v>
      </c>
      <c r="C29" s="105"/>
    </row>
    <row r="30" spans="1:5" x14ac:dyDescent="0.25">
      <c r="A30" s="57"/>
      <c r="B30" s="84"/>
      <c r="C30" s="35">
        <f>SUM(C8:C28)</f>
        <v>302.69709658441553</v>
      </c>
    </row>
    <row r="31" spans="1:5" x14ac:dyDescent="0.25">
      <c r="A31" s="58"/>
      <c r="B31" s="85" t="s">
        <v>1</v>
      </c>
      <c r="C31" s="111"/>
    </row>
    <row r="32" spans="1:5" ht="78.75" x14ac:dyDescent="0.25">
      <c r="A32" s="23">
        <v>1119</v>
      </c>
      <c r="B32" s="108" t="s">
        <v>145</v>
      </c>
      <c r="C32" s="130">
        <f>2011*12*0.0956*1/108</f>
        <v>21.36128888888889</v>
      </c>
      <c r="E32" s="95">
        <f>2011*12*0.0956*1/108</f>
        <v>21.36128888888889</v>
      </c>
    </row>
    <row r="33" spans="1:5" x14ac:dyDescent="0.25">
      <c r="A33" s="59"/>
      <c r="B33" s="108" t="s">
        <v>336</v>
      </c>
      <c r="C33" s="130"/>
    </row>
    <row r="34" spans="1:5" x14ac:dyDescent="0.25">
      <c r="A34" s="23" t="s">
        <v>31</v>
      </c>
      <c r="B34" s="110" t="s">
        <v>15</v>
      </c>
      <c r="C34" s="130">
        <f>21.36*0.2359</f>
        <v>5.038824</v>
      </c>
      <c r="D34" s="33"/>
      <c r="E34" s="95">
        <f>21.36*0.2359</f>
        <v>5.038824</v>
      </c>
    </row>
    <row r="35" spans="1:5" x14ac:dyDescent="0.25">
      <c r="A35" s="23"/>
      <c r="B35" s="110" t="s">
        <v>168</v>
      </c>
      <c r="C35" s="130"/>
      <c r="D35" s="33"/>
    </row>
    <row r="36" spans="1:5" ht="63" customHeight="1" x14ac:dyDescent="0.25">
      <c r="A36" s="23" t="s">
        <v>16</v>
      </c>
      <c r="B36" s="109" t="s">
        <v>32</v>
      </c>
      <c r="C36" s="130">
        <f>1097.88*0.0956*1/108</f>
        <v>0.97182711111111131</v>
      </c>
      <c r="E36" s="95">
        <f>1097.88*0.0956*1/108</f>
        <v>0.97182711111111131</v>
      </c>
    </row>
    <row r="37" spans="1:5" x14ac:dyDescent="0.25">
      <c r="A37" s="59"/>
      <c r="B37" s="108" t="s">
        <v>337</v>
      </c>
      <c r="C37" s="130"/>
    </row>
    <row r="38" spans="1:5" ht="78.75" x14ac:dyDescent="0.25">
      <c r="A38" s="23">
        <v>1119</v>
      </c>
      <c r="B38" s="108" t="s">
        <v>257</v>
      </c>
      <c r="C38" s="130">
        <f>3015*12*0.0956*1/108</f>
        <v>32.026000000000003</v>
      </c>
      <c r="E38" s="95">
        <f>3015*12*0.0956*1/108</f>
        <v>32.026000000000003</v>
      </c>
    </row>
    <row r="39" spans="1:5" x14ac:dyDescent="0.25">
      <c r="A39" s="23"/>
      <c r="B39" s="108" t="s">
        <v>170</v>
      </c>
      <c r="C39" s="130"/>
    </row>
    <row r="40" spans="1:5" ht="17.25" customHeight="1" x14ac:dyDescent="0.25">
      <c r="A40" s="23" t="s">
        <v>31</v>
      </c>
      <c r="B40" s="128" t="s">
        <v>15</v>
      </c>
      <c r="C40" s="130">
        <f>32.03*0.2359</f>
        <v>7.5558770000000006</v>
      </c>
      <c r="D40" s="33"/>
      <c r="E40" s="95">
        <f>32.03*0.2359</f>
        <v>7.5558770000000006</v>
      </c>
    </row>
    <row r="41" spans="1:5" ht="18" customHeight="1" x14ac:dyDescent="0.25">
      <c r="A41" s="23"/>
      <c r="B41" s="128" t="s">
        <v>225</v>
      </c>
      <c r="C41" s="130"/>
      <c r="D41" s="33"/>
    </row>
    <row r="42" spans="1:5" ht="49.5" customHeight="1" x14ac:dyDescent="0.25">
      <c r="A42" s="23" t="s">
        <v>34</v>
      </c>
      <c r="B42" s="109" t="s">
        <v>173</v>
      </c>
      <c r="C42" s="130">
        <f>267.89*0.0956*1/108</f>
        <v>0.23713225925925926</v>
      </c>
      <c r="E42" s="95">
        <f>267.89*0.0956*1/108</f>
        <v>0.23713225925925926</v>
      </c>
    </row>
    <row r="43" spans="1:5" x14ac:dyDescent="0.25">
      <c r="A43" s="59"/>
      <c r="B43" s="108" t="s">
        <v>339</v>
      </c>
      <c r="C43" s="130"/>
    </row>
    <row r="44" spans="1:5" ht="47.25" x14ac:dyDescent="0.25">
      <c r="A44" s="23" t="s">
        <v>36</v>
      </c>
      <c r="B44" s="108" t="s">
        <v>191</v>
      </c>
      <c r="C44" s="130">
        <f>1200*0.0956*1/108</f>
        <v>1.0622222222222222</v>
      </c>
      <c r="E44" s="95">
        <f>1200*0.0956*1/108</f>
        <v>1.0622222222222222</v>
      </c>
    </row>
    <row r="45" spans="1:5" x14ac:dyDescent="0.25">
      <c r="A45" s="59"/>
      <c r="B45" s="108" t="s">
        <v>340</v>
      </c>
      <c r="C45" s="130"/>
    </row>
    <row r="46" spans="1:5" ht="63" x14ac:dyDescent="0.25">
      <c r="A46" s="23">
        <v>2261</v>
      </c>
      <c r="B46" s="108" t="s">
        <v>178</v>
      </c>
      <c r="C46" s="130">
        <f>19884.6*0.0956*1/108</f>
        <v>17.601553333333332</v>
      </c>
      <c r="E46" s="95">
        <f>19884.6*0.0956*1/108</f>
        <v>17.601553333333332</v>
      </c>
    </row>
    <row r="47" spans="1:5" x14ac:dyDescent="0.25">
      <c r="A47" s="59"/>
      <c r="B47" s="108" t="s">
        <v>341</v>
      </c>
      <c r="C47" s="130"/>
    </row>
    <row r="48" spans="1:5" ht="50.25" customHeight="1" x14ac:dyDescent="0.25">
      <c r="A48" s="23">
        <v>2262</v>
      </c>
      <c r="B48" s="109" t="s">
        <v>177</v>
      </c>
      <c r="C48" s="130">
        <f>20211.84*0.0956*1/108</f>
        <v>17.891221333333334</v>
      </c>
      <c r="E48" s="95">
        <f>20211.84*0.0956*1/108</f>
        <v>17.891221333333334</v>
      </c>
    </row>
    <row r="49" spans="1:5" x14ac:dyDescent="0.25">
      <c r="A49" s="59"/>
      <c r="B49" s="108" t="s">
        <v>342</v>
      </c>
      <c r="C49" s="130"/>
    </row>
    <row r="50" spans="1:5" ht="48" customHeight="1" x14ac:dyDescent="0.25">
      <c r="A50" s="23" t="s">
        <v>40</v>
      </c>
      <c r="B50" s="109" t="s">
        <v>180</v>
      </c>
      <c r="C50" s="130">
        <f>4564.197*0.0956*1/108</f>
        <v>4.0401595666666665</v>
      </c>
      <c r="E50" s="95">
        <f>4564.197*0.0956*1/108</f>
        <v>4.0401595666666665</v>
      </c>
    </row>
    <row r="51" spans="1:5" x14ac:dyDescent="0.25">
      <c r="A51" s="59"/>
      <c r="B51" s="110" t="s">
        <v>343</v>
      </c>
      <c r="C51" s="130"/>
    </row>
    <row r="52" spans="1:5" ht="48" customHeight="1" x14ac:dyDescent="0.25">
      <c r="A52" s="23" t="s">
        <v>26</v>
      </c>
      <c r="B52" s="109" t="s">
        <v>182</v>
      </c>
      <c r="C52" s="130">
        <f>1015*0.0956*1/108</f>
        <v>0.89846296296296302</v>
      </c>
      <c r="E52" s="95">
        <f>1015*0.0956*1/108</f>
        <v>0.89846296296296302</v>
      </c>
    </row>
    <row r="53" spans="1:5" x14ac:dyDescent="0.25">
      <c r="A53" s="59"/>
      <c r="B53" s="108" t="s">
        <v>344</v>
      </c>
      <c r="C53" s="130"/>
    </row>
    <row r="54" spans="1:5" ht="78.75" x14ac:dyDescent="0.25">
      <c r="A54" s="23">
        <v>5220</v>
      </c>
      <c r="B54" s="108" t="s">
        <v>181</v>
      </c>
      <c r="C54" s="130">
        <f>1/108*1331/60*12*0.0956</f>
        <v>0.23563629629629626</v>
      </c>
      <c r="E54" s="95">
        <f>1/108*1331/60*12*0.0956</f>
        <v>0.23563629629629626</v>
      </c>
    </row>
    <row r="55" spans="1:5" x14ac:dyDescent="0.25">
      <c r="A55" s="38"/>
      <c r="B55" s="12" t="s">
        <v>345</v>
      </c>
      <c r="C55" s="112"/>
    </row>
    <row r="56" spans="1:5" x14ac:dyDescent="0.25">
      <c r="A56" s="40"/>
      <c r="B56" s="41" t="s">
        <v>46</v>
      </c>
      <c r="C56" s="42">
        <f>SUM(C32:C55)</f>
        <v>108.92020497407405</v>
      </c>
    </row>
    <row r="57" spans="1:5" x14ac:dyDescent="0.25">
      <c r="A57" s="43"/>
      <c r="B57" s="44" t="s">
        <v>47</v>
      </c>
      <c r="C57" s="45">
        <f>C56+C30</f>
        <v>411.6173015584896</v>
      </c>
    </row>
    <row r="58" spans="1:5" x14ac:dyDescent="0.25">
      <c r="A58" s="46"/>
      <c r="B58" s="47" t="s">
        <v>48</v>
      </c>
      <c r="C58" s="48">
        <f>C57/C60</f>
        <v>411.6173015584896</v>
      </c>
    </row>
    <row r="59" spans="1:5" x14ac:dyDescent="0.25">
      <c r="B59" s="2"/>
      <c r="C59" s="2"/>
    </row>
    <row r="60" spans="1:5" x14ac:dyDescent="0.25">
      <c r="B60" s="49" t="s">
        <v>49</v>
      </c>
      <c r="C60" s="50">
        <f>B4</f>
        <v>1</v>
      </c>
    </row>
    <row r="61" spans="1:5" ht="32.25" customHeight="1" x14ac:dyDescent="0.25">
      <c r="B61" s="78" t="s">
        <v>138</v>
      </c>
      <c r="C61" s="48">
        <f>C58</f>
        <v>411.6173015584896</v>
      </c>
    </row>
  </sheetData>
  <mergeCells count="1">
    <mergeCell ref="A1:C1"/>
  </mergeCells>
  <pageMargins left="0.7" right="0.7" top="0.75" bottom="0.75" header="0.3" footer="0.3"/>
  <pageSetup paperSize="9" scale="5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9C272-01FC-4895-AA34-9C3C4806FA67}">
  <dimension ref="A1:E68"/>
  <sheetViews>
    <sheetView view="pageBreakPreview" topLeftCell="A44" zoomScale="60" zoomScaleNormal="100" workbookViewId="0">
      <selection activeCell="C59" sqref="C59"/>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130</v>
      </c>
    </row>
    <row r="3" spans="1:5" x14ac:dyDescent="0.25">
      <c r="A3" s="5" t="s">
        <v>5</v>
      </c>
      <c r="B3" s="5" t="s">
        <v>6</v>
      </c>
    </row>
    <row r="4" spans="1:5" ht="48.75" customHeight="1" x14ac:dyDescent="0.25">
      <c r="A4" s="25" t="s">
        <v>7</v>
      </c>
      <c r="B4" s="29">
        <v>2</v>
      </c>
    </row>
    <row r="6" spans="1:5" ht="68.25" customHeight="1" x14ac:dyDescent="0.25">
      <c r="A6" s="7" t="s">
        <v>8</v>
      </c>
      <c r="B6" s="82" t="s">
        <v>9</v>
      </c>
      <c r="C6" s="9" t="s">
        <v>10</v>
      </c>
    </row>
    <row r="7" spans="1:5" x14ac:dyDescent="0.25">
      <c r="A7" s="30"/>
      <c r="B7" s="83" t="s">
        <v>0</v>
      </c>
      <c r="C7" s="104"/>
    </row>
    <row r="8" spans="1:5" ht="94.5" x14ac:dyDescent="0.25">
      <c r="A8" s="22" t="s">
        <v>11</v>
      </c>
      <c r="B8" s="100" t="s">
        <v>271</v>
      </c>
      <c r="C8" s="14">
        <f>(1690+1420)/2/21/8/11*12*8</f>
        <v>80.779220779220779</v>
      </c>
      <c r="E8" s="95">
        <f>(1690+1420)/2/21/8/11*12*8</f>
        <v>80.779220779220779</v>
      </c>
    </row>
    <row r="9" spans="1:5" x14ac:dyDescent="0.25">
      <c r="A9" s="55"/>
      <c r="B9" s="100" t="s">
        <v>348</v>
      </c>
      <c r="C9" s="14"/>
    </row>
    <row r="10" spans="1:5" ht="63" x14ac:dyDescent="0.25">
      <c r="A10" s="22" t="s">
        <v>13</v>
      </c>
      <c r="B10" s="100" t="s">
        <v>235</v>
      </c>
      <c r="C10" s="14">
        <f>80*2</f>
        <v>160</v>
      </c>
      <c r="E10" s="95">
        <f>80*2</f>
        <v>160</v>
      </c>
    </row>
    <row r="11" spans="1:5" x14ac:dyDescent="0.25">
      <c r="A11" s="55"/>
      <c r="B11" s="100" t="s">
        <v>366</v>
      </c>
      <c r="C11" s="14"/>
    </row>
    <row r="12" spans="1:5" ht="98.25" customHeight="1" x14ac:dyDescent="0.25">
      <c r="A12" s="22">
        <v>1119</v>
      </c>
      <c r="B12" s="102" t="s">
        <v>258</v>
      </c>
      <c r="C12" s="14">
        <f>(1690+1420)/2/21/8/11*12*4</f>
        <v>40.38961038961039</v>
      </c>
      <c r="E12" s="95">
        <f>(1690+1420)/2/21/8/11*12*4</f>
        <v>40.38961038961039</v>
      </c>
    </row>
    <row r="13" spans="1:5" x14ac:dyDescent="0.25">
      <c r="A13" s="55"/>
      <c r="B13" s="122" t="s">
        <v>329</v>
      </c>
      <c r="C13" s="14"/>
    </row>
    <row r="14" spans="1:5" x14ac:dyDescent="0.25">
      <c r="A14" s="22">
        <v>1210</v>
      </c>
      <c r="B14" s="122" t="s">
        <v>15</v>
      </c>
      <c r="C14" s="14">
        <f>(80.78+160+40.39)*0.2359</f>
        <v>66.32800300000001</v>
      </c>
      <c r="E14" s="95">
        <f>(80.78+160+40.39)*0.2359</f>
        <v>66.32800300000001</v>
      </c>
    </row>
    <row r="15" spans="1:5" x14ac:dyDescent="0.25">
      <c r="A15" s="22"/>
      <c r="B15" s="122" t="s">
        <v>259</v>
      </c>
      <c r="C15" s="14"/>
    </row>
    <row r="16" spans="1:5" ht="47.25" x14ac:dyDescent="0.25">
      <c r="A16" s="22" t="s">
        <v>16</v>
      </c>
      <c r="B16" s="100" t="s">
        <v>127</v>
      </c>
      <c r="C16" s="14">
        <f>16.66*2</f>
        <v>33.32</v>
      </c>
      <c r="E16" s="95">
        <f>16.66*2</f>
        <v>33.32</v>
      </c>
    </row>
    <row r="17" spans="1:5" x14ac:dyDescent="0.25">
      <c r="A17" s="55"/>
      <c r="B17" s="100" t="s">
        <v>367</v>
      </c>
      <c r="C17" s="14"/>
    </row>
    <row r="18" spans="1:5" ht="31.5" x14ac:dyDescent="0.25">
      <c r="A18" s="22" t="s">
        <v>19</v>
      </c>
      <c r="B18" s="100" t="s">
        <v>260</v>
      </c>
      <c r="C18" s="14">
        <f>49.98*2</f>
        <v>99.96</v>
      </c>
      <c r="E18" s="95">
        <f>49.98*2</f>
        <v>99.96</v>
      </c>
    </row>
    <row r="19" spans="1:5" x14ac:dyDescent="0.25">
      <c r="A19" s="55"/>
      <c r="B19" s="100" t="s">
        <v>368</v>
      </c>
      <c r="C19" s="14"/>
    </row>
    <row r="20" spans="1:5" ht="31.5" x14ac:dyDescent="0.25">
      <c r="A20" s="22" t="s">
        <v>21</v>
      </c>
      <c r="B20" s="100" t="s">
        <v>153</v>
      </c>
      <c r="C20" s="14">
        <f>2.4*1.5*2</f>
        <v>7.1999999999999993</v>
      </c>
      <c r="E20" s="95">
        <f>2.4*1.5*2</f>
        <v>7.1999999999999993</v>
      </c>
    </row>
    <row r="21" spans="1:5" x14ac:dyDescent="0.25">
      <c r="A21" s="55"/>
      <c r="B21" s="100" t="s">
        <v>369</v>
      </c>
      <c r="C21" s="14"/>
    </row>
    <row r="22" spans="1:5" ht="31.5" x14ac:dyDescent="0.25">
      <c r="A22" s="22">
        <v>2341</v>
      </c>
      <c r="B22" s="100" t="s">
        <v>261</v>
      </c>
      <c r="C22" s="14">
        <f>66.03*2</f>
        <v>132.06</v>
      </c>
      <c r="E22" s="95">
        <f>66.03*2</f>
        <v>132.06</v>
      </c>
    </row>
    <row r="23" spans="1:5" x14ac:dyDescent="0.25">
      <c r="A23" s="55"/>
      <c r="B23" s="100" t="s">
        <v>370</v>
      </c>
      <c r="C23" s="14"/>
    </row>
    <row r="24" spans="1:5" ht="31.5" x14ac:dyDescent="0.25">
      <c r="A24" s="22" t="s">
        <v>26</v>
      </c>
      <c r="B24" s="100" t="s">
        <v>262</v>
      </c>
      <c r="C24" s="14">
        <f>0.0275*1*2</f>
        <v>5.5E-2</v>
      </c>
      <c r="E24" s="95">
        <f>0.0275*1*2</f>
        <v>5.5E-2</v>
      </c>
    </row>
    <row r="25" spans="1:5" x14ac:dyDescent="0.25">
      <c r="A25" s="55"/>
      <c r="B25" s="100" t="s">
        <v>371</v>
      </c>
      <c r="C25" s="14"/>
    </row>
    <row r="26" spans="1:5" ht="32.25" customHeight="1" x14ac:dyDescent="0.25">
      <c r="A26" s="22">
        <v>2350</v>
      </c>
      <c r="B26" s="102" t="s">
        <v>248</v>
      </c>
      <c r="C26" s="14">
        <f>0.05*10*2</f>
        <v>1</v>
      </c>
      <c r="E26" s="95">
        <f>0.05*10*2</f>
        <v>1</v>
      </c>
    </row>
    <row r="27" spans="1:5" x14ac:dyDescent="0.25">
      <c r="A27" s="56"/>
      <c r="B27" s="92" t="s">
        <v>187</v>
      </c>
      <c r="C27" s="14"/>
    </row>
    <row r="28" spans="1:5" ht="33" customHeight="1" x14ac:dyDescent="0.25">
      <c r="A28" s="56"/>
      <c r="B28" s="129" t="s">
        <v>246</v>
      </c>
      <c r="C28" s="14">
        <f>0.13*2</f>
        <v>0.26</v>
      </c>
      <c r="E28" s="95">
        <f>0.13*2</f>
        <v>0.26</v>
      </c>
    </row>
    <row r="29" spans="1:5" ht="15" customHeight="1" x14ac:dyDescent="0.25">
      <c r="A29" s="56"/>
      <c r="B29" s="94" t="s">
        <v>372</v>
      </c>
      <c r="C29" s="105"/>
    </row>
    <row r="30" spans="1:5" x14ac:dyDescent="0.25">
      <c r="A30" s="57"/>
      <c r="B30" s="84"/>
      <c r="C30" s="35">
        <f>SUM(C8:C28)</f>
        <v>621.35183416883103</v>
      </c>
    </row>
    <row r="31" spans="1:5" x14ac:dyDescent="0.25">
      <c r="A31" s="58"/>
      <c r="B31" s="85" t="s">
        <v>1</v>
      </c>
      <c r="C31" s="111"/>
    </row>
    <row r="32" spans="1:5" ht="78.75" x14ac:dyDescent="0.25">
      <c r="A32" s="23">
        <v>1119</v>
      </c>
      <c r="B32" s="108" t="s">
        <v>215</v>
      </c>
      <c r="C32" s="18">
        <f>2011*12*0.0956*2/108</f>
        <v>42.722577777777779</v>
      </c>
      <c r="D32" s="33"/>
      <c r="E32" s="95">
        <f>2011*12*0.0956*2/108</f>
        <v>42.722577777777779</v>
      </c>
    </row>
    <row r="33" spans="1:5" x14ac:dyDescent="0.25">
      <c r="A33" s="59"/>
      <c r="B33" s="108" t="s">
        <v>373</v>
      </c>
      <c r="C33" s="18"/>
    </row>
    <row r="34" spans="1:5" x14ac:dyDescent="0.25">
      <c r="A34" s="23" t="s">
        <v>31</v>
      </c>
      <c r="B34" s="110" t="s">
        <v>15</v>
      </c>
      <c r="C34" s="18">
        <f>42.72*0.2359</f>
        <v>10.077648</v>
      </c>
      <c r="D34" s="33"/>
      <c r="E34" s="95">
        <f>42.72*0.2359</f>
        <v>10.077648</v>
      </c>
    </row>
    <row r="35" spans="1:5" x14ac:dyDescent="0.25">
      <c r="A35" s="23"/>
      <c r="B35" s="110" t="s">
        <v>263</v>
      </c>
      <c r="C35" s="18"/>
      <c r="D35" s="33"/>
    </row>
    <row r="36" spans="1:5" ht="63" customHeight="1" x14ac:dyDescent="0.25">
      <c r="A36" s="23" t="s">
        <v>16</v>
      </c>
      <c r="B36" s="109" t="s">
        <v>188</v>
      </c>
      <c r="C36" s="18">
        <f>1097.88*0.0956*2/108</f>
        <v>1.9436542222222226</v>
      </c>
      <c r="D36" s="33"/>
      <c r="E36" s="95">
        <f>1097.88*0.0956*2/108</f>
        <v>1.9436542222222226</v>
      </c>
    </row>
    <row r="37" spans="1:5" x14ac:dyDescent="0.25">
      <c r="A37" s="59"/>
      <c r="B37" s="108" t="s">
        <v>374</v>
      </c>
      <c r="C37" s="18"/>
      <c r="D37" s="33"/>
    </row>
    <row r="38" spans="1:5" ht="78.75" x14ac:dyDescent="0.25">
      <c r="A38" s="23">
        <v>1119</v>
      </c>
      <c r="B38" s="108" t="s">
        <v>264</v>
      </c>
      <c r="C38" s="18">
        <f>3015*12*0.0956*2/108</f>
        <v>64.052000000000007</v>
      </c>
      <c r="D38" s="33"/>
      <c r="E38" s="95">
        <f>3015*12*0.0956*2/108</f>
        <v>64.052000000000007</v>
      </c>
    </row>
    <row r="39" spans="1:5" x14ac:dyDescent="0.25">
      <c r="A39" s="23"/>
      <c r="B39" s="108" t="s">
        <v>189</v>
      </c>
      <c r="C39" s="18"/>
      <c r="D39" s="33"/>
    </row>
    <row r="40" spans="1:5" ht="15.75" customHeight="1" x14ac:dyDescent="0.25">
      <c r="A40" s="23" t="s">
        <v>31</v>
      </c>
      <c r="B40" s="128" t="s">
        <v>15</v>
      </c>
      <c r="C40" s="18">
        <f>64.05*0.2359</f>
        <v>15.109394999999999</v>
      </c>
      <c r="D40" s="33"/>
      <c r="E40" s="95">
        <f>64.05*0.2359</f>
        <v>15.109394999999999</v>
      </c>
    </row>
    <row r="41" spans="1:5" ht="15.75" customHeight="1" x14ac:dyDescent="0.25">
      <c r="A41" s="23"/>
      <c r="B41" s="128" t="s">
        <v>265</v>
      </c>
      <c r="C41" s="18"/>
      <c r="D41" s="33"/>
    </row>
    <row r="42" spans="1:5" ht="47.25" customHeight="1" x14ac:dyDescent="0.25">
      <c r="A42" s="23" t="s">
        <v>34</v>
      </c>
      <c r="B42" s="109" t="s">
        <v>173</v>
      </c>
      <c r="C42" s="18">
        <f>267.89*0.0956*2/108</f>
        <v>0.47426451851851853</v>
      </c>
      <c r="D42" s="33"/>
      <c r="E42" s="95">
        <f>267.89*0.0956*2/108</f>
        <v>0.47426451851851853</v>
      </c>
    </row>
    <row r="43" spans="1:5" x14ac:dyDescent="0.25">
      <c r="A43" s="59"/>
      <c r="B43" s="108" t="s">
        <v>375</v>
      </c>
      <c r="C43" s="18"/>
      <c r="D43" s="33"/>
    </row>
    <row r="44" spans="1:5" ht="47.25" x14ac:dyDescent="0.25">
      <c r="A44" s="23" t="s">
        <v>36</v>
      </c>
      <c r="B44" s="108" t="s">
        <v>191</v>
      </c>
      <c r="C44" s="18">
        <f>1200*0.0956*2/108</f>
        <v>2.1244444444444444</v>
      </c>
      <c r="D44" s="33"/>
      <c r="E44" s="95">
        <f>1200*0.0956*2/108</f>
        <v>2.1244444444444444</v>
      </c>
    </row>
    <row r="45" spans="1:5" x14ac:dyDescent="0.25">
      <c r="A45" s="59"/>
      <c r="B45" s="108" t="s">
        <v>376</v>
      </c>
      <c r="C45" s="18"/>
      <c r="D45" s="33"/>
    </row>
    <row r="46" spans="1:5" ht="63" x14ac:dyDescent="0.25">
      <c r="A46" s="23">
        <v>2261</v>
      </c>
      <c r="B46" s="108" t="s">
        <v>178</v>
      </c>
      <c r="C46" s="18">
        <f>19884.6*0.0956*2/108</f>
        <v>35.203106666666663</v>
      </c>
      <c r="D46" s="33"/>
      <c r="E46" s="95">
        <f>19884.6*0.0956*2/108</f>
        <v>35.203106666666663</v>
      </c>
    </row>
    <row r="47" spans="1:5" x14ac:dyDescent="0.25">
      <c r="A47" s="59"/>
      <c r="B47" s="108" t="s">
        <v>377</v>
      </c>
      <c r="C47" s="18"/>
    </row>
    <row r="48" spans="1:5" ht="47.25" customHeight="1" x14ac:dyDescent="0.25">
      <c r="A48" s="23">
        <v>2262</v>
      </c>
      <c r="B48" s="109" t="s">
        <v>177</v>
      </c>
      <c r="C48" s="18">
        <f>20211.84*0.0956*2/108</f>
        <v>35.782442666666668</v>
      </c>
      <c r="D48" s="33"/>
      <c r="E48" s="95">
        <f>20211.84*0.0956*2/108</f>
        <v>35.782442666666668</v>
      </c>
    </row>
    <row r="49" spans="1:5" x14ac:dyDescent="0.25">
      <c r="A49" s="59"/>
      <c r="B49" s="108" t="s">
        <v>378</v>
      </c>
      <c r="C49" s="18"/>
      <c r="D49" s="33"/>
    </row>
    <row r="50" spans="1:5" ht="49.5" customHeight="1" x14ac:dyDescent="0.25">
      <c r="A50" s="23" t="s">
        <v>40</v>
      </c>
      <c r="B50" s="109" t="s">
        <v>227</v>
      </c>
      <c r="C50" s="18">
        <f>4564.197*0.0956*2/108</f>
        <v>8.0803191333333331</v>
      </c>
      <c r="D50" s="33"/>
      <c r="E50" s="95">
        <f>4564.197*0.0956*2/108</f>
        <v>8.0803191333333331</v>
      </c>
    </row>
    <row r="51" spans="1:5" x14ac:dyDescent="0.25">
      <c r="A51" s="59"/>
      <c r="B51" s="110" t="s">
        <v>379</v>
      </c>
      <c r="C51" s="18"/>
    </row>
    <row r="52" spans="1:5" ht="48.75" customHeight="1" x14ac:dyDescent="0.25">
      <c r="A52" s="23" t="s">
        <v>26</v>
      </c>
      <c r="B52" s="109" t="s">
        <v>266</v>
      </c>
      <c r="C52" s="18">
        <f>1015*0.0956*2/108</f>
        <v>1.796925925925926</v>
      </c>
      <c r="D52" s="33"/>
      <c r="E52" s="95">
        <f>1015*0.0956*2/108</f>
        <v>1.796925925925926</v>
      </c>
    </row>
    <row r="53" spans="1:5" x14ac:dyDescent="0.25">
      <c r="A53" s="59"/>
      <c r="B53" s="108" t="s">
        <v>380</v>
      </c>
      <c r="C53" s="18"/>
      <c r="D53" s="33"/>
    </row>
    <row r="54" spans="1:5" ht="78.75" x14ac:dyDescent="0.25">
      <c r="A54" s="23">
        <v>5220</v>
      </c>
      <c r="B54" s="108" t="s">
        <v>181</v>
      </c>
      <c r="C54" s="18">
        <f>2/108*1331/60*12*0.0956</f>
        <v>0.47127259259259252</v>
      </c>
      <c r="D54" s="33"/>
      <c r="E54" s="95">
        <f>2/108*1331/60*12*0.0956</f>
        <v>0.47127259259259252</v>
      </c>
    </row>
    <row r="55" spans="1:5" x14ac:dyDescent="0.25">
      <c r="A55" s="38"/>
      <c r="B55" s="12" t="s">
        <v>381</v>
      </c>
      <c r="C55" s="112"/>
    </row>
    <row r="56" spans="1:5" x14ac:dyDescent="0.25">
      <c r="A56" s="40"/>
      <c r="B56" s="86" t="s">
        <v>46</v>
      </c>
      <c r="C56" s="42">
        <f>SUM(C32:C55)</f>
        <v>217.83805094814815</v>
      </c>
    </row>
    <row r="57" spans="1:5" x14ac:dyDescent="0.25">
      <c r="A57" s="43"/>
      <c r="B57" s="87" t="s">
        <v>47</v>
      </c>
      <c r="C57" s="45">
        <f>C56+C30</f>
        <v>839.18988511697921</v>
      </c>
    </row>
    <row r="58" spans="1:5" x14ac:dyDescent="0.25">
      <c r="A58" s="46"/>
      <c r="B58" s="88" t="s">
        <v>48</v>
      </c>
      <c r="C58" s="48">
        <f>ROUNDUP(C57/C60,2)</f>
        <v>419.59999999999997</v>
      </c>
    </row>
    <row r="59" spans="1:5" x14ac:dyDescent="0.25">
      <c r="B59" s="89"/>
      <c r="C59" s="2"/>
    </row>
    <row r="60" spans="1:5" x14ac:dyDescent="0.25">
      <c r="B60" s="90" t="s">
        <v>49</v>
      </c>
      <c r="C60" s="50">
        <f>B4</f>
        <v>2</v>
      </c>
    </row>
    <row r="61" spans="1:5" ht="32.25" customHeight="1" x14ac:dyDescent="0.25">
      <c r="B61" s="91" t="s">
        <v>320</v>
      </c>
      <c r="C61" s="48">
        <f>C58</f>
        <v>419.59999999999997</v>
      </c>
    </row>
    <row r="62" spans="1:5" x14ac:dyDescent="0.25">
      <c r="B62" s="75"/>
    </row>
    <row r="63" spans="1:5" x14ac:dyDescent="0.25">
      <c r="B63" s="75"/>
    </row>
    <row r="64" spans="1:5" x14ac:dyDescent="0.25">
      <c r="B64" s="75"/>
    </row>
    <row r="65" spans="2:2" x14ac:dyDescent="0.25">
      <c r="B65" s="75"/>
    </row>
    <row r="66" spans="2:2" x14ac:dyDescent="0.25">
      <c r="B66" s="75"/>
    </row>
    <row r="67" spans="2:2" x14ac:dyDescent="0.25">
      <c r="B67" s="75"/>
    </row>
    <row r="68" spans="2:2" x14ac:dyDescent="0.25">
      <c r="B68" s="75"/>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01C40-C5E6-424E-8857-01250DBEDB4A}">
  <dimension ref="A1:E57"/>
  <sheetViews>
    <sheetView view="pageBreakPreview" topLeftCell="A46" zoomScale="60" zoomScaleNormal="100" workbookViewId="0">
      <selection activeCell="C34" sqref="C34"/>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131</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270</v>
      </c>
      <c r="C8" s="14">
        <f>(1690+1420)/2/21/8/11*12*4</f>
        <v>40.38961038961039</v>
      </c>
      <c r="E8" s="95">
        <f>(1690+1420)/2/21/8/11*12*4</f>
        <v>40.38961038961039</v>
      </c>
    </row>
    <row r="9" spans="1:5" x14ac:dyDescent="0.25">
      <c r="A9" s="55"/>
      <c r="B9" s="100" t="s">
        <v>329</v>
      </c>
      <c r="C9" s="14"/>
    </row>
    <row r="10" spans="1:5" ht="63" x14ac:dyDescent="0.25">
      <c r="A10" s="22" t="s">
        <v>13</v>
      </c>
      <c r="B10" s="100" t="s">
        <v>235</v>
      </c>
      <c r="C10" s="14">
        <f>80*1</f>
        <v>80</v>
      </c>
      <c r="E10" s="95">
        <f>80*1</f>
        <v>80</v>
      </c>
    </row>
    <row r="11" spans="1:5" x14ac:dyDescent="0.25">
      <c r="A11" s="55"/>
      <c r="B11" s="100" t="s">
        <v>330</v>
      </c>
      <c r="C11" s="14"/>
    </row>
    <row r="12" spans="1:5" ht="97.5" customHeight="1" x14ac:dyDescent="0.25">
      <c r="A12" s="22">
        <v>1119</v>
      </c>
      <c r="B12" s="102" t="s">
        <v>267</v>
      </c>
      <c r="C12" s="14">
        <f>(1690+1420)/2/21/8/11*12*2</f>
        <v>20.194805194805195</v>
      </c>
      <c r="E12" s="95">
        <f>(1690+1420)/2/21/8/11*12*2</f>
        <v>20.194805194805195</v>
      </c>
    </row>
    <row r="13" spans="1:5" x14ac:dyDescent="0.25">
      <c r="A13" s="55"/>
      <c r="B13" s="122" t="s">
        <v>324</v>
      </c>
      <c r="C13" s="14"/>
    </row>
    <row r="14" spans="1:5" x14ac:dyDescent="0.25">
      <c r="A14" s="22">
        <v>1210</v>
      </c>
      <c r="B14" s="122" t="s">
        <v>15</v>
      </c>
      <c r="C14" s="14">
        <f>(40.39+80+20.2)*0.2359</f>
        <v>33.165181000000004</v>
      </c>
      <c r="E14" s="95">
        <f>(40.39+80+20.2)*0.2359</f>
        <v>33.165181000000004</v>
      </c>
    </row>
    <row r="15" spans="1:5" x14ac:dyDescent="0.25">
      <c r="A15" s="22"/>
      <c r="B15" s="122" t="s">
        <v>236</v>
      </c>
      <c r="C15" s="14"/>
    </row>
    <row r="16" spans="1:5" ht="31.5" x14ac:dyDescent="0.25">
      <c r="A16" s="22" t="s">
        <v>21</v>
      </c>
      <c r="B16" s="100" t="s">
        <v>153</v>
      </c>
      <c r="C16" s="14">
        <f>2.4*1.5*1</f>
        <v>3.5999999999999996</v>
      </c>
      <c r="E16" s="95">
        <f>2.4*1.5*1</f>
        <v>3.5999999999999996</v>
      </c>
    </row>
    <row r="17" spans="1:5" x14ac:dyDescent="0.25">
      <c r="A17" s="55"/>
      <c r="B17" s="100" t="s">
        <v>382</v>
      </c>
      <c r="C17" s="14"/>
    </row>
    <row r="18" spans="1:5" ht="31.5" x14ac:dyDescent="0.25">
      <c r="A18" s="22">
        <v>2341</v>
      </c>
      <c r="B18" s="100" t="s">
        <v>238</v>
      </c>
      <c r="C18" s="14">
        <f>66.03*1</f>
        <v>66.03</v>
      </c>
      <c r="E18" s="95">
        <f>66.03*1</f>
        <v>66.03</v>
      </c>
    </row>
    <row r="19" spans="1:5" x14ac:dyDescent="0.25">
      <c r="A19" s="55"/>
      <c r="B19" s="100" t="s">
        <v>333</v>
      </c>
      <c r="C19" s="14"/>
    </row>
    <row r="20" spans="1:5" ht="31.5" x14ac:dyDescent="0.25">
      <c r="A20" s="22" t="s">
        <v>26</v>
      </c>
      <c r="B20" s="100" t="s">
        <v>296</v>
      </c>
      <c r="C20" s="14">
        <f>0.0275*1*1</f>
        <v>2.75E-2</v>
      </c>
      <c r="E20" s="95">
        <f>0.0275*1*1</f>
        <v>2.75E-2</v>
      </c>
    </row>
    <row r="21" spans="1:5" x14ac:dyDescent="0.25">
      <c r="A21" s="55"/>
      <c r="B21" s="100" t="s">
        <v>334</v>
      </c>
      <c r="C21" s="14"/>
    </row>
    <row r="22" spans="1:5" ht="32.25" customHeight="1" x14ac:dyDescent="0.25">
      <c r="A22" s="22">
        <v>2350</v>
      </c>
      <c r="B22" s="102" t="s">
        <v>248</v>
      </c>
      <c r="C22" s="14">
        <f>0.05*10*1</f>
        <v>0.5</v>
      </c>
      <c r="E22" s="95">
        <f>0.05*10*1</f>
        <v>0.5</v>
      </c>
    </row>
    <row r="23" spans="1:5" x14ac:dyDescent="0.25">
      <c r="A23" s="56"/>
      <c r="B23" s="92" t="s">
        <v>163</v>
      </c>
      <c r="C23" s="14"/>
    </row>
    <row r="24" spans="1:5" ht="34.5" customHeight="1" x14ac:dyDescent="0.25">
      <c r="A24" s="56"/>
      <c r="B24" s="129" t="s">
        <v>246</v>
      </c>
      <c r="C24" s="14">
        <f>0.13*1</f>
        <v>0.13</v>
      </c>
      <c r="E24" s="95">
        <f>0.13*1</f>
        <v>0.13</v>
      </c>
    </row>
    <row r="25" spans="1:5" ht="15" customHeight="1" x14ac:dyDescent="0.25">
      <c r="A25" s="56"/>
      <c r="B25" s="94" t="s">
        <v>335</v>
      </c>
      <c r="C25" s="105"/>
    </row>
    <row r="26" spans="1:5" x14ac:dyDescent="0.25">
      <c r="A26" s="57"/>
      <c r="B26" s="84"/>
      <c r="C26" s="35">
        <f>SUM(C8:C24)</f>
        <v>244.03709658441559</v>
      </c>
    </row>
    <row r="27" spans="1:5" x14ac:dyDescent="0.25">
      <c r="A27" s="58"/>
      <c r="B27" s="85" t="s">
        <v>1</v>
      </c>
      <c r="C27" s="111"/>
    </row>
    <row r="28" spans="1:5" ht="78.75" x14ac:dyDescent="0.25">
      <c r="A28" s="23">
        <v>1119</v>
      </c>
      <c r="B28" s="108" t="s">
        <v>215</v>
      </c>
      <c r="C28" s="18">
        <f>2011*12*0.0956*1/108</f>
        <v>21.36128888888889</v>
      </c>
      <c r="E28" s="95">
        <f>2011*12*0.0956*1/108</f>
        <v>21.36128888888889</v>
      </c>
    </row>
    <row r="29" spans="1:5" x14ac:dyDescent="0.25">
      <c r="A29" s="59"/>
      <c r="B29" s="108" t="s">
        <v>336</v>
      </c>
      <c r="C29" s="18"/>
    </row>
    <row r="30" spans="1:5" x14ac:dyDescent="0.25">
      <c r="A30" s="23" t="s">
        <v>31</v>
      </c>
      <c r="B30" s="110" t="s">
        <v>15</v>
      </c>
      <c r="C30" s="18">
        <f>21.36*0.2359</f>
        <v>5.038824</v>
      </c>
      <c r="D30" s="33"/>
      <c r="E30" s="95">
        <f>21.36*0.2359</f>
        <v>5.038824</v>
      </c>
    </row>
    <row r="31" spans="1:5" x14ac:dyDescent="0.25">
      <c r="A31" s="23"/>
      <c r="B31" s="110" t="s">
        <v>168</v>
      </c>
      <c r="C31" s="18"/>
      <c r="D31" s="33"/>
    </row>
    <row r="32" spans="1:5" ht="65.25" customHeight="1" x14ac:dyDescent="0.25">
      <c r="A32" s="23" t="s">
        <v>16</v>
      </c>
      <c r="B32" s="109" t="s">
        <v>188</v>
      </c>
      <c r="C32" s="18">
        <f>1097.88*0.0956*1/108</f>
        <v>0.97182711111111131</v>
      </c>
      <c r="E32" s="95">
        <f>1097.88*0.0956*1/108</f>
        <v>0.97182711111111131</v>
      </c>
    </row>
    <row r="33" spans="1:5" x14ac:dyDescent="0.25">
      <c r="A33" s="59"/>
      <c r="B33" s="108" t="s">
        <v>337</v>
      </c>
      <c r="C33" s="18"/>
    </row>
    <row r="34" spans="1:5" ht="78.75" x14ac:dyDescent="0.25">
      <c r="A34" s="23">
        <v>1119</v>
      </c>
      <c r="B34" s="134" t="s">
        <v>268</v>
      </c>
      <c r="C34" s="133">
        <f>3015*12*0.0956*1/108</f>
        <v>32.026000000000003</v>
      </c>
      <c r="E34" s="95">
        <f>3015*0.0956*1/108</f>
        <v>2.6688333333333336</v>
      </c>
    </row>
    <row r="35" spans="1:5" x14ac:dyDescent="0.25">
      <c r="A35" s="23"/>
      <c r="B35" s="108" t="s">
        <v>170</v>
      </c>
      <c r="C35" s="18"/>
    </row>
    <row r="36" spans="1:5" ht="15" customHeight="1" x14ac:dyDescent="0.25">
      <c r="A36" s="23" t="s">
        <v>31</v>
      </c>
      <c r="B36" s="110" t="s">
        <v>15</v>
      </c>
      <c r="C36" s="18">
        <f>32.03*0.2359</f>
        <v>7.5558770000000006</v>
      </c>
      <c r="D36" s="33"/>
      <c r="E36" s="95">
        <f>32.03*0.2359</f>
        <v>7.5558770000000006</v>
      </c>
    </row>
    <row r="37" spans="1:5" ht="18" customHeight="1" x14ac:dyDescent="0.25">
      <c r="A37" s="23"/>
      <c r="B37" s="110" t="s">
        <v>225</v>
      </c>
      <c r="C37" s="18"/>
      <c r="D37" s="33"/>
    </row>
    <row r="38" spans="1:5" ht="48.75" customHeight="1" x14ac:dyDescent="0.25">
      <c r="A38" s="23" t="s">
        <v>34</v>
      </c>
      <c r="B38" s="109" t="s">
        <v>173</v>
      </c>
      <c r="C38" s="18">
        <f>267.89*0.0956*1/108</f>
        <v>0.23713225925925926</v>
      </c>
      <c r="E38" s="95">
        <f>267.89*0.0956*1/108</f>
        <v>0.23713225925925926</v>
      </c>
    </row>
    <row r="39" spans="1:5" x14ac:dyDescent="0.25">
      <c r="A39" s="59"/>
      <c r="B39" s="108" t="s">
        <v>339</v>
      </c>
      <c r="C39" s="18"/>
    </row>
    <row r="40" spans="1:5" ht="47.25" x14ac:dyDescent="0.25">
      <c r="A40" s="23" t="s">
        <v>36</v>
      </c>
      <c r="B40" s="108" t="s">
        <v>191</v>
      </c>
      <c r="C40" s="18">
        <f>1200*0.0956*1/108</f>
        <v>1.0622222222222222</v>
      </c>
      <c r="E40" s="95">
        <f>1200*0.0956*1/108</f>
        <v>1.0622222222222222</v>
      </c>
    </row>
    <row r="41" spans="1:5" x14ac:dyDescent="0.25">
      <c r="A41" s="59"/>
      <c r="B41" s="108" t="s">
        <v>340</v>
      </c>
      <c r="C41" s="18"/>
    </row>
    <row r="42" spans="1:5" ht="63" x14ac:dyDescent="0.25">
      <c r="A42" s="23">
        <v>2261</v>
      </c>
      <c r="B42" s="108" t="s">
        <v>178</v>
      </c>
      <c r="C42" s="18">
        <f>19884.6*0.0956*1/108</f>
        <v>17.601553333333332</v>
      </c>
      <c r="E42" s="95">
        <f>19884.6*0.0956*1/108</f>
        <v>17.601553333333332</v>
      </c>
    </row>
    <row r="43" spans="1:5" x14ac:dyDescent="0.25">
      <c r="A43" s="59"/>
      <c r="B43" s="108" t="s">
        <v>341</v>
      </c>
      <c r="C43" s="18"/>
    </row>
    <row r="44" spans="1:5" ht="49.5" customHeight="1" x14ac:dyDescent="0.25">
      <c r="A44" s="23">
        <v>2262</v>
      </c>
      <c r="B44" s="109" t="s">
        <v>177</v>
      </c>
      <c r="C44" s="18">
        <f>20211.84*0.0956*1/108</f>
        <v>17.891221333333334</v>
      </c>
      <c r="E44" s="95">
        <f>20211.84*0.0956*1/108</f>
        <v>17.891221333333334</v>
      </c>
    </row>
    <row r="45" spans="1:5" x14ac:dyDescent="0.25">
      <c r="A45" s="59"/>
      <c r="B45" s="108" t="s">
        <v>342</v>
      </c>
      <c r="C45" s="18"/>
    </row>
    <row r="46" spans="1:5" ht="49.5" customHeight="1" x14ac:dyDescent="0.25">
      <c r="A46" s="23" t="s">
        <v>40</v>
      </c>
      <c r="B46" s="109" t="s">
        <v>180</v>
      </c>
      <c r="C46" s="18">
        <f>4564.197*0.0956*1/108</f>
        <v>4.0401595666666665</v>
      </c>
      <c r="E46" s="95">
        <f>4564.197*0.0956*1/108</f>
        <v>4.0401595666666665</v>
      </c>
    </row>
    <row r="47" spans="1:5" x14ac:dyDescent="0.25">
      <c r="A47" s="59"/>
      <c r="B47" s="110" t="s">
        <v>343</v>
      </c>
      <c r="C47" s="18"/>
    </row>
    <row r="48" spans="1:5" ht="48" customHeight="1" x14ac:dyDescent="0.25">
      <c r="A48" s="23" t="s">
        <v>26</v>
      </c>
      <c r="B48" s="109" t="s">
        <v>266</v>
      </c>
      <c r="C48" s="18">
        <f>1015*0.0956*1/108</f>
        <v>0.89846296296296302</v>
      </c>
      <c r="E48" s="95">
        <f>1015*0.0956*1/108</f>
        <v>0.89846296296296302</v>
      </c>
    </row>
    <row r="49" spans="1:5" x14ac:dyDescent="0.25">
      <c r="A49" s="59"/>
      <c r="B49" s="108" t="s">
        <v>344</v>
      </c>
      <c r="C49" s="18"/>
    </row>
    <row r="50" spans="1:5" ht="78.75" x14ac:dyDescent="0.25">
      <c r="A50" s="23">
        <v>5220</v>
      </c>
      <c r="B50" s="108" t="s">
        <v>44</v>
      </c>
      <c r="C50" s="18">
        <f>1/108*1331/60*12*0.0956</f>
        <v>0.23563629629629626</v>
      </c>
      <c r="E50" s="95">
        <f>1/108*1331/60*12*0.0956</f>
        <v>0.23563629629629626</v>
      </c>
    </row>
    <row r="51" spans="1:5" x14ac:dyDescent="0.25">
      <c r="A51" s="38"/>
      <c r="B51" s="12" t="s">
        <v>345</v>
      </c>
      <c r="C51" s="112"/>
    </row>
    <row r="52" spans="1:5" x14ac:dyDescent="0.25">
      <c r="A52" s="40"/>
      <c r="B52" s="41" t="s">
        <v>46</v>
      </c>
      <c r="C52" s="42">
        <f>SUM(C28:C51)</f>
        <v>108.92020497407405</v>
      </c>
    </row>
    <row r="53" spans="1:5" x14ac:dyDescent="0.25">
      <c r="A53" s="43"/>
      <c r="B53" s="44" t="s">
        <v>47</v>
      </c>
      <c r="C53" s="45">
        <f>C52+C26</f>
        <v>352.95730155848963</v>
      </c>
    </row>
    <row r="54" spans="1:5" x14ac:dyDescent="0.25">
      <c r="A54" s="46"/>
      <c r="B54" s="47" t="s">
        <v>48</v>
      </c>
      <c r="C54" s="48">
        <f>C53/C56</f>
        <v>352.95730155848963</v>
      </c>
    </row>
    <row r="55" spans="1:5" x14ac:dyDescent="0.25">
      <c r="B55" s="2"/>
      <c r="C55" s="2"/>
    </row>
    <row r="56" spans="1:5" x14ac:dyDescent="0.25">
      <c r="B56" s="49" t="s">
        <v>49</v>
      </c>
      <c r="C56" s="50">
        <f>B4</f>
        <v>1</v>
      </c>
    </row>
    <row r="57" spans="1:5" ht="32.25" customHeight="1" x14ac:dyDescent="0.25">
      <c r="B57" s="51" t="s">
        <v>138</v>
      </c>
      <c r="C57" s="48">
        <f>C54</f>
        <v>352.95730155848963</v>
      </c>
    </row>
  </sheetData>
  <mergeCells count="1">
    <mergeCell ref="A1:C1"/>
  </mergeCells>
  <pageMargins left="0.7" right="0.7" top="0.75" bottom="0.75" header="0.3" footer="0.3"/>
  <pageSetup paperSize="9" scale="58" orientation="portrait"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651DD-11C8-4C3B-BD58-3AB90E82110F}">
  <dimension ref="A1:E45"/>
  <sheetViews>
    <sheetView view="pageBreakPreview" topLeftCell="A16" zoomScale="60" zoomScaleNormal="100" workbookViewId="0">
      <selection activeCell="Q30" sqref="Q30"/>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132</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269</v>
      </c>
      <c r="C8" s="14">
        <f>(1690+1420)/2/21/8/11*12*4</f>
        <v>40.38961038961039</v>
      </c>
      <c r="E8" s="95">
        <f>(1690+1420)/2/21/8/11*12*4</f>
        <v>40.38961038961039</v>
      </c>
    </row>
    <row r="9" spans="1:5" x14ac:dyDescent="0.25">
      <c r="A9" s="55"/>
      <c r="B9" s="100" t="s">
        <v>329</v>
      </c>
      <c r="C9" s="106"/>
    </row>
    <row r="10" spans="1:5" x14ac:dyDescent="0.25">
      <c r="A10" s="22">
        <v>1210</v>
      </c>
      <c r="B10" s="122" t="s">
        <v>15</v>
      </c>
      <c r="C10" s="14">
        <f>C8*0.2359</f>
        <v>9.5279090909090911</v>
      </c>
      <c r="E10" s="95">
        <f>40.39*0.2359</f>
        <v>9.5280009999999997</v>
      </c>
    </row>
    <row r="11" spans="1:5" x14ac:dyDescent="0.25">
      <c r="A11" s="22"/>
      <c r="B11" s="122" t="s">
        <v>280</v>
      </c>
      <c r="C11" s="106"/>
    </row>
    <row r="12" spans="1:5" ht="31.5" x14ac:dyDescent="0.25">
      <c r="A12" s="22">
        <v>2279</v>
      </c>
      <c r="B12" s="100" t="s">
        <v>279</v>
      </c>
      <c r="C12" s="106">
        <f>900*1</f>
        <v>900</v>
      </c>
      <c r="E12" s="95">
        <f>900*1</f>
        <v>900</v>
      </c>
    </row>
    <row r="13" spans="1:5" x14ac:dyDescent="0.25">
      <c r="A13" s="55"/>
      <c r="B13" s="100" t="s">
        <v>383</v>
      </c>
      <c r="C13" s="131"/>
    </row>
    <row r="14" spans="1:5" x14ac:dyDescent="0.25">
      <c r="A14" s="57"/>
      <c r="B14" s="84"/>
      <c r="C14" s="120">
        <f>SUM(C8:C13)</f>
        <v>949.91751948051945</v>
      </c>
    </row>
    <row r="15" spans="1:5" x14ac:dyDescent="0.25">
      <c r="A15" s="58"/>
      <c r="B15" s="85" t="s">
        <v>1</v>
      </c>
      <c r="C15" s="111"/>
    </row>
    <row r="16" spans="1:5" ht="78.75" x14ac:dyDescent="0.25">
      <c r="A16" s="23">
        <v>1119</v>
      </c>
      <c r="B16" s="108" t="s">
        <v>215</v>
      </c>
      <c r="C16" s="18">
        <f>2011*12*0.0956*1/108</f>
        <v>21.36128888888889</v>
      </c>
      <c r="E16" s="95">
        <f>2011*12*0.0956*1/108</f>
        <v>21.36128888888889</v>
      </c>
    </row>
    <row r="17" spans="1:5" x14ac:dyDescent="0.25">
      <c r="A17" s="59"/>
      <c r="B17" s="108" t="s">
        <v>336</v>
      </c>
      <c r="C17" s="18"/>
    </row>
    <row r="18" spans="1:5" x14ac:dyDescent="0.25">
      <c r="A18" s="23" t="s">
        <v>31</v>
      </c>
      <c r="B18" s="110" t="s">
        <v>15</v>
      </c>
      <c r="C18" s="18">
        <f>21.36*0.2359</f>
        <v>5.038824</v>
      </c>
      <c r="D18" s="33"/>
      <c r="E18" s="95">
        <f>21.36*0.2359</f>
        <v>5.038824</v>
      </c>
    </row>
    <row r="19" spans="1:5" x14ac:dyDescent="0.25">
      <c r="A19" s="23"/>
      <c r="B19" s="110" t="s">
        <v>168</v>
      </c>
      <c r="C19" s="18"/>
      <c r="D19" s="33"/>
    </row>
    <row r="20" spans="1:5" ht="64.5" customHeight="1" x14ac:dyDescent="0.25">
      <c r="A20" s="23" t="s">
        <v>16</v>
      </c>
      <c r="B20" s="109" t="s">
        <v>188</v>
      </c>
      <c r="C20" s="18">
        <f>1097.88*0.0956*1/108</f>
        <v>0.97182711111111131</v>
      </c>
      <c r="E20" s="95">
        <f>1097.88*0.0956*1/108</f>
        <v>0.97182711111111131</v>
      </c>
    </row>
    <row r="21" spans="1:5" x14ac:dyDescent="0.25">
      <c r="A21" s="59"/>
      <c r="B21" s="108" t="s">
        <v>337</v>
      </c>
      <c r="C21" s="18"/>
    </row>
    <row r="22" spans="1:5" ht="78.75" x14ac:dyDescent="0.25">
      <c r="A22" s="23">
        <v>1119</v>
      </c>
      <c r="B22" s="108" t="s">
        <v>338</v>
      </c>
      <c r="C22" s="18">
        <f>3015*12*0.0956*1/108</f>
        <v>32.026000000000003</v>
      </c>
      <c r="E22" s="95">
        <f>3015*12*0.0956*1/108</f>
        <v>32.026000000000003</v>
      </c>
    </row>
    <row r="23" spans="1:5" x14ac:dyDescent="0.25">
      <c r="A23" s="23"/>
      <c r="B23" s="108" t="s">
        <v>170</v>
      </c>
      <c r="C23" s="18"/>
    </row>
    <row r="24" spans="1:5" ht="16.5" customHeight="1" x14ac:dyDescent="0.25">
      <c r="A24" s="23" t="s">
        <v>31</v>
      </c>
      <c r="B24" s="108" t="s">
        <v>15</v>
      </c>
      <c r="C24" s="18">
        <f>32.03*0.2359</f>
        <v>7.5558770000000006</v>
      </c>
      <c r="D24" s="33"/>
      <c r="E24" s="95">
        <f>32.03*0.2359</f>
        <v>7.5558770000000006</v>
      </c>
    </row>
    <row r="25" spans="1:5" ht="18.75" customHeight="1" x14ac:dyDescent="0.25">
      <c r="A25" s="23"/>
      <c r="B25" s="108" t="s">
        <v>225</v>
      </c>
      <c r="C25" s="18"/>
      <c r="D25" s="33"/>
    </row>
    <row r="26" spans="1:5" ht="48" customHeight="1" x14ac:dyDescent="0.25">
      <c r="A26" s="23" t="s">
        <v>34</v>
      </c>
      <c r="B26" s="109" t="s">
        <v>173</v>
      </c>
      <c r="C26" s="18">
        <f>267.89*0.0956*1/108</f>
        <v>0.23713225925925926</v>
      </c>
      <c r="E26" s="95">
        <f>267.89*0.0956*1/108</f>
        <v>0.23713225925925926</v>
      </c>
    </row>
    <row r="27" spans="1:5" x14ac:dyDescent="0.25">
      <c r="A27" s="59"/>
      <c r="B27" s="108" t="s">
        <v>339</v>
      </c>
      <c r="C27" s="18"/>
    </row>
    <row r="28" spans="1:5" ht="47.25" x14ac:dyDescent="0.25">
      <c r="A28" s="23" t="s">
        <v>36</v>
      </c>
      <c r="B28" s="108" t="s">
        <v>191</v>
      </c>
      <c r="C28" s="18">
        <f>1200*0.0956*1/108</f>
        <v>1.0622222222222222</v>
      </c>
      <c r="E28" s="95">
        <f>1200*0.0956*1/108</f>
        <v>1.0622222222222222</v>
      </c>
    </row>
    <row r="29" spans="1:5" x14ac:dyDescent="0.25">
      <c r="A29" s="59"/>
      <c r="B29" s="108" t="s">
        <v>340</v>
      </c>
      <c r="C29" s="18"/>
    </row>
    <row r="30" spans="1:5" ht="63" x14ac:dyDescent="0.25">
      <c r="A30" s="23">
        <v>2261</v>
      </c>
      <c r="B30" s="108" t="s">
        <v>178</v>
      </c>
      <c r="C30" s="18">
        <f>19884.6*0.0956*1/108</f>
        <v>17.601553333333332</v>
      </c>
      <c r="E30" s="95">
        <f>19884.6*0.0956*1/108</f>
        <v>17.601553333333332</v>
      </c>
    </row>
    <row r="31" spans="1:5" x14ac:dyDescent="0.25">
      <c r="A31" s="59"/>
      <c r="B31" s="108" t="s">
        <v>341</v>
      </c>
      <c r="C31" s="18"/>
    </row>
    <row r="32" spans="1:5" ht="47.25" customHeight="1" x14ac:dyDescent="0.25">
      <c r="A32" s="23">
        <v>2262</v>
      </c>
      <c r="B32" s="109" t="s">
        <v>177</v>
      </c>
      <c r="C32" s="18">
        <f>20211.84*0.0956*1/108</f>
        <v>17.891221333333334</v>
      </c>
      <c r="E32" s="95">
        <f>20211.84*0.0956*1/108</f>
        <v>17.891221333333334</v>
      </c>
    </row>
    <row r="33" spans="1:5" x14ac:dyDescent="0.25">
      <c r="A33" s="59"/>
      <c r="B33" s="108" t="s">
        <v>342</v>
      </c>
      <c r="C33" s="18"/>
    </row>
    <row r="34" spans="1:5" ht="48.75" customHeight="1" x14ac:dyDescent="0.25">
      <c r="A34" s="23" t="s">
        <v>40</v>
      </c>
      <c r="B34" s="109" t="s">
        <v>180</v>
      </c>
      <c r="C34" s="18">
        <f>4564.197*0.0956*1/108</f>
        <v>4.0401595666666665</v>
      </c>
      <c r="E34" s="95">
        <f>4564.197*0.0956*1/108</f>
        <v>4.0401595666666665</v>
      </c>
    </row>
    <row r="35" spans="1:5" x14ac:dyDescent="0.25">
      <c r="A35" s="59"/>
      <c r="B35" s="110" t="s">
        <v>343</v>
      </c>
      <c r="C35" s="18"/>
    </row>
    <row r="36" spans="1:5" ht="46.5" customHeight="1" x14ac:dyDescent="0.25">
      <c r="A36" s="23" t="s">
        <v>26</v>
      </c>
      <c r="B36" s="109" t="s">
        <v>182</v>
      </c>
      <c r="C36" s="18">
        <f>1015*0.0956*1/108</f>
        <v>0.89846296296296302</v>
      </c>
      <c r="E36" s="95">
        <f>1015*0.0956*1/108</f>
        <v>0.89846296296296302</v>
      </c>
    </row>
    <row r="37" spans="1:5" x14ac:dyDescent="0.25">
      <c r="A37" s="59"/>
      <c r="B37" s="108" t="s">
        <v>344</v>
      </c>
      <c r="C37" s="18"/>
    </row>
    <row r="38" spans="1:5" ht="78.75" x14ac:dyDescent="0.25">
      <c r="A38" s="23">
        <v>5220</v>
      </c>
      <c r="B38" s="108" t="s">
        <v>181</v>
      </c>
      <c r="C38" s="18">
        <f>1/108*1331/60*12*0.0956</f>
        <v>0.23563629629629626</v>
      </c>
      <c r="E38" s="95">
        <f>1/108*1331/60*12*0.0956</f>
        <v>0.23563629629629626</v>
      </c>
    </row>
    <row r="39" spans="1:5" x14ac:dyDescent="0.25">
      <c r="A39" s="38"/>
      <c r="B39" s="12" t="s">
        <v>345</v>
      </c>
      <c r="C39" s="112"/>
    </row>
    <row r="40" spans="1:5" x14ac:dyDescent="0.25">
      <c r="A40" s="40"/>
      <c r="B40" s="41" t="s">
        <v>46</v>
      </c>
      <c r="C40" s="71">
        <f>SUM(C16:C39)</f>
        <v>108.92020497407405</v>
      </c>
    </row>
    <row r="41" spans="1:5" x14ac:dyDescent="0.25">
      <c r="A41" s="43"/>
      <c r="B41" s="44" t="s">
        <v>47</v>
      </c>
      <c r="C41" s="72">
        <f>C40+C14</f>
        <v>1058.8377244545934</v>
      </c>
    </row>
    <row r="42" spans="1:5" x14ac:dyDescent="0.25">
      <c r="A42" s="46"/>
      <c r="B42" s="47" t="s">
        <v>48</v>
      </c>
      <c r="C42" s="73">
        <f>C41/C44</f>
        <v>1058.8377244545934</v>
      </c>
    </row>
    <row r="43" spans="1:5" x14ac:dyDescent="0.25">
      <c r="B43" s="2"/>
      <c r="C43" s="80"/>
    </row>
    <row r="44" spans="1:5" x14ac:dyDescent="0.25">
      <c r="B44" s="49" t="s">
        <v>49</v>
      </c>
      <c r="C44" s="81">
        <f>B4</f>
        <v>1</v>
      </c>
    </row>
    <row r="45" spans="1:5" ht="31.5" customHeight="1" x14ac:dyDescent="0.25">
      <c r="B45" s="51" t="s">
        <v>138</v>
      </c>
      <c r="C45" s="73">
        <f>C42</f>
        <v>1058.8377244545934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21272-32DC-44FD-A4CC-52B296631D9C}">
  <dimension ref="A1:E45"/>
  <sheetViews>
    <sheetView view="pageBreakPreview" topLeftCell="A21" zoomScale="60" zoomScaleNormal="100" workbookViewId="0">
      <selection activeCell="K27" sqref="K27"/>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133</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254</v>
      </c>
      <c r="C8" s="14">
        <f>(1690+1420)/2/21/8/11*12*4</f>
        <v>40.38961038961039</v>
      </c>
      <c r="E8" s="95">
        <f>(1690+1420)/2/21/8/11*12*4</f>
        <v>40.38961038961039</v>
      </c>
    </row>
    <row r="9" spans="1:5" x14ac:dyDescent="0.25">
      <c r="A9" s="55"/>
      <c r="B9" s="100" t="s">
        <v>329</v>
      </c>
      <c r="C9" s="106"/>
    </row>
    <row r="10" spans="1:5" x14ac:dyDescent="0.25">
      <c r="A10" s="22">
        <v>1210</v>
      </c>
      <c r="B10" s="122" t="s">
        <v>15</v>
      </c>
      <c r="C10" s="14">
        <f>C8*0.2359</f>
        <v>9.5279090909090911</v>
      </c>
      <c r="E10" s="95">
        <f>40.39*0.2359</f>
        <v>9.5280009999999997</v>
      </c>
    </row>
    <row r="11" spans="1:5" x14ac:dyDescent="0.25">
      <c r="A11" s="22"/>
      <c r="B11" s="122" t="s">
        <v>280</v>
      </c>
      <c r="C11" s="106"/>
    </row>
    <row r="12" spans="1:5" ht="31.5" x14ac:dyDescent="0.25">
      <c r="A12" s="22">
        <v>2279</v>
      </c>
      <c r="B12" s="100" t="s">
        <v>281</v>
      </c>
      <c r="C12" s="106">
        <f>1200*1</f>
        <v>1200</v>
      </c>
      <c r="E12" s="95">
        <f>1200*1</f>
        <v>1200</v>
      </c>
    </row>
    <row r="13" spans="1:5" x14ac:dyDescent="0.25">
      <c r="A13" s="55"/>
      <c r="B13" s="100" t="s">
        <v>384</v>
      </c>
      <c r="C13" s="106"/>
    </row>
    <row r="14" spans="1:5" x14ac:dyDescent="0.25">
      <c r="A14" s="57"/>
      <c r="B14" s="84"/>
      <c r="C14" s="120">
        <f>SUM(C8:C13)</f>
        <v>1249.9175194805196</v>
      </c>
    </row>
    <row r="15" spans="1:5" x14ac:dyDescent="0.25">
      <c r="A15" s="58"/>
      <c r="B15" s="85" t="s">
        <v>1</v>
      </c>
      <c r="C15" s="111"/>
    </row>
    <row r="16" spans="1:5" ht="78.75" x14ac:dyDescent="0.25">
      <c r="A16" s="23">
        <v>1119</v>
      </c>
      <c r="B16" s="108" t="s">
        <v>215</v>
      </c>
      <c r="C16" s="18">
        <f>2011*12*0.0956*1/108</f>
        <v>21.36128888888889</v>
      </c>
      <c r="E16" s="95">
        <f>2011*12*0.0956*1/108</f>
        <v>21.36128888888889</v>
      </c>
    </row>
    <row r="17" spans="1:5" x14ac:dyDescent="0.25">
      <c r="A17" s="59"/>
      <c r="B17" s="108" t="s">
        <v>336</v>
      </c>
      <c r="C17" s="18"/>
    </row>
    <row r="18" spans="1:5" x14ac:dyDescent="0.25">
      <c r="A18" s="23" t="s">
        <v>31</v>
      </c>
      <c r="B18" s="110" t="s">
        <v>15</v>
      </c>
      <c r="C18" s="18">
        <f>21.36*0.2359</f>
        <v>5.038824</v>
      </c>
      <c r="D18" s="33"/>
      <c r="E18" s="95">
        <f>21.36*0.2359</f>
        <v>5.038824</v>
      </c>
    </row>
    <row r="19" spans="1:5" x14ac:dyDescent="0.25">
      <c r="A19" s="23"/>
      <c r="B19" s="110" t="s">
        <v>168</v>
      </c>
      <c r="C19" s="18"/>
      <c r="D19" s="33"/>
    </row>
    <row r="20" spans="1:5" ht="65.25" customHeight="1" x14ac:dyDescent="0.25">
      <c r="A20" s="23" t="s">
        <v>16</v>
      </c>
      <c r="B20" s="109" t="s">
        <v>188</v>
      </c>
      <c r="C20" s="18">
        <f>1097.88*0.0956*1/108</f>
        <v>0.97182711111111131</v>
      </c>
      <c r="D20" s="5"/>
      <c r="E20" s="95">
        <f>1097.88*0.0956*1/108</f>
        <v>0.97182711111111131</v>
      </c>
    </row>
    <row r="21" spans="1:5" x14ac:dyDescent="0.25">
      <c r="A21" s="59"/>
      <c r="B21" s="108" t="s">
        <v>337</v>
      </c>
      <c r="C21" s="18"/>
      <c r="D21" s="5"/>
    </row>
    <row r="22" spans="1:5" ht="78.75" x14ac:dyDescent="0.25">
      <c r="A22" s="23">
        <v>1119</v>
      </c>
      <c r="B22" s="108" t="s">
        <v>282</v>
      </c>
      <c r="C22" s="18">
        <f>3015*12*0.0956*1/108</f>
        <v>32.026000000000003</v>
      </c>
      <c r="D22" s="5"/>
      <c r="E22" s="95">
        <f>3015*12*0.0956*1/108</f>
        <v>32.026000000000003</v>
      </c>
    </row>
    <row r="23" spans="1:5" x14ac:dyDescent="0.25">
      <c r="A23" s="23"/>
      <c r="B23" s="108" t="s">
        <v>170</v>
      </c>
      <c r="C23" s="18"/>
      <c r="D23" s="5"/>
    </row>
    <row r="24" spans="1:5" ht="16.5" customHeight="1" x14ac:dyDescent="0.25">
      <c r="A24" s="23" t="s">
        <v>31</v>
      </c>
      <c r="B24" s="110" t="s">
        <v>15</v>
      </c>
      <c r="C24" s="18">
        <f>32.03*0.2359</f>
        <v>7.5558770000000006</v>
      </c>
      <c r="D24" s="33"/>
      <c r="E24" s="95">
        <f>32.03*0.2359</f>
        <v>7.5558770000000006</v>
      </c>
    </row>
    <row r="25" spans="1:5" ht="15.75" customHeight="1" x14ac:dyDescent="0.25">
      <c r="A25" s="23"/>
      <c r="B25" s="110" t="s">
        <v>225</v>
      </c>
      <c r="C25" s="18"/>
      <c r="D25" s="33"/>
    </row>
    <row r="26" spans="1:5" ht="48.75" customHeight="1" x14ac:dyDescent="0.25">
      <c r="A26" s="23" t="s">
        <v>34</v>
      </c>
      <c r="B26" s="109" t="s">
        <v>173</v>
      </c>
      <c r="C26" s="18">
        <f>267.89*0.0956*1/108</f>
        <v>0.23713225925925926</v>
      </c>
      <c r="E26" s="95">
        <f>267.89*0.0956*1/108</f>
        <v>0.23713225925925926</v>
      </c>
    </row>
    <row r="27" spans="1:5" x14ac:dyDescent="0.25">
      <c r="A27" s="59"/>
      <c r="B27" s="108" t="s">
        <v>339</v>
      </c>
      <c r="C27" s="18"/>
    </row>
    <row r="28" spans="1:5" ht="47.25" x14ac:dyDescent="0.25">
      <c r="A28" s="23" t="s">
        <v>36</v>
      </c>
      <c r="B28" s="108" t="s">
        <v>191</v>
      </c>
      <c r="C28" s="18">
        <f>1200*0.0956*1/108</f>
        <v>1.0622222222222222</v>
      </c>
      <c r="E28" s="95">
        <f>1200*0.0956*1/108</f>
        <v>1.0622222222222222</v>
      </c>
    </row>
    <row r="29" spans="1:5" x14ac:dyDescent="0.25">
      <c r="A29" s="59"/>
      <c r="B29" s="108" t="s">
        <v>340</v>
      </c>
      <c r="C29" s="18"/>
    </row>
    <row r="30" spans="1:5" ht="63" x14ac:dyDescent="0.25">
      <c r="A30" s="23">
        <v>2261</v>
      </c>
      <c r="B30" s="108" t="s">
        <v>178</v>
      </c>
      <c r="C30" s="18">
        <f>19884.6*0.0956*1/108</f>
        <v>17.601553333333332</v>
      </c>
      <c r="E30" s="95">
        <f>19884.6*0.0956*1/108</f>
        <v>17.601553333333332</v>
      </c>
    </row>
    <row r="31" spans="1:5" x14ac:dyDescent="0.25">
      <c r="A31" s="59"/>
      <c r="B31" s="108" t="s">
        <v>341</v>
      </c>
      <c r="C31" s="18"/>
    </row>
    <row r="32" spans="1:5" ht="47.25" customHeight="1" x14ac:dyDescent="0.25">
      <c r="A32" s="23">
        <v>2262</v>
      </c>
      <c r="B32" s="109" t="s">
        <v>240</v>
      </c>
      <c r="C32" s="18">
        <f>20211.84*0.0956*1/108</f>
        <v>17.891221333333334</v>
      </c>
      <c r="E32" s="95">
        <f>20211.84*0.0956*1/108</f>
        <v>17.891221333333334</v>
      </c>
    </row>
    <row r="33" spans="1:5" x14ac:dyDescent="0.25">
      <c r="A33" s="59"/>
      <c r="B33" s="109" t="s">
        <v>342</v>
      </c>
      <c r="C33" s="18"/>
    </row>
    <row r="34" spans="1:5" ht="50.25" customHeight="1" x14ac:dyDescent="0.25">
      <c r="A34" s="23" t="s">
        <v>40</v>
      </c>
      <c r="B34" s="109" t="s">
        <v>180</v>
      </c>
      <c r="C34" s="18">
        <f>4564.197*0.0956*1/108</f>
        <v>4.0401595666666665</v>
      </c>
      <c r="E34" s="95">
        <f>4564.197*0.0956*1/108</f>
        <v>4.0401595666666665</v>
      </c>
    </row>
    <row r="35" spans="1:5" x14ac:dyDescent="0.25">
      <c r="A35" s="59"/>
      <c r="B35" s="110" t="s">
        <v>343</v>
      </c>
      <c r="C35" s="18"/>
    </row>
    <row r="36" spans="1:5" ht="49.5" customHeight="1" x14ac:dyDescent="0.25">
      <c r="A36" s="23" t="s">
        <v>26</v>
      </c>
      <c r="B36" s="109" t="s">
        <v>182</v>
      </c>
      <c r="C36" s="18">
        <f>1015*0.0956*1/108</f>
        <v>0.89846296296296302</v>
      </c>
      <c r="E36" s="95">
        <f>1015*0.0956*1/108</f>
        <v>0.89846296296296302</v>
      </c>
    </row>
    <row r="37" spans="1:5" x14ac:dyDescent="0.25">
      <c r="A37" s="59"/>
      <c r="B37" s="108" t="s">
        <v>344</v>
      </c>
      <c r="C37" s="18"/>
    </row>
    <row r="38" spans="1:5" ht="78.75" x14ac:dyDescent="0.25">
      <c r="A38" s="23">
        <v>5220</v>
      </c>
      <c r="B38" s="108" t="s">
        <v>181</v>
      </c>
      <c r="C38" s="18">
        <f>1/108*1311/60*12*0.0956</f>
        <v>0.2320955555555555</v>
      </c>
      <c r="E38" s="95">
        <f>1/108*1311/60*12*0.0956</f>
        <v>0.2320955555555555</v>
      </c>
    </row>
    <row r="39" spans="1:5" x14ac:dyDescent="0.25">
      <c r="A39" s="38"/>
      <c r="B39" s="12" t="s">
        <v>345</v>
      </c>
      <c r="C39" s="112"/>
    </row>
    <row r="40" spans="1:5" x14ac:dyDescent="0.25">
      <c r="A40" s="40"/>
      <c r="B40" s="41" t="s">
        <v>46</v>
      </c>
      <c r="C40" s="71">
        <f>SUM(C16:C39)</f>
        <v>108.91666423333332</v>
      </c>
    </row>
    <row r="41" spans="1:5" x14ac:dyDescent="0.25">
      <c r="A41" s="43"/>
      <c r="B41" s="44" t="s">
        <v>47</v>
      </c>
      <c r="C41" s="72">
        <f>C40+C14</f>
        <v>1358.8341837138528</v>
      </c>
    </row>
    <row r="42" spans="1:5" x14ac:dyDescent="0.25">
      <c r="A42" s="46"/>
      <c r="B42" s="47" t="s">
        <v>48</v>
      </c>
      <c r="C42" s="73">
        <f>C41/C44</f>
        <v>1358.8341837138528</v>
      </c>
    </row>
    <row r="43" spans="1:5" x14ac:dyDescent="0.25">
      <c r="B43" s="2"/>
      <c r="C43" s="80"/>
    </row>
    <row r="44" spans="1:5" x14ac:dyDescent="0.25">
      <c r="B44" s="49" t="s">
        <v>49</v>
      </c>
      <c r="C44" s="81">
        <f>B4</f>
        <v>1</v>
      </c>
    </row>
    <row r="45" spans="1:5" ht="30" customHeight="1" x14ac:dyDescent="0.25">
      <c r="B45" s="51" t="s">
        <v>138</v>
      </c>
      <c r="C45" s="73">
        <f>C42</f>
        <v>1358.8341837138528</v>
      </c>
    </row>
  </sheetData>
  <mergeCells count="1">
    <mergeCell ref="A1:C1"/>
  </mergeCells>
  <pageMargins left="0.7" right="0.7" top="0.75" bottom="0.75" header="0.3" footer="0.3"/>
  <pageSetup paperSize="9" scale="58"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2B1C9-E1E8-47DA-859C-FDB63F7F2F67}">
  <dimension ref="A1:E45"/>
  <sheetViews>
    <sheetView view="pageBreakPreview" topLeftCell="A36" zoomScale="60" zoomScaleNormal="100" workbookViewId="0">
      <selection activeCell="C23" sqref="C23"/>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134</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270</v>
      </c>
      <c r="C8" s="14">
        <f>(1690+1420)/2/21/8/11*12*4</f>
        <v>40.38961038961039</v>
      </c>
      <c r="E8" s="95">
        <f>(1690+1420)/2/21/8/11*12*4</f>
        <v>40.38961038961039</v>
      </c>
    </row>
    <row r="9" spans="1:5" x14ac:dyDescent="0.25">
      <c r="A9" s="55"/>
      <c r="B9" s="100" t="s">
        <v>329</v>
      </c>
      <c r="C9" s="106"/>
    </row>
    <row r="10" spans="1:5" x14ac:dyDescent="0.25">
      <c r="A10" s="22">
        <v>1210</v>
      </c>
      <c r="B10" s="122" t="s">
        <v>15</v>
      </c>
      <c r="C10" s="14">
        <f>C8*0.2359</f>
        <v>9.5279090909090911</v>
      </c>
      <c r="E10" s="95">
        <f>40.39*0.2359</f>
        <v>9.5280009999999997</v>
      </c>
    </row>
    <row r="11" spans="1:5" x14ac:dyDescent="0.25">
      <c r="A11" s="22"/>
      <c r="B11" s="122" t="s">
        <v>280</v>
      </c>
      <c r="C11" s="106"/>
    </row>
    <row r="12" spans="1:5" ht="31.5" x14ac:dyDescent="0.25">
      <c r="A12" s="22">
        <v>2279</v>
      </c>
      <c r="B12" s="100" t="s">
        <v>283</v>
      </c>
      <c r="C12" s="106">
        <f>1800*1</f>
        <v>1800</v>
      </c>
      <c r="E12" s="95">
        <f>1800*1</f>
        <v>1800</v>
      </c>
    </row>
    <row r="13" spans="1:5" x14ac:dyDescent="0.25">
      <c r="A13" s="55"/>
      <c r="B13" s="100" t="s">
        <v>385</v>
      </c>
      <c r="C13" s="106"/>
    </row>
    <row r="14" spans="1:5" x14ac:dyDescent="0.25">
      <c r="A14" s="57"/>
      <c r="B14" s="84"/>
      <c r="C14" s="120">
        <f>SUM(C8:C13)</f>
        <v>1849.9175194805196</v>
      </c>
    </row>
    <row r="15" spans="1:5" x14ac:dyDescent="0.25">
      <c r="A15" s="58"/>
      <c r="B15" s="85" t="s">
        <v>1</v>
      </c>
      <c r="C15" s="111"/>
    </row>
    <row r="16" spans="1:5" ht="78.75" x14ac:dyDescent="0.25">
      <c r="A16" s="23">
        <v>1119</v>
      </c>
      <c r="B16" s="108" t="s">
        <v>215</v>
      </c>
      <c r="C16" s="18">
        <f>2011*12*0.0956*1/108</f>
        <v>21.36128888888889</v>
      </c>
      <c r="E16" s="95">
        <f>2011*12*0.0956*1/108</f>
        <v>21.36128888888889</v>
      </c>
    </row>
    <row r="17" spans="1:5" x14ac:dyDescent="0.25">
      <c r="A17" s="59"/>
      <c r="B17" s="108" t="s">
        <v>336</v>
      </c>
      <c r="C17" s="18"/>
    </row>
    <row r="18" spans="1:5" x14ac:dyDescent="0.25">
      <c r="A18" s="23" t="s">
        <v>31</v>
      </c>
      <c r="B18" s="110" t="s">
        <v>15</v>
      </c>
      <c r="C18" s="18">
        <f>21.36*0.2359</f>
        <v>5.038824</v>
      </c>
      <c r="D18" s="33"/>
      <c r="E18" s="95">
        <f>21.36*0.2359</f>
        <v>5.038824</v>
      </c>
    </row>
    <row r="19" spans="1:5" x14ac:dyDescent="0.25">
      <c r="A19" s="23"/>
      <c r="B19" s="110" t="s">
        <v>168</v>
      </c>
      <c r="C19" s="18"/>
      <c r="D19" s="33"/>
    </row>
    <row r="20" spans="1:5" ht="63.75" customHeight="1" x14ac:dyDescent="0.25">
      <c r="A20" s="23" t="s">
        <v>16</v>
      </c>
      <c r="B20" s="109" t="s">
        <v>32</v>
      </c>
      <c r="C20" s="18">
        <f>1097.88*0.0956*1/108</f>
        <v>0.97182711111111131</v>
      </c>
      <c r="D20" s="5"/>
      <c r="E20" s="95">
        <f>1097.88*0.0956*1/108</f>
        <v>0.97182711111111131</v>
      </c>
    </row>
    <row r="21" spans="1:5" x14ac:dyDescent="0.25">
      <c r="A21" s="59"/>
      <c r="B21" s="108" t="s">
        <v>337</v>
      </c>
      <c r="C21" s="18"/>
      <c r="D21" s="5"/>
    </row>
    <row r="22" spans="1:5" ht="78.75" x14ac:dyDescent="0.25">
      <c r="A22" s="23">
        <v>1119</v>
      </c>
      <c r="B22" s="134" t="s">
        <v>284</v>
      </c>
      <c r="C22" s="133">
        <f>3015*12*0.0956*1/108</f>
        <v>32.026000000000003</v>
      </c>
      <c r="D22" s="5"/>
      <c r="E22" s="95">
        <f>3015*0.0956*1/1087</f>
        <v>0.26516467341306349</v>
      </c>
    </row>
    <row r="23" spans="1:5" x14ac:dyDescent="0.25">
      <c r="A23" s="23"/>
      <c r="B23" s="108" t="s">
        <v>170</v>
      </c>
      <c r="C23" s="18"/>
      <c r="D23" s="5"/>
    </row>
    <row r="24" spans="1:5" ht="18" customHeight="1" x14ac:dyDescent="0.25">
      <c r="A24" s="23" t="s">
        <v>31</v>
      </c>
      <c r="B24" s="128" t="s">
        <v>15</v>
      </c>
      <c r="C24" s="18">
        <f>32.03*0.2359</f>
        <v>7.5558770000000006</v>
      </c>
      <c r="D24" s="33"/>
      <c r="E24" s="95">
        <f>32.03*0.2359</f>
        <v>7.5558770000000006</v>
      </c>
    </row>
    <row r="25" spans="1:5" ht="16.5" customHeight="1" x14ac:dyDescent="0.25">
      <c r="A25" s="23"/>
      <c r="B25" s="110" t="s">
        <v>225</v>
      </c>
      <c r="C25" s="18"/>
      <c r="D25" s="33"/>
    </row>
    <row r="26" spans="1:5" ht="48.75" customHeight="1" x14ac:dyDescent="0.25">
      <c r="A26" s="23" t="s">
        <v>34</v>
      </c>
      <c r="B26" s="109" t="s">
        <v>173</v>
      </c>
      <c r="C26" s="18">
        <f>267.89*0.0956*1/108</f>
        <v>0.23713225925925926</v>
      </c>
      <c r="E26" s="95">
        <f>267.89*0.0956*1/108</f>
        <v>0.23713225925925926</v>
      </c>
    </row>
    <row r="27" spans="1:5" x14ac:dyDescent="0.25">
      <c r="A27" s="59"/>
      <c r="B27" s="108" t="s">
        <v>339</v>
      </c>
      <c r="C27" s="18"/>
    </row>
    <row r="28" spans="1:5" ht="47.25" x14ac:dyDescent="0.25">
      <c r="A28" s="23" t="s">
        <v>36</v>
      </c>
      <c r="B28" s="108" t="s">
        <v>191</v>
      </c>
      <c r="C28" s="18">
        <f>1200*0.0956*1/108</f>
        <v>1.0622222222222222</v>
      </c>
      <c r="E28" s="95">
        <f>1200*0.0956*1/108</f>
        <v>1.0622222222222222</v>
      </c>
    </row>
    <row r="29" spans="1:5" x14ac:dyDescent="0.25">
      <c r="A29" s="59"/>
      <c r="B29" s="108" t="s">
        <v>340</v>
      </c>
      <c r="C29" s="18"/>
    </row>
    <row r="30" spans="1:5" ht="63" x14ac:dyDescent="0.25">
      <c r="A30" s="23">
        <v>2261</v>
      </c>
      <c r="B30" s="108" t="s">
        <v>178</v>
      </c>
      <c r="C30" s="18">
        <f>19884.6*0.0956*1/108</f>
        <v>17.601553333333332</v>
      </c>
      <c r="E30" s="95">
        <f>19884.6*0.0956*1/108</f>
        <v>17.601553333333332</v>
      </c>
    </row>
    <row r="31" spans="1:5" x14ac:dyDescent="0.25">
      <c r="A31" s="59"/>
      <c r="B31" s="108" t="s">
        <v>341</v>
      </c>
      <c r="C31" s="18"/>
    </row>
    <row r="32" spans="1:5" ht="47.25" customHeight="1" x14ac:dyDescent="0.25">
      <c r="A32" s="23">
        <v>2262</v>
      </c>
      <c r="B32" s="109" t="s">
        <v>177</v>
      </c>
      <c r="C32" s="18">
        <f>20211.84*0.0956*1/108</f>
        <v>17.891221333333334</v>
      </c>
      <c r="E32" s="95">
        <f>20211.84*0.0956*1/108</f>
        <v>17.891221333333334</v>
      </c>
    </row>
    <row r="33" spans="1:5" x14ac:dyDescent="0.25">
      <c r="A33" s="59"/>
      <c r="B33" s="109" t="s">
        <v>342</v>
      </c>
      <c r="C33" s="18"/>
    </row>
    <row r="34" spans="1:5" ht="48.75" customHeight="1" x14ac:dyDescent="0.25">
      <c r="A34" s="23" t="s">
        <v>40</v>
      </c>
      <c r="B34" s="109" t="s">
        <v>180</v>
      </c>
      <c r="C34" s="18">
        <f>4564.197*0.0956*1/108</f>
        <v>4.0401595666666665</v>
      </c>
      <c r="E34" s="95">
        <f>4564.197*0.0956*1/108</f>
        <v>4.0401595666666665</v>
      </c>
    </row>
    <row r="35" spans="1:5" x14ac:dyDescent="0.25">
      <c r="A35" s="59"/>
      <c r="B35" s="128" t="s">
        <v>343</v>
      </c>
      <c r="C35" s="18"/>
    </row>
    <row r="36" spans="1:5" ht="49.5" customHeight="1" x14ac:dyDescent="0.25">
      <c r="A36" s="23" t="s">
        <v>26</v>
      </c>
      <c r="B36" s="109" t="s">
        <v>285</v>
      </c>
      <c r="C36" s="18">
        <f>1015*0.0956*1/108</f>
        <v>0.89846296296296302</v>
      </c>
      <c r="E36" s="95">
        <f>1015*0.0956*1/108</f>
        <v>0.89846296296296302</v>
      </c>
    </row>
    <row r="37" spans="1:5" x14ac:dyDescent="0.25">
      <c r="A37" s="59"/>
      <c r="B37" s="108" t="s">
        <v>344</v>
      </c>
      <c r="C37" s="18"/>
    </row>
    <row r="38" spans="1:5" ht="78.75" x14ac:dyDescent="0.25">
      <c r="A38" s="23">
        <v>5220</v>
      </c>
      <c r="B38" s="108" t="s">
        <v>181</v>
      </c>
      <c r="C38" s="18">
        <f>1/108*1331/60*12*0.0956</f>
        <v>0.23563629629629626</v>
      </c>
      <c r="E38" s="95">
        <f>1/108*1331/60*12*0.0956</f>
        <v>0.23563629629629626</v>
      </c>
    </row>
    <row r="39" spans="1:5" x14ac:dyDescent="0.25">
      <c r="A39" s="38"/>
      <c r="B39" s="12" t="s">
        <v>345</v>
      </c>
      <c r="C39" s="112"/>
    </row>
    <row r="40" spans="1:5" x14ac:dyDescent="0.25">
      <c r="A40" s="40"/>
      <c r="B40" s="41" t="s">
        <v>46</v>
      </c>
      <c r="C40" s="71">
        <f>SUM(C16:C39)</f>
        <v>108.92020497407405</v>
      </c>
    </row>
    <row r="41" spans="1:5" x14ac:dyDescent="0.25">
      <c r="A41" s="43"/>
      <c r="B41" s="44" t="s">
        <v>47</v>
      </c>
      <c r="C41" s="72">
        <f>C40+C14</f>
        <v>1958.8377244545936</v>
      </c>
    </row>
    <row r="42" spans="1:5" x14ac:dyDescent="0.25">
      <c r="A42" s="46"/>
      <c r="B42" s="47" t="s">
        <v>48</v>
      </c>
      <c r="C42" s="73">
        <f>C41/C44</f>
        <v>1958.8377244545936</v>
      </c>
    </row>
    <row r="43" spans="1:5" x14ac:dyDescent="0.25">
      <c r="B43" s="2"/>
      <c r="C43" s="80"/>
    </row>
    <row r="44" spans="1:5" x14ac:dyDescent="0.25">
      <c r="B44" s="49" t="s">
        <v>49</v>
      </c>
      <c r="C44" s="81">
        <f>B4</f>
        <v>1</v>
      </c>
    </row>
    <row r="45" spans="1:5" ht="30" customHeight="1" x14ac:dyDescent="0.25">
      <c r="B45" s="51" t="s">
        <v>138</v>
      </c>
      <c r="C45" s="73">
        <f>C42</f>
        <v>1958.8377244545936</v>
      </c>
    </row>
  </sheetData>
  <mergeCells count="1">
    <mergeCell ref="A1:C1"/>
  </mergeCells>
  <pageMargins left="0.7" right="0.7" top="0.75" bottom="0.75" header="0.3" footer="0.3"/>
  <pageSetup paperSize="9" scale="67" orientation="portrait" r:id="rId1"/>
  <colBreaks count="1" manualBreakCount="1">
    <brk id="3" max="1048575" man="1"/>
  </colBreaks>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4F80-B1A8-4874-93A9-3AAD57C04E38}">
  <dimension ref="A1:E45"/>
  <sheetViews>
    <sheetView view="pageBreakPreview" topLeftCell="A22" zoomScale="60" zoomScaleNormal="100" workbookViewId="0">
      <selection activeCell="N16" sqref="N16"/>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135</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100" t="s">
        <v>286</v>
      </c>
      <c r="C8" s="14">
        <f>(1690+1420)/2/21/8/11*12*4</f>
        <v>40.38961038961039</v>
      </c>
      <c r="E8" s="95">
        <f>(1690+1420)/2/21/8/11*12*4</f>
        <v>40.38961038961039</v>
      </c>
    </row>
    <row r="9" spans="1:5" x14ac:dyDescent="0.25">
      <c r="A9" s="55"/>
      <c r="B9" s="100" t="s">
        <v>329</v>
      </c>
      <c r="C9" s="14"/>
    </row>
    <row r="10" spans="1:5" x14ac:dyDescent="0.25">
      <c r="A10" s="22">
        <v>1210</v>
      </c>
      <c r="B10" s="122" t="s">
        <v>15</v>
      </c>
      <c r="C10" s="14">
        <f>C8*0.2359</f>
        <v>9.5279090909090911</v>
      </c>
      <c r="E10" s="95">
        <f>40.39*0.2359</f>
        <v>9.5280009999999997</v>
      </c>
    </row>
    <row r="11" spans="1:5" x14ac:dyDescent="0.25">
      <c r="A11" s="22"/>
      <c r="B11" s="122" t="s">
        <v>280</v>
      </c>
      <c r="C11" s="106"/>
    </row>
    <row r="12" spans="1:5" ht="31.5" x14ac:dyDescent="0.25">
      <c r="A12" s="22">
        <v>2279</v>
      </c>
      <c r="B12" s="100" t="s">
        <v>287</v>
      </c>
      <c r="C12" s="106">
        <f>1130.15*1</f>
        <v>1130.1500000000001</v>
      </c>
      <c r="E12" s="95">
        <f>1130.15*1</f>
        <v>1130.1500000000001</v>
      </c>
    </row>
    <row r="13" spans="1:5" x14ac:dyDescent="0.25">
      <c r="A13" s="55"/>
      <c r="B13" s="100" t="s">
        <v>386</v>
      </c>
      <c r="C13" s="106"/>
    </row>
    <row r="14" spans="1:5" x14ac:dyDescent="0.25">
      <c r="A14" s="57"/>
      <c r="B14" s="84"/>
      <c r="C14" s="120">
        <f>SUM(C8:C13)</f>
        <v>1180.0675194805196</v>
      </c>
    </row>
    <row r="15" spans="1:5" x14ac:dyDescent="0.25">
      <c r="A15" s="58"/>
      <c r="B15" s="85" t="s">
        <v>1</v>
      </c>
      <c r="C15" s="111"/>
    </row>
    <row r="16" spans="1:5" ht="78.75" x14ac:dyDescent="0.25">
      <c r="A16" s="23">
        <v>1119</v>
      </c>
      <c r="B16" s="108" t="s">
        <v>215</v>
      </c>
      <c r="C16" s="18">
        <f>2011*12*0.0956*1/108</f>
        <v>21.36128888888889</v>
      </c>
      <c r="E16" s="95">
        <f>2011*12*0.0956*1/108</f>
        <v>21.36128888888889</v>
      </c>
    </row>
    <row r="17" spans="1:5" x14ac:dyDescent="0.25">
      <c r="A17" s="59"/>
      <c r="B17" s="108" t="s">
        <v>336</v>
      </c>
      <c r="C17" s="18"/>
    </row>
    <row r="18" spans="1:5" x14ac:dyDescent="0.25">
      <c r="A18" s="23" t="s">
        <v>31</v>
      </c>
      <c r="B18" s="110" t="s">
        <v>15</v>
      </c>
      <c r="C18" s="18">
        <f>21.36*0.2359</f>
        <v>5.038824</v>
      </c>
      <c r="D18" s="33"/>
      <c r="E18" s="95">
        <f>21.36*0.2359</f>
        <v>5.038824</v>
      </c>
    </row>
    <row r="19" spans="1:5" x14ac:dyDescent="0.25">
      <c r="A19" s="23"/>
      <c r="B19" s="110" t="s">
        <v>168</v>
      </c>
      <c r="C19" s="18"/>
      <c r="D19" s="33"/>
    </row>
    <row r="20" spans="1:5" ht="66" customHeight="1" x14ac:dyDescent="0.25">
      <c r="A20" s="23" t="s">
        <v>16</v>
      </c>
      <c r="B20" s="109" t="s">
        <v>188</v>
      </c>
      <c r="C20" s="18">
        <f>1097.88*0.0956*1/108</f>
        <v>0.97182711111111131</v>
      </c>
      <c r="D20" s="5"/>
      <c r="E20" s="95">
        <f>1097.88*0.0956*1/108</f>
        <v>0.97182711111111131</v>
      </c>
    </row>
    <row r="21" spans="1:5" x14ac:dyDescent="0.25">
      <c r="A21" s="59"/>
      <c r="B21" s="108" t="s">
        <v>337</v>
      </c>
      <c r="C21" s="18"/>
      <c r="D21" s="5"/>
    </row>
    <row r="22" spans="1:5" ht="78.75" x14ac:dyDescent="0.25">
      <c r="A22" s="23">
        <v>1119</v>
      </c>
      <c r="B22" s="108" t="s">
        <v>284</v>
      </c>
      <c r="C22" s="18">
        <f>3015*12*0.0956*1/108</f>
        <v>32.026000000000003</v>
      </c>
      <c r="D22" s="5"/>
      <c r="E22" s="95">
        <f>3015*12*0.0956*1/108</f>
        <v>32.026000000000003</v>
      </c>
    </row>
    <row r="23" spans="1:5" x14ac:dyDescent="0.25">
      <c r="A23" s="23"/>
      <c r="B23" s="108" t="s">
        <v>170</v>
      </c>
      <c r="C23" s="18"/>
      <c r="D23" s="5"/>
    </row>
    <row r="24" spans="1:5" ht="16.5" customHeight="1" x14ac:dyDescent="0.25">
      <c r="A24" s="23" t="s">
        <v>31</v>
      </c>
      <c r="B24" s="128" t="s">
        <v>15</v>
      </c>
      <c r="C24" s="18">
        <f>32.03*0.2359</f>
        <v>7.5558770000000006</v>
      </c>
      <c r="D24" s="33"/>
      <c r="E24" s="95">
        <f>32.03*0.2359</f>
        <v>7.5558770000000006</v>
      </c>
    </row>
    <row r="25" spans="1:5" ht="18" customHeight="1" x14ac:dyDescent="0.25">
      <c r="A25" s="23"/>
      <c r="B25" s="110" t="s">
        <v>225</v>
      </c>
      <c r="C25" s="18"/>
      <c r="D25" s="33"/>
    </row>
    <row r="26" spans="1:5" ht="48.75" customHeight="1" x14ac:dyDescent="0.25">
      <c r="A26" s="23" t="s">
        <v>34</v>
      </c>
      <c r="B26" s="109" t="s">
        <v>173</v>
      </c>
      <c r="C26" s="18">
        <f>267.89*0.0956*1/108</f>
        <v>0.23713225925925926</v>
      </c>
      <c r="E26" s="95">
        <f>267.89*0.0956*1/108</f>
        <v>0.23713225925925926</v>
      </c>
    </row>
    <row r="27" spans="1:5" x14ac:dyDescent="0.25">
      <c r="A27" s="59"/>
      <c r="B27" s="108" t="s">
        <v>339</v>
      </c>
      <c r="C27" s="18"/>
    </row>
    <row r="28" spans="1:5" ht="47.25" x14ac:dyDescent="0.25">
      <c r="A28" s="23" t="s">
        <v>36</v>
      </c>
      <c r="B28" s="108" t="s">
        <v>191</v>
      </c>
      <c r="C28" s="18">
        <f>1200*0.0956*1/108</f>
        <v>1.0622222222222222</v>
      </c>
      <c r="E28" s="95">
        <f>1200*0.0956*1/108</f>
        <v>1.0622222222222222</v>
      </c>
    </row>
    <row r="29" spans="1:5" x14ac:dyDescent="0.25">
      <c r="A29" s="59"/>
      <c r="B29" s="108" t="s">
        <v>340</v>
      </c>
      <c r="C29" s="18"/>
    </row>
    <row r="30" spans="1:5" ht="63" x14ac:dyDescent="0.25">
      <c r="A30" s="23">
        <v>2261</v>
      </c>
      <c r="B30" s="108" t="s">
        <v>178</v>
      </c>
      <c r="C30" s="18">
        <f>19884.6*0.0956*1/108</f>
        <v>17.601553333333332</v>
      </c>
      <c r="E30" s="95">
        <f>19884.6*0.0956*1/108</f>
        <v>17.601553333333332</v>
      </c>
    </row>
    <row r="31" spans="1:5" x14ac:dyDescent="0.25">
      <c r="A31" s="59"/>
      <c r="B31" s="108" t="s">
        <v>341</v>
      </c>
      <c r="C31" s="18"/>
    </row>
    <row r="32" spans="1:5" ht="48.75" customHeight="1" x14ac:dyDescent="0.25">
      <c r="A32" s="23">
        <v>2262</v>
      </c>
      <c r="B32" s="109" t="s">
        <v>177</v>
      </c>
      <c r="C32" s="18">
        <f>20211.84*0.0956*1/108</f>
        <v>17.891221333333334</v>
      </c>
      <c r="E32" s="95">
        <f>20211.84*0.0956*1/108</f>
        <v>17.891221333333334</v>
      </c>
    </row>
    <row r="33" spans="1:5" x14ac:dyDescent="0.25">
      <c r="A33" s="59"/>
      <c r="B33" s="108" t="s">
        <v>342</v>
      </c>
      <c r="C33" s="18"/>
    </row>
    <row r="34" spans="1:5" ht="51" customHeight="1" x14ac:dyDescent="0.25">
      <c r="A34" s="23" t="s">
        <v>40</v>
      </c>
      <c r="B34" s="109" t="s">
        <v>213</v>
      </c>
      <c r="C34" s="18">
        <f>4564.197*0.0956*1/108</f>
        <v>4.0401595666666665</v>
      </c>
      <c r="E34" s="95">
        <f>4564.197*0.0956*1/108</f>
        <v>4.0401595666666665</v>
      </c>
    </row>
    <row r="35" spans="1:5" x14ac:dyDescent="0.25">
      <c r="A35" s="59"/>
      <c r="B35" s="128" t="s">
        <v>343</v>
      </c>
      <c r="C35" s="18"/>
    </row>
    <row r="36" spans="1:5" ht="51.75" customHeight="1" x14ac:dyDescent="0.25">
      <c r="A36" s="23" t="s">
        <v>26</v>
      </c>
      <c r="B36" s="109" t="s">
        <v>182</v>
      </c>
      <c r="C36" s="18">
        <f>1015*0.0956*1/108</f>
        <v>0.89846296296296302</v>
      </c>
      <c r="E36" s="95">
        <f>1015*0.0956*1/108</f>
        <v>0.89846296296296302</v>
      </c>
    </row>
    <row r="37" spans="1:5" x14ac:dyDescent="0.25">
      <c r="A37" s="59"/>
      <c r="B37" s="108" t="s">
        <v>344</v>
      </c>
      <c r="C37" s="18"/>
    </row>
    <row r="38" spans="1:5" ht="78.75" x14ac:dyDescent="0.25">
      <c r="A38" s="23">
        <v>5220</v>
      </c>
      <c r="B38" s="108" t="s">
        <v>181</v>
      </c>
      <c r="C38" s="18">
        <f>1/108*1331/60*12*0.0956</f>
        <v>0.23563629629629626</v>
      </c>
      <c r="E38" s="95">
        <f>1/108*1331/60*12*0.0956</f>
        <v>0.23563629629629626</v>
      </c>
    </row>
    <row r="39" spans="1:5" x14ac:dyDescent="0.25">
      <c r="A39" s="38"/>
      <c r="B39" s="12" t="s">
        <v>345</v>
      </c>
      <c r="C39" s="112"/>
    </row>
    <row r="40" spans="1:5" x14ac:dyDescent="0.25">
      <c r="A40" s="40"/>
      <c r="B40" s="41" t="s">
        <v>46</v>
      </c>
      <c r="C40" s="42">
        <f>SUM(C16:C39)</f>
        <v>108.92020497407405</v>
      </c>
    </row>
    <row r="41" spans="1:5" x14ac:dyDescent="0.25">
      <c r="A41" s="43"/>
      <c r="B41" s="44" t="s">
        <v>47</v>
      </c>
      <c r="C41" s="45">
        <f>C40+C14</f>
        <v>1288.9877244545937</v>
      </c>
    </row>
    <row r="42" spans="1:5" x14ac:dyDescent="0.25">
      <c r="A42" s="46"/>
      <c r="B42" s="47" t="s">
        <v>48</v>
      </c>
      <c r="C42" s="48">
        <f>C41/C44</f>
        <v>1288.9877244545937</v>
      </c>
    </row>
    <row r="43" spans="1:5" x14ac:dyDescent="0.25">
      <c r="B43" s="2"/>
      <c r="C43" s="2"/>
    </row>
    <row r="44" spans="1:5" x14ac:dyDescent="0.25">
      <c r="B44" s="49" t="s">
        <v>49</v>
      </c>
      <c r="C44" s="50">
        <f>B4</f>
        <v>1</v>
      </c>
    </row>
    <row r="45" spans="1:5" ht="31.5" customHeight="1" x14ac:dyDescent="0.25">
      <c r="B45" s="51" t="s">
        <v>138</v>
      </c>
      <c r="C45" s="48">
        <f>C42</f>
        <v>1288.9877244545937</v>
      </c>
    </row>
  </sheetData>
  <mergeCells count="1">
    <mergeCell ref="A1:C1"/>
  </mergeCells>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E6844-2007-4673-8032-BC6F2078D8DA}">
  <dimension ref="A1:E45"/>
  <sheetViews>
    <sheetView view="pageBreakPreview" zoomScale="60" zoomScaleNormal="100" workbookViewId="0">
      <selection activeCell="J22" sqref="J22"/>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5"/>
    <col min="6" max="16384" width="9.140625" style="1"/>
  </cols>
  <sheetData>
    <row r="1" spans="1:5" x14ac:dyDescent="0.25">
      <c r="A1" s="137" t="s">
        <v>2</v>
      </c>
      <c r="B1" s="137"/>
      <c r="C1" s="137"/>
    </row>
    <row r="2" spans="1:5" ht="31.5" x14ac:dyDescent="0.25">
      <c r="A2" s="6" t="s">
        <v>3</v>
      </c>
      <c r="B2" s="6" t="s">
        <v>136</v>
      </c>
    </row>
    <row r="3" spans="1:5" x14ac:dyDescent="0.25">
      <c r="A3" s="5" t="s">
        <v>5</v>
      </c>
      <c r="B3" s="5" t="s">
        <v>6</v>
      </c>
    </row>
    <row r="4" spans="1:5" ht="48.75" customHeight="1" x14ac:dyDescent="0.25">
      <c r="A4" s="25" t="s">
        <v>7</v>
      </c>
      <c r="B4" s="29">
        <v>1</v>
      </c>
    </row>
    <row r="6" spans="1:5" ht="68.25" customHeight="1" x14ac:dyDescent="0.25">
      <c r="A6" s="7" t="s">
        <v>8</v>
      </c>
      <c r="B6" s="8" t="s">
        <v>9</v>
      </c>
      <c r="C6" s="9" t="s">
        <v>10</v>
      </c>
    </row>
    <row r="7" spans="1:5" x14ac:dyDescent="0.25">
      <c r="A7" s="30"/>
      <c r="B7" s="31" t="s">
        <v>0</v>
      </c>
      <c r="C7" s="104"/>
    </row>
    <row r="8" spans="1:5" ht="94.5" x14ac:dyDescent="0.25">
      <c r="A8" s="22" t="s">
        <v>11</v>
      </c>
      <c r="B8" s="99" t="s">
        <v>270</v>
      </c>
      <c r="C8" s="14">
        <f>(1690+1420)/2/21/8/11*12*4</f>
        <v>40.38961038961039</v>
      </c>
      <c r="E8" s="95">
        <f>(1690+1420)/2/21/8/11*12*4</f>
        <v>40.38961038961039</v>
      </c>
    </row>
    <row r="9" spans="1:5" x14ac:dyDescent="0.25">
      <c r="A9" s="55"/>
      <c r="B9" s="100" t="s">
        <v>329</v>
      </c>
      <c r="C9" s="14"/>
    </row>
    <row r="10" spans="1:5" x14ac:dyDescent="0.25">
      <c r="A10" s="22">
        <v>1210</v>
      </c>
      <c r="B10" s="122" t="s">
        <v>15</v>
      </c>
      <c r="C10" s="14">
        <f>C8*0.2359</f>
        <v>9.5279090909090911</v>
      </c>
      <c r="E10" s="95">
        <f>40.39*0.2359</f>
        <v>9.5280009999999997</v>
      </c>
    </row>
    <row r="11" spans="1:5" x14ac:dyDescent="0.25">
      <c r="A11" s="22"/>
      <c r="B11" s="122" t="s">
        <v>280</v>
      </c>
      <c r="C11" s="106"/>
    </row>
    <row r="12" spans="1:5" ht="31.5" x14ac:dyDescent="0.25">
      <c r="A12" s="22">
        <v>2279</v>
      </c>
      <c r="B12" s="100" t="s">
        <v>288</v>
      </c>
      <c r="C12" s="106">
        <f>1350*1</f>
        <v>1350</v>
      </c>
      <c r="E12" s="95">
        <f>1350*1</f>
        <v>1350</v>
      </c>
    </row>
    <row r="13" spans="1:5" x14ac:dyDescent="0.25">
      <c r="A13" s="55"/>
      <c r="B13" s="100" t="s">
        <v>387</v>
      </c>
      <c r="C13" s="106"/>
    </row>
    <row r="14" spans="1:5" x14ac:dyDescent="0.25">
      <c r="A14" s="57"/>
      <c r="B14" s="84"/>
      <c r="C14" s="120">
        <f>SUM(C8:C13)</f>
        <v>1399.9175194805196</v>
      </c>
    </row>
    <row r="15" spans="1:5" x14ac:dyDescent="0.25">
      <c r="A15" s="58"/>
      <c r="B15" s="85" t="s">
        <v>1</v>
      </c>
      <c r="C15" s="111"/>
    </row>
    <row r="16" spans="1:5" ht="78.75" x14ac:dyDescent="0.25">
      <c r="A16" s="23">
        <v>1119</v>
      </c>
      <c r="B16" s="108" t="s">
        <v>215</v>
      </c>
      <c r="C16" s="18">
        <f>2011*12*0.0956*1/108</f>
        <v>21.36128888888889</v>
      </c>
      <c r="E16" s="95">
        <f>2011*12*0.0956*1/108</f>
        <v>21.36128888888889</v>
      </c>
    </row>
    <row r="17" spans="1:5" x14ac:dyDescent="0.25">
      <c r="A17" s="59"/>
      <c r="B17" s="108" t="s">
        <v>336</v>
      </c>
      <c r="C17" s="18"/>
    </row>
    <row r="18" spans="1:5" x14ac:dyDescent="0.25">
      <c r="A18" s="23" t="s">
        <v>31</v>
      </c>
      <c r="B18" s="110" t="s">
        <v>15</v>
      </c>
      <c r="C18" s="18">
        <f>21.36*0.2359</f>
        <v>5.038824</v>
      </c>
      <c r="D18" s="33"/>
      <c r="E18" s="95">
        <f>21.36*0.2359</f>
        <v>5.038824</v>
      </c>
    </row>
    <row r="19" spans="1:5" x14ac:dyDescent="0.25">
      <c r="A19" s="23"/>
      <c r="B19" s="110" t="s">
        <v>168</v>
      </c>
      <c r="C19" s="18"/>
      <c r="D19" s="33"/>
    </row>
    <row r="20" spans="1:5" ht="65.25" customHeight="1" x14ac:dyDescent="0.25">
      <c r="A20" s="23" t="s">
        <v>16</v>
      </c>
      <c r="B20" s="109" t="s">
        <v>290</v>
      </c>
      <c r="C20" s="18">
        <f>1097.88*0.0956*1/108</f>
        <v>0.97182711111111131</v>
      </c>
      <c r="D20" s="5"/>
      <c r="E20" s="95">
        <f>1097.88*0.0956*1/108</f>
        <v>0.97182711111111131</v>
      </c>
    </row>
    <row r="21" spans="1:5" x14ac:dyDescent="0.25">
      <c r="A21" s="59"/>
      <c r="B21" s="108" t="s">
        <v>337</v>
      </c>
      <c r="C21" s="18"/>
      <c r="D21" s="5"/>
    </row>
    <row r="22" spans="1:5" ht="78.75" x14ac:dyDescent="0.25">
      <c r="A22" s="23">
        <v>1119</v>
      </c>
      <c r="B22" s="108" t="s">
        <v>291</v>
      </c>
      <c r="C22" s="18">
        <f>3015*12*0.0956*1/108</f>
        <v>32.026000000000003</v>
      </c>
      <c r="D22" s="5"/>
      <c r="E22" s="95">
        <f>3015*12*0.0956*1/108</f>
        <v>32.026000000000003</v>
      </c>
    </row>
    <row r="23" spans="1:5" x14ac:dyDescent="0.25">
      <c r="A23" s="23"/>
      <c r="B23" s="108" t="s">
        <v>170</v>
      </c>
      <c r="C23" s="18"/>
      <c r="D23" s="5"/>
    </row>
    <row r="24" spans="1:5" ht="17.25" customHeight="1" x14ac:dyDescent="0.25">
      <c r="A24" s="23" t="s">
        <v>31</v>
      </c>
      <c r="B24" s="110" t="s">
        <v>15</v>
      </c>
      <c r="C24" s="18">
        <f>32.03*0.2359</f>
        <v>7.5558770000000006</v>
      </c>
      <c r="D24" s="33"/>
      <c r="E24" s="95">
        <f>32.03*0.2359</f>
        <v>7.5558770000000006</v>
      </c>
    </row>
    <row r="25" spans="1:5" ht="17.25" customHeight="1" x14ac:dyDescent="0.25">
      <c r="A25" s="23"/>
      <c r="B25" s="110" t="s">
        <v>225</v>
      </c>
      <c r="C25" s="18"/>
      <c r="D25" s="33"/>
    </row>
    <row r="26" spans="1:5" ht="48" customHeight="1" x14ac:dyDescent="0.25">
      <c r="A26" s="23" t="s">
        <v>34</v>
      </c>
      <c r="B26" s="109" t="s">
        <v>173</v>
      </c>
      <c r="C26" s="18">
        <f>267.89*0.0956*1/108</f>
        <v>0.23713225925925926</v>
      </c>
      <c r="E26" s="95">
        <f>267.89*0.0956*1/108</f>
        <v>0.23713225925925926</v>
      </c>
    </row>
    <row r="27" spans="1:5" x14ac:dyDescent="0.25">
      <c r="A27" s="59"/>
      <c r="B27" s="108" t="s">
        <v>339</v>
      </c>
      <c r="C27" s="18"/>
    </row>
    <row r="28" spans="1:5" ht="47.25" x14ac:dyDescent="0.25">
      <c r="A28" s="23" t="s">
        <v>36</v>
      </c>
      <c r="B28" s="108" t="s">
        <v>289</v>
      </c>
      <c r="C28" s="18">
        <f>1200*0.0956*1/108</f>
        <v>1.0622222222222222</v>
      </c>
      <c r="E28" s="95">
        <f>1200*0.0956*1/108</f>
        <v>1.0622222222222222</v>
      </c>
    </row>
    <row r="29" spans="1:5" x14ac:dyDescent="0.25">
      <c r="A29" s="59"/>
      <c r="B29" s="108" t="s">
        <v>340</v>
      </c>
      <c r="C29" s="18"/>
    </row>
    <row r="30" spans="1:5" ht="63" x14ac:dyDescent="0.25">
      <c r="A30" s="23">
        <v>2261</v>
      </c>
      <c r="B30" s="108" t="s">
        <v>178</v>
      </c>
      <c r="C30" s="18">
        <f>19884.6*0.0956*1/108</f>
        <v>17.601553333333332</v>
      </c>
      <c r="E30" s="95">
        <f>19884.6*0.0956*1/108</f>
        <v>17.601553333333332</v>
      </c>
    </row>
    <row r="31" spans="1:5" x14ac:dyDescent="0.25">
      <c r="A31" s="59"/>
      <c r="B31" s="108" t="s">
        <v>341</v>
      </c>
      <c r="C31" s="18"/>
    </row>
    <row r="32" spans="1:5" ht="50.25" customHeight="1" x14ac:dyDescent="0.25">
      <c r="A32" s="23">
        <v>2262</v>
      </c>
      <c r="B32" s="109" t="s">
        <v>177</v>
      </c>
      <c r="C32" s="18">
        <f>20211.84*0.0956*1/108</f>
        <v>17.891221333333334</v>
      </c>
      <c r="E32" s="95">
        <f>20211.84*0.0956*1/108</f>
        <v>17.891221333333334</v>
      </c>
    </row>
    <row r="33" spans="1:5" x14ac:dyDescent="0.25">
      <c r="A33" s="59"/>
      <c r="B33" s="108" t="s">
        <v>342</v>
      </c>
      <c r="C33" s="18"/>
    </row>
    <row r="34" spans="1:5" ht="49.5" customHeight="1" x14ac:dyDescent="0.25">
      <c r="A34" s="23" t="s">
        <v>40</v>
      </c>
      <c r="B34" s="109" t="s">
        <v>180</v>
      </c>
      <c r="C34" s="18">
        <f>4564.197*0.0956*1/108</f>
        <v>4.0401595666666665</v>
      </c>
      <c r="E34" s="95">
        <f>4564.197*0.0956*1/108</f>
        <v>4.0401595666666665</v>
      </c>
    </row>
    <row r="35" spans="1:5" x14ac:dyDescent="0.25">
      <c r="A35" s="59"/>
      <c r="B35" s="110" t="s">
        <v>343</v>
      </c>
      <c r="C35" s="18"/>
    </row>
    <row r="36" spans="1:5" ht="48.75" customHeight="1" x14ac:dyDescent="0.25">
      <c r="A36" s="23" t="s">
        <v>26</v>
      </c>
      <c r="B36" s="109" t="s">
        <v>266</v>
      </c>
      <c r="C36" s="18">
        <f>1015*0.0956*1/108</f>
        <v>0.89846296296296302</v>
      </c>
      <c r="E36" s="95">
        <f>1015*0.0956*1/108</f>
        <v>0.89846296296296302</v>
      </c>
    </row>
    <row r="37" spans="1:5" x14ac:dyDescent="0.25">
      <c r="A37" s="59"/>
      <c r="B37" s="108" t="s">
        <v>344</v>
      </c>
      <c r="C37" s="18"/>
    </row>
    <row r="38" spans="1:5" ht="78.75" x14ac:dyDescent="0.25">
      <c r="A38" s="23">
        <v>5220</v>
      </c>
      <c r="B38" s="108" t="s">
        <v>181</v>
      </c>
      <c r="C38" s="18">
        <f>1/108*1331/60*12*0.0956</f>
        <v>0.23563629629629626</v>
      </c>
      <c r="E38" s="95">
        <f>1/108*1331/60*12*0.0956</f>
        <v>0.23563629629629626</v>
      </c>
    </row>
    <row r="39" spans="1:5" x14ac:dyDescent="0.25">
      <c r="A39" s="38"/>
      <c r="B39" s="12" t="s">
        <v>345</v>
      </c>
      <c r="C39" s="112"/>
    </row>
    <row r="40" spans="1:5" x14ac:dyDescent="0.25">
      <c r="A40" s="40"/>
      <c r="B40" s="41" t="s">
        <v>46</v>
      </c>
      <c r="C40" s="71">
        <f>SUM(C16:C39)</f>
        <v>108.92020497407405</v>
      </c>
    </row>
    <row r="41" spans="1:5" x14ac:dyDescent="0.25">
      <c r="A41" s="43"/>
      <c r="B41" s="44" t="s">
        <v>47</v>
      </c>
      <c r="C41" s="72">
        <f>C40+C14</f>
        <v>1508.8377244545936</v>
      </c>
    </row>
    <row r="42" spans="1:5" x14ac:dyDescent="0.25">
      <c r="A42" s="46"/>
      <c r="B42" s="47" t="s">
        <v>48</v>
      </c>
      <c r="C42" s="73">
        <f>C41/C44</f>
        <v>1508.8377244545936</v>
      </c>
    </row>
    <row r="43" spans="1:5" x14ac:dyDescent="0.25">
      <c r="B43" s="2"/>
      <c r="C43" s="80"/>
    </row>
    <row r="44" spans="1:5" x14ac:dyDescent="0.25">
      <c r="B44" s="49" t="s">
        <v>49</v>
      </c>
      <c r="C44" s="81">
        <f>B4</f>
        <v>1</v>
      </c>
    </row>
    <row r="45" spans="1:5" ht="33.75" customHeight="1" x14ac:dyDescent="0.25">
      <c r="B45" s="51" t="s">
        <v>138</v>
      </c>
      <c r="C45" s="73">
        <f>C42</f>
        <v>1508.8377244545936</v>
      </c>
    </row>
  </sheetData>
  <mergeCells count="1">
    <mergeCell ref="A1:C1"/>
  </mergeCells>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5349DA682D71459F65987774ADC839" ma:contentTypeVersion="19" ma:contentTypeDescription="Create a new document." ma:contentTypeScope="" ma:versionID="f02c93684708ec7f044f50bd67f4f985">
  <xsd:schema xmlns:xsd="http://www.w3.org/2001/XMLSchema" xmlns:xs="http://www.w3.org/2001/XMLSchema" xmlns:p="http://schemas.microsoft.com/office/2006/metadata/properties" xmlns:ns2="cd72f480-ad49-4ca5-b9fb-b383de9c0d55" xmlns:ns3="fcc4b0d5-f93d-4bb2-8b48-0644f5855e83" targetNamespace="http://schemas.microsoft.com/office/2006/metadata/properties" ma:root="true" ma:fieldsID="c28a3fb7383aeee1702b8fcb26b82db1" ns2:_="" ns3:_="">
    <xsd:import namespace="cd72f480-ad49-4ca5-b9fb-b383de9c0d55"/>
    <xsd:import namespace="fcc4b0d5-f93d-4bb2-8b48-0644f5855e8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72f480-ad49-4ca5-b9fb-b383de9c0d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_Flow_SignoffStatus" ma:index="20" nillable="true" ma:displayName="Sign-off status" ma:internalName="Sign_x002d_off_x0020_status">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70cde18c-294e-4b99-9172-39c91b03186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c4b0d5-f93d-4bb2-8b48-0644f5855e8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7efe8483-328f-40ed-9a38-36daaacc92a0}" ma:internalName="TaxCatchAll" ma:showField="CatchAllData" ma:web="fcc4b0d5-f93d-4bb2-8b48-0644f5855e8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d72f480-ad49-4ca5-b9fb-b383de9c0d55">
      <Terms xmlns="http://schemas.microsoft.com/office/infopath/2007/PartnerControls"/>
    </lcf76f155ced4ddcb4097134ff3c332f>
    <_Flow_SignoffStatus xmlns="cd72f480-ad49-4ca5-b9fb-b383de9c0d55" xsi:nil="true"/>
    <TaxCatchAll xmlns="fcc4b0d5-f93d-4bb2-8b48-0644f5855e83" xsi:nil="true"/>
  </documentManagement>
</p:properties>
</file>

<file path=customXml/itemProps1.xml><?xml version="1.0" encoding="utf-8"?>
<ds:datastoreItem xmlns:ds="http://schemas.openxmlformats.org/officeDocument/2006/customXml" ds:itemID="{DF190B11-93EB-4B86-A15C-3851C04CE8EF}">
  <ds:schemaRefs>
    <ds:schemaRef ds:uri="http://schemas.microsoft.com/sharepoint/v3/contenttype/forms"/>
  </ds:schemaRefs>
</ds:datastoreItem>
</file>

<file path=customXml/itemProps2.xml><?xml version="1.0" encoding="utf-8"?>
<ds:datastoreItem xmlns:ds="http://schemas.openxmlformats.org/officeDocument/2006/customXml" ds:itemID="{8190607B-5B0C-4F56-9DBA-3EEC082370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72f480-ad49-4ca5-b9fb-b383de9c0d55"/>
    <ds:schemaRef ds:uri="fcc4b0d5-f93d-4bb2-8b48-0644f5855e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26E61AE-D5A8-4DFE-9BE3-D5F916A0145E}">
  <ds:schemaRefs>
    <ds:schemaRef ds:uri="http://schemas.microsoft.com/office/2006/metadata/properties"/>
    <ds:schemaRef ds:uri="http://schemas.microsoft.com/office/infopath/2007/PartnerControls"/>
    <ds:schemaRef ds:uri="cd72f480-ad49-4ca5-b9fb-b383de9c0d55"/>
    <ds:schemaRef ds:uri="fcc4b0d5-f93d-4bb2-8b48-0644f5855e8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21</vt:i4>
      </vt:variant>
    </vt:vector>
  </HeadingPairs>
  <TitlesOfParts>
    <vt:vector size="42" baseType="lpstr">
      <vt:lpstr>1.1.</vt:lpstr>
      <vt:lpstr>1.2.</vt:lpstr>
      <vt:lpstr>1.3.</vt:lpstr>
      <vt:lpstr>1.4.</vt:lpstr>
      <vt:lpstr>1.5.</vt:lpstr>
      <vt:lpstr>1.6.</vt:lpstr>
      <vt:lpstr>1.7.</vt:lpstr>
      <vt:lpstr>1.8.</vt:lpstr>
      <vt:lpstr>1.9.</vt:lpstr>
      <vt:lpstr>1.10.</vt:lpstr>
      <vt:lpstr>1.11.</vt:lpstr>
      <vt:lpstr>1.12.</vt:lpstr>
      <vt:lpstr>1.13.</vt:lpstr>
      <vt:lpstr>1.14.</vt:lpstr>
      <vt:lpstr>1.15.</vt:lpstr>
      <vt:lpstr>1.16.</vt:lpstr>
      <vt:lpstr>1.17.</vt:lpstr>
      <vt:lpstr>1.18.</vt:lpstr>
      <vt:lpstr>1.19.</vt:lpstr>
      <vt:lpstr>1.20.</vt:lpstr>
      <vt:lpstr>1.21.</vt:lpstr>
      <vt:lpstr>'1.1.'!Print_Area</vt:lpstr>
      <vt:lpstr>'1.10.'!Print_Area</vt:lpstr>
      <vt:lpstr>'1.11.'!Print_Area</vt:lpstr>
      <vt:lpstr>'1.12.'!Print_Area</vt:lpstr>
      <vt:lpstr>'1.13.'!Print_Area</vt:lpstr>
      <vt:lpstr>'1.14.'!Print_Area</vt:lpstr>
      <vt:lpstr>'1.15.'!Print_Area</vt:lpstr>
      <vt:lpstr>'1.16.'!Print_Area</vt:lpstr>
      <vt:lpstr>'1.17.'!Print_Area</vt:lpstr>
      <vt:lpstr>'1.18.'!Print_Area</vt:lpstr>
      <vt:lpstr>'1.19.'!Print_Area</vt:lpstr>
      <vt:lpstr>'1.2.'!Print_Area</vt:lpstr>
      <vt:lpstr>'1.20.'!Print_Area</vt:lpstr>
      <vt:lpstr>'1.21.'!Print_Area</vt:lpstr>
      <vt:lpstr>'1.3.'!Print_Area</vt:lpstr>
      <vt:lpstr>'1.4.'!Print_Area</vt:lpstr>
      <vt:lpstr>'1.5.'!Print_Area</vt:lpstr>
      <vt:lpstr>'1.6.'!Print_Area</vt:lpstr>
      <vt:lpstr>'1.7.'!Print_Area</vt:lpstr>
      <vt:lpstr>'1.8.'!Print_Area</vt:lpstr>
      <vt:lpstr>'1.9.'!Print_Area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Alekss Ūpis</dc:creator>
  <cp:keywords/>
  <dc:description/>
  <cp:lastModifiedBy>Lāsma Zandberga</cp:lastModifiedBy>
  <cp:revision/>
  <cp:lastPrinted>2024-05-29T12:27:01Z</cp:lastPrinted>
  <dcterms:created xsi:type="dcterms:W3CDTF">2023-04-03T07:03:07Z</dcterms:created>
  <dcterms:modified xsi:type="dcterms:W3CDTF">2024-05-29T13:33:01Z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0x0101007A5349DA682D71459F65987774ADC839</vt:lpwstr>
  </property>
  <property fmtid="{D5CDD505-2E9C-101B-9397-08002B2CF9AE}" pid="3" name="MediaServiceImageTags">
    <vt:lpwstr/>
  </property>
</Properties>
</file>