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a.kola\Desktop\VRS Cenradis_preciz\"/>
    </mc:Choice>
  </mc:AlternateContent>
  <xr:revisionPtr revIDLastSave="0" documentId="13_ncr:1_{77E40BA5-F8D9-4F23-B4BB-C22AF4C702B2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2pielik" sheetId="4" r:id="rId1"/>
  </sheets>
  <definedNames>
    <definedName name="_xlnm.Print_Area" localSheetId="0">'2pielik'!$A$1:$N$455</definedName>
    <definedName name="_xlnm.Print_Titles" localSheetId="0">'2pielik'!$10:$10</definedName>
  </definedNames>
  <calcPr calcId="191029"/>
</workbook>
</file>

<file path=xl/calcChain.xml><?xml version="1.0" encoding="utf-8"?>
<calcChain xmlns="http://schemas.openxmlformats.org/spreadsheetml/2006/main">
  <c r="I351" i="4" l="1"/>
  <c r="I350" i="4"/>
  <c r="I242" i="4"/>
  <c r="I241" i="4"/>
  <c r="I131" i="4"/>
  <c r="I130" i="4"/>
  <c r="I20" i="4"/>
  <c r="I19" i="4"/>
  <c r="P414" i="4" l="1"/>
  <c r="O414" i="4"/>
  <c r="M68" i="4" l="1"/>
  <c r="M66" i="4"/>
  <c r="M179" i="4"/>
  <c r="M177" i="4"/>
  <c r="M16" i="4" l="1"/>
  <c r="M17" i="4"/>
  <c r="M19" i="4"/>
  <c r="M20" i="4"/>
  <c r="M21" i="4"/>
  <c r="M22" i="4"/>
  <c r="M23" i="4"/>
  <c r="M24" i="4"/>
  <c r="M30" i="4"/>
  <c r="M31" i="4" s="1"/>
  <c r="O30" i="4"/>
  <c r="Q30" i="4" s="1"/>
  <c r="M33" i="4"/>
  <c r="M34" i="4"/>
  <c r="M35" i="4"/>
  <c r="M36" i="4"/>
  <c r="M37" i="4"/>
  <c r="M38" i="4"/>
  <c r="M39" i="4"/>
  <c r="M40" i="4"/>
  <c r="M41" i="4"/>
  <c r="M42" i="4"/>
  <c r="M43" i="4"/>
  <c r="M44" i="4"/>
  <c r="M51" i="4"/>
  <c r="M45" i="4" s="1"/>
  <c r="R52" i="4"/>
  <c r="U52" i="4"/>
  <c r="M59" i="4"/>
  <c r="O59" i="4"/>
  <c r="M60" i="4"/>
  <c r="M61" i="4"/>
  <c r="M62" i="4"/>
  <c r="M63" i="4"/>
  <c r="M64" i="4"/>
  <c r="M65" i="4"/>
  <c r="M67" i="4"/>
  <c r="M69" i="4"/>
  <c r="M71" i="4"/>
  <c r="M72" i="4"/>
  <c r="I73" i="4"/>
  <c r="M73" i="4" s="1"/>
  <c r="M70" i="4" s="1"/>
  <c r="M74" i="4"/>
  <c r="P80" i="4"/>
  <c r="I80" i="4" s="1"/>
  <c r="M80" i="4" s="1"/>
  <c r="M81" i="4"/>
  <c r="P82" i="4"/>
  <c r="I82" i="4" s="1"/>
  <c r="M82" i="4" s="1"/>
  <c r="P83" i="4"/>
  <c r="I83" i="4" s="1"/>
  <c r="M83" i="4" s="1"/>
  <c r="O84" i="4"/>
  <c r="P84" i="4" s="1"/>
  <c r="I84" i="4" s="1"/>
  <c r="M84" i="4" s="1"/>
  <c r="O85" i="4"/>
  <c r="P85" i="4" s="1"/>
  <c r="M85" i="4" s="1"/>
  <c r="M86" i="4"/>
  <c r="P86" i="4"/>
  <c r="P87" i="4"/>
  <c r="I87" i="4" s="1"/>
  <c r="M87" i="4" s="1"/>
  <c r="O88" i="4"/>
  <c r="P88" i="4"/>
  <c r="I88" i="4" s="1"/>
  <c r="M88" i="4" s="1"/>
  <c r="M91" i="4"/>
  <c r="M92" i="4"/>
  <c r="M93" i="4"/>
  <c r="I94" i="4"/>
  <c r="M94" i="4" s="1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10" i="4"/>
  <c r="M109" i="4" s="1"/>
  <c r="M108" i="4" s="1"/>
  <c r="M127" i="4"/>
  <c r="M128" i="4"/>
  <c r="M130" i="4"/>
  <c r="M131" i="4"/>
  <c r="M132" i="4"/>
  <c r="M133" i="4"/>
  <c r="M134" i="4"/>
  <c r="M135" i="4"/>
  <c r="M141" i="4"/>
  <c r="M142" i="4" s="1"/>
  <c r="O141" i="4"/>
  <c r="Q141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62" i="4"/>
  <c r="M156" i="4" s="1"/>
  <c r="O162" i="4"/>
  <c r="R163" i="4"/>
  <c r="U163" i="4"/>
  <c r="T164" i="4"/>
  <c r="M170" i="4"/>
  <c r="M171" i="4"/>
  <c r="M172" i="4"/>
  <c r="M173" i="4"/>
  <c r="M174" i="4"/>
  <c r="M175" i="4"/>
  <c r="M176" i="4"/>
  <c r="M178" i="4"/>
  <c r="M180" i="4"/>
  <c r="M182" i="4"/>
  <c r="M183" i="4"/>
  <c r="I184" i="4"/>
  <c r="M184" i="4"/>
  <c r="M185" i="4"/>
  <c r="P191" i="4"/>
  <c r="I191" i="4" s="1"/>
  <c r="M191" i="4" s="1"/>
  <c r="M192" i="4"/>
  <c r="P193" i="4"/>
  <c r="I193" i="4" s="1"/>
  <c r="M193" i="4" s="1"/>
  <c r="P194" i="4"/>
  <c r="I194" i="4" s="1"/>
  <c r="M194" i="4" s="1"/>
  <c r="P195" i="4"/>
  <c r="I195" i="4" s="1"/>
  <c r="M195" i="4" s="1"/>
  <c r="P196" i="4"/>
  <c r="M196" i="4" s="1"/>
  <c r="M197" i="4"/>
  <c r="P197" i="4"/>
  <c r="P198" i="4"/>
  <c r="I198" i="4" s="1"/>
  <c r="M198" i="4" s="1"/>
  <c r="O199" i="4"/>
  <c r="P199" i="4" s="1"/>
  <c r="I199" i="4" s="1"/>
  <c r="M199" i="4" s="1"/>
  <c r="M202" i="4"/>
  <c r="M203" i="4"/>
  <c r="M204" i="4"/>
  <c r="I205" i="4"/>
  <c r="M205" i="4" s="1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21" i="4"/>
  <c r="M220" i="4" s="1"/>
  <c r="M238" i="4"/>
  <c r="M239" i="4"/>
  <c r="M241" i="4"/>
  <c r="M242" i="4"/>
  <c r="M243" i="4"/>
  <c r="M244" i="4"/>
  <c r="M250" i="4"/>
  <c r="O250" i="4"/>
  <c r="Q250" i="4" s="1"/>
  <c r="M253" i="4"/>
  <c r="M254" i="4"/>
  <c r="M255" i="4"/>
  <c r="M256" i="4"/>
  <c r="M257" i="4"/>
  <c r="M258" i="4"/>
  <c r="M259" i="4"/>
  <c r="M260" i="4"/>
  <c r="M261" i="4"/>
  <c r="M262" i="4"/>
  <c r="M263" i="4"/>
  <c r="M264" i="4"/>
  <c r="M271" i="4"/>
  <c r="M265" i="4" s="1"/>
  <c r="R272" i="4"/>
  <c r="U272" i="4"/>
  <c r="M279" i="4"/>
  <c r="M280" i="4"/>
  <c r="M281" i="4"/>
  <c r="M282" i="4"/>
  <c r="M283" i="4"/>
  <c r="M284" i="4"/>
  <c r="M286" i="4"/>
  <c r="M287" i="4"/>
  <c r="M288" i="4"/>
  <c r="M289" i="4"/>
  <c r="M291" i="4"/>
  <c r="M292" i="4"/>
  <c r="I293" i="4"/>
  <c r="M293" i="4" s="1"/>
  <c r="M294" i="4"/>
  <c r="P300" i="4"/>
  <c r="I300" i="4" s="1"/>
  <c r="M300" i="4" s="1"/>
  <c r="M301" i="4"/>
  <c r="P302" i="4"/>
  <c r="I302" i="4" s="1"/>
  <c r="M302" i="4" s="1"/>
  <c r="P303" i="4"/>
  <c r="I303" i="4" s="1"/>
  <c r="M303" i="4" s="1"/>
  <c r="O304" i="4"/>
  <c r="P304" i="4" s="1"/>
  <c r="I304" i="4" s="1"/>
  <c r="M304" i="4" s="1"/>
  <c r="P305" i="4"/>
  <c r="M305" i="4" s="1"/>
  <c r="M306" i="4"/>
  <c r="P306" i="4"/>
  <c r="P307" i="4"/>
  <c r="I307" i="4" s="1"/>
  <c r="M307" i="4" s="1"/>
  <c r="O308" i="4"/>
  <c r="P308" i="4" s="1"/>
  <c r="I308" i="4" s="1"/>
  <c r="M308" i="4" s="1"/>
  <c r="M311" i="4"/>
  <c r="M312" i="4"/>
  <c r="M313" i="4"/>
  <c r="I314" i="4"/>
  <c r="M314" i="4" s="1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30" i="4"/>
  <c r="M329" i="4" s="1"/>
  <c r="M328" i="4" s="1"/>
  <c r="M347" i="4"/>
  <c r="M348" i="4"/>
  <c r="M350" i="4"/>
  <c r="M351" i="4"/>
  <c r="M352" i="4"/>
  <c r="M353" i="4"/>
  <c r="M359" i="4"/>
  <c r="M360" i="4" s="1"/>
  <c r="O359" i="4"/>
  <c r="Q359" i="4" s="1"/>
  <c r="M362" i="4"/>
  <c r="M363" i="4"/>
  <c r="M364" i="4"/>
  <c r="M365" i="4"/>
  <c r="M366" i="4"/>
  <c r="M367" i="4"/>
  <c r="M368" i="4"/>
  <c r="M369" i="4"/>
  <c r="M370" i="4"/>
  <c r="M371" i="4"/>
  <c r="M372" i="4"/>
  <c r="M373" i="4"/>
  <c r="M380" i="4"/>
  <c r="M374" i="4" s="1"/>
  <c r="O380" i="4"/>
  <c r="R381" i="4"/>
  <c r="U381" i="4"/>
  <c r="T382" i="4"/>
  <c r="M388" i="4"/>
  <c r="M389" i="4"/>
  <c r="M390" i="4"/>
  <c r="M391" i="4"/>
  <c r="M392" i="4"/>
  <c r="M393" i="4"/>
  <c r="M395" i="4"/>
  <c r="M396" i="4"/>
  <c r="M397" i="4"/>
  <c r="M398" i="4"/>
  <c r="M400" i="4"/>
  <c r="M401" i="4"/>
  <c r="I402" i="4"/>
  <c r="M402" i="4" s="1"/>
  <c r="M403" i="4"/>
  <c r="P409" i="4"/>
  <c r="I409" i="4" s="1"/>
  <c r="M409" i="4" s="1"/>
  <c r="M410" i="4"/>
  <c r="P411" i="4"/>
  <c r="I411" i="4" s="1"/>
  <c r="M411" i="4" s="1"/>
  <c r="P412" i="4"/>
  <c r="I412" i="4" s="1"/>
  <c r="M412" i="4" s="1"/>
  <c r="P413" i="4"/>
  <c r="I413" i="4" s="1"/>
  <c r="M413" i="4" s="1"/>
  <c r="M414" i="4"/>
  <c r="M415" i="4"/>
  <c r="P415" i="4"/>
  <c r="P416" i="4"/>
  <c r="I416" i="4" s="1"/>
  <c r="M416" i="4" s="1"/>
  <c r="O417" i="4"/>
  <c r="P417" i="4" s="1"/>
  <c r="I417" i="4" s="1"/>
  <c r="M417" i="4" s="1"/>
  <c r="M420" i="4"/>
  <c r="M421" i="4"/>
  <c r="M422" i="4"/>
  <c r="I423" i="4"/>
  <c r="M423" i="4" s="1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9" i="4"/>
  <c r="M438" i="4" s="1"/>
  <c r="M437" i="4" s="1"/>
  <c r="M237" i="4" l="1"/>
  <c r="M15" i="4"/>
  <c r="M387" i="4"/>
  <c r="M240" i="4"/>
  <c r="M236" i="4" s="1"/>
  <c r="M126" i="4"/>
  <c r="M349" i="4"/>
  <c r="M290" i="4"/>
  <c r="M219" i="4"/>
  <c r="M399" i="4"/>
  <c r="M278" i="4"/>
  <c r="M181" i="4"/>
  <c r="M346" i="4"/>
  <c r="M285" i="4"/>
  <c r="M189" i="4"/>
  <c r="M58" i="4"/>
  <c r="M57" i="4" s="1"/>
  <c r="M18" i="4"/>
  <c r="M14" i="4" s="1"/>
  <c r="M418" i="4"/>
  <c r="M309" i="4"/>
  <c r="M89" i="4"/>
  <c r="M394" i="4"/>
  <c r="M357" i="4"/>
  <c r="M356" i="4" s="1"/>
  <c r="M169" i="4"/>
  <c r="M168" i="4" s="1"/>
  <c r="M139" i="4"/>
  <c r="M138" i="4" s="1"/>
  <c r="M200" i="4"/>
  <c r="M129" i="4"/>
  <c r="M298" i="4"/>
  <c r="M407" i="4"/>
  <c r="M78" i="4"/>
  <c r="M28" i="4"/>
  <c r="M27" i="4" s="1"/>
  <c r="M251" i="4"/>
  <c r="M248" i="4" s="1"/>
  <c r="M247" i="4" s="1"/>
  <c r="M297" i="4" l="1"/>
  <c r="M246" i="4"/>
  <c r="M245" i="4" s="1"/>
  <c r="M235" i="4" s="1"/>
  <c r="M273" i="4" s="1"/>
  <c r="M125" i="4"/>
  <c r="M188" i="4"/>
  <c r="M77" i="4"/>
  <c r="M277" i="4"/>
  <c r="M386" i="4"/>
  <c r="M405" i="4" s="1"/>
  <c r="M404" i="4" s="1"/>
  <c r="M345" i="4"/>
  <c r="M187" i="4"/>
  <c r="M186" i="4" s="1"/>
  <c r="M406" i="4"/>
  <c r="M26" i="4"/>
  <c r="M25" i="4" s="1"/>
  <c r="M76" i="4"/>
  <c r="M75" i="4" s="1"/>
  <c r="M355" i="4" l="1"/>
  <c r="M354" i="4" s="1"/>
  <c r="M344" i="4" s="1"/>
  <c r="M382" i="4" s="1"/>
  <c r="M137" i="4"/>
  <c r="M136" i="4" s="1"/>
  <c r="M296" i="4"/>
  <c r="M295" i="4" s="1"/>
  <c r="M276" i="4" s="1"/>
  <c r="M331" i="4" s="1"/>
  <c r="M332" i="4" s="1"/>
  <c r="M385" i="4"/>
  <c r="M440" i="4" s="1"/>
  <c r="M167" i="4"/>
  <c r="M222" i="4" s="1"/>
  <c r="M56" i="4"/>
  <c r="M111" i="4" s="1"/>
  <c r="M13" i="4"/>
  <c r="M53" i="4" s="1"/>
  <c r="M124" i="4" l="1"/>
  <c r="M164" i="4" s="1"/>
  <c r="M223" i="4" s="1"/>
  <c r="M224" i="4" s="1"/>
  <c r="M225" i="4" s="1"/>
  <c r="M112" i="4"/>
  <c r="M113" i="4" s="1"/>
  <c r="M114" i="4" s="1"/>
  <c r="M441" i="4"/>
  <c r="M442" i="4" s="1"/>
  <c r="M443" i="4" s="1"/>
  <c r="M333" i="4"/>
  <c r="M334" i="4" s="1"/>
</calcChain>
</file>

<file path=xl/sharedStrings.xml><?xml version="1.0" encoding="utf-8"?>
<sst xmlns="http://schemas.openxmlformats.org/spreadsheetml/2006/main" count="680" uniqueCount="145">
  <si>
    <t>Tiešās izmaksas</t>
  </si>
  <si>
    <t>Netiešās izmaksas</t>
  </si>
  <si>
    <t>jelena.ivanova@rs.gov.lv</t>
  </si>
  <si>
    <t>Ivanova 67075674</t>
  </si>
  <si>
    <t>Ministru kabineta noteikumu “Grozījumi Ministru kabineta 2021. gada 24. augusta noteikumos Nr. 572 "Valsts robežsardzes maksas pakalpojuma cenrādis" projekta sākotnējās ietekmes novērtējuma ziņojumam (anotācijai)</t>
  </si>
  <si>
    <t>Pakalpojuma izmaksas kopā (ar PVN):</t>
  </si>
  <si>
    <t>PVN:</t>
  </si>
  <si>
    <t>Pakalpojuma izmaksas kopā:</t>
  </si>
  <si>
    <t>Netiešās izmaksas kopā:</t>
  </si>
  <si>
    <t>Patērētais laiks (h)</t>
  </si>
  <si>
    <t>Vērtība</t>
  </si>
  <si>
    <t>Skaits</t>
  </si>
  <si>
    <t>Amortizācija %</t>
  </si>
  <si>
    <t>Nosaukums</t>
  </si>
  <si>
    <t>Pamatkapitāla veidošana</t>
  </si>
  <si>
    <t>Svīteris  (2 gab.)</t>
  </si>
  <si>
    <t>Ziemas šalle (vilnas)</t>
  </si>
  <si>
    <t>Siksna darba biksēm</t>
  </si>
  <si>
    <t>Puszābaki (ziemas)</t>
  </si>
  <si>
    <t>Darba apavi (vasaras)  (2 pāri)</t>
  </si>
  <si>
    <t>Cimdi (ziemas)</t>
  </si>
  <si>
    <t>Ugunsizturīga virsjaka ar atstarojošiem elementiem (ziemas)</t>
  </si>
  <si>
    <t>Atstarojošā veste (vasaras)</t>
  </si>
  <si>
    <t>Atstarojošā veste</t>
  </si>
  <si>
    <t>Cepure (ziemas)</t>
  </si>
  <si>
    <t>Cepure (vasaras)  (2 gab.)</t>
  </si>
  <si>
    <t>Darba bikses  (2 gab.)</t>
  </si>
  <si>
    <t>Flīsa jaka</t>
  </si>
  <si>
    <t>Termoapakšveļa (krekls un bikses)</t>
  </si>
  <si>
    <t>T-krekls ar īsām piedurknēm</t>
  </si>
  <si>
    <t>T-krekls ar garām piedurknēm</t>
  </si>
  <si>
    <t>Polo T-krekls</t>
  </si>
  <si>
    <t>Normas, gadi</t>
  </si>
  <si>
    <t>Formas tērpi un speciālais apģērbs (Speciālais apģērbs helikoptera mehāniķiem)</t>
  </si>
  <si>
    <t>Krājumi, materiāli, energoresursi, preces, biroja preces un inventārs, kurus neuzskaita kodā 5000</t>
  </si>
  <si>
    <t>Gaisa kuģu tehniskās apkopes dokumentācijas abonēšanu uz 1 gadu</t>
  </si>
  <si>
    <t>Valsts aģentūra “Civilās aviācijas aģentūra” pakalpojumi</t>
  </si>
  <si>
    <t>Pārējie neklasificētie pakalpojumi</t>
  </si>
  <si>
    <t>helio 119</t>
  </si>
  <si>
    <t>Helikoptera OCTA un apkalpes locekļu, pasažieru vietas apdrošināšanas izmaksas nelaimes gadījumiem</t>
  </si>
  <si>
    <t>Apdrošināšanas izdevumi</t>
  </si>
  <si>
    <t>Ikgadējā medicīniskā komisija SIA “AVIAMED”  pilotiem</t>
  </si>
  <si>
    <t>Normatīvajos aktos  noteiktie darba devēja  veselības izdevumi darba ņēmējiem</t>
  </si>
  <si>
    <t>Kvalifikācijas uzturēšanas celšanas izmaksas pilotiem</t>
  </si>
  <si>
    <t>Izdevumi par saņemtajiem mācību pakalpojumiem</t>
  </si>
  <si>
    <t xml:space="preserve">Angara uzturēšana ? </t>
  </si>
  <si>
    <t xml:space="preserve">Patērētas marķētās dīzeļdegvielas (angāra apkures izmaksas 735,4 m2) . 2023.gadā tika norakstīta marķētā dīzeļdegviela par kopējo summu 44992,88 EUR ar PVN. KOPĀ pārvalde ir 2578,9 m2, tātad 1 m2=17,45 euro x 708,85 m2=12 369,43 EUR / gadā/365dienas/24 stundas=1,41 EUR/stunda </t>
  </si>
  <si>
    <t>Kurjerpasta pakalpojumi rezerves daļu iegādei</t>
  </si>
  <si>
    <t>365dienas/24stundas</t>
  </si>
  <si>
    <t>2023.gadā izdevumi</t>
  </si>
  <si>
    <t>Izdevumi par komunālajiem pakalpojumiem</t>
  </si>
  <si>
    <t>Pakalpojumi</t>
  </si>
  <si>
    <t>Preces un pakalpojumi</t>
  </si>
  <si>
    <t>Darba devēja valsts sociālās apdrošināšanas obligātās iemaksas (23,59 % no 1100 un 1221 EKK)</t>
  </si>
  <si>
    <t>Darba devēja valsts sociālās apdrošināšanas obligātās iemaksas, pabalsti un kompensācijas</t>
  </si>
  <si>
    <t>piemaksas /166,92 h × patērētais laiks</t>
  </si>
  <si>
    <t>Kapteinis (2.cilv)</t>
  </si>
  <si>
    <t>Majors</t>
  </si>
  <si>
    <t>Piemaksa mēnesī</t>
  </si>
  <si>
    <t>Speciālā dienesta pakāpe</t>
  </si>
  <si>
    <t>Piemaksas par speciālo dienesta pakāpi un diplomātisko rangu</t>
  </si>
  <si>
    <t xml:space="preserve">mēnešalga /166,92 h × patērētais laiks     </t>
  </si>
  <si>
    <t>speciālists (gaisa kuģu virszemes apkalpošanas un tehniskās apkopes jomā) (46.3 saime, I. līmenis 4. mēnešalgas grupa)</t>
  </si>
  <si>
    <t>vecākais speciālists (gaisa kuģu tehniskās apkopes organizācijas vadītājs) (46.3 saime, III. Līmenis 9. mēnešalgas grupa)</t>
  </si>
  <si>
    <t>Mēnešalga</t>
  </si>
  <si>
    <t>Ieņemamais amats</t>
  </si>
  <si>
    <t>Pārējo darbinieku mēnešalga (darba alga)</t>
  </si>
  <si>
    <t>gaisa kuģa tehniskās apkopes mehāniķis (22.2 saime, IIA. līmenis 13. mēnešalgas grupa)</t>
  </si>
  <si>
    <t>gaisa kuģa tehniskās apkopes inženieris (avioniķis) (22.2 saime, IIIA. līmenis 15. mēnešalgas grupa)</t>
  </si>
  <si>
    <t>gaisa kuģa tehniskās apkopes inženieris (mehāniķis)  (22.2 saime, IIIB. līmenis 15. mēnešalgas grupa)</t>
  </si>
  <si>
    <t>Mēnešalga amatpersonām ar speciālajām dienesta pakāpēm</t>
  </si>
  <si>
    <t>Atalgojums</t>
  </si>
  <si>
    <t>Atlīdzība (tehniskajam personālam -  Aviācijas inženiertehniskais dienests)</t>
  </si>
  <si>
    <t>Tiešās izmaksas kopā:</t>
  </si>
  <si>
    <t xml:space="preserve">gadā </t>
  </si>
  <si>
    <t>6,67</t>
  </si>
  <si>
    <t>vērtība × amort.%/12 mēneši /166,92 h × patērētais laiks</t>
  </si>
  <si>
    <t xml:space="preserve">Helikoptera amortizacija (vērtība 4665664.67 euro / 15 gadi / 365 dienas/ 24 stundas </t>
  </si>
  <si>
    <t>Transportlīdzekļi</t>
  </si>
  <si>
    <t>mēn</t>
  </si>
  <si>
    <t>Helikoptera apkalpes glābšanas veste</t>
  </si>
  <si>
    <t>15 gadi</t>
  </si>
  <si>
    <t>Ceļgala planšete</t>
  </si>
  <si>
    <t>Speciāla apakšveļa kombinezonam lidojumiem virs jūras (flight suit set)</t>
  </si>
  <si>
    <t>Aizsargcepure (ķivere) ar radioaustiņām un mikrofonu</t>
  </si>
  <si>
    <t>Pārējie iepriekš neklasificētie pamatlīdzekļi un ieguldījuma īpašumi</t>
  </si>
  <si>
    <t>Pilotu soma organizators</t>
  </si>
  <si>
    <t>Kombinezons lidojumiem virs jūras (flight suit set)</t>
  </si>
  <si>
    <t>Apakšveļa 1. slānis (2 kompl.)</t>
  </si>
  <si>
    <t>Ziemas cepure</t>
  </si>
  <si>
    <t>Ziemas virsjaka (īsā)</t>
  </si>
  <si>
    <t>Ziemas virsjaka (ādas)</t>
  </si>
  <si>
    <t>Pilota cimdi (vasaras) (2 pāri)</t>
  </si>
  <si>
    <t>Lidotāju puszābaki (ziemas)</t>
  </si>
  <si>
    <t>Lidotāju puszābaki (vasaras)</t>
  </si>
  <si>
    <t>Kombinezons ar laiviņcepuri (2 gab.)</t>
  </si>
  <si>
    <t>Pilota tērps (virsjaka un bikses) ar laiviņcepuri (2 gab.)</t>
  </si>
  <si>
    <t>Pilota krekls (2 gab.)</t>
  </si>
  <si>
    <t>Formas tērpi un speciālais apģērbs (Speciālais apģērbs pilotiem)</t>
  </si>
  <si>
    <t xml:space="preserve">smērvielas 7% no patērētas degvielas </t>
  </si>
  <si>
    <t>Pārējie enerģētiskie materiāli</t>
  </si>
  <si>
    <t xml:space="preserve">aviācijas degviela JET A1 89 kg  </t>
  </si>
  <si>
    <t>Degviela</t>
  </si>
  <si>
    <t>Cena (euro)</t>
  </si>
  <si>
    <t>Izlietots stundā</t>
  </si>
  <si>
    <t>pilnā apmērā, jo 25 EUR par lidojuma stundu</t>
  </si>
  <si>
    <t>Piemaksa par darbu īpašos apstākļos, speciālās piemaksas</t>
  </si>
  <si>
    <t>virsleitnants, piemaksaa /166,92 h × patērētais laiks</t>
  </si>
  <si>
    <t>majors, piemaksa /166,92 h × patērētais laiks</t>
  </si>
  <si>
    <t>2.pilots - Helikoptera jaunākais pilots  (22.1 saime, IIB. līmenis 13. mēnešalgas grupa)  –  EUR  2235/166,92 x 2 (vidējā mēnešalga/vidējais darba stundu skaits mēnesī x piemaksa par virsstundu darbu (100%))  = EUR 26.78</t>
  </si>
  <si>
    <t>Samaksa par virsstundu darbu un darbu svētku dienās</t>
  </si>
  <si>
    <t>1.pilots - Helikoptera pilots (22.1 saime, IIIB. līmenis 14. mēnešalgas grupa)  –  EUR  2415/166,92 x 2 (vidējā mēnešalga/vidējais darba stundu skaits mēnesī x piemaksa par virsstundu darbu (100%))  = EUR 28.94</t>
  </si>
  <si>
    <t>Piemaksas</t>
  </si>
  <si>
    <t>2.pilots - Helikoptera jaunākais pilots  (22.1 saime, IIB. līmenis 13. mēnešalgas grupa) mēnešalga / 166,92 h x patērētais laiks</t>
  </si>
  <si>
    <t>1116</t>
  </si>
  <si>
    <t>1.pilots - Helikoptera pilots (22.1 saime, IIIB. līmenis 14. mēnešalgas grupa) mēnešalga /166,92 h x patērētais laiks</t>
  </si>
  <si>
    <t>Atlīdzība (pilotiem)</t>
  </si>
  <si>
    <t>kods</t>
  </si>
  <si>
    <t>Izmaksu apjoms gadā viena maksas pakalpojuma veida nodrošināšanai</t>
  </si>
  <si>
    <t>Rādītājs (materiāla/izejvielas nosaukums, atlīdzība un citi izmaksu veidi)</t>
  </si>
  <si>
    <t>EKK</t>
  </si>
  <si>
    <t>Maksas pakalpojuma mērvienība –  viena stunda</t>
  </si>
  <si>
    <r>
      <t>4.</t>
    </r>
    <r>
      <rPr>
        <b/>
        <sz val="7"/>
        <rFont val="Times New Roman"/>
        <family val="1"/>
        <charset val="186"/>
      </rPr>
      <t xml:space="preserve">     </t>
    </r>
    <r>
      <rPr>
        <b/>
        <sz val="12"/>
        <rFont val="Times New Roman"/>
        <family val="1"/>
        <charset val="186"/>
      </rPr>
      <t>Gaisa kuģa AW119MKII izmantošana (gaidīšana starp lidojumiem uz zemes) - iesaistīšana publiskos pasākumos, kurus organizē privātpersona</t>
    </r>
  </si>
  <si>
    <t xml:space="preserve">Helikoptera amortizacija (vērtība 0 euro / 15 gadi / 365 dienas/ 24 stundas </t>
  </si>
  <si>
    <t>majors, piemaksa / 166,92 h × patērētais laiks</t>
  </si>
  <si>
    <t>1.pilots - Helikoptera pilots (22.1 saime, IIIB. līmenis 14. mēnešalgas grupa) mēnešalga / 166,92 h x patērētais laiks</t>
  </si>
  <si>
    <r>
      <t>3.</t>
    </r>
    <r>
      <rPr>
        <b/>
        <sz val="7"/>
        <rFont val="Times New Roman"/>
        <family val="1"/>
        <charset val="186"/>
      </rPr>
      <t xml:space="preserve">     </t>
    </r>
    <r>
      <rPr>
        <b/>
        <sz val="12"/>
        <rFont val="Times New Roman"/>
        <family val="1"/>
        <charset val="186"/>
      </rPr>
      <t>Gaisa kuģa AB206B izmantošana (gaidīšana starp lidojumiem uz zemes) - iesaistīšana publiskos pasākumos, kurus organizē privātpersona</t>
    </r>
  </si>
  <si>
    <t>2.pilots - Helikoptera jaunākais pilots  (22.1 saime, IIB. līmenis 13. mēnešalgas grupa) mēnešalga / /166,92 h x patērētais laiks</t>
  </si>
  <si>
    <r>
      <t xml:space="preserve">Lidostas un aeronavigācijas pakalpojumi </t>
    </r>
    <r>
      <rPr>
        <i/>
        <sz val="11"/>
        <rFont val="Times New Roman"/>
        <family val="1"/>
        <charset val="186"/>
      </rPr>
      <t xml:space="preserve"> (nodrošina pasūtītājs)*</t>
    </r>
  </si>
  <si>
    <t>Kapteinis (2.cilv.)</t>
  </si>
  <si>
    <t>mēnešalga /166,92 h × patērētais laiks</t>
  </si>
  <si>
    <t xml:space="preserve">2.pilots - Helikoptera jaunākais pilots  (22.1 saime, IIB. līmenis 13. mēnešalgas grupa) mēnešalga /166,92 h × patērētais laiks     </t>
  </si>
  <si>
    <t xml:space="preserve">1.pilots - Helikoptera pilots (22.1 saime, IIIB. līmenis 14. mēnešalgas grupa) mēnešalga /166,92 h × patērētais laiks     </t>
  </si>
  <si>
    <t>Maksas pakalpojumu izcenojuma aprēķins</t>
  </si>
  <si>
    <t>2. pielikums</t>
  </si>
  <si>
    <t>EKK kods</t>
  </si>
  <si>
    <t>Lidostas un aeronavigācijas pakalpojumi  (nodrošina pasūtītājs )*</t>
  </si>
  <si>
    <t>mēnešalga/166,92 h x patērētais laiks</t>
  </si>
  <si>
    <t>piemaksa gaisa kuģa apkalpes loceklim × patērētais laiks</t>
  </si>
  <si>
    <r>
      <t xml:space="preserve">Lidostas un aeronavigācijas pakalpojumi  </t>
    </r>
    <r>
      <rPr>
        <i/>
        <sz val="11"/>
        <rFont val="Times New Roman"/>
        <family val="1"/>
        <charset val="186"/>
      </rPr>
      <t>(nodrošina pasūtītājs )*</t>
    </r>
  </si>
  <si>
    <r>
      <t xml:space="preserve">Apsargājamas stāvvietas helikopteram nodrošināšanu un citus pakalpojumus saistītus ar lidlauka infrastruktūras izmantošanu  (Maksimāla cena lidostas pakalpojumiem par vienu lidostas izmantošanas reizi – 250,00 EUR un par pakalpojumiem  12 % (250 euro + (250 euro * 12%) * 1.21=286.30 EUR </t>
    </r>
    <r>
      <rPr>
        <i/>
        <sz val="11"/>
        <rFont val="Times New Roman"/>
        <family val="1"/>
        <charset val="186"/>
      </rPr>
      <t>(nodrošina pasūtītājs )*</t>
    </r>
  </si>
  <si>
    <r>
      <t>1.</t>
    </r>
    <r>
      <rPr>
        <b/>
        <sz val="7"/>
        <rFont val="Times New Roman"/>
        <family val="1"/>
        <charset val="186"/>
      </rPr>
      <t xml:space="preserve">     </t>
    </r>
    <r>
      <rPr>
        <b/>
        <sz val="12"/>
        <rFont val="Times New Roman"/>
        <family val="1"/>
        <charset val="186"/>
      </rPr>
      <t>Gaisa kuģa AB206B izmantošana (lidojumiem)** - iesaistīšana publiskos pasākumos, kurus organizē privātpersona</t>
    </r>
  </si>
  <si>
    <r>
      <t>2.</t>
    </r>
    <r>
      <rPr>
        <b/>
        <sz val="7"/>
        <rFont val="Times New Roman"/>
        <family val="1"/>
        <charset val="186"/>
      </rPr>
      <t xml:space="preserve">     </t>
    </r>
    <r>
      <rPr>
        <b/>
        <sz val="12"/>
        <rFont val="Times New Roman"/>
        <family val="1"/>
        <charset val="186"/>
      </rPr>
      <t>Gaisa kuģa AW119MKII izmantošana (lidojumiem)** - iesaistīšana publiskos pasākumos, kurus organizē privātpersona</t>
    </r>
  </si>
  <si>
    <t>** Ieskaitot lidojumus līdz pasākuma vai dislokācijas vietai.</t>
  </si>
  <si>
    <t>* Lidostas un aeronavigācijas un apsargājamas stāvvietas pakalpojumus nodrošina un apmaksā pasākuma organizators atbilstoši faktiskajai nepieciešamībai.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</si>
</sst>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0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color indexed="8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7"/>
      <name val="Times New Roman"/>
      <family val="1"/>
      <charset val="186"/>
    </font>
    <font>
      <i/>
      <sz val="11"/>
      <name val="Times New Roman"/>
      <family val="1"/>
      <charset val="186"/>
    </font>
    <font>
      <sz val="14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DD7E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137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3" fillId="0" borderId="0" xfId="0" applyFont="1"/>
    <xf numFmtId="0" fontId="0" fillId="0" borderId="0" xfId="0" applyFont="1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0" borderId="0" xfId="0" applyFont="1" applyAlignment="1">
      <alignment vertical="center" wrapText="1"/>
    </xf>
    <xf numFmtId="0" fontId="10" fillId="0" borderId="0" xfId="0" applyFont="1"/>
    <xf numFmtId="0" fontId="0" fillId="0" borderId="0" xfId="0" applyFill="1"/>
    <xf numFmtId="0" fontId="10" fillId="0" borderId="0" xfId="0" applyFont="1" applyAlignment="1">
      <alignment vertical="center"/>
    </xf>
    <xf numFmtId="164" fontId="0" fillId="0" borderId="0" xfId="0" applyNumberFormat="1"/>
    <xf numFmtId="0" fontId="14" fillId="0" borderId="0" xfId="0" applyFont="1" applyAlignment="1">
      <alignment horizontal="justify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top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top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 wrapText="1"/>
    </xf>
    <xf numFmtId="0" fontId="10" fillId="0" borderId="1" xfId="0" applyFont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" fontId="12" fillId="0" borderId="7" xfId="1" applyNumberFormat="1" applyFont="1" applyFill="1" applyBorder="1" applyAlignment="1">
      <alignment horizontal="right" vertic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6" fillId="6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8" fillId="0" borderId="0" xfId="0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center"/>
    </xf>
    <xf numFmtId="0" fontId="19" fillId="0" borderId="0" xfId="0" applyFont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/>
    <xf numFmtId="0" fontId="9" fillId="4" borderId="3" xfId="0" applyFont="1" applyFill="1" applyBorder="1" applyAlignment="1">
      <alignment horizontal="right" vertical="center"/>
    </xf>
    <xf numFmtId="0" fontId="9" fillId="4" borderId="5" xfId="0" applyFont="1" applyFill="1" applyBorder="1" applyAlignment="1">
      <alignment horizontal="right" vertical="center"/>
    </xf>
    <xf numFmtId="0" fontId="9" fillId="4" borderId="6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right" vertical="center"/>
    </xf>
    <xf numFmtId="0" fontId="7" fillId="3" borderId="6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top" wrapText="1"/>
    </xf>
    <xf numFmtId="0" fontId="6" fillId="0" borderId="4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left" vertical="center" wrapText="1"/>
    </xf>
    <xf numFmtId="0" fontId="9" fillId="8" borderId="5" xfId="0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left" vertical="center" wrapText="1"/>
    </xf>
    <xf numFmtId="0" fontId="9" fillId="8" borderId="3" xfId="0" applyFont="1" applyFill="1" applyBorder="1" applyAlignment="1">
      <alignment horizontal="right" vertical="center"/>
    </xf>
    <xf numFmtId="0" fontId="9" fillId="8" borderId="5" xfId="0" applyFont="1" applyFill="1" applyBorder="1" applyAlignment="1">
      <alignment horizontal="right" vertical="center"/>
    </xf>
    <xf numFmtId="0" fontId="9" fillId="8" borderId="6" xfId="0" applyFont="1" applyFill="1" applyBorder="1" applyAlignment="1">
      <alignment horizontal="right" vertical="center"/>
    </xf>
    <xf numFmtId="0" fontId="9" fillId="6" borderId="3" xfId="0" applyFont="1" applyFill="1" applyBorder="1" applyAlignment="1">
      <alignment horizontal="left" vertical="center"/>
    </xf>
    <xf numFmtId="0" fontId="9" fillId="6" borderId="5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right" vertical="center"/>
    </xf>
    <xf numFmtId="0" fontId="9" fillId="6" borderId="5" xfId="0" applyFont="1" applyFill="1" applyBorder="1" applyAlignment="1">
      <alignment horizontal="right" vertical="center"/>
    </xf>
    <xf numFmtId="0" fontId="9" fillId="6" borderId="6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top"/>
    </xf>
    <xf numFmtId="0" fontId="9" fillId="8" borderId="3" xfId="0" applyFont="1" applyFill="1" applyBorder="1" applyAlignment="1">
      <alignment horizontal="left" vertical="center"/>
    </xf>
    <xf numFmtId="0" fontId="9" fillId="8" borderId="5" xfId="0" applyFont="1" applyFill="1" applyBorder="1" applyAlignment="1">
      <alignment horizontal="left" vertical="center"/>
    </xf>
    <xf numFmtId="0" fontId="9" fillId="8" borderId="6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right" vertical="center"/>
    </xf>
    <xf numFmtId="0" fontId="6" fillId="7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/>
    </xf>
    <xf numFmtId="2" fontId="9" fillId="6" borderId="1" xfId="0" applyNumberFormat="1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 indent="1"/>
    </xf>
    <xf numFmtId="2" fontId="9" fillId="5" borderId="1" xfId="0" applyNumberFormat="1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vertical="center"/>
    </xf>
    <xf numFmtId="2" fontId="9" fillId="0" borderId="1" xfId="0" applyNumberFormat="1" applyFont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2" fontId="6" fillId="7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2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3" fontId="6" fillId="0" borderId="1" xfId="0" applyNumberFormat="1" applyFont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 indent="1"/>
    </xf>
    <xf numFmtId="2" fontId="6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455"/>
  <sheetViews>
    <sheetView showGridLines="0" tabSelected="1" showWhiteSpace="0" topLeftCell="A15" zoomScale="85" zoomScaleNormal="85" zoomScalePageLayoutView="55" workbookViewId="0">
      <selection activeCell="AL13" sqref="AL13"/>
    </sheetView>
  </sheetViews>
  <sheetFormatPr defaultRowHeight="14.4" x14ac:dyDescent="0.3"/>
  <cols>
    <col min="1" max="1" width="9.5546875" customWidth="1"/>
    <col min="2" max="2" width="37" customWidth="1"/>
    <col min="3" max="3" width="13.88671875" customWidth="1"/>
    <col min="4" max="4" width="20.88671875" customWidth="1"/>
    <col min="5" max="5" width="8.109375" customWidth="1"/>
    <col min="6" max="6" width="5.5546875" customWidth="1"/>
    <col min="7" max="7" width="3.109375" customWidth="1"/>
    <col min="8" max="8" width="11.109375" customWidth="1"/>
    <col min="9" max="9" width="8.44140625" customWidth="1"/>
    <col min="10" max="10" width="9.88671875" customWidth="1"/>
    <col min="11" max="11" width="6" customWidth="1"/>
    <col min="12" max="12" width="10.88671875" customWidth="1"/>
    <col min="13" max="13" width="0.109375" hidden="1" customWidth="1"/>
    <col min="14" max="14" width="14.88671875" customWidth="1"/>
    <col min="15" max="15" width="18.44140625" hidden="1" customWidth="1"/>
    <col min="16" max="16" width="19.109375" hidden="1" customWidth="1"/>
    <col min="17" max="17" width="4.109375" hidden="1" customWidth="1"/>
    <col min="18" max="18" width="11.109375" hidden="1" customWidth="1"/>
    <col min="19" max="19" width="11.5546875" hidden="1" customWidth="1"/>
    <col min="20" max="20" width="5.5546875" hidden="1" customWidth="1"/>
    <col min="21" max="21" width="12.109375" hidden="1" customWidth="1"/>
    <col min="22" max="22" width="6.88671875" hidden="1" customWidth="1"/>
    <col min="23" max="23" width="5.44140625" hidden="1" customWidth="1"/>
    <col min="24" max="27" width="0" hidden="1" customWidth="1"/>
    <col min="28" max="28" width="8.88671875" hidden="1" customWidth="1"/>
    <col min="29" max="31" width="0" hidden="1" customWidth="1"/>
  </cols>
  <sheetData>
    <row r="1" spans="1:15" x14ac:dyDescent="0.3">
      <c r="D1" s="88" t="s">
        <v>134</v>
      </c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5" ht="51.6" customHeight="1" x14ac:dyDescent="0.3">
      <c r="D2" s="20"/>
      <c r="E2" s="20"/>
      <c r="F2" s="20"/>
      <c r="G2" s="20"/>
      <c r="H2" s="63" t="s">
        <v>4</v>
      </c>
      <c r="I2" s="63"/>
      <c r="J2" s="63"/>
      <c r="K2" s="63"/>
      <c r="L2" s="63"/>
      <c r="M2" s="63"/>
      <c r="N2" s="63"/>
    </row>
    <row r="4" spans="1:15" x14ac:dyDescent="0.3">
      <c r="A4" s="81" t="s">
        <v>133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5" ht="18" x14ac:dyDescent="0.3">
      <c r="A5" s="1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5" ht="15.6" x14ac:dyDescent="0.3">
      <c r="A6" s="16" t="s">
        <v>141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5" ht="15.6" x14ac:dyDescent="0.3">
      <c r="A7" s="13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5" x14ac:dyDescent="0.3">
      <c r="A8" s="15" t="s">
        <v>121</v>
      </c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5" ht="15.6" x14ac:dyDescent="0.3">
      <c r="A9" s="13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5" ht="37.5" customHeight="1" x14ac:dyDescent="0.3">
      <c r="A10" s="41" t="s">
        <v>135</v>
      </c>
      <c r="B10" s="25" t="s">
        <v>119</v>
      </c>
      <c r="C10" s="119" t="s">
        <v>118</v>
      </c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42"/>
    </row>
    <row r="11" spans="1:15" x14ac:dyDescent="0.3">
      <c r="A11" s="26">
        <v>1</v>
      </c>
      <c r="B11" s="26">
        <v>2</v>
      </c>
      <c r="C11" s="114">
        <v>3</v>
      </c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27"/>
    </row>
    <row r="12" spans="1:15" x14ac:dyDescent="0.3">
      <c r="A12" s="82" t="s">
        <v>0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4"/>
      <c r="O12" s="127"/>
    </row>
    <row r="13" spans="1:15" x14ac:dyDescent="0.3">
      <c r="A13" s="28">
        <v>1000</v>
      </c>
      <c r="B13" s="89" t="s">
        <v>116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90">
        <f>M14+M25</f>
        <v>131.98000000000002</v>
      </c>
      <c r="N13" s="90"/>
      <c r="O13" s="127"/>
    </row>
    <row r="14" spans="1:15" x14ac:dyDescent="0.3">
      <c r="A14" s="29">
        <v>1100</v>
      </c>
      <c r="B14" s="89" t="s">
        <v>71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90">
        <f>ROUND(M15+M18,2)</f>
        <v>106.79</v>
      </c>
      <c r="N14" s="90"/>
      <c r="O14" s="127"/>
    </row>
    <row r="15" spans="1:15" x14ac:dyDescent="0.3">
      <c r="A15" s="30"/>
      <c r="B15" s="31"/>
      <c r="C15" s="100" t="s">
        <v>65</v>
      </c>
      <c r="D15" s="100"/>
      <c r="E15" s="100"/>
      <c r="F15" s="100"/>
      <c r="G15" s="100"/>
      <c r="H15" s="100"/>
      <c r="I15" s="101" t="s">
        <v>58</v>
      </c>
      <c r="J15" s="101"/>
      <c r="K15" s="101" t="s">
        <v>9</v>
      </c>
      <c r="L15" s="101"/>
      <c r="M15" s="97">
        <f>M16+M17</f>
        <v>0</v>
      </c>
      <c r="N15" s="97"/>
      <c r="O15" s="127"/>
    </row>
    <row r="16" spans="1:15" s="10" customFormat="1" ht="27.6" hidden="1" x14ac:dyDescent="0.3">
      <c r="A16" s="32" t="s">
        <v>114</v>
      </c>
      <c r="B16" s="33" t="s">
        <v>70</v>
      </c>
      <c r="C16" s="120" t="s">
        <v>132</v>
      </c>
      <c r="D16" s="120"/>
      <c r="E16" s="120"/>
      <c r="F16" s="120"/>
      <c r="G16" s="120"/>
      <c r="H16" s="120"/>
      <c r="I16" s="129"/>
      <c r="J16" s="129"/>
      <c r="K16" s="104">
        <v>1</v>
      </c>
      <c r="L16" s="104"/>
      <c r="M16" s="105">
        <f>ROUND(I16/166.92*K16,2)</f>
        <v>0</v>
      </c>
      <c r="N16" s="105"/>
      <c r="O16" s="127"/>
    </row>
    <row r="17" spans="1:17" s="10" customFormat="1" ht="27.6" hidden="1" x14ac:dyDescent="0.3">
      <c r="A17" s="32" t="s">
        <v>114</v>
      </c>
      <c r="B17" s="33" t="s">
        <v>70</v>
      </c>
      <c r="C17" s="120" t="s">
        <v>131</v>
      </c>
      <c r="D17" s="120"/>
      <c r="E17" s="120"/>
      <c r="F17" s="120"/>
      <c r="G17" s="120"/>
      <c r="H17" s="120"/>
      <c r="I17" s="129"/>
      <c r="J17" s="129"/>
      <c r="K17" s="104">
        <v>1</v>
      </c>
      <c r="L17" s="104"/>
      <c r="M17" s="105">
        <f>ROUND(I17/166.92*K17,2)</f>
        <v>0</v>
      </c>
      <c r="N17" s="105"/>
      <c r="O17" s="21"/>
    </row>
    <row r="18" spans="1:17" hidden="1" x14ac:dyDescent="0.3">
      <c r="A18" s="34"/>
      <c r="B18" s="34"/>
      <c r="C18" s="100" t="s">
        <v>112</v>
      </c>
      <c r="D18" s="100"/>
      <c r="E18" s="100"/>
      <c r="F18" s="100"/>
      <c r="G18" s="100"/>
      <c r="H18" s="100"/>
      <c r="I18" s="101" t="s">
        <v>58</v>
      </c>
      <c r="J18" s="101"/>
      <c r="K18" s="101" t="s">
        <v>9</v>
      </c>
      <c r="L18" s="101"/>
      <c r="M18" s="97">
        <f>SUM(M19:N24)</f>
        <v>106.78999999999999</v>
      </c>
      <c r="N18" s="97"/>
      <c r="O18" s="6"/>
    </row>
    <row r="19" spans="1:17" s="56" customFormat="1" ht="45" customHeight="1" x14ac:dyDescent="0.3">
      <c r="A19" s="54">
        <v>1142</v>
      </c>
      <c r="B19" s="53" t="s">
        <v>110</v>
      </c>
      <c r="C19" s="93" t="s">
        <v>111</v>
      </c>
      <c r="D19" s="93"/>
      <c r="E19" s="93"/>
      <c r="F19" s="93"/>
      <c r="G19" s="93"/>
      <c r="H19" s="93"/>
      <c r="I19" s="94">
        <f>ROUND(2415/166.92*2,2)</f>
        <v>28.94</v>
      </c>
      <c r="J19" s="94"/>
      <c r="K19" s="91">
        <v>1</v>
      </c>
      <c r="L19" s="91"/>
      <c r="M19" s="92">
        <f>I19*K19</f>
        <v>28.94</v>
      </c>
      <c r="N19" s="92"/>
      <c r="O19" s="55"/>
    </row>
    <row r="20" spans="1:17" s="56" customFormat="1" ht="70.5" customHeight="1" x14ac:dyDescent="0.3">
      <c r="A20" s="54">
        <v>1142</v>
      </c>
      <c r="B20" s="53" t="s">
        <v>110</v>
      </c>
      <c r="C20" s="93" t="s">
        <v>109</v>
      </c>
      <c r="D20" s="93"/>
      <c r="E20" s="93"/>
      <c r="F20" s="93"/>
      <c r="G20" s="93"/>
      <c r="H20" s="93"/>
      <c r="I20" s="94">
        <f>ROUND(2235/166.92*2,2)</f>
        <v>26.78</v>
      </c>
      <c r="J20" s="94"/>
      <c r="K20" s="91">
        <v>1</v>
      </c>
      <c r="L20" s="91"/>
      <c r="M20" s="92">
        <f>I20*K20</f>
        <v>26.78</v>
      </c>
      <c r="N20" s="92"/>
      <c r="O20" s="55"/>
    </row>
    <row r="21" spans="1:17" s="10" customFormat="1" ht="27.6" x14ac:dyDescent="0.3">
      <c r="A21" s="35">
        <v>1143</v>
      </c>
      <c r="B21" s="33" t="s">
        <v>60</v>
      </c>
      <c r="C21" s="113" t="s">
        <v>108</v>
      </c>
      <c r="D21" s="113"/>
      <c r="E21" s="113"/>
      <c r="F21" s="113"/>
      <c r="G21" s="113"/>
      <c r="H21" s="113"/>
      <c r="I21" s="103">
        <v>106</v>
      </c>
      <c r="J21" s="103"/>
      <c r="K21" s="104">
        <v>1</v>
      </c>
      <c r="L21" s="104"/>
      <c r="M21" s="105">
        <f>ROUND(I21/166.92*K21,2)</f>
        <v>0.64</v>
      </c>
      <c r="N21" s="105"/>
      <c r="O21" s="22"/>
    </row>
    <row r="22" spans="1:17" s="10" customFormat="1" ht="27.6" x14ac:dyDescent="0.3">
      <c r="A22" s="35">
        <v>1143</v>
      </c>
      <c r="B22" s="33" t="s">
        <v>60</v>
      </c>
      <c r="C22" s="113" t="s">
        <v>107</v>
      </c>
      <c r="D22" s="113"/>
      <c r="E22" s="113"/>
      <c r="F22" s="113"/>
      <c r="G22" s="113"/>
      <c r="H22" s="113"/>
      <c r="I22" s="104">
        <v>71</v>
      </c>
      <c r="J22" s="104"/>
      <c r="K22" s="104">
        <v>1</v>
      </c>
      <c r="L22" s="104"/>
      <c r="M22" s="105">
        <f>ROUND(I22/166.92*K22,2)</f>
        <v>0.43</v>
      </c>
      <c r="N22" s="105"/>
      <c r="O22" s="22"/>
    </row>
    <row r="23" spans="1:17" s="10" customFormat="1" ht="27.6" x14ac:dyDescent="0.3">
      <c r="A23" s="35">
        <v>1145</v>
      </c>
      <c r="B23" s="33" t="s">
        <v>106</v>
      </c>
      <c r="C23" s="113" t="s">
        <v>138</v>
      </c>
      <c r="D23" s="113"/>
      <c r="E23" s="113"/>
      <c r="F23" s="113"/>
      <c r="G23" s="113"/>
      <c r="H23" s="113"/>
      <c r="I23" s="103">
        <v>25</v>
      </c>
      <c r="J23" s="103"/>
      <c r="K23" s="104">
        <v>1</v>
      </c>
      <c r="L23" s="104"/>
      <c r="M23" s="132">
        <f>I23</f>
        <v>25</v>
      </c>
      <c r="N23" s="132"/>
      <c r="O23" s="23" t="s">
        <v>105</v>
      </c>
    </row>
    <row r="24" spans="1:17" s="10" customFormat="1" ht="27.6" x14ac:dyDescent="0.3">
      <c r="A24" s="35">
        <v>1145</v>
      </c>
      <c r="B24" s="33" t="s">
        <v>106</v>
      </c>
      <c r="C24" s="113" t="s">
        <v>138</v>
      </c>
      <c r="D24" s="113"/>
      <c r="E24" s="113"/>
      <c r="F24" s="113"/>
      <c r="G24" s="113"/>
      <c r="H24" s="113"/>
      <c r="I24" s="104">
        <v>25</v>
      </c>
      <c r="J24" s="104"/>
      <c r="K24" s="104">
        <v>1</v>
      </c>
      <c r="L24" s="104"/>
      <c r="M24" s="132">
        <f>I24</f>
        <v>25</v>
      </c>
      <c r="N24" s="132"/>
      <c r="O24" s="24" t="s">
        <v>105</v>
      </c>
    </row>
    <row r="25" spans="1:17" x14ac:dyDescent="0.3">
      <c r="A25" s="29">
        <v>1200</v>
      </c>
      <c r="B25" s="89" t="s">
        <v>54</v>
      </c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90">
        <f>ROUND(M26,2)</f>
        <v>25.19</v>
      </c>
      <c r="N25" s="90"/>
      <c r="O25" s="6"/>
    </row>
    <row r="26" spans="1:17" x14ac:dyDescent="0.3">
      <c r="A26" s="36">
        <v>1210</v>
      </c>
      <c r="B26" s="99" t="s">
        <v>53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8">
        <f>ROUND(M14*0.2359,2)</f>
        <v>25.19</v>
      </c>
      <c r="N26" s="98"/>
      <c r="O26" s="6"/>
    </row>
    <row r="27" spans="1:17" x14ac:dyDescent="0.3">
      <c r="A27" s="28">
        <v>2000</v>
      </c>
      <c r="B27" s="89" t="s">
        <v>52</v>
      </c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117">
        <f>ROUND(M28+M45,2)</f>
        <v>125.9</v>
      </c>
      <c r="N27" s="90"/>
      <c r="O27" s="6"/>
    </row>
    <row r="28" spans="1:17" x14ac:dyDescent="0.3">
      <c r="A28" s="29">
        <v>2300</v>
      </c>
      <c r="B28" s="89" t="s">
        <v>34</v>
      </c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117">
        <f>SUM(M30:N44)</f>
        <v>115.14600000000003</v>
      </c>
      <c r="N28" s="90"/>
      <c r="O28" s="6"/>
    </row>
    <row r="29" spans="1:17" ht="27.6" x14ac:dyDescent="0.3">
      <c r="A29" s="31"/>
      <c r="B29" s="30"/>
      <c r="C29" s="100" t="s">
        <v>13</v>
      </c>
      <c r="D29" s="100"/>
      <c r="E29" s="100"/>
      <c r="F29" s="100"/>
      <c r="G29" s="100"/>
      <c r="H29" s="100"/>
      <c r="I29" s="37" t="s">
        <v>104</v>
      </c>
      <c r="J29" s="37" t="s">
        <v>103</v>
      </c>
      <c r="K29" s="101" t="s">
        <v>9</v>
      </c>
      <c r="L29" s="101"/>
      <c r="M29" s="121"/>
      <c r="N29" s="97"/>
      <c r="O29" s="6"/>
    </row>
    <row r="30" spans="1:17" x14ac:dyDescent="0.3">
      <c r="A30" s="31">
        <v>2322</v>
      </c>
      <c r="B30" s="30" t="s">
        <v>102</v>
      </c>
      <c r="C30" s="115" t="s">
        <v>101</v>
      </c>
      <c r="D30" s="115"/>
      <c r="E30" s="115"/>
      <c r="F30" s="115"/>
      <c r="G30" s="115"/>
      <c r="H30" s="115"/>
      <c r="I30" s="38">
        <v>89</v>
      </c>
      <c r="J30" s="38">
        <v>1.204</v>
      </c>
      <c r="K30" s="86">
        <v>1</v>
      </c>
      <c r="L30" s="86"/>
      <c r="M30" s="116">
        <f>I30*J30</f>
        <v>107.15599999999999</v>
      </c>
      <c r="N30" s="116"/>
      <c r="O30" s="6">
        <f>120</f>
        <v>120</v>
      </c>
      <c r="P30">
        <v>0.8</v>
      </c>
      <c r="Q30">
        <f>O30*P30</f>
        <v>96</v>
      </c>
    </row>
    <row r="31" spans="1:17" x14ac:dyDescent="0.3">
      <c r="A31" s="31">
        <v>2329</v>
      </c>
      <c r="B31" s="30" t="s">
        <v>100</v>
      </c>
      <c r="C31" s="115" t="s">
        <v>99</v>
      </c>
      <c r="D31" s="115"/>
      <c r="E31" s="115"/>
      <c r="F31" s="115"/>
      <c r="G31" s="115"/>
      <c r="H31" s="115"/>
      <c r="I31" s="39">
        <v>7.0000000000000007E-2</v>
      </c>
      <c r="J31" s="38"/>
      <c r="K31" s="86">
        <v>1</v>
      </c>
      <c r="L31" s="86"/>
      <c r="M31" s="131">
        <f>ROUND(M30*I31,2)</f>
        <v>7.5</v>
      </c>
      <c r="N31" s="131"/>
      <c r="O31" s="6"/>
    </row>
    <row r="32" spans="1:17" ht="27.6" x14ac:dyDescent="0.3">
      <c r="A32" s="98">
        <v>2364</v>
      </c>
      <c r="B32" s="99" t="s">
        <v>98</v>
      </c>
      <c r="C32" s="100" t="s">
        <v>13</v>
      </c>
      <c r="D32" s="100"/>
      <c r="E32" s="100"/>
      <c r="F32" s="100"/>
      <c r="G32" s="100"/>
      <c r="H32" s="37" t="s">
        <v>32</v>
      </c>
      <c r="I32" s="100" t="s">
        <v>10</v>
      </c>
      <c r="J32" s="100"/>
      <c r="K32" s="101" t="s">
        <v>9</v>
      </c>
      <c r="L32" s="101"/>
      <c r="M32" s="97"/>
      <c r="N32" s="97"/>
      <c r="O32" s="6"/>
    </row>
    <row r="33" spans="1:22" s="5" customFormat="1" x14ac:dyDescent="0.3">
      <c r="A33" s="98"/>
      <c r="B33" s="99"/>
      <c r="C33" s="85" t="s">
        <v>97</v>
      </c>
      <c r="D33" s="85"/>
      <c r="E33" s="85"/>
      <c r="F33" s="85"/>
      <c r="G33" s="85"/>
      <c r="H33" s="40">
        <v>1</v>
      </c>
      <c r="I33" s="86">
        <v>33.549999999999997</v>
      </c>
      <c r="J33" s="86"/>
      <c r="K33" s="86">
        <v>1</v>
      </c>
      <c r="L33" s="86"/>
      <c r="M33" s="87">
        <f>ROUND(I33*2/H33/365/24*2,2)</f>
        <v>0.02</v>
      </c>
      <c r="N33" s="87"/>
      <c r="O33" s="8"/>
    </row>
    <row r="34" spans="1:22" s="5" customFormat="1" x14ac:dyDescent="0.3">
      <c r="A34" s="98"/>
      <c r="B34" s="99"/>
      <c r="C34" s="85" t="s">
        <v>96</v>
      </c>
      <c r="D34" s="85"/>
      <c r="E34" s="85"/>
      <c r="F34" s="85"/>
      <c r="G34" s="85"/>
      <c r="H34" s="40">
        <v>4</v>
      </c>
      <c r="I34" s="86">
        <v>350.9</v>
      </c>
      <c r="J34" s="86"/>
      <c r="K34" s="86">
        <v>1</v>
      </c>
      <c r="L34" s="86"/>
      <c r="M34" s="87">
        <f>ROUND(I34*2/H34/365/24*2,2)</f>
        <v>0.04</v>
      </c>
      <c r="N34" s="87"/>
      <c r="O34" s="8"/>
    </row>
    <row r="35" spans="1:22" s="5" customFormat="1" x14ac:dyDescent="0.3">
      <c r="A35" s="98"/>
      <c r="B35" s="99"/>
      <c r="C35" s="85" t="s">
        <v>95</v>
      </c>
      <c r="D35" s="85"/>
      <c r="E35" s="85"/>
      <c r="F35" s="85"/>
      <c r="G35" s="85"/>
      <c r="H35" s="40">
        <v>4</v>
      </c>
      <c r="I35" s="86">
        <v>1057.1600000000001</v>
      </c>
      <c r="J35" s="86"/>
      <c r="K35" s="86">
        <v>1</v>
      </c>
      <c r="L35" s="86"/>
      <c r="M35" s="87">
        <f>ROUND(I35*2/H35/365/24*2,2)</f>
        <v>0.12</v>
      </c>
      <c r="N35" s="87"/>
      <c r="O35" s="8"/>
    </row>
    <row r="36" spans="1:22" s="5" customFormat="1" x14ac:dyDescent="0.3">
      <c r="A36" s="98"/>
      <c r="B36" s="99"/>
      <c r="C36" s="85" t="s">
        <v>94</v>
      </c>
      <c r="D36" s="85"/>
      <c r="E36" s="85"/>
      <c r="F36" s="85"/>
      <c r="G36" s="85"/>
      <c r="H36" s="40">
        <v>3</v>
      </c>
      <c r="I36" s="86">
        <v>112.05</v>
      </c>
      <c r="J36" s="86"/>
      <c r="K36" s="86">
        <v>1</v>
      </c>
      <c r="L36" s="86"/>
      <c r="M36" s="87">
        <f>ROUND(I36/H36/365/24*2,2)</f>
        <v>0.01</v>
      </c>
      <c r="N36" s="87"/>
      <c r="O36" s="8"/>
    </row>
    <row r="37" spans="1:22" s="5" customFormat="1" x14ac:dyDescent="0.3">
      <c r="A37" s="98"/>
      <c r="B37" s="99"/>
      <c r="C37" s="85" t="s">
        <v>93</v>
      </c>
      <c r="D37" s="85"/>
      <c r="E37" s="85"/>
      <c r="F37" s="85"/>
      <c r="G37" s="85"/>
      <c r="H37" s="40">
        <v>3</v>
      </c>
      <c r="I37" s="86">
        <v>159.72</v>
      </c>
      <c r="J37" s="86"/>
      <c r="K37" s="86">
        <v>1</v>
      </c>
      <c r="L37" s="86"/>
      <c r="M37" s="87">
        <f>ROUND(I37/H37/365/24*2,2)</f>
        <v>0.01</v>
      </c>
      <c r="N37" s="87"/>
      <c r="O37" s="8"/>
    </row>
    <row r="38" spans="1:22" s="5" customFormat="1" x14ac:dyDescent="0.3">
      <c r="A38" s="98"/>
      <c r="B38" s="99"/>
      <c r="C38" s="85" t="s">
        <v>92</v>
      </c>
      <c r="D38" s="85"/>
      <c r="E38" s="85"/>
      <c r="F38" s="85"/>
      <c r="G38" s="85"/>
      <c r="H38" s="40">
        <v>2</v>
      </c>
      <c r="I38" s="86">
        <v>38.72</v>
      </c>
      <c r="J38" s="86"/>
      <c r="K38" s="86">
        <v>1</v>
      </c>
      <c r="L38" s="86"/>
      <c r="M38" s="87">
        <f>ROUND(I38*2/H38/365/24*2,2)</f>
        <v>0.01</v>
      </c>
      <c r="N38" s="87"/>
      <c r="O38" s="8"/>
    </row>
    <row r="39" spans="1:22" s="5" customFormat="1" x14ac:dyDescent="0.3">
      <c r="A39" s="98"/>
      <c r="B39" s="99"/>
      <c r="C39" s="85" t="s">
        <v>91</v>
      </c>
      <c r="D39" s="85"/>
      <c r="E39" s="85"/>
      <c r="F39" s="85"/>
      <c r="G39" s="85"/>
      <c r="H39" s="40">
        <v>5</v>
      </c>
      <c r="I39" s="86">
        <v>907.5</v>
      </c>
      <c r="J39" s="86"/>
      <c r="K39" s="86">
        <v>1</v>
      </c>
      <c r="L39" s="86"/>
      <c r="M39" s="87">
        <f>ROUND(I39/H39/365/24*2,2)</f>
        <v>0.04</v>
      </c>
      <c r="N39" s="87"/>
      <c r="O39" s="8"/>
    </row>
    <row r="40" spans="1:22" s="5" customFormat="1" x14ac:dyDescent="0.3">
      <c r="A40" s="98"/>
      <c r="B40" s="99"/>
      <c r="C40" s="85" t="s">
        <v>90</v>
      </c>
      <c r="D40" s="85"/>
      <c r="E40" s="85"/>
      <c r="F40" s="85"/>
      <c r="G40" s="85"/>
      <c r="H40" s="40">
        <v>4</v>
      </c>
      <c r="I40" s="86">
        <v>249.96</v>
      </c>
      <c r="J40" s="86"/>
      <c r="K40" s="86">
        <v>1</v>
      </c>
      <c r="L40" s="86"/>
      <c r="M40" s="87">
        <f>ROUND(I40/H40/365/24*2,2)</f>
        <v>0.01</v>
      </c>
      <c r="N40" s="87"/>
      <c r="O40" s="8"/>
    </row>
    <row r="41" spans="1:22" s="5" customFormat="1" x14ac:dyDescent="0.3">
      <c r="A41" s="98"/>
      <c r="B41" s="99"/>
      <c r="C41" s="85" t="s">
        <v>89</v>
      </c>
      <c r="D41" s="85"/>
      <c r="E41" s="85"/>
      <c r="F41" s="85"/>
      <c r="G41" s="85"/>
      <c r="H41" s="40">
        <v>2</v>
      </c>
      <c r="I41" s="86">
        <v>16</v>
      </c>
      <c r="J41" s="86"/>
      <c r="K41" s="86">
        <v>1</v>
      </c>
      <c r="L41" s="86"/>
      <c r="M41" s="87">
        <f>ROUND(I41/H41/365/24*2,2)</f>
        <v>0</v>
      </c>
      <c r="N41" s="87"/>
      <c r="O41" s="8"/>
    </row>
    <row r="42" spans="1:22" s="5" customFormat="1" x14ac:dyDescent="0.3">
      <c r="A42" s="98"/>
      <c r="B42" s="99"/>
      <c r="C42" s="85" t="s">
        <v>88</v>
      </c>
      <c r="D42" s="85"/>
      <c r="E42" s="85"/>
      <c r="F42" s="85"/>
      <c r="G42" s="85"/>
      <c r="H42" s="40">
        <v>1</v>
      </c>
      <c r="I42" s="86">
        <v>89.74</v>
      </c>
      <c r="J42" s="86"/>
      <c r="K42" s="86">
        <v>1</v>
      </c>
      <c r="L42" s="86"/>
      <c r="M42" s="87">
        <f>ROUND(I42*2/H42/365/24*2,2)</f>
        <v>0.04</v>
      </c>
      <c r="N42" s="87"/>
      <c r="O42" s="8"/>
    </row>
    <row r="43" spans="1:22" s="5" customFormat="1" x14ac:dyDescent="0.3">
      <c r="A43" s="98"/>
      <c r="B43" s="99"/>
      <c r="C43" s="85" t="s">
        <v>87</v>
      </c>
      <c r="D43" s="85"/>
      <c r="E43" s="85"/>
      <c r="F43" s="85"/>
      <c r="G43" s="85"/>
      <c r="H43" s="40">
        <v>4</v>
      </c>
      <c r="I43" s="86">
        <v>3261.98</v>
      </c>
      <c r="J43" s="86"/>
      <c r="K43" s="86">
        <v>1</v>
      </c>
      <c r="L43" s="86"/>
      <c r="M43" s="87">
        <f>ROUND(I43/H43/365/24*2,2)</f>
        <v>0.19</v>
      </c>
      <c r="N43" s="87"/>
      <c r="O43" s="8"/>
    </row>
    <row r="44" spans="1:22" s="5" customFormat="1" x14ac:dyDescent="0.3">
      <c r="A44" s="98"/>
      <c r="B44" s="99"/>
      <c r="C44" s="85" t="s">
        <v>86</v>
      </c>
      <c r="D44" s="85"/>
      <c r="E44" s="85"/>
      <c r="F44" s="85"/>
      <c r="G44" s="85"/>
      <c r="H44" s="40">
        <v>6</v>
      </c>
      <c r="I44" s="86">
        <v>107.97</v>
      </c>
      <c r="J44" s="86"/>
      <c r="K44" s="86">
        <v>1</v>
      </c>
      <c r="L44" s="86"/>
      <c r="M44" s="87">
        <f>ROUND(I44/H44/365/24*2,2)</f>
        <v>0</v>
      </c>
      <c r="N44" s="87"/>
      <c r="O44" s="8"/>
    </row>
    <row r="45" spans="1:22" x14ac:dyDescent="0.3">
      <c r="A45" s="28">
        <v>5000</v>
      </c>
      <c r="B45" s="89" t="s">
        <v>14</v>
      </c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117">
        <f>SUM(M47:N52)</f>
        <v>10.75</v>
      </c>
      <c r="N45" s="90"/>
      <c r="O45" s="7"/>
    </row>
    <row r="46" spans="1:22" x14ac:dyDescent="0.3">
      <c r="A46" s="31"/>
      <c r="B46" s="31"/>
      <c r="C46" s="100" t="s">
        <v>13</v>
      </c>
      <c r="D46" s="100"/>
      <c r="E46" s="101" t="s">
        <v>12</v>
      </c>
      <c r="F46" s="101"/>
      <c r="G46" s="101" t="s">
        <v>11</v>
      </c>
      <c r="H46" s="101"/>
      <c r="I46" s="100" t="s">
        <v>10</v>
      </c>
      <c r="J46" s="100"/>
      <c r="K46" s="101" t="s">
        <v>9</v>
      </c>
      <c r="L46" s="101"/>
      <c r="M46" s="121"/>
      <c r="N46" s="97"/>
    </row>
    <row r="47" spans="1:22" ht="31.5" customHeight="1" x14ac:dyDescent="0.3">
      <c r="A47" s="98">
        <v>5239</v>
      </c>
      <c r="B47" s="122" t="s">
        <v>85</v>
      </c>
      <c r="C47" s="99" t="s">
        <v>84</v>
      </c>
      <c r="D47" s="99"/>
      <c r="E47" s="102">
        <v>10</v>
      </c>
      <c r="F47" s="102"/>
      <c r="G47" s="102">
        <v>1</v>
      </c>
      <c r="H47" s="102"/>
      <c r="I47" s="102">
        <v>3360.17</v>
      </c>
      <c r="J47" s="102"/>
      <c r="K47" s="102">
        <v>1</v>
      </c>
      <c r="L47" s="102"/>
      <c r="M47" s="87">
        <v>7.67</v>
      </c>
      <c r="N47" s="87"/>
      <c r="O47" s="127"/>
      <c r="V47" t="s">
        <v>81</v>
      </c>
    </row>
    <row r="48" spans="1:22" ht="29.4" customHeight="1" x14ac:dyDescent="0.3">
      <c r="A48" s="98"/>
      <c r="B48" s="122"/>
      <c r="C48" s="99" t="s">
        <v>83</v>
      </c>
      <c r="D48" s="99"/>
      <c r="E48" s="102">
        <v>10</v>
      </c>
      <c r="F48" s="102"/>
      <c r="G48" s="102">
        <v>1</v>
      </c>
      <c r="H48" s="102"/>
      <c r="I48" s="102">
        <v>507.84</v>
      </c>
      <c r="J48" s="102"/>
      <c r="K48" s="102">
        <v>1</v>
      </c>
      <c r="L48" s="102"/>
      <c r="M48" s="87">
        <v>1.1599999999999999</v>
      </c>
      <c r="N48" s="87"/>
      <c r="O48" s="127"/>
      <c r="V48" t="s">
        <v>79</v>
      </c>
    </row>
    <row r="49" spans="1:23" x14ac:dyDescent="0.3">
      <c r="A49" s="98"/>
      <c r="B49" s="122"/>
      <c r="C49" s="99" t="s">
        <v>82</v>
      </c>
      <c r="D49" s="99"/>
      <c r="E49" s="102">
        <v>10</v>
      </c>
      <c r="F49" s="102"/>
      <c r="G49" s="102">
        <v>1</v>
      </c>
      <c r="H49" s="102"/>
      <c r="I49" s="102">
        <v>317.02</v>
      </c>
      <c r="J49" s="102"/>
      <c r="K49" s="102">
        <v>1</v>
      </c>
      <c r="L49" s="102"/>
      <c r="M49" s="87">
        <v>0.72</v>
      </c>
      <c r="N49" s="87"/>
      <c r="O49" s="127"/>
      <c r="V49" t="s">
        <v>81</v>
      </c>
    </row>
    <row r="50" spans="1:23" x14ac:dyDescent="0.3">
      <c r="A50" s="98"/>
      <c r="B50" s="122"/>
      <c r="C50" s="99" t="s">
        <v>80</v>
      </c>
      <c r="D50" s="99"/>
      <c r="E50" s="102">
        <v>10</v>
      </c>
      <c r="F50" s="102"/>
      <c r="G50" s="102">
        <v>1</v>
      </c>
      <c r="H50" s="102"/>
      <c r="I50" s="102">
        <v>525.14</v>
      </c>
      <c r="J50" s="102"/>
      <c r="K50" s="102">
        <v>1</v>
      </c>
      <c r="L50" s="102"/>
      <c r="M50" s="87">
        <v>1.2</v>
      </c>
      <c r="N50" s="87"/>
      <c r="O50" s="127"/>
      <c r="V50" t="s">
        <v>79</v>
      </c>
    </row>
    <row r="51" spans="1:23" ht="31.5" customHeight="1" x14ac:dyDescent="0.3">
      <c r="A51" s="31">
        <v>5231</v>
      </c>
      <c r="B51" s="31" t="s">
        <v>78</v>
      </c>
      <c r="C51" s="99" t="s">
        <v>123</v>
      </c>
      <c r="D51" s="99"/>
      <c r="E51" s="102">
        <v>0</v>
      </c>
      <c r="F51" s="102"/>
      <c r="G51" s="102">
        <v>1</v>
      </c>
      <c r="H51" s="102"/>
      <c r="I51" s="128">
        <v>361265.96</v>
      </c>
      <c r="J51" s="128"/>
      <c r="K51" s="86">
        <v>1</v>
      </c>
      <c r="L51" s="86"/>
      <c r="M51" s="98">
        <f>ROUND(I51*E51/100/12/166.92*K51,2)</f>
        <v>0</v>
      </c>
      <c r="N51" s="98"/>
      <c r="O51" s="127">
        <v>6628.38</v>
      </c>
      <c r="P51">
        <v>308651</v>
      </c>
      <c r="Q51">
        <v>206</v>
      </c>
      <c r="S51">
        <v>4762827.67</v>
      </c>
      <c r="T51">
        <v>119</v>
      </c>
      <c r="V51">
        <v>180</v>
      </c>
    </row>
    <row r="52" spans="1:23" ht="26.4" customHeight="1" x14ac:dyDescent="0.3">
      <c r="A52" s="31"/>
      <c r="B52" s="31"/>
      <c r="C52" s="99" t="s">
        <v>76</v>
      </c>
      <c r="D52" s="99"/>
      <c r="E52" s="102"/>
      <c r="F52" s="102"/>
      <c r="G52" s="102"/>
      <c r="H52" s="102"/>
      <c r="I52" s="128"/>
      <c r="J52" s="128"/>
      <c r="K52" s="86"/>
      <c r="L52" s="86"/>
      <c r="M52" s="98"/>
      <c r="N52" s="98"/>
      <c r="O52" s="127"/>
      <c r="P52">
        <v>413878.99</v>
      </c>
      <c r="Q52">
        <v>206</v>
      </c>
      <c r="R52" s="12">
        <f>SUM(P51:P52)/2</f>
        <v>361264.995</v>
      </c>
      <c r="S52">
        <v>4568501.67</v>
      </c>
      <c r="T52">
        <v>119</v>
      </c>
      <c r="U52" s="12">
        <f>SUM(S51:S52)/2</f>
        <v>4665664.67</v>
      </c>
      <c r="V52" t="s">
        <v>75</v>
      </c>
      <c r="W52" t="s">
        <v>74</v>
      </c>
    </row>
    <row r="53" spans="1:23" x14ac:dyDescent="0.3">
      <c r="A53" s="125" t="s">
        <v>73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4">
        <f>M13+M27+M45</f>
        <v>268.63</v>
      </c>
      <c r="N53" s="124"/>
    </row>
    <row r="54" spans="1:23" x14ac:dyDescent="0.3">
      <c r="A54" s="11"/>
      <c r="B54" s="11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</row>
    <row r="55" spans="1:23" x14ac:dyDescent="0.3">
      <c r="A55" s="75" t="s">
        <v>1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7"/>
    </row>
    <row r="56" spans="1:23" x14ac:dyDescent="0.3">
      <c r="A56" s="28">
        <v>1000</v>
      </c>
      <c r="B56" s="89" t="s">
        <v>72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117">
        <f>M57+M75</f>
        <v>8.43</v>
      </c>
      <c r="N56" s="90"/>
    </row>
    <row r="57" spans="1:23" x14ac:dyDescent="0.3">
      <c r="A57" s="29">
        <v>1100</v>
      </c>
      <c r="B57" s="89" t="s">
        <v>71</v>
      </c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90">
        <f>ROUND(M58+M65+M70,2)</f>
        <v>6.82</v>
      </c>
      <c r="N57" s="90"/>
    </row>
    <row r="58" spans="1:23" x14ac:dyDescent="0.3">
      <c r="A58" s="98">
        <v>1116</v>
      </c>
      <c r="B58" s="99" t="s">
        <v>70</v>
      </c>
      <c r="C58" s="100" t="s">
        <v>65</v>
      </c>
      <c r="D58" s="100"/>
      <c r="E58" s="100"/>
      <c r="F58" s="100"/>
      <c r="G58" s="100"/>
      <c r="H58" s="100"/>
      <c r="I58" s="101" t="s">
        <v>64</v>
      </c>
      <c r="J58" s="101"/>
      <c r="K58" s="101" t="s">
        <v>9</v>
      </c>
      <c r="L58" s="101"/>
      <c r="M58" s="97">
        <f>M59+M61+M63</f>
        <v>2.81</v>
      </c>
      <c r="N58" s="97"/>
    </row>
    <row r="59" spans="1:23" s="10" customFormat="1" ht="24.9" customHeight="1" x14ac:dyDescent="0.3">
      <c r="A59" s="98"/>
      <c r="B59" s="99"/>
      <c r="C59" s="113" t="s">
        <v>69</v>
      </c>
      <c r="D59" s="113"/>
      <c r="E59" s="113"/>
      <c r="F59" s="113"/>
      <c r="G59" s="113"/>
      <c r="H59" s="113"/>
      <c r="I59" s="129">
        <v>2645</v>
      </c>
      <c r="J59" s="129"/>
      <c r="K59" s="104">
        <v>3.3000000000000002E-2</v>
      </c>
      <c r="L59" s="104"/>
      <c r="M59" s="105">
        <f>ROUND(I59/166.92*K59,2)</f>
        <v>0.52</v>
      </c>
      <c r="N59" s="105"/>
      <c r="O59" s="130">
        <f>I59/166.92*K59</f>
        <v>0.52291516894320644</v>
      </c>
    </row>
    <row r="60" spans="1:23" s="10" customFormat="1" ht="24.9" customHeight="1" x14ac:dyDescent="0.3">
      <c r="A60" s="98"/>
      <c r="B60" s="99"/>
      <c r="C60" s="113" t="s">
        <v>130</v>
      </c>
      <c r="D60" s="113"/>
      <c r="E60" s="113"/>
      <c r="F60" s="113"/>
      <c r="G60" s="113"/>
      <c r="H60" s="113"/>
      <c r="I60" s="129"/>
      <c r="J60" s="129"/>
      <c r="K60" s="104"/>
      <c r="L60" s="104"/>
      <c r="M60" s="105">
        <f>ROUND(I60/167*K60,2)</f>
        <v>0</v>
      </c>
      <c r="N60" s="105"/>
      <c r="O60" s="130"/>
    </row>
    <row r="61" spans="1:23" s="10" customFormat="1" ht="24.9" customHeight="1" x14ac:dyDescent="0.3">
      <c r="A61" s="98"/>
      <c r="B61" s="99"/>
      <c r="C61" s="113" t="s">
        <v>68</v>
      </c>
      <c r="D61" s="113"/>
      <c r="E61" s="113"/>
      <c r="F61" s="113"/>
      <c r="G61" s="113"/>
      <c r="H61" s="113"/>
      <c r="I61" s="129">
        <v>2635</v>
      </c>
      <c r="J61" s="129"/>
      <c r="K61" s="104">
        <v>8.3000000000000004E-2</v>
      </c>
      <c r="L61" s="104"/>
      <c r="M61" s="105">
        <f>ROUND(I61/166.92*K61,2)</f>
        <v>1.31</v>
      </c>
      <c r="N61" s="105"/>
      <c r="O61" s="130"/>
    </row>
    <row r="62" spans="1:23" s="10" customFormat="1" ht="24.9" customHeight="1" x14ac:dyDescent="0.3">
      <c r="A62" s="98"/>
      <c r="B62" s="99"/>
      <c r="C62" s="113" t="s">
        <v>61</v>
      </c>
      <c r="D62" s="113"/>
      <c r="E62" s="113"/>
      <c r="F62" s="113"/>
      <c r="G62" s="113"/>
      <c r="H62" s="113"/>
      <c r="I62" s="129"/>
      <c r="J62" s="129"/>
      <c r="K62" s="104"/>
      <c r="L62" s="104"/>
      <c r="M62" s="105">
        <f>ROUND(I62/167*K62,2)</f>
        <v>0</v>
      </c>
      <c r="N62" s="105"/>
      <c r="O62" s="130"/>
    </row>
    <row r="63" spans="1:23" s="10" customFormat="1" ht="24.9" customHeight="1" x14ac:dyDescent="0.3">
      <c r="A63" s="98"/>
      <c r="B63" s="99"/>
      <c r="C63" s="113" t="s">
        <v>67</v>
      </c>
      <c r="D63" s="113"/>
      <c r="E63" s="113"/>
      <c r="F63" s="113"/>
      <c r="G63" s="113"/>
      <c r="H63" s="113"/>
      <c r="I63" s="129">
        <v>1980</v>
      </c>
      <c r="J63" s="129"/>
      <c r="K63" s="104">
        <v>8.3000000000000004E-2</v>
      </c>
      <c r="L63" s="104"/>
      <c r="M63" s="105">
        <f>ROUND(I63/166.92*K63,2)</f>
        <v>0.98</v>
      </c>
      <c r="N63" s="105"/>
      <c r="O63" s="130"/>
    </row>
    <row r="64" spans="1:23" s="10" customFormat="1" ht="24.9" customHeight="1" x14ac:dyDescent="0.3">
      <c r="A64" s="98"/>
      <c r="B64" s="99"/>
      <c r="C64" s="113" t="s">
        <v>61</v>
      </c>
      <c r="D64" s="113"/>
      <c r="E64" s="113"/>
      <c r="F64" s="113"/>
      <c r="G64" s="113"/>
      <c r="H64" s="113"/>
      <c r="I64" s="129"/>
      <c r="J64" s="129"/>
      <c r="K64" s="104"/>
      <c r="L64" s="104"/>
      <c r="M64" s="105">
        <f>ROUND(I64/167*K64,2)</f>
        <v>0</v>
      </c>
      <c r="N64" s="105"/>
      <c r="O64" s="130"/>
    </row>
    <row r="65" spans="1:16" x14ac:dyDescent="0.3">
      <c r="A65" s="98">
        <v>1119</v>
      </c>
      <c r="B65" s="99" t="s">
        <v>66</v>
      </c>
      <c r="C65" s="100" t="s">
        <v>65</v>
      </c>
      <c r="D65" s="100"/>
      <c r="E65" s="100"/>
      <c r="F65" s="100"/>
      <c r="G65" s="100"/>
      <c r="H65" s="100"/>
      <c r="I65" s="101" t="s">
        <v>64</v>
      </c>
      <c r="J65" s="101"/>
      <c r="K65" s="101" t="s">
        <v>9</v>
      </c>
      <c r="L65" s="101"/>
      <c r="M65" s="97">
        <f>M66+M68</f>
        <v>3.91</v>
      </c>
      <c r="N65" s="97"/>
      <c r="O65" s="6"/>
    </row>
    <row r="66" spans="1:16" s="10" customFormat="1" ht="36.6" customHeight="1" x14ac:dyDescent="0.3">
      <c r="A66" s="98"/>
      <c r="B66" s="99"/>
      <c r="C66" s="113" t="s">
        <v>63</v>
      </c>
      <c r="D66" s="113"/>
      <c r="E66" s="113"/>
      <c r="F66" s="113"/>
      <c r="G66" s="113"/>
      <c r="H66" s="113"/>
      <c r="I66" s="129">
        <v>1958</v>
      </c>
      <c r="J66" s="129"/>
      <c r="K66" s="104">
        <v>0.33</v>
      </c>
      <c r="L66" s="104"/>
      <c r="M66" s="105">
        <f>ROUND(I66/166.92*K66,2)</f>
        <v>3.87</v>
      </c>
      <c r="N66" s="105"/>
      <c r="O66" s="130"/>
    </row>
    <row r="67" spans="1:16" s="10" customFormat="1" ht="36.6" customHeight="1" x14ac:dyDescent="0.3">
      <c r="A67" s="98"/>
      <c r="B67" s="99"/>
      <c r="C67" s="113" t="s">
        <v>137</v>
      </c>
      <c r="D67" s="113"/>
      <c r="E67" s="113"/>
      <c r="F67" s="113"/>
      <c r="G67" s="113"/>
      <c r="H67" s="113"/>
      <c r="I67" s="129"/>
      <c r="J67" s="129"/>
      <c r="K67" s="104"/>
      <c r="L67" s="104"/>
      <c r="M67" s="105">
        <f>ROUND(I67/167*K67,2)</f>
        <v>0</v>
      </c>
      <c r="N67" s="105"/>
      <c r="O67" s="130"/>
    </row>
    <row r="68" spans="1:16" s="10" customFormat="1" ht="36.6" customHeight="1" x14ac:dyDescent="0.3">
      <c r="A68" s="98"/>
      <c r="B68" s="99"/>
      <c r="C68" s="113" t="s">
        <v>62</v>
      </c>
      <c r="D68" s="113"/>
      <c r="E68" s="113"/>
      <c r="F68" s="113"/>
      <c r="G68" s="113"/>
      <c r="H68" s="113"/>
      <c r="I68" s="129">
        <v>729</v>
      </c>
      <c r="J68" s="129"/>
      <c r="K68" s="104">
        <v>0.01</v>
      </c>
      <c r="L68" s="104"/>
      <c r="M68" s="105">
        <f>ROUND(I68/166.92*K68,2)</f>
        <v>0.04</v>
      </c>
      <c r="N68" s="105"/>
      <c r="O68" s="130"/>
    </row>
    <row r="69" spans="1:16" s="10" customFormat="1" ht="36.6" customHeight="1" x14ac:dyDescent="0.3">
      <c r="A69" s="98"/>
      <c r="B69" s="99"/>
      <c r="C69" s="113" t="s">
        <v>137</v>
      </c>
      <c r="D69" s="113"/>
      <c r="E69" s="113"/>
      <c r="F69" s="113"/>
      <c r="G69" s="113"/>
      <c r="H69" s="113"/>
      <c r="I69" s="129"/>
      <c r="J69" s="129"/>
      <c r="K69" s="104"/>
      <c r="L69" s="104"/>
      <c r="M69" s="105">
        <f>ROUND(I69/167*K69,2)</f>
        <v>0</v>
      </c>
      <c r="N69" s="105"/>
      <c r="O69" s="130"/>
    </row>
    <row r="70" spans="1:16" ht="15.75" customHeight="1" x14ac:dyDescent="0.3">
      <c r="A70" s="98">
        <v>1143</v>
      </c>
      <c r="B70" s="99" t="s">
        <v>60</v>
      </c>
      <c r="C70" s="100" t="s">
        <v>59</v>
      </c>
      <c r="D70" s="100"/>
      <c r="E70" s="100"/>
      <c r="F70" s="100"/>
      <c r="G70" s="100"/>
      <c r="H70" s="100"/>
      <c r="I70" s="101" t="s">
        <v>58</v>
      </c>
      <c r="J70" s="101"/>
      <c r="K70" s="101" t="s">
        <v>9</v>
      </c>
      <c r="L70" s="101"/>
      <c r="M70" s="97">
        <f>M71+M73</f>
        <v>0.1</v>
      </c>
      <c r="N70" s="97"/>
      <c r="O70" s="6"/>
    </row>
    <row r="71" spans="1:16" s="10" customFormat="1" x14ac:dyDescent="0.3">
      <c r="A71" s="98"/>
      <c r="B71" s="99"/>
      <c r="C71" s="113" t="s">
        <v>57</v>
      </c>
      <c r="D71" s="113"/>
      <c r="E71" s="113"/>
      <c r="F71" s="113"/>
      <c r="G71" s="113"/>
      <c r="H71" s="113"/>
      <c r="I71" s="104">
        <v>106</v>
      </c>
      <c r="J71" s="104"/>
      <c r="K71" s="104">
        <v>3.3000000000000002E-2</v>
      </c>
      <c r="L71" s="104"/>
      <c r="M71" s="105">
        <f>ROUND(I71/166.92*K71,2)</f>
        <v>0.02</v>
      </c>
      <c r="N71" s="105"/>
      <c r="O71" s="130"/>
    </row>
    <row r="72" spans="1:16" s="10" customFormat="1" ht="15.75" customHeight="1" x14ac:dyDescent="0.3">
      <c r="A72" s="98"/>
      <c r="B72" s="99"/>
      <c r="C72" s="113" t="s">
        <v>55</v>
      </c>
      <c r="D72" s="113"/>
      <c r="E72" s="113"/>
      <c r="F72" s="113"/>
      <c r="G72" s="113"/>
      <c r="H72" s="113"/>
      <c r="I72" s="104"/>
      <c r="J72" s="104"/>
      <c r="K72" s="104"/>
      <c r="L72" s="104"/>
      <c r="M72" s="105">
        <f>ROUND(I72/167*K72,2)</f>
        <v>0</v>
      </c>
      <c r="N72" s="105"/>
      <c r="O72" s="130"/>
    </row>
    <row r="73" spans="1:16" s="10" customFormat="1" x14ac:dyDescent="0.3">
      <c r="A73" s="98"/>
      <c r="B73" s="99"/>
      <c r="C73" s="113" t="s">
        <v>129</v>
      </c>
      <c r="D73" s="113"/>
      <c r="E73" s="113"/>
      <c r="F73" s="113"/>
      <c r="G73" s="113"/>
      <c r="H73" s="113"/>
      <c r="I73" s="104">
        <f>78*2</f>
        <v>156</v>
      </c>
      <c r="J73" s="104"/>
      <c r="K73" s="104">
        <v>8.3000000000000004E-2</v>
      </c>
      <c r="L73" s="104"/>
      <c r="M73" s="105">
        <f>ROUND(I73/166.92*K73,2)</f>
        <v>0.08</v>
      </c>
      <c r="N73" s="105"/>
      <c r="O73" s="130"/>
    </row>
    <row r="74" spans="1:16" s="10" customFormat="1" ht="15.75" customHeight="1" x14ac:dyDescent="0.3">
      <c r="A74" s="98"/>
      <c r="B74" s="99"/>
      <c r="C74" s="113" t="s">
        <v>55</v>
      </c>
      <c r="D74" s="113"/>
      <c r="E74" s="113"/>
      <c r="F74" s="113"/>
      <c r="G74" s="113"/>
      <c r="H74" s="113"/>
      <c r="I74" s="104"/>
      <c r="J74" s="104"/>
      <c r="K74" s="104"/>
      <c r="L74" s="104"/>
      <c r="M74" s="105">
        <f>ROUND(I74/167*K74,2)</f>
        <v>0</v>
      </c>
      <c r="N74" s="105"/>
      <c r="O74" s="130"/>
    </row>
    <row r="75" spans="1:16" x14ac:dyDescent="0.3">
      <c r="A75" s="29">
        <v>1200</v>
      </c>
      <c r="B75" s="89" t="s">
        <v>54</v>
      </c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117">
        <f>ROUND(M76,2)</f>
        <v>1.61</v>
      </c>
      <c r="N75" s="117"/>
      <c r="O75" s="6"/>
    </row>
    <row r="76" spans="1:16" x14ac:dyDescent="0.3">
      <c r="A76" s="36">
        <v>1210</v>
      </c>
      <c r="B76" s="99" t="s">
        <v>53</v>
      </c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87">
        <f>ROUND(M57*0.2359,2)</f>
        <v>1.61</v>
      </c>
      <c r="N76" s="87"/>
      <c r="O76" s="6"/>
    </row>
    <row r="77" spans="1:16" x14ac:dyDescent="0.3">
      <c r="A77" s="28">
        <v>2000</v>
      </c>
      <c r="B77" s="89" t="s">
        <v>52</v>
      </c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117">
        <f>ROUND(M78+M89,2)</f>
        <v>40.880000000000003</v>
      </c>
      <c r="N77" s="90"/>
      <c r="O77" s="6"/>
    </row>
    <row r="78" spans="1:16" x14ac:dyDescent="0.3">
      <c r="A78" s="29">
        <v>2200</v>
      </c>
      <c r="B78" s="89" t="s">
        <v>51</v>
      </c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90">
        <f>SUM(M80:N88)</f>
        <v>40.669999999999995</v>
      </c>
      <c r="N78" s="90"/>
      <c r="O78" s="6"/>
    </row>
    <row r="79" spans="1:16" x14ac:dyDescent="0.3">
      <c r="A79" s="98">
        <v>2220</v>
      </c>
      <c r="B79" s="99" t="s">
        <v>50</v>
      </c>
      <c r="C79" s="100" t="s">
        <v>13</v>
      </c>
      <c r="D79" s="100"/>
      <c r="E79" s="100"/>
      <c r="F79" s="100"/>
      <c r="G79" s="100"/>
      <c r="H79" s="100"/>
      <c r="I79" s="101" t="s">
        <v>10</v>
      </c>
      <c r="J79" s="101"/>
      <c r="K79" s="101" t="s">
        <v>9</v>
      </c>
      <c r="L79" s="101"/>
      <c r="M79" s="97"/>
      <c r="N79" s="97"/>
      <c r="O79" s="6" t="s">
        <v>49</v>
      </c>
      <c r="P79" t="s">
        <v>48</v>
      </c>
    </row>
    <row r="80" spans="1:16" s="9" customFormat="1" x14ac:dyDescent="0.3">
      <c r="A80" s="98"/>
      <c r="B80" s="99"/>
      <c r="C80" s="99" t="s">
        <v>47</v>
      </c>
      <c r="D80" s="99"/>
      <c r="E80" s="99"/>
      <c r="F80" s="99"/>
      <c r="G80" s="99"/>
      <c r="H80" s="99"/>
      <c r="I80" s="86">
        <f>P80</f>
        <v>4.59</v>
      </c>
      <c r="J80" s="86"/>
      <c r="K80" s="86">
        <v>1</v>
      </c>
      <c r="L80" s="86"/>
      <c r="M80" s="126">
        <f t="shared" ref="M80:M88" si="0">I80*K80</f>
        <v>4.59</v>
      </c>
      <c r="N80" s="126"/>
      <c r="O80" s="43">
        <v>40170.910000000003</v>
      </c>
      <c r="P80" s="9">
        <f>ROUND(O80/365/24,2)</f>
        <v>4.59</v>
      </c>
    </row>
    <row r="81" spans="1:19" s="9" customFormat="1" ht="62.4" customHeight="1" x14ac:dyDescent="0.3">
      <c r="A81" s="98"/>
      <c r="B81" s="99"/>
      <c r="C81" s="99" t="s">
        <v>46</v>
      </c>
      <c r="D81" s="99"/>
      <c r="E81" s="99"/>
      <c r="F81" s="99"/>
      <c r="G81" s="99"/>
      <c r="H81" s="99"/>
      <c r="I81" s="86">
        <v>1.41</v>
      </c>
      <c r="J81" s="86"/>
      <c r="K81" s="86">
        <v>1</v>
      </c>
      <c r="L81" s="86"/>
      <c r="M81" s="126">
        <f t="shared" si="0"/>
        <v>1.41</v>
      </c>
      <c r="N81" s="126"/>
      <c r="O81" s="44" t="s">
        <v>45</v>
      </c>
    </row>
    <row r="82" spans="1:19" s="9" customFormat="1" ht="27.6" x14ac:dyDescent="0.3">
      <c r="A82" s="31">
        <v>2235</v>
      </c>
      <c r="B82" s="31" t="s">
        <v>44</v>
      </c>
      <c r="C82" s="99" t="s">
        <v>43</v>
      </c>
      <c r="D82" s="99"/>
      <c r="E82" s="99"/>
      <c r="F82" s="99"/>
      <c r="G82" s="99"/>
      <c r="H82" s="99"/>
      <c r="I82" s="86">
        <f>P82</f>
        <v>33.409999999999997</v>
      </c>
      <c r="J82" s="86"/>
      <c r="K82" s="86">
        <v>1</v>
      </c>
      <c r="L82" s="86"/>
      <c r="M82" s="126">
        <f t="shared" si="0"/>
        <v>33.409999999999997</v>
      </c>
      <c r="N82" s="126"/>
      <c r="O82" s="45">
        <v>292695.89</v>
      </c>
      <c r="P82" s="9">
        <f t="shared" ref="P82:P88" si="1">ROUND(O82/365/24,2)</f>
        <v>33.409999999999997</v>
      </c>
    </row>
    <row r="83" spans="1:19" ht="27.6" x14ac:dyDescent="0.3">
      <c r="A83" s="31">
        <v>2234</v>
      </c>
      <c r="B83" s="31" t="s">
        <v>42</v>
      </c>
      <c r="C83" s="99" t="s">
        <v>41</v>
      </c>
      <c r="D83" s="99"/>
      <c r="E83" s="99"/>
      <c r="F83" s="99"/>
      <c r="G83" s="99"/>
      <c r="H83" s="99"/>
      <c r="I83" s="86">
        <f>P83</f>
        <v>1</v>
      </c>
      <c r="J83" s="86"/>
      <c r="K83" s="86">
        <v>1</v>
      </c>
      <c r="L83" s="86"/>
      <c r="M83" s="126">
        <f t="shared" si="0"/>
        <v>1</v>
      </c>
      <c r="N83" s="126"/>
      <c r="O83" s="46">
        <v>8720</v>
      </c>
      <c r="P83">
        <f t="shared" si="1"/>
        <v>1</v>
      </c>
    </row>
    <row r="84" spans="1:19" x14ac:dyDescent="0.3">
      <c r="A84" s="31">
        <v>2247</v>
      </c>
      <c r="B84" s="31" t="s">
        <v>40</v>
      </c>
      <c r="C84" s="99" t="s">
        <v>39</v>
      </c>
      <c r="D84" s="99"/>
      <c r="E84" s="99"/>
      <c r="F84" s="99"/>
      <c r="G84" s="99"/>
      <c r="H84" s="99"/>
      <c r="I84" s="86">
        <f>P84</f>
        <v>0.23</v>
      </c>
      <c r="J84" s="86"/>
      <c r="K84" s="86">
        <v>1</v>
      </c>
      <c r="L84" s="86"/>
      <c r="M84" s="126">
        <f t="shared" si="0"/>
        <v>0.23</v>
      </c>
      <c r="N84" s="126"/>
      <c r="O84" s="42">
        <f>1250+1550/2</f>
        <v>2025</v>
      </c>
      <c r="P84">
        <f t="shared" si="1"/>
        <v>0.23</v>
      </c>
      <c r="R84">
        <v>2920</v>
      </c>
      <c r="S84" t="s">
        <v>38</v>
      </c>
    </row>
    <row r="85" spans="1:19" ht="71.400000000000006" customHeight="1" x14ac:dyDescent="0.3">
      <c r="A85" s="134">
        <v>2239</v>
      </c>
      <c r="B85" s="122" t="s">
        <v>37</v>
      </c>
      <c r="C85" s="93" t="s">
        <v>140</v>
      </c>
      <c r="D85" s="93"/>
      <c r="E85" s="93"/>
      <c r="F85" s="93"/>
      <c r="G85" s="93"/>
      <c r="H85" s="93"/>
      <c r="I85" s="86"/>
      <c r="J85" s="86"/>
      <c r="K85" s="86"/>
      <c r="L85" s="86"/>
      <c r="M85" s="126">
        <f t="shared" si="0"/>
        <v>0</v>
      </c>
      <c r="N85" s="126"/>
      <c r="O85" s="2">
        <f>250*1.12</f>
        <v>280</v>
      </c>
      <c r="P85">
        <f t="shared" si="1"/>
        <v>0.03</v>
      </c>
    </row>
    <row r="86" spans="1:19" x14ac:dyDescent="0.3">
      <c r="A86" s="134"/>
      <c r="B86" s="122"/>
      <c r="C86" s="99" t="s">
        <v>128</v>
      </c>
      <c r="D86" s="99"/>
      <c r="E86" s="99"/>
      <c r="F86" s="99"/>
      <c r="G86" s="99"/>
      <c r="H86" s="99"/>
      <c r="I86" s="86"/>
      <c r="J86" s="86"/>
      <c r="K86" s="86"/>
      <c r="L86" s="86"/>
      <c r="M86" s="126">
        <f t="shared" si="0"/>
        <v>0</v>
      </c>
      <c r="N86" s="126"/>
      <c r="O86">
        <v>369.2</v>
      </c>
      <c r="P86">
        <f t="shared" si="1"/>
        <v>0.04</v>
      </c>
    </row>
    <row r="87" spans="1:19" x14ac:dyDescent="0.3">
      <c r="A87" s="134"/>
      <c r="B87" s="122"/>
      <c r="C87" s="99" t="s">
        <v>36</v>
      </c>
      <c r="D87" s="99"/>
      <c r="E87" s="99"/>
      <c r="F87" s="99"/>
      <c r="G87" s="99"/>
      <c r="H87" s="99"/>
      <c r="I87" s="86">
        <f>P87</f>
        <v>0.01</v>
      </c>
      <c r="J87" s="86"/>
      <c r="K87" s="86">
        <v>1</v>
      </c>
      <c r="L87" s="86"/>
      <c r="M87" s="126">
        <f t="shared" si="0"/>
        <v>0.01</v>
      </c>
      <c r="N87" s="126"/>
      <c r="O87">
        <v>130</v>
      </c>
      <c r="P87">
        <f t="shared" si="1"/>
        <v>0.01</v>
      </c>
    </row>
    <row r="88" spans="1:19" x14ac:dyDescent="0.3">
      <c r="A88" s="134"/>
      <c r="B88" s="122"/>
      <c r="C88" s="99" t="s">
        <v>35</v>
      </c>
      <c r="D88" s="99"/>
      <c r="E88" s="99"/>
      <c r="F88" s="99"/>
      <c r="G88" s="99"/>
      <c r="H88" s="99"/>
      <c r="I88" s="86">
        <f>P88</f>
        <v>0.02</v>
      </c>
      <c r="J88" s="86"/>
      <c r="K88" s="86">
        <v>1</v>
      </c>
      <c r="L88" s="86"/>
      <c r="M88" s="126">
        <f t="shared" si="0"/>
        <v>0.02</v>
      </c>
      <c r="N88" s="126"/>
      <c r="O88">
        <f>239.47*1.21/2</f>
        <v>144.87934999999999</v>
      </c>
      <c r="P88">
        <f t="shared" si="1"/>
        <v>0.02</v>
      </c>
    </row>
    <row r="89" spans="1:19" x14ac:dyDescent="0.3">
      <c r="A89" s="29">
        <v>2300</v>
      </c>
      <c r="B89" s="89" t="s">
        <v>34</v>
      </c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117">
        <f>SUM(M91:N107)</f>
        <v>0.21000000000000005</v>
      </c>
      <c r="N89" s="90"/>
      <c r="O89" s="6"/>
    </row>
    <row r="90" spans="1:19" s="5" customFormat="1" ht="27.6" x14ac:dyDescent="0.3">
      <c r="A90" s="98">
        <v>2364</v>
      </c>
      <c r="B90" s="99" t="s">
        <v>33</v>
      </c>
      <c r="C90" s="100" t="s">
        <v>13</v>
      </c>
      <c r="D90" s="100"/>
      <c r="E90" s="100"/>
      <c r="F90" s="100"/>
      <c r="G90" s="100"/>
      <c r="H90" s="37" t="s">
        <v>32</v>
      </c>
      <c r="I90" s="100" t="s">
        <v>10</v>
      </c>
      <c r="J90" s="100"/>
      <c r="K90" s="101" t="s">
        <v>9</v>
      </c>
      <c r="L90" s="101"/>
      <c r="M90" s="97"/>
      <c r="N90" s="97"/>
      <c r="O90" s="8"/>
    </row>
    <row r="91" spans="1:19" s="5" customFormat="1" x14ac:dyDescent="0.3">
      <c r="A91" s="98"/>
      <c r="B91" s="99"/>
      <c r="C91" s="85" t="s">
        <v>31</v>
      </c>
      <c r="D91" s="85"/>
      <c r="E91" s="85"/>
      <c r="F91" s="85"/>
      <c r="G91" s="85"/>
      <c r="H91" s="40">
        <v>1</v>
      </c>
      <c r="I91" s="86">
        <v>50.07</v>
      </c>
      <c r="J91" s="86"/>
      <c r="K91" s="86">
        <v>1</v>
      </c>
      <c r="L91" s="86"/>
      <c r="M91" s="87">
        <f>ROUND(I91/H91/365/24*3,2)</f>
        <v>0.02</v>
      </c>
      <c r="N91" s="87"/>
      <c r="O91" s="8"/>
    </row>
    <row r="92" spans="1:19" s="5" customFormat="1" x14ac:dyDescent="0.3">
      <c r="A92" s="98"/>
      <c r="B92" s="99"/>
      <c r="C92" s="85" t="s">
        <v>30</v>
      </c>
      <c r="D92" s="85"/>
      <c r="E92" s="85"/>
      <c r="F92" s="85"/>
      <c r="G92" s="85"/>
      <c r="H92" s="40">
        <v>1</v>
      </c>
      <c r="I92" s="86">
        <v>20.239999999999998</v>
      </c>
      <c r="J92" s="86"/>
      <c r="K92" s="86">
        <v>1</v>
      </c>
      <c r="L92" s="86"/>
      <c r="M92" s="87">
        <f>ROUND(I92/H92/365/24*3,2)</f>
        <v>0.01</v>
      </c>
      <c r="N92" s="87"/>
      <c r="O92" s="8"/>
    </row>
    <row r="93" spans="1:19" s="5" customFormat="1" x14ac:dyDescent="0.3">
      <c r="A93" s="98"/>
      <c r="B93" s="99"/>
      <c r="C93" s="85" t="s">
        <v>29</v>
      </c>
      <c r="D93" s="85"/>
      <c r="E93" s="85"/>
      <c r="F93" s="85"/>
      <c r="G93" s="85"/>
      <c r="H93" s="40">
        <v>1</v>
      </c>
      <c r="I93" s="86">
        <v>17.260000000000002</v>
      </c>
      <c r="J93" s="86"/>
      <c r="K93" s="86">
        <v>1</v>
      </c>
      <c r="L93" s="86"/>
      <c r="M93" s="87">
        <f>ROUND(I93/H93/365/24*3,2)</f>
        <v>0.01</v>
      </c>
      <c r="N93" s="87"/>
      <c r="O93" s="8"/>
    </row>
    <row r="94" spans="1:19" s="5" customFormat="1" x14ac:dyDescent="0.3">
      <c r="A94" s="98"/>
      <c r="B94" s="99"/>
      <c r="C94" s="85" t="s">
        <v>28</v>
      </c>
      <c r="D94" s="85"/>
      <c r="E94" s="85"/>
      <c r="F94" s="85"/>
      <c r="G94" s="85"/>
      <c r="H94" s="40">
        <v>2</v>
      </c>
      <c r="I94" s="86">
        <f>39.77+39.77</f>
        <v>79.540000000000006</v>
      </c>
      <c r="J94" s="86"/>
      <c r="K94" s="86">
        <v>1</v>
      </c>
      <c r="L94" s="86"/>
      <c r="M94" s="87">
        <f>ROUND(I94/H94/365/24*3,2)</f>
        <v>0.01</v>
      </c>
      <c r="N94" s="87"/>
      <c r="O94" s="8"/>
    </row>
    <row r="95" spans="1:19" s="5" customFormat="1" x14ac:dyDescent="0.3">
      <c r="A95" s="98"/>
      <c r="B95" s="99"/>
      <c r="C95" s="85" t="s">
        <v>27</v>
      </c>
      <c r="D95" s="85"/>
      <c r="E95" s="85"/>
      <c r="F95" s="85"/>
      <c r="G95" s="85"/>
      <c r="H95" s="40">
        <v>4</v>
      </c>
      <c r="I95" s="86">
        <v>93.75</v>
      </c>
      <c r="J95" s="86"/>
      <c r="K95" s="86">
        <v>1</v>
      </c>
      <c r="L95" s="86"/>
      <c r="M95" s="87">
        <f>ROUND(I95/H95/365/24*3,2)</f>
        <v>0.01</v>
      </c>
      <c r="N95" s="87"/>
      <c r="O95" s="8"/>
    </row>
    <row r="96" spans="1:19" s="5" customFormat="1" x14ac:dyDescent="0.3">
      <c r="A96" s="98"/>
      <c r="B96" s="99"/>
      <c r="C96" s="85" t="s">
        <v>26</v>
      </c>
      <c r="D96" s="85"/>
      <c r="E96" s="85"/>
      <c r="F96" s="85"/>
      <c r="G96" s="85"/>
      <c r="H96" s="40">
        <v>2</v>
      </c>
      <c r="I96" s="86">
        <v>111</v>
      </c>
      <c r="J96" s="86"/>
      <c r="K96" s="86">
        <v>1</v>
      </c>
      <c r="L96" s="86"/>
      <c r="M96" s="87">
        <f>ROUND(I96/H96/365/24*2*3,2)</f>
        <v>0.04</v>
      </c>
      <c r="N96" s="87"/>
      <c r="O96" s="8"/>
    </row>
    <row r="97" spans="1:15" s="5" customFormat="1" x14ac:dyDescent="0.3">
      <c r="A97" s="98"/>
      <c r="B97" s="99"/>
      <c r="C97" s="85" t="s">
        <v>25</v>
      </c>
      <c r="D97" s="85"/>
      <c r="E97" s="85"/>
      <c r="F97" s="85"/>
      <c r="G97" s="85"/>
      <c r="H97" s="40">
        <v>5</v>
      </c>
      <c r="I97" s="86">
        <v>28.31</v>
      </c>
      <c r="J97" s="86"/>
      <c r="K97" s="86">
        <v>1</v>
      </c>
      <c r="L97" s="86"/>
      <c r="M97" s="87">
        <f>ROUND(I97/H97/365/24*2*3,2)</f>
        <v>0</v>
      </c>
      <c r="N97" s="87"/>
      <c r="O97" s="8"/>
    </row>
    <row r="98" spans="1:15" s="5" customFormat="1" x14ac:dyDescent="0.3">
      <c r="A98" s="98"/>
      <c r="B98" s="99"/>
      <c r="C98" s="85" t="s">
        <v>24</v>
      </c>
      <c r="D98" s="85"/>
      <c r="E98" s="85"/>
      <c r="F98" s="85"/>
      <c r="G98" s="85"/>
      <c r="H98" s="40">
        <v>3</v>
      </c>
      <c r="I98" s="86">
        <v>42</v>
      </c>
      <c r="J98" s="86"/>
      <c r="K98" s="86">
        <v>1</v>
      </c>
      <c r="L98" s="86"/>
      <c r="M98" s="87">
        <f>ROUND(I98/H98/365/24*3,2)</f>
        <v>0</v>
      </c>
      <c r="N98" s="87"/>
      <c r="O98" s="8"/>
    </row>
    <row r="99" spans="1:15" s="5" customFormat="1" x14ac:dyDescent="0.3">
      <c r="A99" s="98"/>
      <c r="B99" s="99"/>
      <c r="C99" s="85" t="s">
        <v>23</v>
      </c>
      <c r="D99" s="85"/>
      <c r="E99" s="85"/>
      <c r="F99" s="85"/>
      <c r="G99" s="85"/>
      <c r="H99" s="40">
        <v>4</v>
      </c>
      <c r="I99" s="86">
        <v>68.25</v>
      </c>
      <c r="J99" s="86"/>
      <c r="K99" s="86">
        <v>1</v>
      </c>
      <c r="L99" s="86"/>
      <c r="M99" s="87">
        <f>ROUND(I99/H99/365/24*3,2)</f>
        <v>0.01</v>
      </c>
      <c r="N99" s="87"/>
      <c r="O99" s="8"/>
    </row>
    <row r="100" spans="1:15" s="5" customFormat="1" x14ac:dyDescent="0.3">
      <c r="A100" s="98"/>
      <c r="B100" s="99"/>
      <c r="C100" s="85" t="s">
        <v>22</v>
      </c>
      <c r="D100" s="85"/>
      <c r="E100" s="85"/>
      <c r="F100" s="85"/>
      <c r="G100" s="85"/>
      <c r="H100" s="40">
        <v>4</v>
      </c>
      <c r="I100" s="86">
        <v>23.24</v>
      </c>
      <c r="J100" s="86"/>
      <c r="K100" s="86">
        <v>1</v>
      </c>
      <c r="L100" s="86"/>
      <c r="M100" s="87">
        <f>ROUND(I100/H100/365/24*3,2)</f>
        <v>0</v>
      </c>
      <c r="N100" s="87"/>
      <c r="O100" s="8"/>
    </row>
    <row r="101" spans="1:15" s="5" customFormat="1" x14ac:dyDescent="0.3">
      <c r="A101" s="98"/>
      <c r="B101" s="99"/>
      <c r="C101" s="85" t="s">
        <v>21</v>
      </c>
      <c r="D101" s="85"/>
      <c r="E101" s="85"/>
      <c r="F101" s="85"/>
      <c r="G101" s="85"/>
      <c r="H101" s="40">
        <v>4</v>
      </c>
      <c r="I101" s="86">
        <v>246</v>
      </c>
      <c r="J101" s="86"/>
      <c r="K101" s="86">
        <v>1</v>
      </c>
      <c r="L101" s="86"/>
      <c r="M101" s="87">
        <f>ROUND(I101/H101/365/24*3,2)</f>
        <v>0.02</v>
      </c>
      <c r="N101" s="87"/>
      <c r="O101" s="8"/>
    </row>
    <row r="102" spans="1:15" s="5" customFormat="1" x14ac:dyDescent="0.3">
      <c r="A102" s="98"/>
      <c r="B102" s="99"/>
      <c r="C102" s="85" t="s">
        <v>20</v>
      </c>
      <c r="D102" s="85"/>
      <c r="E102" s="85"/>
      <c r="F102" s="85"/>
      <c r="G102" s="85"/>
      <c r="H102" s="40">
        <v>1</v>
      </c>
      <c r="I102" s="86">
        <v>43.5</v>
      </c>
      <c r="J102" s="86"/>
      <c r="K102" s="86">
        <v>1</v>
      </c>
      <c r="L102" s="86"/>
      <c r="M102" s="87">
        <f>ROUND(I102/H102/365/24*3,2)</f>
        <v>0.01</v>
      </c>
      <c r="N102" s="87"/>
      <c r="O102" s="8"/>
    </row>
    <row r="103" spans="1:15" s="5" customFormat="1" x14ac:dyDescent="0.3">
      <c r="A103" s="98"/>
      <c r="B103" s="99"/>
      <c r="C103" s="85" t="s">
        <v>19</v>
      </c>
      <c r="D103" s="85"/>
      <c r="E103" s="85"/>
      <c r="F103" s="85"/>
      <c r="G103" s="85"/>
      <c r="H103" s="40">
        <v>2</v>
      </c>
      <c r="I103" s="86">
        <v>111</v>
      </c>
      <c r="J103" s="86"/>
      <c r="K103" s="86">
        <v>1</v>
      </c>
      <c r="L103" s="86"/>
      <c r="M103" s="87">
        <f>ROUND(I103/H103/365/24*2*3,2)</f>
        <v>0.04</v>
      </c>
      <c r="N103" s="87"/>
      <c r="O103" s="8"/>
    </row>
    <row r="104" spans="1:15" s="5" customFormat="1" x14ac:dyDescent="0.3">
      <c r="A104" s="98"/>
      <c r="B104" s="99"/>
      <c r="C104" s="85" t="s">
        <v>18</v>
      </c>
      <c r="D104" s="85"/>
      <c r="E104" s="85"/>
      <c r="F104" s="85"/>
      <c r="G104" s="85"/>
      <c r="H104" s="40">
        <v>4</v>
      </c>
      <c r="I104" s="86">
        <v>141.75</v>
      </c>
      <c r="J104" s="86"/>
      <c r="K104" s="86">
        <v>1</v>
      </c>
      <c r="L104" s="86"/>
      <c r="M104" s="87">
        <f>ROUND(I104/H104/365/24*3,2)</f>
        <v>0.01</v>
      </c>
      <c r="N104" s="87"/>
      <c r="O104" s="8"/>
    </row>
    <row r="105" spans="1:15" s="5" customFormat="1" x14ac:dyDescent="0.3">
      <c r="A105" s="98"/>
      <c r="B105" s="99"/>
      <c r="C105" s="85" t="s">
        <v>17</v>
      </c>
      <c r="D105" s="85"/>
      <c r="E105" s="85"/>
      <c r="F105" s="85"/>
      <c r="G105" s="85"/>
      <c r="H105" s="40">
        <v>1</v>
      </c>
      <c r="I105" s="86">
        <v>16.489999999999998</v>
      </c>
      <c r="J105" s="86"/>
      <c r="K105" s="86">
        <v>1</v>
      </c>
      <c r="L105" s="86"/>
      <c r="M105" s="87">
        <f>ROUND(I105/H105/365/24*3,2)</f>
        <v>0.01</v>
      </c>
      <c r="N105" s="87"/>
      <c r="O105" s="8"/>
    </row>
    <row r="106" spans="1:15" s="5" customFormat="1" x14ac:dyDescent="0.3">
      <c r="A106" s="98"/>
      <c r="B106" s="99"/>
      <c r="C106" s="85" t="s">
        <v>16</v>
      </c>
      <c r="D106" s="85"/>
      <c r="E106" s="85"/>
      <c r="F106" s="85"/>
      <c r="G106" s="85"/>
      <c r="H106" s="40">
        <v>4</v>
      </c>
      <c r="I106" s="86">
        <v>23.25</v>
      </c>
      <c r="J106" s="86"/>
      <c r="K106" s="86">
        <v>1</v>
      </c>
      <c r="L106" s="86"/>
      <c r="M106" s="87">
        <f>ROUND(I106/H106/365/24*3,2)</f>
        <v>0</v>
      </c>
      <c r="N106" s="87"/>
      <c r="O106" s="8"/>
    </row>
    <row r="107" spans="1:15" s="5" customFormat="1" ht="14.4" customHeight="1" x14ac:dyDescent="0.3">
      <c r="A107" s="98"/>
      <c r="B107" s="99"/>
      <c r="C107" s="85" t="s">
        <v>15</v>
      </c>
      <c r="D107" s="85"/>
      <c r="E107" s="85"/>
      <c r="F107" s="85"/>
      <c r="G107" s="85"/>
      <c r="H107" s="40">
        <v>3</v>
      </c>
      <c r="I107" s="86">
        <v>63.75</v>
      </c>
      <c r="J107" s="86"/>
      <c r="K107" s="86">
        <v>1</v>
      </c>
      <c r="L107" s="86"/>
      <c r="M107" s="87">
        <f>ROUND(I107/H107/365/24*2*3,2)</f>
        <v>0.01</v>
      </c>
      <c r="N107" s="87"/>
      <c r="O107" s="8"/>
    </row>
    <row r="108" spans="1:15" x14ac:dyDescent="0.3">
      <c r="A108" s="28">
        <v>5000</v>
      </c>
      <c r="B108" s="89" t="s">
        <v>14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90">
        <f>ROUND(M109,2)</f>
        <v>0</v>
      </c>
      <c r="N108" s="90"/>
      <c r="O108" s="7"/>
    </row>
    <row r="109" spans="1:15" ht="15" customHeight="1" x14ac:dyDescent="0.3">
      <c r="A109" s="31"/>
      <c r="B109" s="31"/>
      <c r="C109" s="100" t="s">
        <v>13</v>
      </c>
      <c r="D109" s="100"/>
      <c r="E109" s="101" t="s">
        <v>12</v>
      </c>
      <c r="F109" s="101"/>
      <c r="G109" s="101" t="s">
        <v>11</v>
      </c>
      <c r="H109" s="101"/>
      <c r="I109" s="100" t="s">
        <v>10</v>
      </c>
      <c r="J109" s="100"/>
      <c r="K109" s="101" t="s">
        <v>9</v>
      </c>
      <c r="L109" s="101"/>
      <c r="M109" s="97">
        <f>M110</f>
        <v>0</v>
      </c>
      <c r="N109" s="97"/>
    </row>
    <row r="110" spans="1:15" ht="23.1" customHeight="1" x14ac:dyDescent="0.3">
      <c r="A110" s="31"/>
      <c r="B110" s="31"/>
      <c r="C110" s="99"/>
      <c r="D110" s="99"/>
      <c r="E110" s="98"/>
      <c r="F110" s="98"/>
      <c r="G110" s="98"/>
      <c r="H110" s="98"/>
      <c r="I110" s="106"/>
      <c r="J110" s="106"/>
      <c r="K110" s="98">
        <v>1</v>
      </c>
      <c r="L110" s="98"/>
      <c r="M110" s="98">
        <f>ROUND(I110*E110/100/12/166.92*K110,2)</f>
        <v>0</v>
      </c>
      <c r="N110" s="98"/>
      <c r="O110" s="42">
        <v>6628.38</v>
      </c>
    </row>
    <row r="111" spans="1:15" x14ac:dyDescent="0.3">
      <c r="A111" s="95" t="s">
        <v>8</v>
      </c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109">
        <f>M56+M77+M108</f>
        <v>49.31</v>
      </c>
      <c r="N111" s="109"/>
      <c r="O111" s="6"/>
    </row>
    <row r="112" spans="1:15" x14ac:dyDescent="0.3">
      <c r="A112" s="112" t="s">
        <v>7</v>
      </c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1">
        <f>M111+M53</f>
        <v>317.94</v>
      </c>
      <c r="N112" s="111"/>
      <c r="O112" s="6"/>
    </row>
    <row r="113" spans="1:15" x14ac:dyDescent="0.3">
      <c r="A113" s="96" t="s">
        <v>6</v>
      </c>
      <c r="B113" s="96"/>
      <c r="C113" s="96"/>
      <c r="D113" s="96"/>
      <c r="E113" s="96"/>
      <c r="F113" s="96"/>
      <c r="G113" s="96"/>
      <c r="H113" s="96"/>
      <c r="I113" s="96"/>
      <c r="J113" s="96"/>
      <c r="K113" s="96"/>
      <c r="L113" s="96"/>
      <c r="M113" s="96">
        <f>ROUND(M112*0.21,2)</f>
        <v>66.77</v>
      </c>
      <c r="N113" s="96"/>
      <c r="O113" s="6"/>
    </row>
    <row r="114" spans="1:15" x14ac:dyDescent="0.3">
      <c r="A114" s="60" t="s">
        <v>5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2"/>
      <c r="M114" s="107">
        <f>M112+M113</f>
        <v>384.71</v>
      </c>
      <c r="N114" s="107"/>
      <c r="O114" s="6"/>
    </row>
    <row r="115" spans="1:15" x14ac:dyDescent="0.3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6"/>
    </row>
    <row r="116" spans="1:15" ht="15.6" x14ac:dyDescent="0.3">
      <c r="A116" s="16" t="s">
        <v>142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1:15" ht="15.6" x14ac:dyDescent="0.3">
      <c r="A117" s="13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1:15" x14ac:dyDescent="0.3">
      <c r="A118" s="15" t="s">
        <v>121</v>
      </c>
      <c r="B118" s="14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1:15" ht="15.6" x14ac:dyDescent="0.3">
      <c r="A119" s="13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1:15" x14ac:dyDescent="0.3">
      <c r="A120" s="25" t="s">
        <v>120</v>
      </c>
      <c r="B120" s="118" t="s">
        <v>119</v>
      </c>
      <c r="C120" s="119" t="s">
        <v>118</v>
      </c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</row>
    <row r="121" spans="1:15" x14ac:dyDescent="0.3">
      <c r="A121" s="25" t="s">
        <v>117</v>
      </c>
      <c r="B121" s="118"/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19"/>
      <c r="N121" s="119"/>
    </row>
    <row r="122" spans="1:15" x14ac:dyDescent="0.3">
      <c r="A122" s="26">
        <v>1</v>
      </c>
      <c r="B122" s="26">
        <v>2</v>
      </c>
      <c r="C122" s="114">
        <v>3</v>
      </c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</row>
    <row r="123" spans="1:15" x14ac:dyDescent="0.3">
      <c r="A123" s="69" t="s">
        <v>0</v>
      </c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1"/>
    </row>
    <row r="124" spans="1:15" x14ac:dyDescent="0.3">
      <c r="A124" s="28">
        <v>1000</v>
      </c>
      <c r="B124" s="89" t="s">
        <v>116</v>
      </c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90">
        <f>M125+M136</f>
        <v>131.98000000000002</v>
      </c>
      <c r="N124" s="90"/>
    </row>
    <row r="125" spans="1:15" x14ac:dyDescent="0.3">
      <c r="A125" s="29">
        <v>1100</v>
      </c>
      <c r="B125" s="89" t="s">
        <v>71</v>
      </c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90">
        <f>ROUND(M126+M129,2)</f>
        <v>106.79</v>
      </c>
      <c r="N125" s="90"/>
    </row>
    <row r="126" spans="1:15" ht="15" hidden="1" customHeight="1" x14ac:dyDescent="0.3">
      <c r="A126" s="30"/>
      <c r="B126" s="31"/>
      <c r="C126" s="100" t="s">
        <v>65</v>
      </c>
      <c r="D126" s="100"/>
      <c r="E126" s="100"/>
      <c r="F126" s="100"/>
      <c r="G126" s="100"/>
      <c r="H126" s="100"/>
      <c r="I126" s="101" t="s">
        <v>64</v>
      </c>
      <c r="J126" s="101"/>
      <c r="K126" s="101" t="s">
        <v>9</v>
      </c>
      <c r="L126" s="101"/>
      <c r="M126" s="97">
        <f>M127+M128</f>
        <v>0</v>
      </c>
      <c r="N126" s="97"/>
    </row>
    <row r="127" spans="1:15" s="10" customFormat="1" ht="27.6" hidden="1" x14ac:dyDescent="0.3">
      <c r="A127" s="32" t="s">
        <v>114</v>
      </c>
      <c r="B127" s="33" t="s">
        <v>70</v>
      </c>
      <c r="C127" s="120" t="s">
        <v>125</v>
      </c>
      <c r="D127" s="120"/>
      <c r="E127" s="120"/>
      <c r="F127" s="120"/>
      <c r="G127" s="120"/>
      <c r="H127" s="120"/>
      <c r="I127" s="129"/>
      <c r="J127" s="129"/>
      <c r="K127" s="104">
        <v>1</v>
      </c>
      <c r="L127" s="104"/>
      <c r="M127" s="105">
        <f>ROUND(I127/166.92*K127,2)</f>
        <v>0</v>
      </c>
      <c r="N127" s="105"/>
    </row>
    <row r="128" spans="1:15" s="10" customFormat="1" ht="27.6" hidden="1" x14ac:dyDescent="0.3">
      <c r="A128" s="32" t="s">
        <v>114</v>
      </c>
      <c r="B128" s="33" t="s">
        <v>70</v>
      </c>
      <c r="C128" s="120" t="s">
        <v>127</v>
      </c>
      <c r="D128" s="120"/>
      <c r="E128" s="120"/>
      <c r="F128" s="120"/>
      <c r="G128" s="120"/>
      <c r="H128" s="120"/>
      <c r="I128" s="129"/>
      <c r="J128" s="129"/>
      <c r="K128" s="104">
        <v>1</v>
      </c>
      <c r="L128" s="104"/>
      <c r="M128" s="105">
        <f>ROUND(I128/166.92*K128,2)</f>
        <v>0</v>
      </c>
      <c r="N128" s="105"/>
      <c r="O128" s="21"/>
    </row>
    <row r="129" spans="1:17" x14ac:dyDescent="0.3">
      <c r="A129" s="34"/>
      <c r="B129" s="34"/>
      <c r="C129" s="100" t="s">
        <v>112</v>
      </c>
      <c r="D129" s="100"/>
      <c r="E129" s="100"/>
      <c r="F129" s="100"/>
      <c r="G129" s="100"/>
      <c r="H129" s="100"/>
      <c r="I129" s="101" t="s">
        <v>58</v>
      </c>
      <c r="J129" s="101"/>
      <c r="K129" s="101" t="s">
        <v>9</v>
      </c>
      <c r="L129" s="101"/>
      <c r="M129" s="97">
        <f>SUM(M130:N135)</f>
        <v>106.78999999999999</v>
      </c>
      <c r="N129" s="97"/>
      <c r="O129" s="6"/>
    </row>
    <row r="130" spans="1:17" s="56" customFormat="1" ht="42.9" customHeight="1" x14ac:dyDescent="0.3">
      <c r="A130" s="54">
        <v>1142</v>
      </c>
      <c r="B130" s="53" t="s">
        <v>110</v>
      </c>
      <c r="C130" s="93" t="s">
        <v>111</v>
      </c>
      <c r="D130" s="93"/>
      <c r="E130" s="93"/>
      <c r="F130" s="93"/>
      <c r="G130" s="93"/>
      <c r="H130" s="93"/>
      <c r="I130" s="94">
        <f>ROUND(2415/166.92*2,2)</f>
        <v>28.94</v>
      </c>
      <c r="J130" s="94"/>
      <c r="K130" s="91">
        <v>1</v>
      </c>
      <c r="L130" s="91"/>
      <c r="M130" s="92">
        <f>I130*K130</f>
        <v>28.94</v>
      </c>
      <c r="N130" s="92"/>
      <c r="O130" s="55"/>
    </row>
    <row r="131" spans="1:17" s="56" customFormat="1" ht="42.9" customHeight="1" x14ac:dyDescent="0.3">
      <c r="A131" s="54">
        <v>1142</v>
      </c>
      <c r="B131" s="53" t="s">
        <v>110</v>
      </c>
      <c r="C131" s="93" t="s">
        <v>109</v>
      </c>
      <c r="D131" s="93"/>
      <c r="E131" s="93"/>
      <c r="F131" s="93"/>
      <c r="G131" s="93"/>
      <c r="H131" s="93"/>
      <c r="I131" s="94">
        <f>ROUND(2235/166.92*2,2)</f>
        <v>26.78</v>
      </c>
      <c r="J131" s="94"/>
      <c r="K131" s="91">
        <v>1</v>
      </c>
      <c r="L131" s="91"/>
      <c r="M131" s="92">
        <f>I131*K131</f>
        <v>26.78</v>
      </c>
      <c r="N131" s="92"/>
      <c r="O131" s="55"/>
    </row>
    <row r="132" spans="1:17" s="10" customFormat="1" ht="27.6" x14ac:dyDescent="0.3">
      <c r="A132" s="35">
        <v>1143</v>
      </c>
      <c r="B132" s="33" t="s">
        <v>60</v>
      </c>
      <c r="C132" s="113" t="s">
        <v>124</v>
      </c>
      <c r="D132" s="113"/>
      <c r="E132" s="113"/>
      <c r="F132" s="113"/>
      <c r="G132" s="113"/>
      <c r="H132" s="113"/>
      <c r="I132" s="103">
        <v>106</v>
      </c>
      <c r="J132" s="103"/>
      <c r="K132" s="104">
        <v>1</v>
      </c>
      <c r="L132" s="104"/>
      <c r="M132" s="105">
        <f>ROUND(I132/166.92*K132,2)</f>
        <v>0.64</v>
      </c>
      <c r="N132" s="105"/>
      <c r="O132" s="22"/>
    </row>
    <row r="133" spans="1:17" s="10" customFormat="1" ht="27.6" x14ac:dyDescent="0.3">
      <c r="A133" s="35">
        <v>1143</v>
      </c>
      <c r="B133" s="33" t="s">
        <v>60</v>
      </c>
      <c r="C133" s="113" t="s">
        <v>107</v>
      </c>
      <c r="D133" s="113"/>
      <c r="E133" s="113"/>
      <c r="F133" s="113"/>
      <c r="G133" s="113"/>
      <c r="H133" s="113"/>
      <c r="I133" s="104">
        <v>71</v>
      </c>
      <c r="J133" s="104"/>
      <c r="K133" s="104">
        <v>1</v>
      </c>
      <c r="L133" s="104"/>
      <c r="M133" s="105">
        <f>ROUND(I133/166.92*K133,2)</f>
        <v>0.43</v>
      </c>
      <c r="N133" s="105"/>
      <c r="O133" s="22"/>
    </row>
    <row r="134" spans="1:17" s="10" customFormat="1" ht="27.6" x14ac:dyDescent="0.3">
      <c r="A134" s="35">
        <v>1145</v>
      </c>
      <c r="B134" s="33" t="s">
        <v>106</v>
      </c>
      <c r="C134" s="113" t="s">
        <v>138</v>
      </c>
      <c r="D134" s="113"/>
      <c r="E134" s="113"/>
      <c r="F134" s="113"/>
      <c r="G134" s="113"/>
      <c r="H134" s="113"/>
      <c r="I134" s="103">
        <v>25</v>
      </c>
      <c r="J134" s="103"/>
      <c r="K134" s="104">
        <v>1</v>
      </c>
      <c r="L134" s="104"/>
      <c r="M134" s="132">
        <f>I134</f>
        <v>25</v>
      </c>
      <c r="N134" s="132"/>
      <c r="O134" s="23" t="s">
        <v>105</v>
      </c>
    </row>
    <row r="135" spans="1:17" s="10" customFormat="1" ht="27.6" x14ac:dyDescent="0.3">
      <c r="A135" s="35">
        <v>1145</v>
      </c>
      <c r="B135" s="33" t="s">
        <v>106</v>
      </c>
      <c r="C135" s="113" t="s">
        <v>138</v>
      </c>
      <c r="D135" s="113"/>
      <c r="E135" s="113"/>
      <c r="F135" s="113"/>
      <c r="G135" s="113"/>
      <c r="H135" s="113"/>
      <c r="I135" s="104">
        <v>25</v>
      </c>
      <c r="J135" s="104"/>
      <c r="K135" s="104">
        <v>1</v>
      </c>
      <c r="L135" s="104"/>
      <c r="M135" s="132">
        <f>I135</f>
        <v>25</v>
      </c>
      <c r="N135" s="132"/>
      <c r="O135" s="24" t="s">
        <v>105</v>
      </c>
    </row>
    <row r="136" spans="1:17" x14ac:dyDescent="0.3">
      <c r="A136" s="29">
        <v>1200</v>
      </c>
      <c r="B136" s="89" t="s">
        <v>54</v>
      </c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90">
        <f>ROUND(M137,2)</f>
        <v>25.19</v>
      </c>
      <c r="N136" s="90"/>
      <c r="O136" s="6"/>
    </row>
    <row r="137" spans="1:17" ht="21" customHeight="1" x14ac:dyDescent="0.3">
      <c r="A137" s="36">
        <v>1210</v>
      </c>
      <c r="B137" s="99" t="s">
        <v>53</v>
      </c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8">
        <f>ROUND(M125*0.2359,2)</f>
        <v>25.19</v>
      </c>
      <c r="N137" s="98"/>
      <c r="O137" s="6"/>
    </row>
    <row r="138" spans="1:17" x14ac:dyDescent="0.3">
      <c r="A138" s="28">
        <v>2000</v>
      </c>
      <c r="B138" s="89" t="s">
        <v>52</v>
      </c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117">
        <f>ROUND(M139,2)</f>
        <v>250.42</v>
      </c>
      <c r="N138" s="90"/>
      <c r="O138" s="6"/>
    </row>
    <row r="139" spans="1:17" x14ac:dyDescent="0.3">
      <c r="A139" s="29">
        <v>2300</v>
      </c>
      <c r="B139" s="89" t="s">
        <v>34</v>
      </c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117">
        <f>SUM(M141:N155)</f>
        <v>250.41599999999994</v>
      </c>
      <c r="N139" s="90"/>
      <c r="O139" s="6"/>
    </row>
    <row r="140" spans="1:17" ht="27.6" x14ac:dyDescent="0.3">
      <c r="A140" s="31"/>
      <c r="B140" s="30"/>
      <c r="C140" s="100" t="s">
        <v>13</v>
      </c>
      <c r="D140" s="100"/>
      <c r="E140" s="100"/>
      <c r="F140" s="100"/>
      <c r="G140" s="100"/>
      <c r="H140" s="100"/>
      <c r="I140" s="37" t="s">
        <v>104</v>
      </c>
      <c r="J140" s="37" t="s">
        <v>103</v>
      </c>
      <c r="K140" s="101" t="s">
        <v>9</v>
      </c>
      <c r="L140" s="101"/>
      <c r="M140" s="121"/>
      <c r="N140" s="97"/>
      <c r="O140" s="6"/>
    </row>
    <row r="141" spans="1:17" ht="31.5" customHeight="1" x14ac:dyDescent="0.3">
      <c r="A141" s="31">
        <v>2322</v>
      </c>
      <c r="B141" s="30" t="s">
        <v>102</v>
      </c>
      <c r="C141" s="115" t="s">
        <v>101</v>
      </c>
      <c r="D141" s="115"/>
      <c r="E141" s="115"/>
      <c r="F141" s="115"/>
      <c r="G141" s="115"/>
      <c r="H141" s="115"/>
      <c r="I141" s="38">
        <v>194</v>
      </c>
      <c r="J141" s="38">
        <v>1.204</v>
      </c>
      <c r="K141" s="105">
        <v>1</v>
      </c>
      <c r="L141" s="105"/>
      <c r="M141" s="116">
        <f>I141*J141</f>
        <v>233.57599999999999</v>
      </c>
      <c r="N141" s="116"/>
      <c r="O141" s="6">
        <f>120</f>
        <v>120</v>
      </c>
      <c r="P141">
        <v>0.8</v>
      </c>
      <c r="Q141">
        <f>O141*P141</f>
        <v>96</v>
      </c>
    </row>
    <row r="142" spans="1:17" x14ac:dyDescent="0.3">
      <c r="A142" s="31">
        <v>2329</v>
      </c>
      <c r="B142" s="30" t="s">
        <v>100</v>
      </c>
      <c r="C142" s="115" t="s">
        <v>99</v>
      </c>
      <c r="D142" s="115"/>
      <c r="E142" s="115"/>
      <c r="F142" s="115"/>
      <c r="G142" s="115"/>
      <c r="H142" s="115"/>
      <c r="I142" s="39">
        <v>7.0000000000000007E-2</v>
      </c>
      <c r="J142" s="38"/>
      <c r="K142" s="105">
        <v>1</v>
      </c>
      <c r="L142" s="105"/>
      <c r="M142" s="131">
        <f>ROUND(M141*I142,2)</f>
        <v>16.350000000000001</v>
      </c>
      <c r="N142" s="131"/>
      <c r="O142" s="6"/>
    </row>
    <row r="143" spans="1:17" ht="27.6" x14ac:dyDescent="0.3">
      <c r="A143" s="98">
        <v>2364</v>
      </c>
      <c r="B143" s="99" t="s">
        <v>98</v>
      </c>
      <c r="C143" s="100" t="s">
        <v>13</v>
      </c>
      <c r="D143" s="100"/>
      <c r="E143" s="100"/>
      <c r="F143" s="100"/>
      <c r="G143" s="100"/>
      <c r="H143" s="37" t="s">
        <v>32</v>
      </c>
      <c r="I143" s="100" t="s">
        <v>10</v>
      </c>
      <c r="J143" s="100"/>
      <c r="K143" s="101" t="s">
        <v>9</v>
      </c>
      <c r="L143" s="101"/>
      <c r="M143" s="97"/>
      <c r="N143" s="97"/>
      <c r="O143" s="6"/>
    </row>
    <row r="144" spans="1:17" s="5" customFormat="1" x14ac:dyDescent="0.3">
      <c r="A144" s="98"/>
      <c r="B144" s="99"/>
      <c r="C144" s="85" t="s">
        <v>97</v>
      </c>
      <c r="D144" s="85"/>
      <c r="E144" s="85"/>
      <c r="F144" s="85"/>
      <c r="G144" s="85"/>
      <c r="H144" s="40">
        <v>1</v>
      </c>
      <c r="I144" s="86">
        <v>33.549999999999997</v>
      </c>
      <c r="J144" s="86"/>
      <c r="K144" s="86">
        <v>1</v>
      </c>
      <c r="L144" s="86"/>
      <c r="M144" s="87">
        <f>ROUND(I144*2/H144/365/24*2,2)</f>
        <v>0.02</v>
      </c>
      <c r="N144" s="87"/>
      <c r="O144" s="8"/>
    </row>
    <row r="145" spans="1:22" s="5" customFormat="1" x14ac:dyDescent="0.3">
      <c r="A145" s="98"/>
      <c r="B145" s="99"/>
      <c r="C145" s="85" t="s">
        <v>96</v>
      </c>
      <c r="D145" s="85"/>
      <c r="E145" s="85"/>
      <c r="F145" s="85"/>
      <c r="G145" s="85"/>
      <c r="H145" s="40">
        <v>4</v>
      </c>
      <c r="I145" s="86">
        <v>350.9</v>
      </c>
      <c r="J145" s="86"/>
      <c r="K145" s="86">
        <v>1</v>
      </c>
      <c r="L145" s="86"/>
      <c r="M145" s="87">
        <f>ROUND(I145*2/H145/365/24*2,2)</f>
        <v>0.04</v>
      </c>
      <c r="N145" s="87"/>
      <c r="O145" s="8"/>
    </row>
    <row r="146" spans="1:22" s="5" customFormat="1" x14ac:dyDescent="0.3">
      <c r="A146" s="98"/>
      <c r="B146" s="99"/>
      <c r="C146" s="85" t="s">
        <v>95</v>
      </c>
      <c r="D146" s="85"/>
      <c r="E146" s="85"/>
      <c r="F146" s="85"/>
      <c r="G146" s="85"/>
      <c r="H146" s="40">
        <v>4</v>
      </c>
      <c r="I146" s="86">
        <v>1057.1600000000001</v>
      </c>
      <c r="J146" s="86"/>
      <c r="K146" s="86">
        <v>1</v>
      </c>
      <c r="L146" s="86"/>
      <c r="M146" s="87">
        <f>ROUND(I146*2/H146/365/24*2,2)</f>
        <v>0.12</v>
      </c>
      <c r="N146" s="87"/>
      <c r="O146" s="8"/>
    </row>
    <row r="147" spans="1:22" s="5" customFormat="1" x14ac:dyDescent="0.3">
      <c r="A147" s="98"/>
      <c r="B147" s="99"/>
      <c r="C147" s="85" t="s">
        <v>94</v>
      </c>
      <c r="D147" s="85"/>
      <c r="E147" s="85"/>
      <c r="F147" s="85"/>
      <c r="G147" s="85"/>
      <c r="H147" s="40">
        <v>3</v>
      </c>
      <c r="I147" s="86">
        <v>112.05</v>
      </c>
      <c r="J147" s="86"/>
      <c r="K147" s="86">
        <v>1</v>
      </c>
      <c r="L147" s="86"/>
      <c r="M147" s="87">
        <f>ROUND(I147/H147/365/24*2,2)</f>
        <v>0.01</v>
      </c>
      <c r="N147" s="87"/>
      <c r="O147" s="8"/>
    </row>
    <row r="148" spans="1:22" s="5" customFormat="1" x14ac:dyDescent="0.3">
      <c r="A148" s="98"/>
      <c r="B148" s="99"/>
      <c r="C148" s="85" t="s">
        <v>93</v>
      </c>
      <c r="D148" s="85"/>
      <c r="E148" s="85"/>
      <c r="F148" s="85"/>
      <c r="G148" s="85"/>
      <c r="H148" s="40">
        <v>3</v>
      </c>
      <c r="I148" s="86">
        <v>159.72</v>
      </c>
      <c r="J148" s="86"/>
      <c r="K148" s="86">
        <v>1</v>
      </c>
      <c r="L148" s="86"/>
      <c r="M148" s="87">
        <f>ROUND(I148/H148/365/24*2,2)</f>
        <v>0.01</v>
      </c>
      <c r="N148" s="87"/>
      <c r="O148" s="8"/>
    </row>
    <row r="149" spans="1:22" s="5" customFormat="1" x14ac:dyDescent="0.3">
      <c r="A149" s="98"/>
      <c r="B149" s="99"/>
      <c r="C149" s="85" t="s">
        <v>92</v>
      </c>
      <c r="D149" s="85"/>
      <c r="E149" s="85"/>
      <c r="F149" s="85"/>
      <c r="G149" s="85"/>
      <c r="H149" s="40">
        <v>2</v>
      </c>
      <c r="I149" s="86">
        <v>38.72</v>
      </c>
      <c r="J149" s="86"/>
      <c r="K149" s="86">
        <v>1</v>
      </c>
      <c r="L149" s="86"/>
      <c r="M149" s="87">
        <f>ROUND(I149*2/H149/365/24*2,2)</f>
        <v>0.01</v>
      </c>
      <c r="N149" s="87"/>
      <c r="O149" s="8"/>
    </row>
    <row r="150" spans="1:22" s="5" customFormat="1" x14ac:dyDescent="0.3">
      <c r="A150" s="98"/>
      <c r="B150" s="99"/>
      <c r="C150" s="85" t="s">
        <v>91</v>
      </c>
      <c r="D150" s="85"/>
      <c r="E150" s="85"/>
      <c r="F150" s="85"/>
      <c r="G150" s="85"/>
      <c r="H150" s="40">
        <v>5</v>
      </c>
      <c r="I150" s="86">
        <v>907.5</v>
      </c>
      <c r="J150" s="86"/>
      <c r="K150" s="86">
        <v>1</v>
      </c>
      <c r="L150" s="86"/>
      <c r="M150" s="87">
        <f>ROUND(I150/H150/365/24*2,2)</f>
        <v>0.04</v>
      </c>
      <c r="N150" s="87"/>
      <c r="O150" s="8"/>
    </row>
    <row r="151" spans="1:22" s="5" customFormat="1" x14ac:dyDescent="0.3">
      <c r="A151" s="98"/>
      <c r="B151" s="99"/>
      <c r="C151" s="85" t="s">
        <v>90</v>
      </c>
      <c r="D151" s="85"/>
      <c r="E151" s="85"/>
      <c r="F151" s="85"/>
      <c r="G151" s="85"/>
      <c r="H151" s="40">
        <v>4</v>
      </c>
      <c r="I151" s="86">
        <v>249.96</v>
      </c>
      <c r="J151" s="86"/>
      <c r="K151" s="86">
        <v>1</v>
      </c>
      <c r="L151" s="86"/>
      <c r="M151" s="87">
        <f>ROUND(I151/H151/365/24*2,2)</f>
        <v>0.01</v>
      </c>
      <c r="N151" s="87"/>
      <c r="O151" s="8"/>
    </row>
    <row r="152" spans="1:22" s="5" customFormat="1" x14ac:dyDescent="0.3">
      <c r="A152" s="98"/>
      <c r="B152" s="99"/>
      <c r="C152" s="85" t="s">
        <v>89</v>
      </c>
      <c r="D152" s="85"/>
      <c r="E152" s="85"/>
      <c r="F152" s="85"/>
      <c r="G152" s="85"/>
      <c r="H152" s="40">
        <v>2</v>
      </c>
      <c r="I152" s="86">
        <v>16</v>
      </c>
      <c r="J152" s="86"/>
      <c r="K152" s="86">
        <v>1</v>
      </c>
      <c r="L152" s="86"/>
      <c r="M152" s="87">
        <f>ROUND(I152/H152/365/24*2,2)</f>
        <v>0</v>
      </c>
      <c r="N152" s="87"/>
      <c r="O152" s="8"/>
    </row>
    <row r="153" spans="1:22" s="5" customFormat="1" x14ac:dyDescent="0.3">
      <c r="A153" s="98"/>
      <c r="B153" s="99"/>
      <c r="C153" s="85" t="s">
        <v>88</v>
      </c>
      <c r="D153" s="85"/>
      <c r="E153" s="85"/>
      <c r="F153" s="85"/>
      <c r="G153" s="85"/>
      <c r="H153" s="40">
        <v>1</v>
      </c>
      <c r="I153" s="86">
        <v>89.74</v>
      </c>
      <c r="J153" s="86"/>
      <c r="K153" s="86">
        <v>1</v>
      </c>
      <c r="L153" s="86"/>
      <c r="M153" s="87">
        <f>ROUND(I153*2/H153/365/24*2,2)</f>
        <v>0.04</v>
      </c>
      <c r="N153" s="87"/>
      <c r="O153" s="8"/>
    </row>
    <row r="154" spans="1:22" s="5" customFormat="1" x14ac:dyDescent="0.3">
      <c r="A154" s="98"/>
      <c r="B154" s="99"/>
      <c r="C154" s="85" t="s">
        <v>87</v>
      </c>
      <c r="D154" s="85"/>
      <c r="E154" s="85"/>
      <c r="F154" s="85"/>
      <c r="G154" s="85"/>
      <c r="H154" s="40">
        <v>4</v>
      </c>
      <c r="I154" s="86">
        <v>3261.98</v>
      </c>
      <c r="J154" s="86"/>
      <c r="K154" s="86">
        <v>1</v>
      </c>
      <c r="L154" s="86"/>
      <c r="M154" s="87">
        <f>ROUND(I154/H154/365/24*2,2)</f>
        <v>0.19</v>
      </c>
      <c r="N154" s="87"/>
      <c r="O154" s="8"/>
    </row>
    <row r="155" spans="1:22" s="5" customFormat="1" x14ac:dyDescent="0.3">
      <c r="A155" s="98"/>
      <c r="B155" s="99"/>
      <c r="C155" s="85" t="s">
        <v>86</v>
      </c>
      <c r="D155" s="85"/>
      <c r="E155" s="85"/>
      <c r="F155" s="85"/>
      <c r="G155" s="85"/>
      <c r="H155" s="40">
        <v>6</v>
      </c>
      <c r="I155" s="86">
        <v>107.97</v>
      </c>
      <c r="J155" s="86"/>
      <c r="K155" s="86">
        <v>1</v>
      </c>
      <c r="L155" s="86"/>
      <c r="M155" s="87">
        <f>ROUND(I155/H155/365/24*2,2)</f>
        <v>0</v>
      </c>
      <c r="N155" s="87"/>
      <c r="O155" s="8"/>
    </row>
    <row r="156" spans="1:22" x14ac:dyDescent="0.3">
      <c r="A156" s="28">
        <v>5000</v>
      </c>
      <c r="B156" s="89" t="s">
        <v>14</v>
      </c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117">
        <f>SUM(M158:N163)</f>
        <v>166.11</v>
      </c>
      <c r="N156" s="90"/>
      <c r="O156" s="7"/>
    </row>
    <row r="157" spans="1:22" ht="15" customHeight="1" x14ac:dyDescent="0.3">
      <c r="A157" s="31"/>
      <c r="B157" s="31"/>
      <c r="C157" s="100" t="s">
        <v>13</v>
      </c>
      <c r="D157" s="100"/>
      <c r="E157" s="101" t="s">
        <v>12</v>
      </c>
      <c r="F157" s="101"/>
      <c r="G157" s="101" t="s">
        <v>11</v>
      </c>
      <c r="H157" s="101"/>
      <c r="I157" s="100" t="s">
        <v>10</v>
      </c>
      <c r="J157" s="100"/>
      <c r="K157" s="101" t="s">
        <v>9</v>
      </c>
      <c r="L157" s="101"/>
      <c r="M157" s="97"/>
      <c r="N157" s="97"/>
    </row>
    <row r="158" spans="1:22" ht="30" customHeight="1" x14ac:dyDescent="0.3">
      <c r="A158" s="98">
        <v>5239</v>
      </c>
      <c r="B158" s="122" t="s">
        <v>85</v>
      </c>
      <c r="C158" s="99" t="s">
        <v>84</v>
      </c>
      <c r="D158" s="99"/>
      <c r="E158" s="102">
        <v>10</v>
      </c>
      <c r="F158" s="102"/>
      <c r="G158" s="102">
        <v>1</v>
      </c>
      <c r="H158" s="102"/>
      <c r="I158" s="102">
        <v>3360.17</v>
      </c>
      <c r="J158" s="102"/>
      <c r="K158" s="102">
        <v>1</v>
      </c>
      <c r="L158" s="102"/>
      <c r="M158" s="87">
        <v>7.67</v>
      </c>
      <c r="N158" s="87"/>
      <c r="O158" s="127"/>
      <c r="V158" t="s">
        <v>81</v>
      </c>
    </row>
    <row r="159" spans="1:22" ht="30.6" customHeight="1" x14ac:dyDescent="0.3">
      <c r="A159" s="98"/>
      <c r="B159" s="122"/>
      <c r="C159" s="99" t="s">
        <v>83</v>
      </c>
      <c r="D159" s="99"/>
      <c r="E159" s="102">
        <v>10</v>
      </c>
      <c r="F159" s="102"/>
      <c r="G159" s="102">
        <v>1</v>
      </c>
      <c r="H159" s="102"/>
      <c r="I159" s="102">
        <v>507.84</v>
      </c>
      <c r="J159" s="102"/>
      <c r="K159" s="102">
        <v>1</v>
      </c>
      <c r="L159" s="102"/>
      <c r="M159" s="87">
        <v>1.1599999999999999</v>
      </c>
      <c r="N159" s="87"/>
      <c r="O159" s="127"/>
      <c r="V159" t="s">
        <v>79</v>
      </c>
    </row>
    <row r="160" spans="1:22" x14ac:dyDescent="0.3">
      <c r="A160" s="98"/>
      <c r="B160" s="122"/>
      <c r="C160" s="99" t="s">
        <v>82</v>
      </c>
      <c r="D160" s="99"/>
      <c r="E160" s="102">
        <v>10</v>
      </c>
      <c r="F160" s="102"/>
      <c r="G160" s="102">
        <v>1</v>
      </c>
      <c r="H160" s="102"/>
      <c r="I160" s="102">
        <v>317.02</v>
      </c>
      <c r="J160" s="102"/>
      <c r="K160" s="102">
        <v>1</v>
      </c>
      <c r="L160" s="102"/>
      <c r="M160" s="87">
        <v>0.72</v>
      </c>
      <c r="N160" s="87"/>
      <c r="O160" s="127"/>
      <c r="V160" t="s">
        <v>81</v>
      </c>
    </row>
    <row r="161" spans="1:23" ht="24.9" customHeight="1" x14ac:dyDescent="0.3">
      <c r="A161" s="98"/>
      <c r="B161" s="122"/>
      <c r="C161" s="99" t="s">
        <v>80</v>
      </c>
      <c r="D161" s="99"/>
      <c r="E161" s="102">
        <v>10</v>
      </c>
      <c r="F161" s="102"/>
      <c r="G161" s="102">
        <v>1</v>
      </c>
      <c r="H161" s="102"/>
      <c r="I161" s="102">
        <v>525.14</v>
      </c>
      <c r="J161" s="102"/>
      <c r="K161" s="102">
        <v>1</v>
      </c>
      <c r="L161" s="102"/>
      <c r="M161" s="87">
        <v>1.2</v>
      </c>
      <c r="N161" s="87"/>
      <c r="O161" s="127"/>
      <c r="V161" t="s">
        <v>79</v>
      </c>
    </row>
    <row r="162" spans="1:23" ht="47.1" customHeight="1" x14ac:dyDescent="0.3">
      <c r="A162" s="134">
        <v>5231</v>
      </c>
      <c r="B162" s="122" t="s">
        <v>78</v>
      </c>
      <c r="C162" s="99" t="s">
        <v>77</v>
      </c>
      <c r="D162" s="99"/>
      <c r="E162" s="102">
        <v>6.67</v>
      </c>
      <c r="F162" s="102"/>
      <c r="G162" s="102">
        <v>1</v>
      </c>
      <c r="H162" s="102"/>
      <c r="I162" s="128">
        <v>4665664.67</v>
      </c>
      <c r="J162" s="128"/>
      <c r="K162" s="102">
        <v>1</v>
      </c>
      <c r="L162" s="102"/>
      <c r="M162" s="98">
        <f>ROUND(I162*E162/100/12/166.92*K162,2)</f>
        <v>155.36000000000001</v>
      </c>
      <c r="N162" s="98"/>
      <c r="O162" s="127">
        <f>I162/15/365/24</f>
        <v>35.507341476407909</v>
      </c>
      <c r="P162">
        <v>308651</v>
      </c>
      <c r="Q162">
        <v>206</v>
      </c>
      <c r="S162">
        <v>4762827.67</v>
      </c>
      <c r="T162">
        <v>119</v>
      </c>
      <c r="V162">
        <v>180</v>
      </c>
    </row>
    <row r="163" spans="1:23" ht="30.9" customHeight="1" x14ac:dyDescent="0.3">
      <c r="A163" s="134"/>
      <c r="B163" s="122"/>
      <c r="C163" s="99" t="s">
        <v>76</v>
      </c>
      <c r="D163" s="99"/>
      <c r="E163" s="102"/>
      <c r="F163" s="102"/>
      <c r="G163" s="102"/>
      <c r="H163" s="102"/>
      <c r="I163" s="128"/>
      <c r="J163" s="128"/>
      <c r="K163" s="102"/>
      <c r="L163" s="102"/>
      <c r="M163" s="98"/>
      <c r="N163" s="98"/>
      <c r="O163" s="127"/>
      <c r="P163">
        <v>413878.99</v>
      </c>
      <c r="Q163">
        <v>206</v>
      </c>
      <c r="R163" s="12">
        <f>SUM(P162:P163)/2</f>
        <v>361264.995</v>
      </c>
      <c r="S163">
        <v>4568501.67</v>
      </c>
      <c r="T163">
        <v>119</v>
      </c>
      <c r="U163" s="12">
        <f>SUM(S162:S163)/2</f>
        <v>4665664.67</v>
      </c>
      <c r="V163" t="s">
        <v>75</v>
      </c>
      <c r="W163" t="s">
        <v>74</v>
      </c>
    </row>
    <row r="164" spans="1:23" x14ac:dyDescent="0.3">
      <c r="A164" s="72" t="s">
        <v>73</v>
      </c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4"/>
      <c r="M164" s="124">
        <f>ROUND(M138+M124+M156,2)</f>
        <v>548.51</v>
      </c>
      <c r="N164" s="125"/>
      <c r="T164" t="e">
        <f>#REF!/167</f>
        <v>#REF!</v>
      </c>
    </row>
    <row r="165" spans="1:23" x14ac:dyDescent="0.3">
      <c r="A165" s="11"/>
      <c r="B165" s="11"/>
      <c r="C165" s="123"/>
      <c r="D165" s="123"/>
      <c r="E165" s="123"/>
      <c r="F165" s="123"/>
      <c r="G165" s="123"/>
      <c r="H165" s="123"/>
      <c r="I165" s="123"/>
      <c r="J165" s="123"/>
      <c r="K165" s="123"/>
      <c r="L165" s="123"/>
      <c r="M165" s="123"/>
      <c r="N165" s="123"/>
    </row>
    <row r="166" spans="1:23" x14ac:dyDescent="0.3">
      <c r="A166" s="75" t="s">
        <v>1</v>
      </c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7"/>
    </row>
    <row r="167" spans="1:23" x14ac:dyDescent="0.3">
      <c r="A167" s="28">
        <v>1000</v>
      </c>
      <c r="B167" s="89" t="s">
        <v>72</v>
      </c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117">
        <f>M168+M186</f>
        <v>8.43</v>
      </c>
      <c r="N167" s="90"/>
    </row>
    <row r="168" spans="1:23" x14ac:dyDescent="0.3">
      <c r="A168" s="29">
        <v>1100</v>
      </c>
      <c r="B168" s="89" t="s">
        <v>71</v>
      </c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90">
        <f>M169+M176+M181</f>
        <v>6.82</v>
      </c>
      <c r="N168" s="90"/>
    </row>
    <row r="169" spans="1:23" x14ac:dyDescent="0.3">
      <c r="A169" s="98">
        <v>1116</v>
      </c>
      <c r="B169" s="99" t="s">
        <v>70</v>
      </c>
      <c r="C169" s="100" t="s">
        <v>65</v>
      </c>
      <c r="D169" s="100"/>
      <c r="E169" s="100"/>
      <c r="F169" s="100"/>
      <c r="G169" s="100"/>
      <c r="H169" s="100"/>
      <c r="I169" s="101" t="s">
        <v>64</v>
      </c>
      <c r="J169" s="101"/>
      <c r="K169" s="101" t="s">
        <v>9</v>
      </c>
      <c r="L169" s="101"/>
      <c r="M169" s="97">
        <f>M170+M172+M174</f>
        <v>2.81</v>
      </c>
      <c r="N169" s="97"/>
      <c r="O169" s="6"/>
    </row>
    <row r="170" spans="1:23" s="10" customFormat="1" ht="33.6" customHeight="1" x14ac:dyDescent="0.3">
      <c r="A170" s="98"/>
      <c r="B170" s="99"/>
      <c r="C170" s="113" t="s">
        <v>69</v>
      </c>
      <c r="D170" s="113"/>
      <c r="E170" s="113"/>
      <c r="F170" s="113"/>
      <c r="G170" s="113"/>
      <c r="H170" s="113"/>
      <c r="I170" s="129">
        <v>2645</v>
      </c>
      <c r="J170" s="129"/>
      <c r="K170" s="104">
        <v>3.3000000000000002E-2</v>
      </c>
      <c r="L170" s="104"/>
      <c r="M170" s="105">
        <f>ROUND(I170/166.92*K170,2)</f>
        <v>0.52</v>
      </c>
      <c r="N170" s="105"/>
      <c r="O170" s="130"/>
    </row>
    <row r="171" spans="1:23" s="10" customFormat="1" ht="23.1" customHeight="1" x14ac:dyDescent="0.3">
      <c r="A171" s="98"/>
      <c r="B171" s="99"/>
      <c r="C171" s="113" t="s">
        <v>61</v>
      </c>
      <c r="D171" s="113"/>
      <c r="E171" s="113"/>
      <c r="F171" s="113"/>
      <c r="G171" s="113"/>
      <c r="H171" s="113"/>
      <c r="I171" s="129"/>
      <c r="J171" s="129"/>
      <c r="K171" s="104"/>
      <c r="L171" s="104"/>
      <c r="M171" s="105">
        <f>ROUND(I171/167*K171,2)</f>
        <v>0</v>
      </c>
      <c r="N171" s="105"/>
      <c r="O171" s="130"/>
    </row>
    <row r="172" spans="1:23" s="10" customFormat="1" ht="23.1" customHeight="1" x14ac:dyDescent="0.3">
      <c r="A172" s="98"/>
      <c r="B172" s="99"/>
      <c r="C172" s="113" t="s">
        <v>68</v>
      </c>
      <c r="D172" s="113"/>
      <c r="E172" s="113"/>
      <c r="F172" s="113"/>
      <c r="G172" s="113"/>
      <c r="H172" s="113"/>
      <c r="I172" s="129">
        <v>2635</v>
      </c>
      <c r="J172" s="129"/>
      <c r="K172" s="104">
        <v>8.3000000000000004E-2</v>
      </c>
      <c r="L172" s="104"/>
      <c r="M172" s="105">
        <f>ROUND(I172/166.92*K172,2)</f>
        <v>1.31</v>
      </c>
      <c r="N172" s="105"/>
      <c r="O172" s="130"/>
    </row>
    <row r="173" spans="1:23" s="10" customFormat="1" ht="23.1" customHeight="1" x14ac:dyDescent="0.3">
      <c r="A173" s="98"/>
      <c r="B173" s="99"/>
      <c r="C173" s="113" t="s">
        <v>61</v>
      </c>
      <c r="D173" s="113"/>
      <c r="E173" s="113"/>
      <c r="F173" s="113"/>
      <c r="G173" s="113"/>
      <c r="H173" s="113"/>
      <c r="I173" s="129"/>
      <c r="J173" s="129"/>
      <c r="K173" s="104"/>
      <c r="L173" s="104"/>
      <c r="M173" s="105">
        <f>ROUND(I173/167*K173,2)</f>
        <v>0</v>
      </c>
      <c r="N173" s="105"/>
      <c r="O173" s="130"/>
    </row>
    <row r="174" spans="1:23" s="10" customFormat="1" ht="23.1" customHeight="1" x14ac:dyDescent="0.3">
      <c r="A174" s="98"/>
      <c r="B174" s="99"/>
      <c r="C174" s="113" t="s">
        <v>67</v>
      </c>
      <c r="D174" s="113"/>
      <c r="E174" s="113"/>
      <c r="F174" s="113"/>
      <c r="G174" s="113"/>
      <c r="H174" s="113"/>
      <c r="I174" s="129">
        <v>1980</v>
      </c>
      <c r="J174" s="129"/>
      <c r="K174" s="104">
        <v>8.3000000000000004E-2</v>
      </c>
      <c r="L174" s="104"/>
      <c r="M174" s="105">
        <f>ROUND(I174/166.92*K174,2)</f>
        <v>0.98</v>
      </c>
      <c r="N174" s="105"/>
      <c r="O174" s="130"/>
    </row>
    <row r="175" spans="1:23" s="10" customFormat="1" ht="23.1" customHeight="1" x14ac:dyDescent="0.3">
      <c r="A175" s="98"/>
      <c r="B175" s="99"/>
      <c r="C175" s="113" t="s">
        <v>61</v>
      </c>
      <c r="D175" s="113"/>
      <c r="E175" s="113"/>
      <c r="F175" s="113"/>
      <c r="G175" s="113"/>
      <c r="H175" s="113"/>
      <c r="I175" s="129"/>
      <c r="J175" s="129"/>
      <c r="K175" s="104"/>
      <c r="L175" s="104"/>
      <c r="M175" s="105">
        <f>ROUND(I175/167*K175,2)</f>
        <v>0</v>
      </c>
      <c r="N175" s="105"/>
      <c r="O175" s="130"/>
    </row>
    <row r="176" spans="1:23" x14ac:dyDescent="0.3">
      <c r="A176" s="98">
        <v>1119</v>
      </c>
      <c r="B176" s="99" t="s">
        <v>66</v>
      </c>
      <c r="C176" s="100" t="s">
        <v>65</v>
      </c>
      <c r="D176" s="100"/>
      <c r="E176" s="100"/>
      <c r="F176" s="100"/>
      <c r="G176" s="100"/>
      <c r="H176" s="100"/>
      <c r="I176" s="101" t="s">
        <v>64</v>
      </c>
      <c r="J176" s="101"/>
      <c r="K176" s="101" t="s">
        <v>9</v>
      </c>
      <c r="L176" s="101"/>
      <c r="M176" s="97">
        <f>M177+M179</f>
        <v>3.91</v>
      </c>
      <c r="N176" s="97"/>
      <c r="O176" s="6"/>
    </row>
    <row r="177" spans="1:16" s="10" customFormat="1" ht="29.1" customHeight="1" x14ac:dyDescent="0.3">
      <c r="A177" s="98"/>
      <c r="B177" s="99"/>
      <c r="C177" s="113" t="s">
        <v>63</v>
      </c>
      <c r="D177" s="113"/>
      <c r="E177" s="113"/>
      <c r="F177" s="113"/>
      <c r="G177" s="113"/>
      <c r="H177" s="113"/>
      <c r="I177" s="129">
        <v>1958</v>
      </c>
      <c r="J177" s="129"/>
      <c r="K177" s="104">
        <v>0.33</v>
      </c>
      <c r="L177" s="104"/>
      <c r="M177" s="105">
        <f>ROUND(I177/166.92*K177,2)</f>
        <v>3.87</v>
      </c>
      <c r="N177" s="105"/>
      <c r="O177" s="130"/>
    </row>
    <row r="178" spans="1:16" s="10" customFormat="1" x14ac:dyDescent="0.3">
      <c r="A178" s="98"/>
      <c r="B178" s="99"/>
      <c r="C178" s="113" t="s">
        <v>137</v>
      </c>
      <c r="D178" s="113"/>
      <c r="E178" s="113"/>
      <c r="F178" s="113"/>
      <c r="G178" s="113"/>
      <c r="H178" s="113"/>
      <c r="I178" s="129"/>
      <c r="J178" s="129"/>
      <c r="K178" s="104"/>
      <c r="L178" s="104"/>
      <c r="M178" s="105">
        <f>ROUND(I178/167*K178,2)</f>
        <v>0</v>
      </c>
      <c r="N178" s="105"/>
      <c r="O178" s="130"/>
    </row>
    <row r="179" spans="1:16" s="10" customFormat="1" ht="27.9" customHeight="1" x14ac:dyDescent="0.3">
      <c r="A179" s="98"/>
      <c r="B179" s="99"/>
      <c r="C179" s="113" t="s">
        <v>62</v>
      </c>
      <c r="D179" s="113"/>
      <c r="E179" s="113"/>
      <c r="F179" s="113"/>
      <c r="G179" s="113"/>
      <c r="H179" s="113"/>
      <c r="I179" s="129">
        <v>729</v>
      </c>
      <c r="J179" s="129"/>
      <c r="K179" s="104">
        <v>0.01</v>
      </c>
      <c r="L179" s="104"/>
      <c r="M179" s="105">
        <f>ROUND(I179/166.92*K179,2)</f>
        <v>0.04</v>
      </c>
      <c r="N179" s="105"/>
      <c r="O179" s="130"/>
    </row>
    <row r="180" spans="1:16" s="10" customFormat="1" x14ac:dyDescent="0.3">
      <c r="A180" s="98"/>
      <c r="B180" s="99"/>
      <c r="C180" s="113" t="s">
        <v>137</v>
      </c>
      <c r="D180" s="113"/>
      <c r="E180" s="113"/>
      <c r="F180" s="113"/>
      <c r="G180" s="113"/>
      <c r="H180" s="113"/>
      <c r="I180" s="129"/>
      <c r="J180" s="129"/>
      <c r="K180" s="104"/>
      <c r="L180" s="104"/>
      <c r="M180" s="105">
        <f>ROUND(I180/167*K180,2)</f>
        <v>0</v>
      </c>
      <c r="N180" s="105"/>
      <c r="O180" s="130"/>
    </row>
    <row r="181" spans="1:16" ht="15.75" customHeight="1" x14ac:dyDescent="0.3">
      <c r="A181" s="98">
        <v>1143</v>
      </c>
      <c r="B181" s="99" t="s">
        <v>60</v>
      </c>
      <c r="C181" s="100" t="s">
        <v>59</v>
      </c>
      <c r="D181" s="100"/>
      <c r="E181" s="100"/>
      <c r="F181" s="100"/>
      <c r="G181" s="100"/>
      <c r="H181" s="100"/>
      <c r="I181" s="101" t="s">
        <v>58</v>
      </c>
      <c r="J181" s="101"/>
      <c r="K181" s="101" t="s">
        <v>9</v>
      </c>
      <c r="L181" s="101"/>
      <c r="M181" s="97">
        <f>M182+M184</f>
        <v>0.1</v>
      </c>
      <c r="N181" s="97"/>
      <c r="O181" s="6"/>
    </row>
    <row r="182" spans="1:16" s="10" customFormat="1" x14ac:dyDescent="0.3">
      <c r="A182" s="98"/>
      <c r="B182" s="99"/>
      <c r="C182" s="113" t="s">
        <v>57</v>
      </c>
      <c r="D182" s="113"/>
      <c r="E182" s="113"/>
      <c r="F182" s="113"/>
      <c r="G182" s="113"/>
      <c r="H182" s="113"/>
      <c r="I182" s="104">
        <v>106</v>
      </c>
      <c r="J182" s="104"/>
      <c r="K182" s="104">
        <v>3.3000000000000002E-2</v>
      </c>
      <c r="L182" s="104"/>
      <c r="M182" s="105">
        <f>ROUND(I182/166.92*K182,2)</f>
        <v>0.02</v>
      </c>
      <c r="N182" s="105"/>
      <c r="O182" s="130"/>
    </row>
    <row r="183" spans="1:16" s="10" customFormat="1" ht="15.75" customHeight="1" x14ac:dyDescent="0.3">
      <c r="A183" s="98"/>
      <c r="B183" s="99"/>
      <c r="C183" s="113" t="s">
        <v>55</v>
      </c>
      <c r="D183" s="113"/>
      <c r="E183" s="113"/>
      <c r="F183" s="113"/>
      <c r="G183" s="113"/>
      <c r="H183" s="113"/>
      <c r="I183" s="104"/>
      <c r="J183" s="104"/>
      <c r="K183" s="104"/>
      <c r="L183" s="104"/>
      <c r="M183" s="105">
        <f>ROUND(I183/167*K183,2)</f>
        <v>0</v>
      </c>
      <c r="N183" s="105"/>
      <c r="O183" s="130"/>
    </row>
    <row r="184" spans="1:16" s="10" customFormat="1" x14ac:dyDescent="0.3">
      <c r="A184" s="98"/>
      <c r="B184" s="99"/>
      <c r="C184" s="113" t="s">
        <v>56</v>
      </c>
      <c r="D184" s="113"/>
      <c r="E184" s="113"/>
      <c r="F184" s="113"/>
      <c r="G184" s="113"/>
      <c r="H184" s="113"/>
      <c r="I184" s="104">
        <f>78*2</f>
        <v>156</v>
      </c>
      <c r="J184" s="104"/>
      <c r="K184" s="104">
        <v>8.3000000000000004E-2</v>
      </c>
      <c r="L184" s="104"/>
      <c r="M184" s="105">
        <f>ROUND(I184/166.92*K184,2)</f>
        <v>0.08</v>
      </c>
      <c r="N184" s="105"/>
      <c r="O184" s="130"/>
    </row>
    <row r="185" spans="1:16" s="10" customFormat="1" ht="15.75" customHeight="1" x14ac:dyDescent="0.3">
      <c r="A185" s="98"/>
      <c r="B185" s="99"/>
      <c r="C185" s="113" t="s">
        <v>55</v>
      </c>
      <c r="D185" s="113"/>
      <c r="E185" s="113"/>
      <c r="F185" s="113"/>
      <c r="G185" s="113"/>
      <c r="H185" s="113"/>
      <c r="I185" s="104"/>
      <c r="J185" s="104"/>
      <c r="K185" s="104"/>
      <c r="L185" s="104"/>
      <c r="M185" s="105">
        <f>ROUND(I185/167*K185,2)</f>
        <v>0</v>
      </c>
      <c r="N185" s="105"/>
      <c r="O185" s="130"/>
    </row>
    <row r="186" spans="1:16" x14ac:dyDescent="0.3">
      <c r="A186" s="29">
        <v>1200</v>
      </c>
      <c r="B186" s="89" t="s">
        <v>54</v>
      </c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117">
        <f>M187</f>
        <v>1.61</v>
      </c>
      <c r="N186" s="117"/>
      <c r="O186" s="6"/>
    </row>
    <row r="187" spans="1:16" x14ac:dyDescent="0.3">
      <c r="A187" s="36">
        <v>1210</v>
      </c>
      <c r="B187" s="99" t="s">
        <v>53</v>
      </c>
      <c r="C187" s="99"/>
      <c r="D187" s="99"/>
      <c r="E187" s="99"/>
      <c r="F187" s="99"/>
      <c r="G187" s="99"/>
      <c r="H187" s="99"/>
      <c r="I187" s="99"/>
      <c r="J187" s="99"/>
      <c r="K187" s="99"/>
      <c r="L187" s="99"/>
      <c r="M187" s="87">
        <f>ROUND(M168*0.2359,2)</f>
        <v>1.61</v>
      </c>
      <c r="N187" s="87"/>
      <c r="O187" s="6"/>
    </row>
    <row r="188" spans="1:16" x14ac:dyDescent="0.3">
      <c r="A188" s="28">
        <v>2000</v>
      </c>
      <c r="B188" s="89" t="s">
        <v>52</v>
      </c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90">
        <f>M189+M200</f>
        <v>40.98</v>
      </c>
      <c r="N188" s="90"/>
      <c r="O188" s="6"/>
    </row>
    <row r="189" spans="1:16" x14ac:dyDescent="0.3">
      <c r="A189" s="29">
        <v>2200</v>
      </c>
      <c r="B189" s="89" t="s">
        <v>51</v>
      </c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90">
        <f>SUM(M191:N199)</f>
        <v>40.769999999999996</v>
      </c>
      <c r="N189" s="90"/>
      <c r="O189" s="6"/>
    </row>
    <row r="190" spans="1:16" x14ac:dyDescent="0.3">
      <c r="A190" s="98">
        <v>2220</v>
      </c>
      <c r="B190" s="99" t="s">
        <v>50</v>
      </c>
      <c r="C190" s="100" t="s">
        <v>13</v>
      </c>
      <c r="D190" s="100"/>
      <c r="E190" s="100"/>
      <c r="F190" s="100"/>
      <c r="G190" s="100"/>
      <c r="H190" s="100"/>
      <c r="I190" s="101" t="s">
        <v>10</v>
      </c>
      <c r="J190" s="101"/>
      <c r="K190" s="101" t="s">
        <v>9</v>
      </c>
      <c r="L190" s="101"/>
      <c r="M190" s="97"/>
      <c r="N190" s="97"/>
      <c r="O190" s="6" t="s">
        <v>49</v>
      </c>
      <c r="P190" t="s">
        <v>48</v>
      </c>
    </row>
    <row r="191" spans="1:16" s="9" customFormat="1" x14ac:dyDescent="0.3">
      <c r="A191" s="98"/>
      <c r="B191" s="99"/>
      <c r="C191" s="99" t="s">
        <v>47</v>
      </c>
      <c r="D191" s="99"/>
      <c r="E191" s="99"/>
      <c r="F191" s="99"/>
      <c r="G191" s="99"/>
      <c r="H191" s="99"/>
      <c r="I191" s="86">
        <f>P191</f>
        <v>4.59</v>
      </c>
      <c r="J191" s="86"/>
      <c r="K191" s="86">
        <v>1</v>
      </c>
      <c r="L191" s="86"/>
      <c r="M191" s="126">
        <f t="shared" ref="M191:M199" si="2">I191*K191</f>
        <v>4.59</v>
      </c>
      <c r="N191" s="126"/>
      <c r="O191" s="43">
        <v>40170.910000000003</v>
      </c>
      <c r="P191" s="9">
        <f>ROUND(O191/365/24,2)</f>
        <v>4.59</v>
      </c>
    </row>
    <row r="192" spans="1:16" s="9" customFormat="1" ht="69" customHeight="1" x14ac:dyDescent="0.3">
      <c r="A192" s="98"/>
      <c r="B192" s="99"/>
      <c r="C192" s="99" t="s">
        <v>46</v>
      </c>
      <c r="D192" s="99"/>
      <c r="E192" s="99"/>
      <c r="F192" s="99"/>
      <c r="G192" s="99"/>
      <c r="H192" s="99"/>
      <c r="I192" s="86">
        <v>1.41</v>
      </c>
      <c r="J192" s="86"/>
      <c r="K192" s="86">
        <v>1</v>
      </c>
      <c r="L192" s="86"/>
      <c r="M192" s="126">
        <f t="shared" si="2"/>
        <v>1.41</v>
      </c>
      <c r="N192" s="126"/>
      <c r="O192" s="44"/>
    </row>
    <row r="193" spans="1:19" s="9" customFormat="1" ht="27.6" x14ac:dyDescent="0.3">
      <c r="A193" s="31">
        <v>2235</v>
      </c>
      <c r="B193" s="31" t="s">
        <v>44</v>
      </c>
      <c r="C193" s="99" t="s">
        <v>43</v>
      </c>
      <c r="D193" s="99"/>
      <c r="E193" s="99"/>
      <c r="F193" s="99"/>
      <c r="G193" s="99"/>
      <c r="H193" s="99"/>
      <c r="I193" s="86">
        <f>P193</f>
        <v>33.409999999999997</v>
      </c>
      <c r="J193" s="86"/>
      <c r="K193" s="86">
        <v>1</v>
      </c>
      <c r="L193" s="86"/>
      <c r="M193" s="126">
        <f t="shared" si="2"/>
        <v>33.409999999999997</v>
      </c>
      <c r="N193" s="126"/>
      <c r="O193" s="45">
        <v>292695.89</v>
      </c>
      <c r="P193" s="9">
        <f t="shared" ref="P193:P199" si="3">ROUND(O193/365/24,2)</f>
        <v>33.409999999999997</v>
      </c>
    </row>
    <row r="194" spans="1:19" ht="27.6" x14ac:dyDescent="0.3">
      <c r="A194" s="31">
        <v>2234</v>
      </c>
      <c r="B194" s="31" t="s">
        <v>42</v>
      </c>
      <c r="C194" s="99" t="s">
        <v>41</v>
      </c>
      <c r="D194" s="99"/>
      <c r="E194" s="99"/>
      <c r="F194" s="99"/>
      <c r="G194" s="99"/>
      <c r="H194" s="99"/>
      <c r="I194" s="86">
        <f>P194</f>
        <v>1</v>
      </c>
      <c r="J194" s="86"/>
      <c r="K194" s="86">
        <v>1</v>
      </c>
      <c r="L194" s="86"/>
      <c r="M194" s="126">
        <f t="shared" si="2"/>
        <v>1</v>
      </c>
      <c r="N194" s="126"/>
      <c r="O194" s="46">
        <v>8720</v>
      </c>
      <c r="P194">
        <f t="shared" si="3"/>
        <v>1</v>
      </c>
    </row>
    <row r="195" spans="1:19" ht="30.9" customHeight="1" x14ac:dyDescent="0.3">
      <c r="A195" s="31">
        <v>2247</v>
      </c>
      <c r="B195" s="31" t="s">
        <v>40</v>
      </c>
      <c r="C195" s="99" t="s">
        <v>39</v>
      </c>
      <c r="D195" s="99"/>
      <c r="E195" s="99"/>
      <c r="F195" s="99"/>
      <c r="G195" s="99"/>
      <c r="H195" s="99"/>
      <c r="I195" s="86">
        <f>P195</f>
        <v>0.33</v>
      </c>
      <c r="J195" s="86"/>
      <c r="K195" s="86">
        <v>1</v>
      </c>
      <c r="L195" s="86"/>
      <c r="M195" s="126">
        <f t="shared" si="2"/>
        <v>0.33</v>
      </c>
      <c r="N195" s="126"/>
      <c r="O195" s="42">
        <v>2920</v>
      </c>
      <c r="P195">
        <f t="shared" si="3"/>
        <v>0.33</v>
      </c>
      <c r="R195">
        <v>2920</v>
      </c>
      <c r="S195" t="s">
        <v>38</v>
      </c>
    </row>
    <row r="196" spans="1:19" ht="78.599999999999994" customHeight="1" x14ac:dyDescent="0.3">
      <c r="A196" s="134">
        <v>2239</v>
      </c>
      <c r="B196" s="122" t="s">
        <v>37</v>
      </c>
      <c r="C196" s="93" t="s">
        <v>140</v>
      </c>
      <c r="D196" s="93"/>
      <c r="E196" s="93"/>
      <c r="F196" s="93"/>
      <c r="G196" s="93"/>
      <c r="H196" s="93"/>
      <c r="I196" s="86"/>
      <c r="J196" s="86"/>
      <c r="K196" s="86"/>
      <c r="L196" s="86"/>
      <c r="M196" s="126">
        <f t="shared" si="2"/>
        <v>0</v>
      </c>
      <c r="N196" s="126"/>
      <c r="O196">
        <v>286.29000000000002</v>
      </c>
      <c r="P196">
        <f t="shared" si="3"/>
        <v>0.03</v>
      </c>
    </row>
    <row r="197" spans="1:19" x14ac:dyDescent="0.3">
      <c r="A197" s="134"/>
      <c r="B197" s="122"/>
      <c r="C197" s="99" t="s">
        <v>136</v>
      </c>
      <c r="D197" s="99"/>
      <c r="E197" s="99"/>
      <c r="F197" s="99"/>
      <c r="G197" s="99"/>
      <c r="H197" s="99"/>
      <c r="I197" s="86"/>
      <c r="J197" s="86"/>
      <c r="K197" s="86"/>
      <c r="L197" s="86"/>
      <c r="M197" s="126">
        <f t="shared" si="2"/>
        <v>0</v>
      </c>
      <c r="N197" s="126"/>
      <c r="O197">
        <v>369.2</v>
      </c>
      <c r="P197">
        <f t="shared" si="3"/>
        <v>0.04</v>
      </c>
    </row>
    <row r="198" spans="1:19" ht="18.600000000000001" customHeight="1" x14ac:dyDescent="0.3">
      <c r="A198" s="134"/>
      <c r="B198" s="122"/>
      <c r="C198" s="99" t="s">
        <v>36</v>
      </c>
      <c r="D198" s="99"/>
      <c r="E198" s="99"/>
      <c r="F198" s="99"/>
      <c r="G198" s="99"/>
      <c r="H198" s="99"/>
      <c r="I198" s="86">
        <f>P198</f>
        <v>0.01</v>
      </c>
      <c r="J198" s="86"/>
      <c r="K198" s="86">
        <v>1</v>
      </c>
      <c r="L198" s="86"/>
      <c r="M198" s="126">
        <f t="shared" si="2"/>
        <v>0.01</v>
      </c>
      <c r="N198" s="126"/>
      <c r="O198">
        <v>130</v>
      </c>
      <c r="P198">
        <f t="shared" si="3"/>
        <v>0.01</v>
      </c>
    </row>
    <row r="199" spans="1:19" x14ac:dyDescent="0.3">
      <c r="A199" s="134"/>
      <c r="B199" s="122"/>
      <c r="C199" s="99" t="s">
        <v>35</v>
      </c>
      <c r="D199" s="99"/>
      <c r="E199" s="99"/>
      <c r="F199" s="99"/>
      <c r="G199" s="99"/>
      <c r="H199" s="99"/>
      <c r="I199" s="86">
        <f>P199</f>
        <v>0.02</v>
      </c>
      <c r="J199" s="86"/>
      <c r="K199" s="86">
        <v>1</v>
      </c>
      <c r="L199" s="86"/>
      <c r="M199" s="126">
        <f t="shared" si="2"/>
        <v>0.02</v>
      </c>
      <c r="N199" s="126"/>
      <c r="O199">
        <f>239.47*1.21/2</f>
        <v>144.87934999999999</v>
      </c>
      <c r="P199">
        <f t="shared" si="3"/>
        <v>0.02</v>
      </c>
    </row>
    <row r="200" spans="1:19" x14ac:dyDescent="0.3">
      <c r="A200" s="29">
        <v>2300</v>
      </c>
      <c r="B200" s="89" t="s">
        <v>34</v>
      </c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117">
        <f>SUM(M202:N218)</f>
        <v>0.21000000000000005</v>
      </c>
      <c r="N200" s="90"/>
      <c r="O200" s="6"/>
    </row>
    <row r="201" spans="1:19" s="5" customFormat="1" ht="27.6" x14ac:dyDescent="0.3">
      <c r="A201" s="98">
        <v>2364</v>
      </c>
      <c r="B201" s="99" t="s">
        <v>33</v>
      </c>
      <c r="C201" s="100" t="s">
        <v>13</v>
      </c>
      <c r="D201" s="100"/>
      <c r="E201" s="100"/>
      <c r="F201" s="100"/>
      <c r="G201" s="100"/>
      <c r="H201" s="37" t="s">
        <v>32</v>
      </c>
      <c r="I201" s="100" t="s">
        <v>10</v>
      </c>
      <c r="J201" s="100"/>
      <c r="K201" s="101" t="s">
        <v>9</v>
      </c>
      <c r="L201" s="101"/>
      <c r="M201" s="97"/>
      <c r="N201" s="97"/>
      <c r="O201" s="8"/>
    </row>
    <row r="202" spans="1:19" s="5" customFormat="1" x14ac:dyDescent="0.3">
      <c r="A202" s="98"/>
      <c r="B202" s="99"/>
      <c r="C202" s="85" t="s">
        <v>31</v>
      </c>
      <c r="D202" s="85"/>
      <c r="E202" s="85"/>
      <c r="F202" s="85"/>
      <c r="G202" s="85"/>
      <c r="H202" s="40">
        <v>1</v>
      </c>
      <c r="I202" s="86">
        <v>50.07</v>
      </c>
      <c r="J202" s="86"/>
      <c r="K202" s="86">
        <v>1</v>
      </c>
      <c r="L202" s="86"/>
      <c r="M202" s="87">
        <f>ROUND(I202/H202/365/24*3,2)</f>
        <v>0.02</v>
      </c>
      <c r="N202" s="87"/>
      <c r="O202" s="8"/>
    </row>
    <row r="203" spans="1:19" s="5" customFormat="1" x14ac:dyDescent="0.3">
      <c r="A203" s="98"/>
      <c r="B203" s="99"/>
      <c r="C203" s="85" t="s">
        <v>30</v>
      </c>
      <c r="D203" s="85"/>
      <c r="E203" s="85"/>
      <c r="F203" s="85"/>
      <c r="G203" s="85"/>
      <c r="H203" s="40">
        <v>1</v>
      </c>
      <c r="I203" s="86">
        <v>20.239999999999998</v>
      </c>
      <c r="J203" s="86"/>
      <c r="K203" s="86">
        <v>1</v>
      </c>
      <c r="L203" s="86"/>
      <c r="M203" s="87">
        <f>ROUND(I203/H203/365/24*3,2)</f>
        <v>0.01</v>
      </c>
      <c r="N203" s="87"/>
      <c r="O203" s="8"/>
    </row>
    <row r="204" spans="1:19" s="5" customFormat="1" x14ac:dyDescent="0.3">
      <c r="A204" s="98"/>
      <c r="B204" s="99"/>
      <c r="C204" s="85" t="s">
        <v>29</v>
      </c>
      <c r="D204" s="85"/>
      <c r="E204" s="85"/>
      <c r="F204" s="85"/>
      <c r="G204" s="85"/>
      <c r="H204" s="40">
        <v>1</v>
      </c>
      <c r="I204" s="86">
        <v>17.260000000000002</v>
      </c>
      <c r="J204" s="86"/>
      <c r="K204" s="86">
        <v>1</v>
      </c>
      <c r="L204" s="86"/>
      <c r="M204" s="87">
        <f>ROUND(I204/H204/365/24*3,2)</f>
        <v>0.01</v>
      </c>
      <c r="N204" s="87"/>
      <c r="O204" s="8"/>
    </row>
    <row r="205" spans="1:19" s="5" customFormat="1" x14ac:dyDescent="0.3">
      <c r="A205" s="98"/>
      <c r="B205" s="99"/>
      <c r="C205" s="85" t="s">
        <v>28</v>
      </c>
      <c r="D205" s="85"/>
      <c r="E205" s="85"/>
      <c r="F205" s="85"/>
      <c r="G205" s="85"/>
      <c r="H205" s="40">
        <v>2</v>
      </c>
      <c r="I205" s="86">
        <f>39.77+39.77</f>
        <v>79.540000000000006</v>
      </c>
      <c r="J205" s="86"/>
      <c r="K205" s="86">
        <v>1</v>
      </c>
      <c r="L205" s="86"/>
      <c r="M205" s="87">
        <f>ROUND(I205/H205/365/24*3,2)</f>
        <v>0.01</v>
      </c>
      <c r="N205" s="87"/>
      <c r="O205" s="8"/>
    </row>
    <row r="206" spans="1:19" s="5" customFormat="1" x14ac:dyDescent="0.3">
      <c r="A206" s="98"/>
      <c r="B206" s="99"/>
      <c r="C206" s="85" t="s">
        <v>27</v>
      </c>
      <c r="D206" s="85"/>
      <c r="E206" s="85"/>
      <c r="F206" s="85"/>
      <c r="G206" s="85"/>
      <c r="H206" s="40">
        <v>4</v>
      </c>
      <c r="I206" s="86">
        <v>93.75</v>
      </c>
      <c r="J206" s="86"/>
      <c r="K206" s="86">
        <v>1</v>
      </c>
      <c r="L206" s="86"/>
      <c r="M206" s="87">
        <f>ROUND(I206/H206/365/24*3,2)</f>
        <v>0.01</v>
      </c>
      <c r="N206" s="87"/>
      <c r="O206" s="8"/>
    </row>
    <row r="207" spans="1:19" s="5" customFormat="1" x14ac:dyDescent="0.3">
      <c r="A207" s="98"/>
      <c r="B207" s="99"/>
      <c r="C207" s="85" t="s">
        <v>26</v>
      </c>
      <c r="D207" s="85"/>
      <c r="E207" s="85"/>
      <c r="F207" s="85"/>
      <c r="G207" s="85"/>
      <c r="H207" s="40">
        <v>2</v>
      </c>
      <c r="I207" s="86">
        <v>111</v>
      </c>
      <c r="J207" s="86"/>
      <c r="K207" s="86">
        <v>1</v>
      </c>
      <c r="L207" s="86"/>
      <c r="M207" s="87">
        <f>ROUND(I207/H207/365/24*2*3,2)</f>
        <v>0.04</v>
      </c>
      <c r="N207" s="87"/>
      <c r="O207" s="8"/>
    </row>
    <row r="208" spans="1:19" s="5" customFormat="1" x14ac:dyDescent="0.3">
      <c r="A208" s="98"/>
      <c r="B208" s="99"/>
      <c r="C208" s="85" t="s">
        <v>25</v>
      </c>
      <c r="D208" s="85"/>
      <c r="E208" s="85"/>
      <c r="F208" s="85"/>
      <c r="G208" s="85"/>
      <c r="H208" s="40">
        <v>5</v>
      </c>
      <c r="I208" s="86">
        <v>28.31</v>
      </c>
      <c r="J208" s="86"/>
      <c r="K208" s="86">
        <v>1</v>
      </c>
      <c r="L208" s="86"/>
      <c r="M208" s="87">
        <f>ROUND(I208/H208/365/24*2*3,2)</f>
        <v>0</v>
      </c>
      <c r="N208" s="87"/>
      <c r="O208" s="8"/>
    </row>
    <row r="209" spans="1:15" s="5" customFormat="1" x14ac:dyDescent="0.3">
      <c r="A209" s="98"/>
      <c r="B209" s="99"/>
      <c r="C209" s="85" t="s">
        <v>24</v>
      </c>
      <c r="D209" s="85"/>
      <c r="E209" s="85"/>
      <c r="F209" s="85"/>
      <c r="G209" s="85"/>
      <c r="H209" s="40">
        <v>3</v>
      </c>
      <c r="I209" s="86">
        <v>42</v>
      </c>
      <c r="J209" s="86"/>
      <c r="K209" s="86">
        <v>1</v>
      </c>
      <c r="L209" s="86"/>
      <c r="M209" s="87">
        <f>ROUND(I209/H209/365/24*3,2)</f>
        <v>0</v>
      </c>
      <c r="N209" s="87"/>
      <c r="O209" s="8"/>
    </row>
    <row r="210" spans="1:15" s="5" customFormat="1" x14ac:dyDescent="0.3">
      <c r="A210" s="98"/>
      <c r="B210" s="99"/>
      <c r="C210" s="85" t="s">
        <v>23</v>
      </c>
      <c r="D210" s="85"/>
      <c r="E210" s="85"/>
      <c r="F210" s="85"/>
      <c r="G210" s="85"/>
      <c r="H210" s="40">
        <v>4</v>
      </c>
      <c r="I210" s="86">
        <v>68.25</v>
      </c>
      <c r="J210" s="86"/>
      <c r="K210" s="86">
        <v>1</v>
      </c>
      <c r="L210" s="86"/>
      <c r="M210" s="87">
        <f>ROUND(I210/H210/365/24*3,2)</f>
        <v>0.01</v>
      </c>
      <c r="N210" s="87"/>
      <c r="O210" s="8"/>
    </row>
    <row r="211" spans="1:15" s="5" customFormat="1" x14ac:dyDescent="0.3">
      <c r="A211" s="98"/>
      <c r="B211" s="99"/>
      <c r="C211" s="85" t="s">
        <v>22</v>
      </c>
      <c r="D211" s="85"/>
      <c r="E211" s="85"/>
      <c r="F211" s="85"/>
      <c r="G211" s="85"/>
      <c r="H211" s="40">
        <v>4</v>
      </c>
      <c r="I211" s="86">
        <v>23.24</v>
      </c>
      <c r="J211" s="86"/>
      <c r="K211" s="86">
        <v>1</v>
      </c>
      <c r="L211" s="86"/>
      <c r="M211" s="87">
        <f>ROUND(I211/H211/365/24*3,2)</f>
        <v>0</v>
      </c>
      <c r="N211" s="87"/>
      <c r="O211" s="8"/>
    </row>
    <row r="212" spans="1:15" s="5" customFormat="1" x14ac:dyDescent="0.3">
      <c r="A212" s="98"/>
      <c r="B212" s="99"/>
      <c r="C212" s="85" t="s">
        <v>21</v>
      </c>
      <c r="D212" s="85"/>
      <c r="E212" s="85"/>
      <c r="F212" s="85"/>
      <c r="G212" s="85"/>
      <c r="H212" s="40">
        <v>4</v>
      </c>
      <c r="I212" s="86">
        <v>246</v>
      </c>
      <c r="J212" s="86"/>
      <c r="K212" s="86">
        <v>1</v>
      </c>
      <c r="L212" s="86"/>
      <c r="M212" s="87">
        <f>ROUND(I212/H212/365/24*3,2)</f>
        <v>0.02</v>
      </c>
      <c r="N212" s="87"/>
      <c r="O212" s="8"/>
    </row>
    <row r="213" spans="1:15" s="5" customFormat="1" x14ac:dyDescent="0.3">
      <c r="A213" s="98"/>
      <c r="B213" s="99"/>
      <c r="C213" s="85" t="s">
        <v>20</v>
      </c>
      <c r="D213" s="85"/>
      <c r="E213" s="85"/>
      <c r="F213" s="85"/>
      <c r="G213" s="85"/>
      <c r="H213" s="40">
        <v>1</v>
      </c>
      <c r="I213" s="86">
        <v>43.5</v>
      </c>
      <c r="J213" s="86"/>
      <c r="K213" s="86">
        <v>1</v>
      </c>
      <c r="L213" s="86"/>
      <c r="M213" s="87">
        <f>ROUND(I213/H213/365/24*3,2)</f>
        <v>0.01</v>
      </c>
      <c r="N213" s="87"/>
      <c r="O213" s="8"/>
    </row>
    <row r="214" spans="1:15" s="5" customFormat="1" x14ac:dyDescent="0.3">
      <c r="A214" s="98"/>
      <c r="B214" s="99"/>
      <c r="C214" s="85" t="s">
        <v>19</v>
      </c>
      <c r="D214" s="85"/>
      <c r="E214" s="85"/>
      <c r="F214" s="85"/>
      <c r="G214" s="85"/>
      <c r="H214" s="40">
        <v>2</v>
      </c>
      <c r="I214" s="86">
        <v>111</v>
      </c>
      <c r="J214" s="86"/>
      <c r="K214" s="86">
        <v>1</v>
      </c>
      <c r="L214" s="86"/>
      <c r="M214" s="87">
        <f>ROUND(I214/H214/365/24*2*3,2)</f>
        <v>0.04</v>
      </c>
      <c r="N214" s="87"/>
      <c r="O214" s="8"/>
    </row>
    <row r="215" spans="1:15" s="5" customFormat="1" x14ac:dyDescent="0.3">
      <c r="A215" s="98"/>
      <c r="B215" s="99"/>
      <c r="C215" s="85" t="s">
        <v>18</v>
      </c>
      <c r="D215" s="85"/>
      <c r="E215" s="85"/>
      <c r="F215" s="85"/>
      <c r="G215" s="85"/>
      <c r="H215" s="40">
        <v>4</v>
      </c>
      <c r="I215" s="86">
        <v>141.75</v>
      </c>
      <c r="J215" s="86"/>
      <c r="K215" s="86">
        <v>1</v>
      </c>
      <c r="L215" s="86"/>
      <c r="M215" s="87">
        <f>ROUND(I215/H215/365/24*3,2)</f>
        <v>0.01</v>
      </c>
      <c r="N215" s="87"/>
      <c r="O215" s="8"/>
    </row>
    <row r="216" spans="1:15" s="5" customFormat="1" x14ac:dyDescent="0.3">
      <c r="A216" s="98"/>
      <c r="B216" s="99"/>
      <c r="C216" s="85" t="s">
        <v>17</v>
      </c>
      <c r="D216" s="85"/>
      <c r="E216" s="85"/>
      <c r="F216" s="85"/>
      <c r="G216" s="85"/>
      <c r="H216" s="40">
        <v>1</v>
      </c>
      <c r="I216" s="86">
        <v>16.489999999999998</v>
      </c>
      <c r="J216" s="86"/>
      <c r="K216" s="86">
        <v>1</v>
      </c>
      <c r="L216" s="86"/>
      <c r="M216" s="87">
        <f>ROUND(I216/H216/365/24*3,2)</f>
        <v>0.01</v>
      </c>
      <c r="N216" s="87"/>
      <c r="O216" s="8"/>
    </row>
    <row r="217" spans="1:15" s="5" customFormat="1" x14ac:dyDescent="0.3">
      <c r="A217" s="98"/>
      <c r="B217" s="99"/>
      <c r="C217" s="85" t="s">
        <v>16</v>
      </c>
      <c r="D217" s="85"/>
      <c r="E217" s="85"/>
      <c r="F217" s="85"/>
      <c r="G217" s="85"/>
      <c r="H217" s="40">
        <v>4</v>
      </c>
      <c r="I217" s="86">
        <v>23.25</v>
      </c>
      <c r="J217" s="86"/>
      <c r="K217" s="86">
        <v>1</v>
      </c>
      <c r="L217" s="86"/>
      <c r="M217" s="87">
        <f>ROUND(I217/H217/365/24*3,2)</f>
        <v>0</v>
      </c>
      <c r="N217" s="87"/>
      <c r="O217" s="8"/>
    </row>
    <row r="218" spans="1:15" s="5" customFormat="1" ht="14.4" customHeight="1" x14ac:dyDescent="0.3">
      <c r="A218" s="98"/>
      <c r="B218" s="99"/>
      <c r="C218" s="85" t="s">
        <v>15</v>
      </c>
      <c r="D218" s="85"/>
      <c r="E218" s="85"/>
      <c r="F218" s="85"/>
      <c r="G218" s="85"/>
      <c r="H218" s="40">
        <v>3</v>
      </c>
      <c r="I218" s="86">
        <v>63.75</v>
      </c>
      <c r="J218" s="86"/>
      <c r="K218" s="86">
        <v>1</v>
      </c>
      <c r="L218" s="86"/>
      <c r="M218" s="87">
        <f>ROUND(I218/H218/365/24*2*3,2)</f>
        <v>0.01</v>
      </c>
      <c r="N218" s="87"/>
      <c r="O218" s="8"/>
    </row>
    <row r="219" spans="1:15" x14ac:dyDescent="0.3">
      <c r="A219" s="28">
        <v>5000</v>
      </c>
      <c r="B219" s="89" t="s">
        <v>14</v>
      </c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90">
        <f>M220</f>
        <v>0</v>
      </c>
      <c r="N219" s="90"/>
      <c r="O219" s="7"/>
    </row>
    <row r="220" spans="1:15" ht="15" customHeight="1" x14ac:dyDescent="0.3">
      <c r="A220" s="31"/>
      <c r="B220" s="31"/>
      <c r="C220" s="100" t="s">
        <v>13</v>
      </c>
      <c r="D220" s="100"/>
      <c r="E220" s="101" t="s">
        <v>12</v>
      </c>
      <c r="F220" s="101"/>
      <c r="G220" s="101" t="s">
        <v>11</v>
      </c>
      <c r="H220" s="101"/>
      <c r="I220" s="100" t="s">
        <v>10</v>
      </c>
      <c r="J220" s="100"/>
      <c r="K220" s="101" t="s">
        <v>9</v>
      </c>
      <c r="L220" s="101"/>
      <c r="M220" s="97">
        <f>M221</f>
        <v>0</v>
      </c>
      <c r="N220" s="97"/>
    </row>
    <row r="221" spans="1:15" ht="23.1" customHeight="1" x14ac:dyDescent="0.3">
      <c r="A221" s="31"/>
      <c r="B221" s="31"/>
      <c r="C221" s="99"/>
      <c r="D221" s="99"/>
      <c r="E221" s="98"/>
      <c r="F221" s="98"/>
      <c r="G221" s="98"/>
      <c r="H221" s="98"/>
      <c r="I221" s="106"/>
      <c r="J221" s="106"/>
      <c r="K221" s="98">
        <v>1</v>
      </c>
      <c r="L221" s="98"/>
      <c r="M221" s="98">
        <f>ROUND(I221*E221/100/12/167*K221,2)</f>
        <v>0</v>
      </c>
      <c r="N221" s="98"/>
      <c r="O221" s="42">
        <v>6628.38</v>
      </c>
    </row>
    <row r="222" spans="1:15" x14ac:dyDescent="0.3">
      <c r="A222" s="78" t="s">
        <v>8</v>
      </c>
      <c r="B222" s="79"/>
      <c r="C222" s="79"/>
      <c r="D222" s="79"/>
      <c r="E222" s="79"/>
      <c r="F222" s="79"/>
      <c r="G222" s="79"/>
      <c r="H222" s="79"/>
      <c r="I222" s="79"/>
      <c r="J222" s="79"/>
      <c r="K222" s="79"/>
      <c r="L222" s="80"/>
      <c r="M222" s="109">
        <f>M167+M188+M219</f>
        <v>49.41</v>
      </c>
      <c r="N222" s="95"/>
      <c r="O222" s="6"/>
    </row>
    <row r="223" spans="1:15" x14ac:dyDescent="0.3">
      <c r="A223" s="110" t="s">
        <v>7</v>
      </c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1">
        <f>M222+M164</f>
        <v>597.91999999999996</v>
      </c>
      <c r="N223" s="112"/>
      <c r="O223" s="6"/>
    </row>
    <row r="224" spans="1:15" x14ac:dyDescent="0.3">
      <c r="A224" s="96" t="s">
        <v>6</v>
      </c>
      <c r="B224" s="96"/>
      <c r="C224" s="96"/>
      <c r="D224" s="96"/>
      <c r="E224" s="96"/>
      <c r="F224" s="96"/>
      <c r="G224" s="96"/>
      <c r="H224" s="96"/>
      <c r="I224" s="96"/>
      <c r="J224" s="96"/>
      <c r="K224" s="96"/>
      <c r="L224" s="96"/>
      <c r="M224" s="96">
        <f>ROUND(M223*0.21,2)</f>
        <v>125.56</v>
      </c>
      <c r="N224" s="96"/>
      <c r="O224" s="6"/>
    </row>
    <row r="225" spans="1:15" x14ac:dyDescent="0.3">
      <c r="A225" s="60" t="s">
        <v>5</v>
      </c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2"/>
      <c r="M225" s="107">
        <f>M223+M224</f>
        <v>723.48</v>
      </c>
      <c r="N225" s="108"/>
      <c r="O225" s="6"/>
    </row>
    <row r="226" spans="1:15" x14ac:dyDescent="0.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</row>
    <row r="227" spans="1:15" ht="15.6" x14ac:dyDescent="0.3">
      <c r="A227" s="16" t="s">
        <v>126</v>
      </c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</row>
    <row r="228" spans="1:15" ht="15.6" x14ac:dyDescent="0.3">
      <c r="A228" s="13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</row>
    <row r="229" spans="1:15" x14ac:dyDescent="0.3">
      <c r="A229" s="15" t="s">
        <v>121</v>
      </c>
      <c r="B229" s="14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</row>
    <row r="230" spans="1:15" ht="15.6" x14ac:dyDescent="0.3">
      <c r="A230" s="13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</row>
    <row r="231" spans="1:15" x14ac:dyDescent="0.3">
      <c r="A231" s="25" t="s">
        <v>120</v>
      </c>
      <c r="B231" s="118" t="s">
        <v>119</v>
      </c>
      <c r="C231" s="119" t="s">
        <v>118</v>
      </c>
      <c r="D231" s="119"/>
      <c r="E231" s="119"/>
      <c r="F231" s="119"/>
      <c r="G231" s="119"/>
      <c r="H231" s="119"/>
      <c r="I231" s="119"/>
      <c r="J231" s="119"/>
      <c r="K231" s="119"/>
      <c r="L231" s="119"/>
      <c r="M231" s="119"/>
      <c r="N231" s="119"/>
    </row>
    <row r="232" spans="1:15" x14ac:dyDescent="0.3">
      <c r="A232" s="25" t="s">
        <v>117</v>
      </c>
      <c r="B232" s="118"/>
      <c r="C232" s="119"/>
      <c r="D232" s="119"/>
      <c r="E232" s="119"/>
      <c r="F232" s="119"/>
      <c r="G232" s="119"/>
      <c r="H232" s="119"/>
      <c r="I232" s="119"/>
      <c r="J232" s="119"/>
      <c r="K232" s="119"/>
      <c r="L232" s="119"/>
      <c r="M232" s="119"/>
      <c r="N232" s="119"/>
    </row>
    <row r="233" spans="1:15" x14ac:dyDescent="0.3">
      <c r="A233" s="26">
        <v>1</v>
      </c>
      <c r="B233" s="26">
        <v>2</v>
      </c>
      <c r="C233" s="114">
        <v>3</v>
      </c>
      <c r="D233" s="114"/>
      <c r="E233" s="114"/>
      <c r="F233" s="114"/>
      <c r="G233" s="114"/>
      <c r="H233" s="114"/>
      <c r="I233" s="114"/>
      <c r="J233" s="114"/>
      <c r="K233" s="114"/>
      <c r="L233" s="114"/>
      <c r="M233" s="114"/>
      <c r="N233" s="114"/>
    </row>
    <row r="234" spans="1:15" ht="14.4" customHeight="1" x14ac:dyDescent="0.3">
      <c r="A234" s="69" t="s">
        <v>0</v>
      </c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1"/>
    </row>
    <row r="235" spans="1:15" x14ac:dyDescent="0.3">
      <c r="A235" s="28">
        <v>1000</v>
      </c>
      <c r="B235" s="89" t="s">
        <v>116</v>
      </c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90">
        <f>M236+M245</f>
        <v>70.19</v>
      </c>
      <c r="N235" s="90"/>
    </row>
    <row r="236" spans="1:15" x14ac:dyDescent="0.3">
      <c r="A236" s="29">
        <v>1100</v>
      </c>
      <c r="B236" s="89" t="s">
        <v>71</v>
      </c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90">
        <f>ROUND(M237+M240,2)</f>
        <v>56.79</v>
      </c>
      <c r="N236" s="90"/>
    </row>
    <row r="237" spans="1:15" ht="15" hidden="1" customHeight="1" x14ac:dyDescent="0.3">
      <c r="A237" s="30"/>
      <c r="B237" s="31"/>
      <c r="C237" s="100" t="s">
        <v>65</v>
      </c>
      <c r="D237" s="100"/>
      <c r="E237" s="100"/>
      <c r="F237" s="100"/>
      <c r="G237" s="100"/>
      <c r="H237" s="100"/>
      <c r="I237" s="101" t="s">
        <v>64</v>
      </c>
      <c r="J237" s="101"/>
      <c r="K237" s="101" t="s">
        <v>9</v>
      </c>
      <c r="L237" s="101"/>
      <c r="M237" s="97">
        <f>M238+M239</f>
        <v>0</v>
      </c>
      <c r="N237" s="97"/>
    </row>
    <row r="238" spans="1:15" s="10" customFormat="1" ht="45.6" hidden="1" customHeight="1" x14ac:dyDescent="0.3">
      <c r="A238" s="32" t="s">
        <v>114</v>
      </c>
      <c r="B238" s="33" t="s">
        <v>70</v>
      </c>
      <c r="C238" s="120" t="s">
        <v>125</v>
      </c>
      <c r="D238" s="120"/>
      <c r="E238" s="120"/>
      <c r="F238" s="120"/>
      <c r="G238" s="120"/>
      <c r="H238" s="120"/>
      <c r="I238" s="129"/>
      <c r="J238" s="129"/>
      <c r="K238" s="104">
        <v>1</v>
      </c>
      <c r="L238" s="104"/>
      <c r="M238" s="105">
        <f>ROUND(I238/166.92*K238,2)</f>
        <v>0</v>
      </c>
      <c r="N238" s="105"/>
      <c r="O238" s="21"/>
    </row>
    <row r="239" spans="1:15" s="10" customFormat="1" ht="47.1" hidden="1" customHeight="1" x14ac:dyDescent="0.3">
      <c r="A239" s="32" t="s">
        <v>114</v>
      </c>
      <c r="B239" s="33" t="s">
        <v>70</v>
      </c>
      <c r="C239" s="120" t="s">
        <v>113</v>
      </c>
      <c r="D239" s="120"/>
      <c r="E239" s="120"/>
      <c r="F239" s="120"/>
      <c r="G239" s="120"/>
      <c r="H239" s="120"/>
      <c r="I239" s="129"/>
      <c r="J239" s="129"/>
      <c r="K239" s="104">
        <v>1</v>
      </c>
      <c r="L239" s="104"/>
      <c r="M239" s="105">
        <f>ROUND(I239/166.92*K239,2)</f>
        <v>0</v>
      </c>
      <c r="N239" s="105"/>
      <c r="O239" s="21"/>
    </row>
    <row r="240" spans="1:15" ht="24" customHeight="1" x14ac:dyDescent="0.3">
      <c r="A240" s="34"/>
      <c r="B240" s="34"/>
      <c r="C240" s="100" t="s">
        <v>112</v>
      </c>
      <c r="D240" s="100"/>
      <c r="E240" s="100"/>
      <c r="F240" s="100"/>
      <c r="G240" s="100"/>
      <c r="H240" s="100"/>
      <c r="I240" s="101" t="s">
        <v>58</v>
      </c>
      <c r="J240" s="101"/>
      <c r="K240" s="101" t="s">
        <v>9</v>
      </c>
      <c r="L240" s="101"/>
      <c r="M240" s="97">
        <f>SUM(M241:N244)</f>
        <v>56.79</v>
      </c>
      <c r="N240" s="97"/>
      <c r="O240" s="6"/>
    </row>
    <row r="241" spans="1:17" s="56" customFormat="1" ht="60.6" customHeight="1" x14ac:dyDescent="0.3">
      <c r="A241" s="54">
        <v>1142</v>
      </c>
      <c r="B241" s="53" t="s">
        <v>110</v>
      </c>
      <c r="C241" s="93" t="s">
        <v>111</v>
      </c>
      <c r="D241" s="93"/>
      <c r="E241" s="93"/>
      <c r="F241" s="93"/>
      <c r="G241" s="93"/>
      <c r="H241" s="93"/>
      <c r="I241" s="94">
        <f>ROUND(2415/166.92*2,2)</f>
        <v>28.94</v>
      </c>
      <c r="J241" s="94"/>
      <c r="K241" s="91">
        <v>1</v>
      </c>
      <c r="L241" s="91"/>
      <c r="M241" s="92">
        <f>I241*K241</f>
        <v>28.94</v>
      </c>
      <c r="N241" s="92"/>
      <c r="O241" s="55"/>
    </row>
    <row r="242" spans="1:17" s="56" customFormat="1" ht="60.6" customHeight="1" x14ac:dyDescent="0.3">
      <c r="A242" s="54">
        <v>1142</v>
      </c>
      <c r="B242" s="53" t="s">
        <v>110</v>
      </c>
      <c r="C242" s="93" t="s">
        <v>109</v>
      </c>
      <c r="D242" s="93"/>
      <c r="E242" s="93"/>
      <c r="F242" s="93"/>
      <c r="G242" s="93"/>
      <c r="H242" s="93"/>
      <c r="I242" s="94">
        <f>ROUND(2235/166.92*2,2)</f>
        <v>26.78</v>
      </c>
      <c r="J242" s="94"/>
      <c r="K242" s="91">
        <v>1</v>
      </c>
      <c r="L242" s="91"/>
      <c r="M242" s="92">
        <f>I242*K242</f>
        <v>26.78</v>
      </c>
      <c r="N242" s="92"/>
      <c r="O242" s="55"/>
    </row>
    <row r="243" spans="1:17" s="10" customFormat="1" ht="27.6" x14ac:dyDescent="0.3">
      <c r="A243" s="35">
        <v>1143</v>
      </c>
      <c r="B243" s="33" t="s">
        <v>60</v>
      </c>
      <c r="C243" s="113" t="s">
        <v>124</v>
      </c>
      <c r="D243" s="113"/>
      <c r="E243" s="113"/>
      <c r="F243" s="113"/>
      <c r="G243" s="113"/>
      <c r="H243" s="113"/>
      <c r="I243" s="103">
        <v>106</v>
      </c>
      <c r="J243" s="103"/>
      <c r="K243" s="104">
        <v>1</v>
      </c>
      <c r="L243" s="104"/>
      <c r="M243" s="105">
        <f>ROUND(I243/166.92*K243,2)</f>
        <v>0.64</v>
      </c>
      <c r="N243" s="105"/>
      <c r="O243" s="22"/>
    </row>
    <row r="244" spans="1:17" s="10" customFormat="1" ht="27.6" x14ac:dyDescent="0.3">
      <c r="A244" s="35">
        <v>1143</v>
      </c>
      <c r="B244" s="33" t="s">
        <v>60</v>
      </c>
      <c r="C244" s="113" t="s">
        <v>107</v>
      </c>
      <c r="D244" s="113"/>
      <c r="E244" s="113"/>
      <c r="F244" s="113"/>
      <c r="G244" s="113"/>
      <c r="H244" s="113"/>
      <c r="I244" s="104">
        <v>71</v>
      </c>
      <c r="J244" s="104"/>
      <c r="K244" s="104">
        <v>1</v>
      </c>
      <c r="L244" s="104"/>
      <c r="M244" s="105">
        <f>ROUND(I244/166.92*K244,2)</f>
        <v>0.43</v>
      </c>
      <c r="N244" s="105"/>
      <c r="O244" s="22"/>
    </row>
    <row r="245" spans="1:17" x14ac:dyDescent="0.3">
      <c r="A245" s="29">
        <v>1200</v>
      </c>
      <c r="B245" s="89" t="s">
        <v>54</v>
      </c>
      <c r="C245" s="89"/>
      <c r="D245" s="89"/>
      <c r="E245" s="89"/>
      <c r="F245" s="89"/>
      <c r="G245" s="89"/>
      <c r="H245" s="89"/>
      <c r="I245" s="89"/>
      <c r="J245" s="89"/>
      <c r="K245" s="89"/>
      <c r="L245" s="89"/>
      <c r="M245" s="90">
        <f>ROUND(M246,2)</f>
        <v>13.4</v>
      </c>
      <c r="N245" s="90"/>
      <c r="O245" s="6"/>
    </row>
    <row r="246" spans="1:17" ht="21" customHeight="1" x14ac:dyDescent="0.3">
      <c r="A246" s="36">
        <v>1210</v>
      </c>
      <c r="B246" s="99" t="s">
        <v>53</v>
      </c>
      <c r="C246" s="99"/>
      <c r="D246" s="99"/>
      <c r="E246" s="99"/>
      <c r="F246" s="99"/>
      <c r="G246" s="99"/>
      <c r="H246" s="99"/>
      <c r="I246" s="99"/>
      <c r="J246" s="99"/>
      <c r="K246" s="99"/>
      <c r="L246" s="99"/>
      <c r="M246" s="98">
        <f>ROUND(M236*0.2359,2)</f>
        <v>13.4</v>
      </c>
      <c r="N246" s="98"/>
      <c r="O246" s="6"/>
    </row>
    <row r="247" spans="1:17" x14ac:dyDescent="0.3">
      <c r="A247" s="28">
        <v>2000</v>
      </c>
      <c r="B247" s="89" t="s">
        <v>52</v>
      </c>
      <c r="C247" s="89"/>
      <c r="D247" s="89"/>
      <c r="E247" s="89"/>
      <c r="F247" s="89"/>
      <c r="G247" s="89"/>
      <c r="H247" s="89"/>
      <c r="I247" s="89"/>
      <c r="J247" s="89"/>
      <c r="K247" s="89"/>
      <c r="L247" s="89"/>
      <c r="M247" s="117">
        <f>ROUND(M248,2)</f>
        <v>0.49</v>
      </c>
      <c r="N247" s="90"/>
      <c r="O247" s="6"/>
    </row>
    <row r="248" spans="1:17" x14ac:dyDescent="0.3">
      <c r="A248" s="29">
        <v>2300</v>
      </c>
      <c r="B248" s="89" t="s">
        <v>34</v>
      </c>
      <c r="C248" s="89"/>
      <c r="D248" s="89"/>
      <c r="E248" s="89"/>
      <c r="F248" s="89"/>
      <c r="G248" s="89"/>
      <c r="H248" s="89"/>
      <c r="I248" s="89"/>
      <c r="J248" s="89"/>
      <c r="K248" s="89"/>
      <c r="L248" s="89"/>
      <c r="M248" s="117">
        <f>SUM(M250:N264)</f>
        <v>0.49</v>
      </c>
      <c r="N248" s="90"/>
      <c r="O248" s="6"/>
    </row>
    <row r="249" spans="1:17" ht="27.6" x14ac:dyDescent="0.3">
      <c r="A249" s="31"/>
      <c r="B249" s="30"/>
      <c r="C249" s="100" t="s">
        <v>13</v>
      </c>
      <c r="D249" s="100"/>
      <c r="E249" s="100"/>
      <c r="F249" s="100"/>
      <c r="G249" s="100"/>
      <c r="H249" s="100"/>
      <c r="I249" s="37" t="s">
        <v>104</v>
      </c>
      <c r="J249" s="37" t="s">
        <v>103</v>
      </c>
      <c r="K249" s="101" t="s">
        <v>9</v>
      </c>
      <c r="L249" s="101"/>
      <c r="M249" s="121"/>
      <c r="N249" s="97"/>
      <c r="O249" s="6"/>
    </row>
    <row r="250" spans="1:17" x14ac:dyDescent="0.3">
      <c r="A250" s="31">
        <v>2322</v>
      </c>
      <c r="B250" s="30" t="s">
        <v>102</v>
      </c>
      <c r="C250" s="115" t="s">
        <v>101</v>
      </c>
      <c r="D250" s="115"/>
      <c r="E250" s="115"/>
      <c r="F250" s="115"/>
      <c r="G250" s="115"/>
      <c r="H250" s="115"/>
      <c r="I250" s="38">
        <v>0</v>
      </c>
      <c r="J250" s="38">
        <v>1.204</v>
      </c>
      <c r="K250" s="105">
        <v>1</v>
      </c>
      <c r="L250" s="105"/>
      <c r="M250" s="116">
        <f>I250*J250</f>
        <v>0</v>
      </c>
      <c r="N250" s="116"/>
      <c r="O250" s="6">
        <f>120</f>
        <v>120</v>
      </c>
      <c r="P250">
        <v>0.8</v>
      </c>
      <c r="Q250">
        <f>O250*P250</f>
        <v>96</v>
      </c>
    </row>
    <row r="251" spans="1:17" x14ac:dyDescent="0.3">
      <c r="A251" s="31">
        <v>2329</v>
      </c>
      <c r="B251" s="30" t="s">
        <v>100</v>
      </c>
      <c r="C251" s="115" t="s">
        <v>99</v>
      </c>
      <c r="D251" s="115"/>
      <c r="E251" s="115"/>
      <c r="F251" s="115"/>
      <c r="G251" s="115"/>
      <c r="H251" s="115"/>
      <c r="I251" s="39">
        <v>7.0000000000000007E-2</v>
      </c>
      <c r="J251" s="38"/>
      <c r="K251" s="105">
        <v>1</v>
      </c>
      <c r="L251" s="105"/>
      <c r="M251" s="131">
        <f>ROUND(M250*I251,2)</f>
        <v>0</v>
      </c>
      <c r="N251" s="131"/>
      <c r="O251" s="6"/>
    </row>
    <row r="252" spans="1:17" ht="27.6" x14ac:dyDescent="0.3">
      <c r="A252" s="98">
        <v>2364</v>
      </c>
      <c r="B252" s="99" t="s">
        <v>98</v>
      </c>
      <c r="C252" s="100" t="s">
        <v>13</v>
      </c>
      <c r="D252" s="100"/>
      <c r="E252" s="100"/>
      <c r="F252" s="100"/>
      <c r="G252" s="100"/>
      <c r="H252" s="37" t="s">
        <v>32</v>
      </c>
      <c r="I252" s="100" t="s">
        <v>10</v>
      </c>
      <c r="J252" s="100"/>
      <c r="K252" s="101" t="s">
        <v>9</v>
      </c>
      <c r="L252" s="101"/>
      <c r="M252" s="97"/>
      <c r="N252" s="97"/>
      <c r="O252" s="6"/>
    </row>
    <row r="253" spans="1:17" s="5" customFormat="1" x14ac:dyDescent="0.3">
      <c r="A253" s="98"/>
      <c r="B253" s="99"/>
      <c r="C253" s="85" t="s">
        <v>97</v>
      </c>
      <c r="D253" s="85"/>
      <c r="E253" s="85"/>
      <c r="F253" s="85"/>
      <c r="G253" s="85"/>
      <c r="H253" s="40">
        <v>1</v>
      </c>
      <c r="I253" s="86">
        <v>33.549999999999997</v>
      </c>
      <c r="J253" s="86"/>
      <c r="K253" s="86">
        <v>1</v>
      </c>
      <c r="L253" s="86"/>
      <c r="M253" s="87">
        <f>ROUND(I253*2/H253/365/24*2,2)</f>
        <v>0.02</v>
      </c>
      <c r="N253" s="87"/>
      <c r="O253" s="8"/>
    </row>
    <row r="254" spans="1:17" s="5" customFormat="1" x14ac:dyDescent="0.3">
      <c r="A254" s="98"/>
      <c r="B254" s="99"/>
      <c r="C254" s="85" t="s">
        <v>96</v>
      </c>
      <c r="D254" s="85"/>
      <c r="E254" s="85"/>
      <c r="F254" s="85"/>
      <c r="G254" s="85"/>
      <c r="H254" s="40">
        <v>4</v>
      </c>
      <c r="I254" s="86">
        <v>350.9</v>
      </c>
      <c r="J254" s="86"/>
      <c r="K254" s="86">
        <v>1</v>
      </c>
      <c r="L254" s="86"/>
      <c r="M254" s="87">
        <f>ROUND(I254*2/H254/365/24*2,2)</f>
        <v>0.04</v>
      </c>
      <c r="N254" s="87"/>
      <c r="O254" s="8"/>
    </row>
    <row r="255" spans="1:17" s="5" customFormat="1" x14ac:dyDescent="0.3">
      <c r="A255" s="98"/>
      <c r="B255" s="99"/>
      <c r="C255" s="85" t="s">
        <v>95</v>
      </c>
      <c r="D255" s="85"/>
      <c r="E255" s="85"/>
      <c r="F255" s="85"/>
      <c r="G255" s="85"/>
      <c r="H255" s="40">
        <v>4</v>
      </c>
      <c r="I255" s="86">
        <v>1057.1600000000001</v>
      </c>
      <c r="J255" s="86"/>
      <c r="K255" s="86">
        <v>1</v>
      </c>
      <c r="L255" s="86"/>
      <c r="M255" s="87">
        <f>ROUND(I255*2/H255/365/24*2,2)</f>
        <v>0.12</v>
      </c>
      <c r="N255" s="87"/>
      <c r="O255" s="8"/>
    </row>
    <row r="256" spans="1:17" s="5" customFormat="1" x14ac:dyDescent="0.3">
      <c r="A256" s="98"/>
      <c r="B256" s="99"/>
      <c r="C256" s="85" t="s">
        <v>94</v>
      </c>
      <c r="D256" s="85"/>
      <c r="E256" s="85"/>
      <c r="F256" s="85"/>
      <c r="G256" s="85"/>
      <c r="H256" s="40">
        <v>3</v>
      </c>
      <c r="I256" s="86">
        <v>112.05</v>
      </c>
      <c r="J256" s="86"/>
      <c r="K256" s="86">
        <v>1</v>
      </c>
      <c r="L256" s="86"/>
      <c r="M256" s="87">
        <f>ROUND(I256/H256/365/24*2,2)</f>
        <v>0.01</v>
      </c>
      <c r="N256" s="87"/>
      <c r="O256" s="8"/>
    </row>
    <row r="257" spans="1:23" s="5" customFormat="1" x14ac:dyDescent="0.3">
      <c r="A257" s="98"/>
      <c r="B257" s="99"/>
      <c r="C257" s="85" t="s">
        <v>93</v>
      </c>
      <c r="D257" s="85"/>
      <c r="E257" s="85"/>
      <c r="F257" s="85"/>
      <c r="G257" s="85"/>
      <c r="H257" s="40">
        <v>3</v>
      </c>
      <c r="I257" s="86">
        <v>159.72</v>
      </c>
      <c r="J257" s="86"/>
      <c r="K257" s="86">
        <v>1</v>
      </c>
      <c r="L257" s="86"/>
      <c r="M257" s="87">
        <f>ROUND(I257/H257/365/24*2,2)</f>
        <v>0.01</v>
      </c>
      <c r="N257" s="87"/>
      <c r="O257" s="8"/>
    </row>
    <row r="258" spans="1:23" s="5" customFormat="1" x14ac:dyDescent="0.3">
      <c r="A258" s="98"/>
      <c r="B258" s="99"/>
      <c r="C258" s="85" t="s">
        <v>92</v>
      </c>
      <c r="D258" s="85"/>
      <c r="E258" s="85"/>
      <c r="F258" s="85"/>
      <c r="G258" s="85"/>
      <c r="H258" s="40">
        <v>2</v>
      </c>
      <c r="I258" s="86">
        <v>38.72</v>
      </c>
      <c r="J258" s="86"/>
      <c r="K258" s="86">
        <v>1</v>
      </c>
      <c r="L258" s="86"/>
      <c r="M258" s="87">
        <f>ROUND(I258*2/H258/365/24*2,2)</f>
        <v>0.01</v>
      </c>
      <c r="N258" s="87"/>
      <c r="O258" s="8"/>
    </row>
    <row r="259" spans="1:23" s="5" customFormat="1" x14ac:dyDescent="0.3">
      <c r="A259" s="98"/>
      <c r="B259" s="99"/>
      <c r="C259" s="85" t="s">
        <v>91</v>
      </c>
      <c r="D259" s="85"/>
      <c r="E259" s="85"/>
      <c r="F259" s="85"/>
      <c r="G259" s="85"/>
      <c r="H259" s="40">
        <v>5</v>
      </c>
      <c r="I259" s="86">
        <v>907.5</v>
      </c>
      <c r="J259" s="86"/>
      <c r="K259" s="86">
        <v>1</v>
      </c>
      <c r="L259" s="86"/>
      <c r="M259" s="87">
        <f>ROUND(I259/H259/365/24*2,2)</f>
        <v>0.04</v>
      </c>
      <c r="N259" s="87"/>
      <c r="O259" s="8"/>
    </row>
    <row r="260" spans="1:23" s="5" customFormat="1" x14ac:dyDescent="0.3">
      <c r="A260" s="98"/>
      <c r="B260" s="99"/>
      <c r="C260" s="85" t="s">
        <v>90</v>
      </c>
      <c r="D260" s="85"/>
      <c r="E260" s="85"/>
      <c r="F260" s="85"/>
      <c r="G260" s="85"/>
      <c r="H260" s="40">
        <v>4</v>
      </c>
      <c r="I260" s="86">
        <v>249.96</v>
      </c>
      <c r="J260" s="86"/>
      <c r="K260" s="86">
        <v>1</v>
      </c>
      <c r="L260" s="86"/>
      <c r="M260" s="87">
        <f>ROUND(I260/H260/365/24*2,2)</f>
        <v>0.01</v>
      </c>
      <c r="N260" s="87"/>
      <c r="O260" s="8"/>
    </row>
    <row r="261" spans="1:23" s="5" customFormat="1" x14ac:dyDescent="0.3">
      <c r="A261" s="98"/>
      <c r="B261" s="99"/>
      <c r="C261" s="85" t="s">
        <v>89</v>
      </c>
      <c r="D261" s="85"/>
      <c r="E261" s="85"/>
      <c r="F261" s="85"/>
      <c r="G261" s="85"/>
      <c r="H261" s="40">
        <v>2</v>
      </c>
      <c r="I261" s="86">
        <v>16</v>
      </c>
      <c r="J261" s="86"/>
      <c r="K261" s="86">
        <v>1</v>
      </c>
      <c r="L261" s="86"/>
      <c r="M261" s="87">
        <f>ROUND(I261/H261/365/24*2,2)</f>
        <v>0</v>
      </c>
      <c r="N261" s="87"/>
      <c r="O261" s="8"/>
    </row>
    <row r="262" spans="1:23" s="5" customFormat="1" x14ac:dyDescent="0.3">
      <c r="A262" s="98"/>
      <c r="B262" s="99"/>
      <c r="C262" s="85" t="s">
        <v>88</v>
      </c>
      <c r="D262" s="85"/>
      <c r="E262" s="85"/>
      <c r="F262" s="85"/>
      <c r="G262" s="85"/>
      <c r="H262" s="40">
        <v>1</v>
      </c>
      <c r="I262" s="86">
        <v>89.74</v>
      </c>
      <c r="J262" s="86"/>
      <c r="K262" s="86">
        <v>1</v>
      </c>
      <c r="L262" s="86"/>
      <c r="M262" s="87">
        <f>ROUND(I262*2/H262/365/24*2,2)</f>
        <v>0.04</v>
      </c>
      <c r="N262" s="87"/>
      <c r="O262" s="8"/>
    </row>
    <row r="263" spans="1:23" s="5" customFormat="1" x14ac:dyDescent="0.3">
      <c r="A263" s="98"/>
      <c r="B263" s="99"/>
      <c r="C263" s="85" t="s">
        <v>87</v>
      </c>
      <c r="D263" s="85"/>
      <c r="E263" s="85"/>
      <c r="F263" s="85"/>
      <c r="G263" s="85"/>
      <c r="H263" s="40">
        <v>4</v>
      </c>
      <c r="I263" s="86">
        <v>3261.98</v>
      </c>
      <c r="J263" s="86"/>
      <c r="K263" s="86">
        <v>1</v>
      </c>
      <c r="L263" s="86"/>
      <c r="M263" s="87">
        <f>ROUND(I263/H263/365/24*2,2)</f>
        <v>0.19</v>
      </c>
      <c r="N263" s="87"/>
      <c r="O263" s="8"/>
    </row>
    <row r="264" spans="1:23" s="5" customFormat="1" x14ac:dyDescent="0.3">
      <c r="A264" s="98"/>
      <c r="B264" s="99"/>
      <c r="C264" s="85" t="s">
        <v>86</v>
      </c>
      <c r="D264" s="85"/>
      <c r="E264" s="85"/>
      <c r="F264" s="85"/>
      <c r="G264" s="85"/>
      <c r="H264" s="40">
        <v>6</v>
      </c>
      <c r="I264" s="86">
        <v>107.97</v>
      </c>
      <c r="J264" s="86"/>
      <c r="K264" s="86">
        <v>1</v>
      </c>
      <c r="L264" s="86"/>
      <c r="M264" s="87">
        <f>ROUND(I264/H264/365/24*2,2)</f>
        <v>0</v>
      </c>
      <c r="N264" s="87"/>
      <c r="O264" s="8"/>
    </row>
    <row r="265" spans="1:23" x14ac:dyDescent="0.3">
      <c r="A265" s="28">
        <v>5000</v>
      </c>
      <c r="B265" s="89" t="s">
        <v>14</v>
      </c>
      <c r="C265" s="89"/>
      <c r="D265" s="89"/>
      <c r="E265" s="89"/>
      <c r="F265" s="89"/>
      <c r="G265" s="89"/>
      <c r="H265" s="89"/>
      <c r="I265" s="89"/>
      <c r="J265" s="89"/>
      <c r="K265" s="89"/>
      <c r="L265" s="89"/>
      <c r="M265" s="117">
        <f>SUM(M267:N272)</f>
        <v>10.75</v>
      </c>
      <c r="N265" s="90"/>
      <c r="O265" s="7"/>
    </row>
    <row r="266" spans="1:23" ht="15" customHeight="1" x14ac:dyDescent="0.3">
      <c r="A266" s="31"/>
      <c r="B266" s="31"/>
      <c r="C266" s="100" t="s">
        <v>13</v>
      </c>
      <c r="D266" s="100"/>
      <c r="E266" s="101" t="s">
        <v>12</v>
      </c>
      <c r="F266" s="101"/>
      <c r="G266" s="101" t="s">
        <v>11</v>
      </c>
      <c r="H266" s="101"/>
      <c r="I266" s="100" t="s">
        <v>10</v>
      </c>
      <c r="J266" s="100"/>
      <c r="K266" s="101" t="s">
        <v>9</v>
      </c>
      <c r="L266" s="101"/>
      <c r="M266" s="121"/>
      <c r="N266" s="97"/>
    </row>
    <row r="267" spans="1:23" ht="26.4" customHeight="1" x14ac:dyDescent="0.3">
      <c r="A267" s="98">
        <v>5239</v>
      </c>
      <c r="B267" s="122" t="s">
        <v>85</v>
      </c>
      <c r="C267" s="99" t="s">
        <v>84</v>
      </c>
      <c r="D267" s="99"/>
      <c r="E267" s="102">
        <v>10</v>
      </c>
      <c r="F267" s="102"/>
      <c r="G267" s="102">
        <v>1</v>
      </c>
      <c r="H267" s="102"/>
      <c r="I267" s="102">
        <v>3360.17</v>
      </c>
      <c r="J267" s="102"/>
      <c r="K267" s="102">
        <v>1</v>
      </c>
      <c r="L267" s="102"/>
      <c r="M267" s="87">
        <v>7.67</v>
      </c>
      <c r="N267" s="87"/>
      <c r="O267" s="127"/>
      <c r="V267" t="s">
        <v>81</v>
      </c>
    </row>
    <row r="268" spans="1:23" x14ac:dyDescent="0.3">
      <c r="A268" s="98"/>
      <c r="B268" s="122"/>
      <c r="C268" s="99" t="s">
        <v>83</v>
      </c>
      <c r="D268" s="99"/>
      <c r="E268" s="102">
        <v>10</v>
      </c>
      <c r="F268" s="102"/>
      <c r="G268" s="102">
        <v>1</v>
      </c>
      <c r="H268" s="102"/>
      <c r="I268" s="102">
        <v>507.84</v>
      </c>
      <c r="J268" s="102"/>
      <c r="K268" s="102">
        <v>1</v>
      </c>
      <c r="L268" s="102"/>
      <c r="M268" s="87">
        <v>1.1599999999999999</v>
      </c>
      <c r="N268" s="87"/>
      <c r="O268" s="127"/>
      <c r="V268" t="s">
        <v>79</v>
      </c>
    </row>
    <row r="269" spans="1:23" x14ac:dyDescent="0.3">
      <c r="A269" s="98"/>
      <c r="B269" s="122"/>
      <c r="C269" s="99" t="s">
        <v>82</v>
      </c>
      <c r="D269" s="99"/>
      <c r="E269" s="102">
        <v>10</v>
      </c>
      <c r="F269" s="102"/>
      <c r="G269" s="102">
        <v>1</v>
      </c>
      <c r="H269" s="102"/>
      <c r="I269" s="102">
        <v>317.02</v>
      </c>
      <c r="J269" s="102"/>
      <c r="K269" s="102">
        <v>1</v>
      </c>
      <c r="L269" s="102"/>
      <c r="M269" s="87">
        <v>0.72</v>
      </c>
      <c r="N269" s="87"/>
      <c r="O269" s="127"/>
      <c r="V269" t="s">
        <v>81</v>
      </c>
    </row>
    <row r="270" spans="1:23" ht="26.4" customHeight="1" x14ac:dyDescent="0.3">
      <c r="A270" s="98"/>
      <c r="B270" s="122"/>
      <c r="C270" s="99" t="s">
        <v>80</v>
      </c>
      <c r="D270" s="99"/>
      <c r="E270" s="102">
        <v>10</v>
      </c>
      <c r="F270" s="102"/>
      <c r="G270" s="102">
        <v>1</v>
      </c>
      <c r="H270" s="102"/>
      <c r="I270" s="102">
        <v>525.14</v>
      </c>
      <c r="J270" s="102"/>
      <c r="K270" s="102">
        <v>1</v>
      </c>
      <c r="L270" s="102"/>
      <c r="M270" s="87">
        <v>1.2</v>
      </c>
      <c r="N270" s="87"/>
      <c r="O270" s="127"/>
      <c r="V270" t="s">
        <v>79</v>
      </c>
    </row>
    <row r="271" spans="1:23" ht="37.5" customHeight="1" x14ac:dyDescent="0.3">
      <c r="A271" s="31">
        <v>5231</v>
      </c>
      <c r="B271" s="31" t="s">
        <v>78</v>
      </c>
      <c r="C271" s="99" t="s">
        <v>123</v>
      </c>
      <c r="D271" s="99"/>
      <c r="E271" s="86">
        <v>0</v>
      </c>
      <c r="F271" s="86"/>
      <c r="G271" s="86">
        <v>1</v>
      </c>
      <c r="H271" s="86"/>
      <c r="I271" s="133">
        <v>361265.96</v>
      </c>
      <c r="J271" s="133"/>
      <c r="K271" s="86">
        <v>1</v>
      </c>
      <c r="L271" s="86"/>
      <c r="M271" s="98">
        <f>ROUND(I271*E271/100/12/166.92*K271,2)</f>
        <v>0</v>
      </c>
      <c r="N271" s="98"/>
      <c r="O271" s="127">
        <v>6628.38</v>
      </c>
      <c r="P271">
        <v>308651</v>
      </c>
      <c r="Q271">
        <v>206</v>
      </c>
      <c r="S271">
        <v>4762827.67</v>
      </c>
      <c r="T271">
        <v>119</v>
      </c>
      <c r="V271">
        <v>180</v>
      </c>
    </row>
    <row r="272" spans="1:23" ht="30.9" customHeight="1" x14ac:dyDescent="0.3">
      <c r="A272" s="31"/>
      <c r="B272" s="31"/>
      <c r="C272" s="99" t="s">
        <v>76</v>
      </c>
      <c r="D272" s="99"/>
      <c r="E272" s="86"/>
      <c r="F272" s="86"/>
      <c r="G272" s="86"/>
      <c r="H272" s="86"/>
      <c r="I272" s="133"/>
      <c r="J272" s="133"/>
      <c r="K272" s="86"/>
      <c r="L272" s="86"/>
      <c r="M272" s="98"/>
      <c r="N272" s="98"/>
      <c r="O272" s="127"/>
      <c r="P272">
        <v>413878.99</v>
      </c>
      <c r="Q272">
        <v>206</v>
      </c>
      <c r="R272" s="12">
        <f>SUM(P271:P272)/2</f>
        <v>361264.995</v>
      </c>
      <c r="S272">
        <v>4568501.67</v>
      </c>
      <c r="T272">
        <v>119</v>
      </c>
      <c r="U272" s="12">
        <f>SUM(S271:S272)/2</f>
        <v>4665664.67</v>
      </c>
      <c r="V272" t="s">
        <v>75</v>
      </c>
      <c r="W272" t="s">
        <v>74</v>
      </c>
    </row>
    <row r="273" spans="1:15" x14ac:dyDescent="0.3">
      <c r="A273" s="72" t="s">
        <v>73</v>
      </c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4"/>
      <c r="M273" s="124">
        <f>ROUND(M247+M235+M265,2)</f>
        <v>81.430000000000007</v>
      </c>
      <c r="N273" s="125"/>
      <c r="O273" s="6"/>
    </row>
    <row r="274" spans="1:15" x14ac:dyDescent="0.3">
      <c r="A274" s="11"/>
      <c r="B274" s="11"/>
      <c r="C274" s="123"/>
      <c r="D274" s="123"/>
      <c r="E274" s="123"/>
      <c r="F274" s="123"/>
      <c r="G274" s="123"/>
      <c r="H274" s="123"/>
      <c r="I274" s="123"/>
      <c r="J274" s="123"/>
      <c r="K274" s="123"/>
      <c r="L274" s="123"/>
      <c r="M274" s="123"/>
      <c r="N274" s="123"/>
    </row>
    <row r="275" spans="1:15" x14ac:dyDescent="0.3">
      <c r="A275" s="78" t="s">
        <v>1</v>
      </c>
      <c r="B275" s="79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80"/>
      <c r="N275" s="47"/>
    </row>
    <row r="276" spans="1:15" x14ac:dyDescent="0.3">
      <c r="A276" s="28">
        <v>1000</v>
      </c>
      <c r="B276" s="89" t="s">
        <v>72</v>
      </c>
      <c r="C276" s="89"/>
      <c r="D276" s="89"/>
      <c r="E276" s="89"/>
      <c r="F276" s="89"/>
      <c r="G276" s="89"/>
      <c r="H276" s="89"/>
      <c r="I276" s="89"/>
      <c r="J276" s="89"/>
      <c r="K276" s="89"/>
      <c r="L276" s="89"/>
      <c r="M276" s="117">
        <f>M277+M295</f>
        <v>8.43</v>
      </c>
      <c r="N276" s="90"/>
    </row>
    <row r="277" spans="1:15" x14ac:dyDescent="0.3">
      <c r="A277" s="29">
        <v>1100</v>
      </c>
      <c r="B277" s="89" t="s">
        <v>71</v>
      </c>
      <c r="C277" s="89"/>
      <c r="D277" s="89"/>
      <c r="E277" s="89"/>
      <c r="F277" s="89"/>
      <c r="G277" s="89"/>
      <c r="H277" s="89"/>
      <c r="I277" s="89"/>
      <c r="J277" s="89"/>
      <c r="K277" s="89"/>
      <c r="L277" s="89"/>
      <c r="M277" s="90">
        <f>ROUND(M278+M285+M290,2)</f>
        <v>6.82</v>
      </c>
      <c r="N277" s="90"/>
    </row>
    <row r="278" spans="1:15" x14ac:dyDescent="0.3">
      <c r="A278" s="98">
        <v>1116</v>
      </c>
      <c r="B278" s="99" t="s">
        <v>70</v>
      </c>
      <c r="C278" s="100" t="s">
        <v>65</v>
      </c>
      <c r="D278" s="100"/>
      <c r="E278" s="100"/>
      <c r="F278" s="100"/>
      <c r="G278" s="100"/>
      <c r="H278" s="100"/>
      <c r="I278" s="101" t="s">
        <v>64</v>
      </c>
      <c r="J278" s="101"/>
      <c r="K278" s="101" t="s">
        <v>9</v>
      </c>
      <c r="L278" s="101"/>
      <c r="M278" s="97">
        <f>M279+M281+M283</f>
        <v>2.81</v>
      </c>
      <c r="N278" s="97"/>
    </row>
    <row r="279" spans="1:15" s="10" customFormat="1" ht="32.4" customHeight="1" x14ac:dyDescent="0.3">
      <c r="A279" s="98"/>
      <c r="B279" s="99"/>
      <c r="C279" s="113" t="s">
        <v>69</v>
      </c>
      <c r="D279" s="113"/>
      <c r="E279" s="113"/>
      <c r="F279" s="113"/>
      <c r="G279" s="113"/>
      <c r="H279" s="113"/>
      <c r="I279" s="129">
        <v>2645</v>
      </c>
      <c r="J279" s="129"/>
      <c r="K279" s="104">
        <v>3.3000000000000002E-2</v>
      </c>
      <c r="L279" s="104"/>
      <c r="M279" s="105">
        <f>ROUND(I279/166.92*K279,2)</f>
        <v>0.52</v>
      </c>
      <c r="N279" s="105"/>
    </row>
    <row r="280" spans="1:15" s="10" customFormat="1" ht="17.100000000000001" customHeight="1" x14ac:dyDescent="0.3">
      <c r="A280" s="98"/>
      <c r="B280" s="99"/>
      <c r="C280" s="113" t="s">
        <v>61</v>
      </c>
      <c r="D280" s="113"/>
      <c r="E280" s="113"/>
      <c r="F280" s="113"/>
      <c r="G280" s="113"/>
      <c r="H280" s="113"/>
      <c r="I280" s="129"/>
      <c r="J280" s="129"/>
      <c r="K280" s="104"/>
      <c r="L280" s="104"/>
      <c r="M280" s="105">
        <f>ROUND(I280/167*K280,2)</f>
        <v>0</v>
      </c>
      <c r="N280" s="105"/>
    </row>
    <row r="281" spans="1:15" s="10" customFormat="1" ht="29.1" customHeight="1" x14ac:dyDescent="0.3">
      <c r="A281" s="98"/>
      <c r="B281" s="99"/>
      <c r="C281" s="113" t="s">
        <v>68</v>
      </c>
      <c r="D281" s="113"/>
      <c r="E281" s="113"/>
      <c r="F281" s="113"/>
      <c r="G281" s="113"/>
      <c r="H281" s="113"/>
      <c r="I281" s="129">
        <v>2635</v>
      </c>
      <c r="J281" s="129"/>
      <c r="K281" s="104">
        <v>8.3000000000000004E-2</v>
      </c>
      <c r="L281" s="104"/>
      <c r="M281" s="105">
        <f>ROUND(I281/166.92*K281,2)</f>
        <v>1.31</v>
      </c>
      <c r="N281" s="105"/>
      <c r="O281" s="130"/>
    </row>
    <row r="282" spans="1:15" s="10" customFormat="1" x14ac:dyDescent="0.3">
      <c r="A282" s="98"/>
      <c r="B282" s="99"/>
      <c r="C282" s="113" t="s">
        <v>61</v>
      </c>
      <c r="D282" s="113"/>
      <c r="E282" s="113"/>
      <c r="F282" s="113"/>
      <c r="G282" s="113"/>
      <c r="H282" s="113"/>
      <c r="I282" s="129"/>
      <c r="J282" s="129"/>
      <c r="K282" s="104"/>
      <c r="L282" s="104"/>
      <c r="M282" s="105">
        <f>ROUND(I282/167*K282,2)</f>
        <v>0</v>
      </c>
      <c r="N282" s="105"/>
      <c r="O282" s="130"/>
    </row>
    <row r="283" spans="1:15" s="10" customFormat="1" ht="30" customHeight="1" x14ac:dyDescent="0.3">
      <c r="A283" s="98"/>
      <c r="B283" s="99"/>
      <c r="C283" s="113" t="s">
        <v>67</v>
      </c>
      <c r="D283" s="113"/>
      <c r="E283" s="113"/>
      <c r="F283" s="113"/>
      <c r="G283" s="113"/>
      <c r="H283" s="113"/>
      <c r="I283" s="129">
        <v>1980</v>
      </c>
      <c r="J283" s="129"/>
      <c r="K283" s="104">
        <v>8.3000000000000004E-2</v>
      </c>
      <c r="L283" s="104"/>
      <c r="M283" s="105">
        <f>ROUND(I283/166.92*K283,2)</f>
        <v>0.98</v>
      </c>
      <c r="N283" s="105"/>
      <c r="O283" s="130"/>
    </row>
    <row r="284" spans="1:15" s="10" customFormat="1" x14ac:dyDescent="0.3">
      <c r="A284" s="98"/>
      <c r="B284" s="99"/>
      <c r="C284" s="113" t="s">
        <v>61</v>
      </c>
      <c r="D284" s="113"/>
      <c r="E284" s="113"/>
      <c r="F284" s="113"/>
      <c r="G284" s="113"/>
      <c r="H284" s="113"/>
      <c r="I284" s="129"/>
      <c r="J284" s="129"/>
      <c r="K284" s="104"/>
      <c r="L284" s="104"/>
      <c r="M284" s="105">
        <f>ROUND(I284/167*K284,2)</f>
        <v>0</v>
      </c>
      <c r="N284" s="105"/>
      <c r="O284" s="130"/>
    </row>
    <row r="285" spans="1:15" x14ac:dyDescent="0.3">
      <c r="A285" s="98">
        <v>1119</v>
      </c>
      <c r="B285" s="99" t="s">
        <v>66</v>
      </c>
      <c r="C285" s="100" t="s">
        <v>65</v>
      </c>
      <c r="D285" s="100"/>
      <c r="E285" s="100"/>
      <c r="F285" s="100"/>
      <c r="G285" s="100"/>
      <c r="H285" s="100"/>
      <c r="I285" s="101" t="s">
        <v>64</v>
      </c>
      <c r="J285" s="101"/>
      <c r="K285" s="101" t="s">
        <v>9</v>
      </c>
      <c r="L285" s="101"/>
      <c r="M285" s="97">
        <f>M286+M288</f>
        <v>3.91</v>
      </c>
      <c r="N285" s="97"/>
      <c r="O285" s="6"/>
    </row>
    <row r="286" spans="1:15" s="10" customFormat="1" ht="36" customHeight="1" x14ac:dyDescent="0.3">
      <c r="A286" s="98"/>
      <c r="B286" s="99"/>
      <c r="C286" s="113" t="s">
        <v>63</v>
      </c>
      <c r="D286" s="113"/>
      <c r="E286" s="113"/>
      <c r="F286" s="113"/>
      <c r="G286" s="113"/>
      <c r="H286" s="113"/>
      <c r="I286" s="129">
        <v>1958</v>
      </c>
      <c r="J286" s="129"/>
      <c r="K286" s="104">
        <v>0.33</v>
      </c>
      <c r="L286" s="104"/>
      <c r="M286" s="105">
        <f>ROUND(I286/166.92*K286,2)</f>
        <v>3.87</v>
      </c>
      <c r="N286" s="105"/>
      <c r="O286" s="130"/>
    </row>
    <row r="287" spans="1:15" s="10" customFormat="1" ht="15" customHeight="1" x14ac:dyDescent="0.3">
      <c r="A287" s="98"/>
      <c r="B287" s="99"/>
      <c r="C287" s="113" t="s">
        <v>61</v>
      </c>
      <c r="D287" s="113"/>
      <c r="E287" s="113"/>
      <c r="F287" s="113"/>
      <c r="G287" s="113"/>
      <c r="H287" s="113"/>
      <c r="I287" s="129"/>
      <c r="J287" s="129"/>
      <c r="K287" s="104"/>
      <c r="L287" s="104"/>
      <c r="M287" s="105">
        <f>ROUND(I287/167*K287,2)</f>
        <v>0</v>
      </c>
      <c r="N287" s="105"/>
      <c r="O287" s="130"/>
    </row>
    <row r="288" spans="1:15" s="10" customFormat="1" ht="32.4" customHeight="1" x14ac:dyDescent="0.3">
      <c r="A288" s="98"/>
      <c r="B288" s="99"/>
      <c r="C288" s="113" t="s">
        <v>62</v>
      </c>
      <c r="D288" s="113"/>
      <c r="E288" s="113"/>
      <c r="F288" s="113"/>
      <c r="G288" s="113"/>
      <c r="H288" s="113"/>
      <c r="I288" s="129">
        <v>729</v>
      </c>
      <c r="J288" s="129"/>
      <c r="K288" s="104">
        <v>0.01</v>
      </c>
      <c r="L288" s="104"/>
      <c r="M288" s="105">
        <f>ROUND(I288/166.92*K288,2)</f>
        <v>0.04</v>
      </c>
      <c r="N288" s="105"/>
      <c r="O288" s="130"/>
    </row>
    <row r="289" spans="1:19" s="10" customFormat="1" ht="15" customHeight="1" x14ac:dyDescent="0.3">
      <c r="A289" s="98"/>
      <c r="B289" s="99"/>
      <c r="C289" s="113" t="s">
        <v>61</v>
      </c>
      <c r="D289" s="113"/>
      <c r="E289" s="113"/>
      <c r="F289" s="113"/>
      <c r="G289" s="113"/>
      <c r="H289" s="113"/>
      <c r="I289" s="129"/>
      <c r="J289" s="129"/>
      <c r="K289" s="104"/>
      <c r="L289" s="104"/>
      <c r="M289" s="105">
        <f>ROUND(I289/167*K289,2)</f>
        <v>0</v>
      </c>
      <c r="N289" s="105"/>
      <c r="O289" s="130"/>
    </row>
    <row r="290" spans="1:19" ht="15.75" customHeight="1" x14ac:dyDescent="0.3">
      <c r="A290" s="98">
        <v>1143</v>
      </c>
      <c r="B290" s="99" t="s">
        <v>60</v>
      </c>
      <c r="C290" s="100" t="s">
        <v>59</v>
      </c>
      <c r="D290" s="100"/>
      <c r="E290" s="100"/>
      <c r="F290" s="100"/>
      <c r="G290" s="100"/>
      <c r="H290" s="100"/>
      <c r="I290" s="101" t="s">
        <v>58</v>
      </c>
      <c r="J290" s="101"/>
      <c r="K290" s="101" t="s">
        <v>9</v>
      </c>
      <c r="L290" s="101"/>
      <c r="M290" s="97">
        <f>M291+M293</f>
        <v>0.1</v>
      </c>
      <c r="N290" s="97"/>
      <c r="O290" s="6"/>
    </row>
    <row r="291" spans="1:19" s="10" customFormat="1" x14ac:dyDescent="0.3">
      <c r="A291" s="98"/>
      <c r="B291" s="99"/>
      <c r="C291" s="113" t="s">
        <v>57</v>
      </c>
      <c r="D291" s="113"/>
      <c r="E291" s="113"/>
      <c r="F291" s="113"/>
      <c r="G291" s="113"/>
      <c r="H291" s="113"/>
      <c r="I291" s="104">
        <v>106</v>
      </c>
      <c r="J291" s="104"/>
      <c r="K291" s="104">
        <v>3.3000000000000002E-2</v>
      </c>
      <c r="L291" s="104"/>
      <c r="M291" s="105">
        <f>ROUND(I291/166.92*K291,2)</f>
        <v>0.02</v>
      </c>
      <c r="N291" s="105"/>
      <c r="O291" s="130"/>
    </row>
    <row r="292" spans="1:19" s="10" customFormat="1" ht="15.75" customHeight="1" x14ac:dyDescent="0.3">
      <c r="A292" s="98"/>
      <c r="B292" s="99"/>
      <c r="C292" s="113" t="s">
        <v>55</v>
      </c>
      <c r="D292" s="113"/>
      <c r="E292" s="113"/>
      <c r="F292" s="113"/>
      <c r="G292" s="113"/>
      <c r="H292" s="113"/>
      <c r="I292" s="104"/>
      <c r="J292" s="104"/>
      <c r="K292" s="104"/>
      <c r="L292" s="104"/>
      <c r="M292" s="105">
        <f>ROUND(I292/167*K292,2)</f>
        <v>0</v>
      </c>
      <c r="N292" s="105"/>
      <c r="O292" s="130"/>
    </row>
    <row r="293" spans="1:19" s="10" customFormat="1" x14ac:dyDescent="0.3">
      <c r="A293" s="98"/>
      <c r="B293" s="99"/>
      <c r="C293" s="113" t="s">
        <v>56</v>
      </c>
      <c r="D293" s="113"/>
      <c r="E293" s="113"/>
      <c r="F293" s="113"/>
      <c r="G293" s="113"/>
      <c r="H293" s="113"/>
      <c r="I293" s="104">
        <f>78*2</f>
        <v>156</v>
      </c>
      <c r="J293" s="104"/>
      <c r="K293" s="104">
        <v>8.3000000000000004E-2</v>
      </c>
      <c r="L293" s="104"/>
      <c r="M293" s="105">
        <f>ROUND(I293/166.92*K293,2)</f>
        <v>0.08</v>
      </c>
      <c r="N293" s="105"/>
      <c r="O293" s="130"/>
    </row>
    <row r="294" spans="1:19" s="10" customFormat="1" ht="15.75" customHeight="1" x14ac:dyDescent="0.3">
      <c r="A294" s="98"/>
      <c r="B294" s="99"/>
      <c r="C294" s="113" t="s">
        <v>55</v>
      </c>
      <c r="D294" s="113"/>
      <c r="E294" s="113"/>
      <c r="F294" s="113"/>
      <c r="G294" s="113"/>
      <c r="H294" s="113"/>
      <c r="I294" s="104"/>
      <c r="J294" s="104"/>
      <c r="K294" s="104"/>
      <c r="L294" s="104"/>
      <c r="M294" s="105">
        <f>ROUND(I294/167*K294,2)</f>
        <v>0</v>
      </c>
      <c r="N294" s="105"/>
      <c r="O294" s="130"/>
    </row>
    <row r="295" spans="1:19" x14ac:dyDescent="0.3">
      <c r="A295" s="29">
        <v>1200</v>
      </c>
      <c r="B295" s="89" t="s">
        <v>54</v>
      </c>
      <c r="C295" s="89"/>
      <c r="D295" s="89"/>
      <c r="E295" s="89"/>
      <c r="F295" s="89"/>
      <c r="G295" s="89"/>
      <c r="H295" s="89"/>
      <c r="I295" s="89"/>
      <c r="J295" s="89"/>
      <c r="K295" s="89"/>
      <c r="L295" s="89"/>
      <c r="M295" s="117">
        <f>ROUND(M296,2)</f>
        <v>1.61</v>
      </c>
      <c r="N295" s="117"/>
      <c r="O295" s="6"/>
    </row>
    <row r="296" spans="1:19" x14ac:dyDescent="0.3">
      <c r="A296" s="36">
        <v>1210</v>
      </c>
      <c r="B296" s="99" t="s">
        <v>53</v>
      </c>
      <c r="C296" s="99"/>
      <c r="D296" s="99"/>
      <c r="E296" s="99"/>
      <c r="F296" s="99"/>
      <c r="G296" s="99"/>
      <c r="H296" s="99"/>
      <c r="I296" s="99"/>
      <c r="J296" s="99"/>
      <c r="K296" s="99"/>
      <c r="L296" s="99"/>
      <c r="M296" s="87">
        <f>ROUND(M277*0.2359,2)</f>
        <v>1.61</v>
      </c>
      <c r="N296" s="87"/>
      <c r="O296" s="6"/>
    </row>
    <row r="297" spans="1:19" x14ac:dyDescent="0.3">
      <c r="A297" s="28">
        <v>2000</v>
      </c>
      <c r="B297" s="89" t="s">
        <v>52</v>
      </c>
      <c r="C297" s="89"/>
      <c r="D297" s="89"/>
      <c r="E297" s="89"/>
      <c r="F297" s="89"/>
      <c r="G297" s="89"/>
      <c r="H297" s="89"/>
      <c r="I297" s="89"/>
      <c r="J297" s="89"/>
      <c r="K297" s="89"/>
      <c r="L297" s="89"/>
      <c r="M297" s="90">
        <f>ROUND(M298+M309,2)</f>
        <v>40.880000000000003</v>
      </c>
      <c r="N297" s="90"/>
      <c r="O297" s="6"/>
    </row>
    <row r="298" spans="1:19" x14ac:dyDescent="0.3">
      <c r="A298" s="29">
        <v>2200</v>
      </c>
      <c r="B298" s="89" t="s">
        <v>51</v>
      </c>
      <c r="C298" s="89"/>
      <c r="D298" s="89"/>
      <c r="E298" s="89"/>
      <c r="F298" s="89"/>
      <c r="G298" s="89"/>
      <c r="H298" s="89"/>
      <c r="I298" s="89"/>
      <c r="J298" s="89"/>
      <c r="K298" s="89"/>
      <c r="L298" s="89"/>
      <c r="M298" s="90">
        <f>SUM(M300:N308)</f>
        <v>40.669999999999995</v>
      </c>
      <c r="N298" s="90"/>
      <c r="O298" s="6"/>
    </row>
    <row r="299" spans="1:19" x14ac:dyDescent="0.3">
      <c r="A299" s="98">
        <v>2220</v>
      </c>
      <c r="B299" s="99" t="s">
        <v>50</v>
      </c>
      <c r="C299" s="100" t="s">
        <v>13</v>
      </c>
      <c r="D299" s="100"/>
      <c r="E299" s="100"/>
      <c r="F299" s="100"/>
      <c r="G299" s="100"/>
      <c r="H299" s="100"/>
      <c r="I299" s="101" t="s">
        <v>10</v>
      </c>
      <c r="J299" s="101"/>
      <c r="K299" s="101" t="s">
        <v>9</v>
      </c>
      <c r="L299" s="101"/>
      <c r="M299" s="97"/>
      <c r="N299" s="97"/>
      <c r="O299" s="6" t="s">
        <v>49</v>
      </c>
      <c r="P299" t="s">
        <v>48</v>
      </c>
    </row>
    <row r="300" spans="1:19" s="9" customFormat="1" x14ac:dyDescent="0.3">
      <c r="A300" s="98"/>
      <c r="B300" s="99"/>
      <c r="C300" s="99" t="s">
        <v>47</v>
      </c>
      <c r="D300" s="99"/>
      <c r="E300" s="99"/>
      <c r="F300" s="99"/>
      <c r="G300" s="99"/>
      <c r="H300" s="99"/>
      <c r="I300" s="86">
        <f>P300</f>
        <v>4.59</v>
      </c>
      <c r="J300" s="86"/>
      <c r="K300" s="86">
        <v>1</v>
      </c>
      <c r="L300" s="86"/>
      <c r="M300" s="126">
        <f t="shared" ref="M300:M308" si="4">I300*K300</f>
        <v>4.59</v>
      </c>
      <c r="N300" s="126"/>
      <c r="O300" s="43">
        <v>40170.910000000003</v>
      </c>
      <c r="P300" s="9">
        <f>ROUND(O300/365/24,2)</f>
        <v>4.59</v>
      </c>
    </row>
    <row r="301" spans="1:19" s="9" customFormat="1" ht="61.5" customHeight="1" x14ac:dyDescent="0.3">
      <c r="A301" s="98"/>
      <c r="B301" s="99"/>
      <c r="C301" s="99" t="s">
        <v>46</v>
      </c>
      <c r="D301" s="99"/>
      <c r="E301" s="99"/>
      <c r="F301" s="99"/>
      <c r="G301" s="99"/>
      <c r="H301" s="99"/>
      <c r="I301" s="86">
        <v>1.41</v>
      </c>
      <c r="J301" s="86"/>
      <c r="K301" s="86">
        <v>1</v>
      </c>
      <c r="L301" s="86"/>
      <c r="M301" s="126">
        <f t="shared" si="4"/>
        <v>1.41</v>
      </c>
      <c r="N301" s="126"/>
      <c r="O301" s="44" t="s">
        <v>45</v>
      </c>
    </row>
    <row r="302" spans="1:19" s="9" customFormat="1" ht="27.6" x14ac:dyDescent="0.3">
      <c r="A302" s="31">
        <v>2235</v>
      </c>
      <c r="B302" s="31" t="s">
        <v>44</v>
      </c>
      <c r="C302" s="99" t="s">
        <v>43</v>
      </c>
      <c r="D302" s="99"/>
      <c r="E302" s="99"/>
      <c r="F302" s="99"/>
      <c r="G302" s="99"/>
      <c r="H302" s="99"/>
      <c r="I302" s="86">
        <f>P302</f>
        <v>33.409999999999997</v>
      </c>
      <c r="J302" s="86"/>
      <c r="K302" s="86">
        <v>1</v>
      </c>
      <c r="L302" s="86"/>
      <c r="M302" s="126">
        <f t="shared" si="4"/>
        <v>33.409999999999997</v>
      </c>
      <c r="N302" s="126"/>
      <c r="O302" s="45">
        <v>292695.89</v>
      </c>
      <c r="P302" s="9">
        <f t="shared" ref="P302:P308" si="5">ROUND(O302/365/24,2)</f>
        <v>33.409999999999997</v>
      </c>
    </row>
    <row r="303" spans="1:19" ht="27.6" x14ac:dyDescent="0.3">
      <c r="A303" s="31">
        <v>2234</v>
      </c>
      <c r="B303" s="31" t="s">
        <v>42</v>
      </c>
      <c r="C303" s="99" t="s">
        <v>41</v>
      </c>
      <c r="D303" s="99"/>
      <c r="E303" s="99"/>
      <c r="F303" s="99"/>
      <c r="G303" s="99"/>
      <c r="H303" s="99"/>
      <c r="I303" s="135">
        <f>P303</f>
        <v>1</v>
      </c>
      <c r="J303" s="135"/>
      <c r="K303" s="86">
        <v>1</v>
      </c>
      <c r="L303" s="86"/>
      <c r="M303" s="126">
        <f t="shared" si="4"/>
        <v>1</v>
      </c>
      <c r="N303" s="126"/>
      <c r="O303" s="46">
        <v>8720</v>
      </c>
      <c r="P303">
        <f t="shared" si="5"/>
        <v>1</v>
      </c>
    </row>
    <row r="304" spans="1:19" ht="30.9" customHeight="1" x14ac:dyDescent="0.3">
      <c r="A304" s="31">
        <v>2247</v>
      </c>
      <c r="B304" s="31" t="s">
        <v>40</v>
      </c>
      <c r="C304" s="99" t="s">
        <v>39</v>
      </c>
      <c r="D304" s="99"/>
      <c r="E304" s="99"/>
      <c r="F304" s="99"/>
      <c r="G304" s="99"/>
      <c r="H304" s="99"/>
      <c r="I304" s="86">
        <f>P304</f>
        <v>0.23</v>
      </c>
      <c r="J304" s="86"/>
      <c r="K304" s="86">
        <v>1</v>
      </c>
      <c r="L304" s="86"/>
      <c r="M304" s="126">
        <f t="shared" si="4"/>
        <v>0.23</v>
      </c>
      <c r="N304" s="126"/>
      <c r="O304" s="42">
        <f>1250+1550/2</f>
        <v>2025</v>
      </c>
      <c r="P304">
        <f t="shared" si="5"/>
        <v>0.23</v>
      </c>
      <c r="R304">
        <v>2920</v>
      </c>
      <c r="S304" t="s">
        <v>38</v>
      </c>
    </row>
    <row r="305" spans="1:16" ht="78" customHeight="1" x14ac:dyDescent="0.3">
      <c r="A305" s="134">
        <v>2239</v>
      </c>
      <c r="B305" s="122" t="s">
        <v>37</v>
      </c>
      <c r="C305" s="93" t="s">
        <v>140</v>
      </c>
      <c r="D305" s="93"/>
      <c r="E305" s="93"/>
      <c r="F305" s="93"/>
      <c r="G305" s="93"/>
      <c r="H305" s="93"/>
      <c r="I305" s="86"/>
      <c r="J305" s="86"/>
      <c r="K305" s="86"/>
      <c r="L305" s="86"/>
      <c r="M305" s="126">
        <f t="shared" si="4"/>
        <v>0</v>
      </c>
      <c r="N305" s="126"/>
      <c r="O305">
        <v>286.29000000000002</v>
      </c>
      <c r="P305">
        <f t="shared" si="5"/>
        <v>0.03</v>
      </c>
    </row>
    <row r="306" spans="1:16" x14ac:dyDescent="0.3">
      <c r="A306" s="134"/>
      <c r="B306" s="122"/>
      <c r="C306" s="99" t="s">
        <v>136</v>
      </c>
      <c r="D306" s="99"/>
      <c r="E306" s="99"/>
      <c r="F306" s="99"/>
      <c r="G306" s="99"/>
      <c r="H306" s="99"/>
      <c r="I306" s="86"/>
      <c r="J306" s="86"/>
      <c r="K306" s="86"/>
      <c r="L306" s="86"/>
      <c r="M306" s="126">
        <f t="shared" si="4"/>
        <v>0</v>
      </c>
      <c r="N306" s="126"/>
      <c r="O306">
        <v>369.2</v>
      </c>
      <c r="P306">
        <f t="shared" si="5"/>
        <v>0.04</v>
      </c>
    </row>
    <row r="307" spans="1:16" ht="18.600000000000001" customHeight="1" x14ac:dyDescent="0.3">
      <c r="A307" s="134"/>
      <c r="B307" s="122"/>
      <c r="C307" s="99" t="s">
        <v>36</v>
      </c>
      <c r="D307" s="99"/>
      <c r="E307" s="99"/>
      <c r="F307" s="99"/>
      <c r="G307" s="99"/>
      <c r="H307" s="99"/>
      <c r="I307" s="86">
        <f>P307</f>
        <v>0.01</v>
      </c>
      <c r="J307" s="86"/>
      <c r="K307" s="86">
        <v>1</v>
      </c>
      <c r="L307" s="86"/>
      <c r="M307" s="126">
        <f t="shared" si="4"/>
        <v>0.01</v>
      </c>
      <c r="N307" s="126"/>
      <c r="O307">
        <v>130</v>
      </c>
      <c r="P307">
        <f t="shared" si="5"/>
        <v>0.01</v>
      </c>
    </row>
    <row r="308" spans="1:16" x14ac:dyDescent="0.3">
      <c r="A308" s="134"/>
      <c r="B308" s="122"/>
      <c r="C308" s="99" t="s">
        <v>35</v>
      </c>
      <c r="D308" s="99"/>
      <c r="E308" s="99"/>
      <c r="F308" s="99"/>
      <c r="G308" s="99"/>
      <c r="H308" s="99"/>
      <c r="I308" s="86">
        <f>P308</f>
        <v>0.02</v>
      </c>
      <c r="J308" s="86"/>
      <c r="K308" s="86">
        <v>1</v>
      </c>
      <c r="L308" s="86"/>
      <c r="M308" s="126">
        <f t="shared" si="4"/>
        <v>0.02</v>
      </c>
      <c r="N308" s="126"/>
      <c r="O308">
        <f>239.47*1.21/2</f>
        <v>144.87934999999999</v>
      </c>
      <c r="P308">
        <f t="shared" si="5"/>
        <v>0.02</v>
      </c>
    </row>
    <row r="309" spans="1:16" x14ac:dyDescent="0.3">
      <c r="A309" s="29">
        <v>2300</v>
      </c>
      <c r="B309" s="89" t="s">
        <v>34</v>
      </c>
      <c r="C309" s="89"/>
      <c r="D309" s="89"/>
      <c r="E309" s="89"/>
      <c r="F309" s="89"/>
      <c r="G309" s="89"/>
      <c r="H309" s="89"/>
      <c r="I309" s="89"/>
      <c r="J309" s="89"/>
      <c r="K309" s="89"/>
      <c r="L309" s="89"/>
      <c r="M309" s="117">
        <f>SUM(M311:N327)</f>
        <v>0.21000000000000005</v>
      </c>
      <c r="N309" s="90"/>
      <c r="O309" s="6"/>
    </row>
    <row r="310" spans="1:16" s="5" customFormat="1" ht="27.6" x14ac:dyDescent="0.3">
      <c r="A310" s="98">
        <v>2364</v>
      </c>
      <c r="B310" s="99" t="s">
        <v>33</v>
      </c>
      <c r="C310" s="100" t="s">
        <v>13</v>
      </c>
      <c r="D310" s="100"/>
      <c r="E310" s="100"/>
      <c r="F310" s="100"/>
      <c r="G310" s="100"/>
      <c r="H310" s="37" t="s">
        <v>32</v>
      </c>
      <c r="I310" s="100" t="s">
        <v>10</v>
      </c>
      <c r="J310" s="100"/>
      <c r="K310" s="101" t="s">
        <v>9</v>
      </c>
      <c r="L310" s="101"/>
      <c r="M310" s="97"/>
      <c r="N310" s="97"/>
      <c r="O310" s="8"/>
    </row>
    <row r="311" spans="1:16" s="5" customFormat="1" x14ac:dyDescent="0.3">
      <c r="A311" s="98"/>
      <c r="B311" s="99"/>
      <c r="C311" s="85" t="s">
        <v>31</v>
      </c>
      <c r="D311" s="85"/>
      <c r="E311" s="85"/>
      <c r="F311" s="85"/>
      <c r="G311" s="85"/>
      <c r="H311" s="40">
        <v>1</v>
      </c>
      <c r="I311" s="86">
        <v>50.07</v>
      </c>
      <c r="J311" s="86"/>
      <c r="K311" s="86">
        <v>1</v>
      </c>
      <c r="L311" s="86"/>
      <c r="M311" s="87">
        <f>ROUND(I311/H311/365/24*3,2)</f>
        <v>0.02</v>
      </c>
      <c r="N311" s="87"/>
      <c r="O311" s="8"/>
    </row>
    <row r="312" spans="1:16" s="5" customFormat="1" x14ac:dyDescent="0.3">
      <c r="A312" s="98"/>
      <c r="B312" s="99"/>
      <c r="C312" s="85" t="s">
        <v>30</v>
      </c>
      <c r="D312" s="85"/>
      <c r="E312" s="85"/>
      <c r="F312" s="85"/>
      <c r="G312" s="85"/>
      <c r="H312" s="40">
        <v>1</v>
      </c>
      <c r="I312" s="86">
        <v>20.239999999999998</v>
      </c>
      <c r="J312" s="86"/>
      <c r="K312" s="86">
        <v>1</v>
      </c>
      <c r="L312" s="86"/>
      <c r="M312" s="87">
        <f>ROUND(I312/H312/365/24*3,2)</f>
        <v>0.01</v>
      </c>
      <c r="N312" s="87"/>
      <c r="O312" s="8"/>
    </row>
    <row r="313" spans="1:16" s="5" customFormat="1" x14ac:dyDescent="0.3">
      <c r="A313" s="98"/>
      <c r="B313" s="99"/>
      <c r="C313" s="85" t="s">
        <v>29</v>
      </c>
      <c r="D313" s="85"/>
      <c r="E313" s="85"/>
      <c r="F313" s="85"/>
      <c r="G313" s="85"/>
      <c r="H313" s="40">
        <v>1</v>
      </c>
      <c r="I313" s="86">
        <v>17.260000000000002</v>
      </c>
      <c r="J313" s="86"/>
      <c r="K313" s="86">
        <v>1</v>
      </c>
      <c r="L313" s="86"/>
      <c r="M313" s="87">
        <f>ROUND(I313/H313/365/24*3,2)</f>
        <v>0.01</v>
      </c>
      <c r="N313" s="87"/>
      <c r="O313" s="8"/>
    </row>
    <row r="314" spans="1:16" s="5" customFormat="1" x14ac:dyDescent="0.3">
      <c r="A314" s="98"/>
      <c r="B314" s="99"/>
      <c r="C314" s="85" t="s">
        <v>28</v>
      </c>
      <c r="D314" s="85"/>
      <c r="E314" s="85"/>
      <c r="F314" s="85"/>
      <c r="G314" s="85"/>
      <c r="H314" s="40">
        <v>2</v>
      </c>
      <c r="I314" s="86">
        <f>39.77+39.77</f>
        <v>79.540000000000006</v>
      </c>
      <c r="J314" s="86"/>
      <c r="K314" s="86">
        <v>1</v>
      </c>
      <c r="L314" s="86"/>
      <c r="M314" s="87">
        <f>ROUND(I314/H314/365/24*3,2)</f>
        <v>0.01</v>
      </c>
      <c r="N314" s="87"/>
      <c r="O314" s="8"/>
    </row>
    <row r="315" spans="1:16" s="5" customFormat="1" x14ac:dyDescent="0.3">
      <c r="A315" s="98"/>
      <c r="B315" s="99"/>
      <c r="C315" s="85" t="s">
        <v>27</v>
      </c>
      <c r="D315" s="85"/>
      <c r="E315" s="85"/>
      <c r="F315" s="85"/>
      <c r="G315" s="85"/>
      <c r="H315" s="40">
        <v>4</v>
      </c>
      <c r="I315" s="86">
        <v>93.75</v>
      </c>
      <c r="J315" s="86"/>
      <c r="K315" s="86">
        <v>1</v>
      </c>
      <c r="L315" s="86"/>
      <c r="M315" s="87">
        <f>ROUND(I315/H315/365/24*3,2)</f>
        <v>0.01</v>
      </c>
      <c r="N315" s="87"/>
      <c r="O315" s="8"/>
    </row>
    <row r="316" spans="1:16" s="5" customFormat="1" x14ac:dyDescent="0.3">
      <c r="A316" s="98"/>
      <c r="B316" s="99"/>
      <c r="C316" s="85" t="s">
        <v>26</v>
      </c>
      <c r="D316" s="85"/>
      <c r="E316" s="85"/>
      <c r="F316" s="85"/>
      <c r="G316" s="85"/>
      <c r="H316" s="40">
        <v>2</v>
      </c>
      <c r="I316" s="86">
        <v>111</v>
      </c>
      <c r="J316" s="86"/>
      <c r="K316" s="86">
        <v>1</v>
      </c>
      <c r="L316" s="86"/>
      <c r="M316" s="87">
        <f>ROUND(I316/H316/365/24*2*3,2)</f>
        <v>0.04</v>
      </c>
      <c r="N316" s="87"/>
      <c r="O316" s="8"/>
    </row>
    <row r="317" spans="1:16" s="5" customFormat="1" x14ac:dyDescent="0.3">
      <c r="A317" s="98"/>
      <c r="B317" s="99"/>
      <c r="C317" s="85" t="s">
        <v>25</v>
      </c>
      <c r="D317" s="85"/>
      <c r="E317" s="85"/>
      <c r="F317" s="85"/>
      <c r="G317" s="85"/>
      <c r="H317" s="40">
        <v>5</v>
      </c>
      <c r="I317" s="86">
        <v>28.31</v>
      </c>
      <c r="J317" s="86"/>
      <c r="K317" s="86">
        <v>1</v>
      </c>
      <c r="L317" s="86"/>
      <c r="M317" s="87">
        <f>ROUND(I317/H317/365/24*2*3,2)</f>
        <v>0</v>
      </c>
      <c r="N317" s="87"/>
      <c r="O317" s="8"/>
    </row>
    <row r="318" spans="1:16" s="5" customFormat="1" x14ac:dyDescent="0.3">
      <c r="A318" s="98"/>
      <c r="B318" s="99"/>
      <c r="C318" s="85" t="s">
        <v>24</v>
      </c>
      <c r="D318" s="85"/>
      <c r="E318" s="85"/>
      <c r="F318" s="85"/>
      <c r="G318" s="85"/>
      <c r="H318" s="40">
        <v>3</v>
      </c>
      <c r="I318" s="86">
        <v>42</v>
      </c>
      <c r="J318" s="86"/>
      <c r="K318" s="86">
        <v>1</v>
      </c>
      <c r="L318" s="86"/>
      <c r="M318" s="87">
        <f>ROUND(I318/H318/365/24*3,2)</f>
        <v>0</v>
      </c>
      <c r="N318" s="87"/>
      <c r="O318" s="8"/>
    </row>
    <row r="319" spans="1:16" s="5" customFormat="1" x14ac:dyDescent="0.3">
      <c r="A319" s="98"/>
      <c r="B319" s="99"/>
      <c r="C319" s="85" t="s">
        <v>23</v>
      </c>
      <c r="D319" s="85"/>
      <c r="E319" s="85"/>
      <c r="F319" s="85"/>
      <c r="G319" s="85"/>
      <c r="H319" s="40">
        <v>4</v>
      </c>
      <c r="I319" s="86">
        <v>68.25</v>
      </c>
      <c r="J319" s="86"/>
      <c r="K319" s="86">
        <v>1</v>
      </c>
      <c r="L319" s="86"/>
      <c r="M319" s="87">
        <f>ROUND(I319/H319/365/24*3,2)</f>
        <v>0.01</v>
      </c>
      <c r="N319" s="87"/>
      <c r="O319" s="8"/>
    </row>
    <row r="320" spans="1:16" s="5" customFormat="1" x14ac:dyDescent="0.3">
      <c r="A320" s="98"/>
      <c r="B320" s="99"/>
      <c r="C320" s="85" t="s">
        <v>22</v>
      </c>
      <c r="D320" s="85"/>
      <c r="E320" s="85"/>
      <c r="F320" s="85"/>
      <c r="G320" s="85"/>
      <c r="H320" s="40">
        <v>4</v>
      </c>
      <c r="I320" s="86">
        <v>23.24</v>
      </c>
      <c r="J320" s="86"/>
      <c r="K320" s="86">
        <v>1</v>
      </c>
      <c r="L320" s="86"/>
      <c r="M320" s="87">
        <f>ROUND(I320/H320/365/24*3,2)</f>
        <v>0</v>
      </c>
      <c r="N320" s="87"/>
      <c r="O320" s="8"/>
    </row>
    <row r="321" spans="1:15" s="5" customFormat="1" x14ac:dyDescent="0.3">
      <c r="A321" s="98"/>
      <c r="B321" s="99"/>
      <c r="C321" s="85" t="s">
        <v>21</v>
      </c>
      <c r="D321" s="85"/>
      <c r="E321" s="85"/>
      <c r="F321" s="85"/>
      <c r="G321" s="85"/>
      <c r="H321" s="40">
        <v>4</v>
      </c>
      <c r="I321" s="86">
        <v>246</v>
      </c>
      <c r="J321" s="86"/>
      <c r="K321" s="86">
        <v>1</v>
      </c>
      <c r="L321" s="86"/>
      <c r="M321" s="87">
        <f>ROUND(I321/H321/365/24*3,2)</f>
        <v>0.02</v>
      </c>
      <c r="N321" s="87"/>
      <c r="O321" s="8"/>
    </row>
    <row r="322" spans="1:15" s="5" customFormat="1" x14ac:dyDescent="0.3">
      <c r="A322" s="98"/>
      <c r="B322" s="99"/>
      <c r="C322" s="85" t="s">
        <v>20</v>
      </c>
      <c r="D322" s="85"/>
      <c r="E322" s="85"/>
      <c r="F322" s="85"/>
      <c r="G322" s="85"/>
      <c r="H322" s="40">
        <v>1</v>
      </c>
      <c r="I322" s="86">
        <v>43.5</v>
      </c>
      <c r="J322" s="86"/>
      <c r="K322" s="86">
        <v>1</v>
      </c>
      <c r="L322" s="86"/>
      <c r="M322" s="87">
        <f>ROUND(I322/H322/365/24*3,2)</f>
        <v>0.01</v>
      </c>
      <c r="N322" s="87"/>
      <c r="O322" s="8"/>
    </row>
    <row r="323" spans="1:15" s="5" customFormat="1" x14ac:dyDescent="0.3">
      <c r="A323" s="98"/>
      <c r="B323" s="99"/>
      <c r="C323" s="85" t="s">
        <v>19</v>
      </c>
      <c r="D323" s="85"/>
      <c r="E323" s="85"/>
      <c r="F323" s="85"/>
      <c r="G323" s="85"/>
      <c r="H323" s="40">
        <v>2</v>
      </c>
      <c r="I323" s="86">
        <v>111</v>
      </c>
      <c r="J323" s="86"/>
      <c r="K323" s="86">
        <v>1</v>
      </c>
      <c r="L323" s="86"/>
      <c r="M323" s="87">
        <f>ROUND(I323/H323/365/24*2*3,2)</f>
        <v>0.04</v>
      </c>
      <c r="N323" s="87"/>
      <c r="O323" s="8"/>
    </row>
    <row r="324" spans="1:15" s="5" customFormat="1" x14ac:dyDescent="0.3">
      <c r="A324" s="98"/>
      <c r="B324" s="99"/>
      <c r="C324" s="85" t="s">
        <v>18</v>
      </c>
      <c r="D324" s="85"/>
      <c r="E324" s="85"/>
      <c r="F324" s="85"/>
      <c r="G324" s="85"/>
      <c r="H324" s="40">
        <v>4</v>
      </c>
      <c r="I324" s="86">
        <v>141.75</v>
      </c>
      <c r="J324" s="86"/>
      <c r="K324" s="86">
        <v>1</v>
      </c>
      <c r="L324" s="86"/>
      <c r="M324" s="87">
        <f>ROUND(I324/H324/365/24*3,2)</f>
        <v>0.01</v>
      </c>
      <c r="N324" s="87"/>
      <c r="O324" s="8"/>
    </row>
    <row r="325" spans="1:15" s="5" customFormat="1" x14ac:dyDescent="0.3">
      <c r="A325" s="98"/>
      <c r="B325" s="99"/>
      <c r="C325" s="85" t="s">
        <v>17</v>
      </c>
      <c r="D325" s="85"/>
      <c r="E325" s="85"/>
      <c r="F325" s="85"/>
      <c r="G325" s="85"/>
      <c r="H325" s="40">
        <v>1</v>
      </c>
      <c r="I325" s="86">
        <v>16.489999999999998</v>
      </c>
      <c r="J325" s="86"/>
      <c r="K325" s="86">
        <v>1</v>
      </c>
      <c r="L325" s="86"/>
      <c r="M325" s="87">
        <f>ROUND(I325/H325/365/24*3,2)</f>
        <v>0.01</v>
      </c>
      <c r="N325" s="87"/>
      <c r="O325" s="8"/>
    </row>
    <row r="326" spans="1:15" s="5" customFormat="1" x14ac:dyDescent="0.3">
      <c r="A326" s="98"/>
      <c r="B326" s="99"/>
      <c r="C326" s="85" t="s">
        <v>16</v>
      </c>
      <c r="D326" s="85"/>
      <c r="E326" s="85"/>
      <c r="F326" s="85"/>
      <c r="G326" s="85"/>
      <c r="H326" s="40">
        <v>4</v>
      </c>
      <c r="I326" s="86">
        <v>23.25</v>
      </c>
      <c r="J326" s="86"/>
      <c r="K326" s="86">
        <v>1</v>
      </c>
      <c r="L326" s="86"/>
      <c r="M326" s="87">
        <f>ROUND(I326/H326/365/24*3,2)</f>
        <v>0</v>
      </c>
      <c r="N326" s="87"/>
      <c r="O326" s="8"/>
    </row>
    <row r="327" spans="1:15" s="5" customFormat="1" ht="14.4" customHeight="1" x14ac:dyDescent="0.3">
      <c r="A327" s="98"/>
      <c r="B327" s="99"/>
      <c r="C327" s="85" t="s">
        <v>15</v>
      </c>
      <c r="D327" s="85"/>
      <c r="E327" s="85"/>
      <c r="F327" s="85"/>
      <c r="G327" s="85"/>
      <c r="H327" s="40">
        <v>3</v>
      </c>
      <c r="I327" s="86">
        <v>63.75</v>
      </c>
      <c r="J327" s="86"/>
      <c r="K327" s="86">
        <v>1</v>
      </c>
      <c r="L327" s="86"/>
      <c r="M327" s="87">
        <f>ROUND(I327/H327/365/24*2*3,2)</f>
        <v>0.01</v>
      </c>
      <c r="N327" s="87"/>
      <c r="O327" s="8"/>
    </row>
    <row r="328" spans="1:15" x14ac:dyDescent="0.3">
      <c r="A328" s="28">
        <v>5000</v>
      </c>
      <c r="B328" s="89" t="s">
        <v>14</v>
      </c>
      <c r="C328" s="89"/>
      <c r="D328" s="89"/>
      <c r="E328" s="89"/>
      <c r="F328" s="89"/>
      <c r="G328" s="89"/>
      <c r="H328" s="89"/>
      <c r="I328" s="89"/>
      <c r="J328" s="89"/>
      <c r="K328" s="89"/>
      <c r="L328" s="89"/>
      <c r="M328" s="90">
        <f>ROUND(M329,2)</f>
        <v>0</v>
      </c>
      <c r="N328" s="90"/>
      <c r="O328" s="7"/>
    </row>
    <row r="329" spans="1:15" ht="15" customHeight="1" x14ac:dyDescent="0.3">
      <c r="A329" s="31"/>
      <c r="B329" s="31"/>
      <c r="C329" s="100" t="s">
        <v>13</v>
      </c>
      <c r="D329" s="100"/>
      <c r="E329" s="101" t="s">
        <v>12</v>
      </c>
      <c r="F329" s="101"/>
      <c r="G329" s="101" t="s">
        <v>11</v>
      </c>
      <c r="H329" s="101"/>
      <c r="I329" s="100" t="s">
        <v>10</v>
      </c>
      <c r="J329" s="100"/>
      <c r="K329" s="101" t="s">
        <v>9</v>
      </c>
      <c r="L329" s="101"/>
      <c r="M329" s="97">
        <f>ROUND(M330,2)</f>
        <v>0</v>
      </c>
      <c r="N329" s="97"/>
    </row>
    <row r="330" spans="1:15" ht="23.1" customHeight="1" x14ac:dyDescent="0.3">
      <c r="A330" s="31"/>
      <c r="B330" s="31"/>
      <c r="C330" s="99"/>
      <c r="D330" s="99"/>
      <c r="E330" s="98"/>
      <c r="F330" s="98"/>
      <c r="G330" s="98"/>
      <c r="H330" s="98"/>
      <c r="I330" s="106"/>
      <c r="J330" s="106"/>
      <c r="K330" s="98">
        <v>1</v>
      </c>
      <c r="L330" s="98"/>
      <c r="M330" s="98">
        <f>ROUND(I330*E330/100/12/167*K330,2)</f>
        <v>0</v>
      </c>
      <c r="N330" s="98"/>
      <c r="O330" s="42"/>
    </row>
    <row r="331" spans="1:15" x14ac:dyDescent="0.3">
      <c r="A331" s="78" t="s">
        <v>8</v>
      </c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80"/>
      <c r="M331" s="109">
        <f>M276+M297+M328</f>
        <v>49.31</v>
      </c>
      <c r="N331" s="95"/>
      <c r="O331" s="6"/>
    </row>
    <row r="332" spans="1:15" x14ac:dyDescent="0.3">
      <c r="A332" s="110" t="s">
        <v>7</v>
      </c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1">
        <f>M331+M273</f>
        <v>130.74</v>
      </c>
      <c r="N332" s="112"/>
      <c r="O332" s="6"/>
    </row>
    <row r="333" spans="1:15" x14ac:dyDescent="0.3">
      <c r="A333" s="57" t="s">
        <v>6</v>
      </c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9"/>
      <c r="M333" s="96">
        <f>ROUND(M332*0.21,2)</f>
        <v>27.46</v>
      </c>
      <c r="N333" s="96"/>
      <c r="O333" s="6"/>
    </row>
    <row r="334" spans="1:15" x14ac:dyDescent="0.3">
      <c r="A334" s="60" t="s">
        <v>5</v>
      </c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2"/>
      <c r="M334" s="107">
        <f>M332+M333</f>
        <v>158.20000000000002</v>
      </c>
      <c r="N334" s="108"/>
      <c r="O334" s="6"/>
    </row>
    <row r="335" spans="1:15" x14ac:dyDescent="0.3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</row>
    <row r="336" spans="1:15" ht="15.6" x14ac:dyDescent="0.3">
      <c r="A336" s="16" t="s">
        <v>122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</row>
    <row r="337" spans="1:15" ht="15.6" x14ac:dyDescent="0.3">
      <c r="A337" s="13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</row>
    <row r="338" spans="1:15" x14ac:dyDescent="0.3">
      <c r="A338" s="15" t="s">
        <v>121</v>
      </c>
      <c r="B338" s="14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</row>
    <row r="339" spans="1:15" ht="15.6" x14ac:dyDescent="0.3">
      <c r="A339" s="13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</row>
    <row r="340" spans="1:15" ht="27.9" customHeight="1" x14ac:dyDescent="0.3">
      <c r="A340" s="67" t="s">
        <v>135</v>
      </c>
      <c r="B340" s="118" t="s">
        <v>119</v>
      </c>
      <c r="C340" s="119" t="s">
        <v>118</v>
      </c>
      <c r="D340" s="119"/>
      <c r="E340" s="119"/>
      <c r="F340" s="119"/>
      <c r="G340" s="119"/>
      <c r="H340" s="119"/>
      <c r="I340" s="119"/>
      <c r="J340" s="119"/>
      <c r="K340" s="119"/>
      <c r="L340" s="119"/>
      <c r="M340" s="119"/>
      <c r="N340" s="119"/>
      <c r="O340" s="127"/>
    </row>
    <row r="341" spans="1:15" x14ac:dyDescent="0.3">
      <c r="A341" s="68"/>
      <c r="B341" s="118"/>
      <c r="C341" s="119"/>
      <c r="D341" s="119"/>
      <c r="E341" s="119"/>
      <c r="F341" s="119"/>
      <c r="G341" s="119"/>
      <c r="H341" s="119"/>
      <c r="I341" s="119"/>
      <c r="J341" s="119"/>
      <c r="K341" s="119"/>
      <c r="L341" s="119"/>
      <c r="M341" s="119"/>
      <c r="N341" s="119"/>
      <c r="O341" s="127"/>
    </row>
    <row r="342" spans="1:15" x14ac:dyDescent="0.3">
      <c r="A342" s="26">
        <v>1</v>
      </c>
      <c r="B342" s="26">
        <v>2</v>
      </c>
      <c r="C342" s="114">
        <v>3</v>
      </c>
      <c r="D342" s="114"/>
      <c r="E342" s="114"/>
      <c r="F342" s="114"/>
      <c r="G342" s="114"/>
      <c r="H342" s="114"/>
      <c r="I342" s="114"/>
      <c r="J342" s="114"/>
      <c r="K342" s="114"/>
      <c r="L342" s="114"/>
      <c r="M342" s="114"/>
      <c r="N342" s="114"/>
    </row>
    <row r="343" spans="1:15" ht="14.4" customHeight="1" x14ac:dyDescent="0.3">
      <c r="A343" s="69" t="s">
        <v>0</v>
      </c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1"/>
      <c r="N343" s="27"/>
    </row>
    <row r="344" spans="1:15" x14ac:dyDescent="0.3">
      <c r="A344" s="28">
        <v>1000</v>
      </c>
      <c r="B344" s="89" t="s">
        <v>116</v>
      </c>
      <c r="C344" s="89"/>
      <c r="D344" s="89"/>
      <c r="E344" s="89"/>
      <c r="F344" s="89"/>
      <c r="G344" s="89"/>
      <c r="H344" s="89"/>
      <c r="I344" s="89"/>
      <c r="J344" s="89"/>
      <c r="K344" s="89"/>
      <c r="L344" s="89"/>
      <c r="M344" s="90">
        <f>M345+M354</f>
        <v>70.19</v>
      </c>
      <c r="N344" s="90"/>
    </row>
    <row r="345" spans="1:15" x14ac:dyDescent="0.3">
      <c r="A345" s="29">
        <v>1100</v>
      </c>
      <c r="B345" s="89" t="s">
        <v>71</v>
      </c>
      <c r="C345" s="89"/>
      <c r="D345" s="89"/>
      <c r="E345" s="89"/>
      <c r="F345" s="89"/>
      <c r="G345" s="89"/>
      <c r="H345" s="89"/>
      <c r="I345" s="89"/>
      <c r="J345" s="89"/>
      <c r="K345" s="89"/>
      <c r="L345" s="89"/>
      <c r="M345" s="90">
        <f>M346+M349</f>
        <v>56.79</v>
      </c>
      <c r="N345" s="90"/>
    </row>
    <row r="346" spans="1:15" ht="15" hidden="1" customHeight="1" x14ac:dyDescent="0.3">
      <c r="A346" s="30"/>
      <c r="B346" s="31"/>
      <c r="C346" s="100" t="s">
        <v>65</v>
      </c>
      <c r="D346" s="100"/>
      <c r="E346" s="100"/>
      <c r="F346" s="100"/>
      <c r="G346" s="100"/>
      <c r="H346" s="100"/>
      <c r="I346" s="101" t="s">
        <v>64</v>
      </c>
      <c r="J346" s="101"/>
      <c r="K346" s="101" t="s">
        <v>9</v>
      </c>
      <c r="L346" s="101"/>
      <c r="M346" s="97">
        <f>M347+M348</f>
        <v>0</v>
      </c>
      <c r="N346" s="97"/>
    </row>
    <row r="347" spans="1:15" s="10" customFormat="1" ht="27.6" hidden="1" x14ac:dyDescent="0.3">
      <c r="A347" s="32" t="s">
        <v>114</v>
      </c>
      <c r="B347" s="33" t="s">
        <v>70</v>
      </c>
      <c r="C347" s="120" t="s">
        <v>115</v>
      </c>
      <c r="D347" s="120"/>
      <c r="E347" s="120"/>
      <c r="F347" s="120"/>
      <c r="G347" s="120"/>
      <c r="H347" s="120"/>
      <c r="I347" s="129"/>
      <c r="J347" s="129"/>
      <c r="K347" s="104">
        <v>1</v>
      </c>
      <c r="L347" s="104"/>
      <c r="M347" s="105">
        <f>ROUND(I347/166.92*K347,2)</f>
        <v>0</v>
      </c>
      <c r="N347" s="105"/>
      <c r="O347" s="21"/>
    </row>
    <row r="348" spans="1:15" s="10" customFormat="1" ht="27.6" hidden="1" x14ac:dyDescent="0.3">
      <c r="A348" s="32" t="s">
        <v>114</v>
      </c>
      <c r="B348" s="33" t="s">
        <v>70</v>
      </c>
      <c r="C348" s="120" t="s">
        <v>113</v>
      </c>
      <c r="D348" s="120"/>
      <c r="E348" s="120"/>
      <c r="F348" s="120"/>
      <c r="G348" s="120"/>
      <c r="H348" s="120"/>
      <c r="I348" s="129"/>
      <c r="J348" s="129"/>
      <c r="K348" s="104">
        <v>1</v>
      </c>
      <c r="L348" s="104"/>
      <c r="M348" s="105">
        <f>ROUND(I348/166.92*K348,2)</f>
        <v>0</v>
      </c>
      <c r="N348" s="105"/>
      <c r="O348" s="21"/>
    </row>
    <row r="349" spans="1:15" x14ac:dyDescent="0.3">
      <c r="A349" s="34"/>
      <c r="B349" s="34"/>
      <c r="C349" s="100" t="s">
        <v>112</v>
      </c>
      <c r="D349" s="100"/>
      <c r="E349" s="100"/>
      <c r="F349" s="100"/>
      <c r="G349" s="100"/>
      <c r="H349" s="100"/>
      <c r="I349" s="101" t="s">
        <v>58</v>
      </c>
      <c r="J349" s="101"/>
      <c r="K349" s="101" t="s">
        <v>9</v>
      </c>
      <c r="L349" s="101"/>
      <c r="M349" s="97">
        <f>SUM(M350:N353)</f>
        <v>56.79</v>
      </c>
      <c r="N349" s="97"/>
      <c r="O349" s="6"/>
    </row>
    <row r="350" spans="1:15" s="56" customFormat="1" ht="42.6" customHeight="1" x14ac:dyDescent="0.3">
      <c r="A350" s="54">
        <v>1142</v>
      </c>
      <c r="B350" s="53" t="s">
        <v>110</v>
      </c>
      <c r="C350" s="93" t="s">
        <v>111</v>
      </c>
      <c r="D350" s="93"/>
      <c r="E350" s="93"/>
      <c r="F350" s="93"/>
      <c r="G350" s="93"/>
      <c r="H350" s="93"/>
      <c r="I350" s="94">
        <f>ROUND(2415/166.92*2,2)</f>
        <v>28.94</v>
      </c>
      <c r="J350" s="94"/>
      <c r="K350" s="91">
        <v>1</v>
      </c>
      <c r="L350" s="91"/>
      <c r="M350" s="92">
        <f>I350*K350</f>
        <v>28.94</v>
      </c>
      <c r="N350" s="92"/>
      <c r="O350" s="55"/>
    </row>
    <row r="351" spans="1:15" s="56" customFormat="1" ht="44.4" customHeight="1" x14ac:dyDescent="0.3">
      <c r="A351" s="54">
        <v>1142</v>
      </c>
      <c r="B351" s="53" t="s">
        <v>110</v>
      </c>
      <c r="C351" s="93" t="s">
        <v>109</v>
      </c>
      <c r="D351" s="93"/>
      <c r="E351" s="93"/>
      <c r="F351" s="93"/>
      <c r="G351" s="93"/>
      <c r="H351" s="93"/>
      <c r="I351" s="94">
        <f>ROUND(2235/166.92*2,2)</f>
        <v>26.78</v>
      </c>
      <c r="J351" s="94"/>
      <c r="K351" s="91">
        <v>1</v>
      </c>
      <c r="L351" s="91"/>
      <c r="M351" s="92">
        <f>I351*K351</f>
        <v>26.78</v>
      </c>
      <c r="N351" s="92"/>
      <c r="O351" s="55"/>
    </row>
    <row r="352" spans="1:15" s="10" customFormat="1" ht="27.6" x14ac:dyDescent="0.3">
      <c r="A352" s="35">
        <v>1143</v>
      </c>
      <c r="B352" s="33" t="s">
        <v>60</v>
      </c>
      <c r="C352" s="113" t="s">
        <v>108</v>
      </c>
      <c r="D352" s="113"/>
      <c r="E352" s="113"/>
      <c r="F352" s="113"/>
      <c r="G352" s="113"/>
      <c r="H352" s="113"/>
      <c r="I352" s="103">
        <v>106</v>
      </c>
      <c r="J352" s="103"/>
      <c r="K352" s="104">
        <v>1</v>
      </c>
      <c r="L352" s="104"/>
      <c r="M352" s="105">
        <f>ROUND(I352/166.92*K352,2)</f>
        <v>0.64</v>
      </c>
      <c r="N352" s="105"/>
      <c r="O352" s="22"/>
    </row>
    <row r="353" spans="1:17" s="10" customFormat="1" ht="27.6" x14ac:dyDescent="0.3">
      <c r="A353" s="35">
        <v>1143</v>
      </c>
      <c r="B353" s="33" t="s">
        <v>60</v>
      </c>
      <c r="C353" s="113" t="s">
        <v>107</v>
      </c>
      <c r="D353" s="113"/>
      <c r="E353" s="113"/>
      <c r="F353" s="113"/>
      <c r="G353" s="113"/>
      <c r="H353" s="113"/>
      <c r="I353" s="104">
        <v>71</v>
      </c>
      <c r="J353" s="104"/>
      <c r="K353" s="104">
        <v>1</v>
      </c>
      <c r="L353" s="104"/>
      <c r="M353" s="105">
        <f>ROUND(I353/166.92*K353,2)</f>
        <v>0.43</v>
      </c>
      <c r="N353" s="105"/>
      <c r="O353" s="22"/>
    </row>
    <row r="354" spans="1:17" x14ac:dyDescent="0.3">
      <c r="A354" s="29">
        <v>1200</v>
      </c>
      <c r="B354" s="89" t="s">
        <v>54</v>
      </c>
      <c r="C354" s="89"/>
      <c r="D354" s="89"/>
      <c r="E354" s="89"/>
      <c r="F354" s="89"/>
      <c r="G354" s="89"/>
      <c r="H354" s="89"/>
      <c r="I354" s="89"/>
      <c r="J354" s="89"/>
      <c r="K354" s="89"/>
      <c r="L354" s="89"/>
      <c r="M354" s="90">
        <f>M355</f>
        <v>13.4</v>
      </c>
      <c r="N354" s="90"/>
      <c r="O354" s="6"/>
    </row>
    <row r="355" spans="1:17" ht="21" customHeight="1" x14ac:dyDescent="0.3">
      <c r="A355" s="36">
        <v>1210</v>
      </c>
      <c r="B355" s="99" t="s">
        <v>53</v>
      </c>
      <c r="C355" s="99"/>
      <c r="D355" s="99"/>
      <c r="E355" s="99"/>
      <c r="F355" s="99"/>
      <c r="G355" s="99"/>
      <c r="H355" s="99"/>
      <c r="I355" s="99"/>
      <c r="J355" s="99"/>
      <c r="K355" s="99"/>
      <c r="L355" s="99"/>
      <c r="M355" s="98">
        <f>ROUND(M345*0.2359,2)</f>
        <v>13.4</v>
      </c>
      <c r="N355" s="98"/>
      <c r="O355" s="6"/>
    </row>
    <row r="356" spans="1:17" x14ac:dyDescent="0.3">
      <c r="A356" s="28">
        <v>2000</v>
      </c>
      <c r="B356" s="89" t="s">
        <v>52</v>
      </c>
      <c r="C356" s="89"/>
      <c r="D356" s="89"/>
      <c r="E356" s="89"/>
      <c r="F356" s="89"/>
      <c r="G356" s="89"/>
      <c r="H356" s="89"/>
      <c r="I356" s="89"/>
      <c r="J356" s="89"/>
      <c r="K356" s="89"/>
      <c r="L356" s="89"/>
      <c r="M356" s="117">
        <f>M357</f>
        <v>0.49</v>
      </c>
      <c r="N356" s="90"/>
      <c r="O356" s="6"/>
    </row>
    <row r="357" spans="1:17" x14ac:dyDescent="0.3">
      <c r="A357" s="29">
        <v>2300</v>
      </c>
      <c r="B357" s="89" t="s">
        <v>34</v>
      </c>
      <c r="C357" s="89"/>
      <c r="D357" s="89"/>
      <c r="E357" s="89"/>
      <c r="F357" s="89"/>
      <c r="G357" s="89"/>
      <c r="H357" s="89"/>
      <c r="I357" s="89"/>
      <c r="J357" s="89"/>
      <c r="K357" s="89"/>
      <c r="L357" s="89"/>
      <c r="M357" s="117">
        <f>SUM(M359:N373)</f>
        <v>0.49</v>
      </c>
      <c r="N357" s="90"/>
      <c r="O357" s="6"/>
    </row>
    <row r="358" spans="1:17" ht="27.6" x14ac:dyDescent="0.3">
      <c r="A358" s="31"/>
      <c r="B358" s="30"/>
      <c r="C358" s="100" t="s">
        <v>13</v>
      </c>
      <c r="D358" s="100"/>
      <c r="E358" s="100"/>
      <c r="F358" s="100"/>
      <c r="G358" s="100"/>
      <c r="H358" s="100"/>
      <c r="I358" s="37" t="s">
        <v>104</v>
      </c>
      <c r="J358" s="37" t="s">
        <v>103</v>
      </c>
      <c r="K358" s="101" t="s">
        <v>9</v>
      </c>
      <c r="L358" s="101"/>
      <c r="M358" s="121"/>
      <c r="N358" s="97"/>
      <c r="O358" s="6"/>
    </row>
    <row r="359" spans="1:17" x14ac:dyDescent="0.3">
      <c r="A359" s="31">
        <v>2322</v>
      </c>
      <c r="B359" s="30" t="s">
        <v>102</v>
      </c>
      <c r="C359" s="115" t="s">
        <v>101</v>
      </c>
      <c r="D359" s="115"/>
      <c r="E359" s="115"/>
      <c r="F359" s="115"/>
      <c r="G359" s="115"/>
      <c r="H359" s="115"/>
      <c r="I359" s="38">
        <v>0</v>
      </c>
      <c r="J359" s="38">
        <v>1.204</v>
      </c>
      <c r="K359" s="105">
        <v>1</v>
      </c>
      <c r="L359" s="105"/>
      <c r="M359" s="116">
        <f>I359*J359</f>
        <v>0</v>
      </c>
      <c r="N359" s="116"/>
      <c r="O359" s="6">
        <f>120</f>
        <v>120</v>
      </c>
      <c r="P359">
        <v>0.8</v>
      </c>
      <c r="Q359">
        <f>O359*P359</f>
        <v>96</v>
      </c>
    </row>
    <row r="360" spans="1:17" x14ac:dyDescent="0.3">
      <c r="A360" s="31">
        <v>2329</v>
      </c>
      <c r="B360" s="30" t="s">
        <v>100</v>
      </c>
      <c r="C360" s="115" t="s">
        <v>99</v>
      </c>
      <c r="D360" s="115"/>
      <c r="E360" s="115"/>
      <c r="F360" s="115"/>
      <c r="G360" s="115"/>
      <c r="H360" s="115"/>
      <c r="I360" s="39">
        <v>7.0000000000000007E-2</v>
      </c>
      <c r="J360" s="38"/>
      <c r="K360" s="105">
        <v>1</v>
      </c>
      <c r="L360" s="105"/>
      <c r="M360" s="131">
        <f>ROUND(M359*I360,2)</f>
        <v>0</v>
      </c>
      <c r="N360" s="131"/>
      <c r="O360" s="6"/>
    </row>
    <row r="361" spans="1:17" ht="27.6" x14ac:dyDescent="0.3">
      <c r="A361" s="98">
        <v>2364</v>
      </c>
      <c r="B361" s="99" t="s">
        <v>98</v>
      </c>
      <c r="C361" s="100" t="s">
        <v>13</v>
      </c>
      <c r="D361" s="100"/>
      <c r="E361" s="100"/>
      <c r="F361" s="100"/>
      <c r="G361" s="100"/>
      <c r="H361" s="37" t="s">
        <v>32</v>
      </c>
      <c r="I361" s="101" t="s">
        <v>10</v>
      </c>
      <c r="J361" s="101"/>
      <c r="K361" s="101" t="s">
        <v>9</v>
      </c>
      <c r="L361" s="101"/>
      <c r="M361" s="97"/>
      <c r="N361" s="97"/>
      <c r="O361" s="6"/>
    </row>
    <row r="362" spans="1:17" s="5" customFormat="1" x14ac:dyDescent="0.3">
      <c r="A362" s="98"/>
      <c r="B362" s="99"/>
      <c r="C362" s="85" t="s">
        <v>97</v>
      </c>
      <c r="D362" s="85"/>
      <c r="E362" s="85"/>
      <c r="F362" s="85"/>
      <c r="G362" s="85"/>
      <c r="H362" s="40">
        <v>1</v>
      </c>
      <c r="I362" s="86">
        <v>33.549999999999997</v>
      </c>
      <c r="J362" s="86"/>
      <c r="K362" s="86">
        <v>1</v>
      </c>
      <c r="L362" s="86"/>
      <c r="M362" s="87">
        <f>ROUND(I362*2/H362/365/24*2,2)</f>
        <v>0.02</v>
      </c>
      <c r="N362" s="87"/>
      <c r="O362" s="8"/>
    </row>
    <row r="363" spans="1:17" s="5" customFormat="1" x14ac:dyDescent="0.3">
      <c r="A363" s="98"/>
      <c r="B363" s="99"/>
      <c r="C363" s="85" t="s">
        <v>96</v>
      </c>
      <c r="D363" s="85"/>
      <c r="E363" s="85"/>
      <c r="F363" s="85"/>
      <c r="G363" s="85"/>
      <c r="H363" s="40">
        <v>4</v>
      </c>
      <c r="I363" s="86">
        <v>350.9</v>
      </c>
      <c r="J363" s="86"/>
      <c r="K363" s="86">
        <v>1</v>
      </c>
      <c r="L363" s="86"/>
      <c r="M363" s="87">
        <f>ROUND(I363*2/H363/365/24*2,2)</f>
        <v>0.04</v>
      </c>
      <c r="N363" s="87"/>
      <c r="O363" s="8"/>
    </row>
    <row r="364" spans="1:17" s="5" customFormat="1" x14ac:dyDescent="0.3">
      <c r="A364" s="98"/>
      <c r="B364" s="99"/>
      <c r="C364" s="85" t="s">
        <v>95</v>
      </c>
      <c r="D364" s="85"/>
      <c r="E364" s="85"/>
      <c r="F364" s="85"/>
      <c r="G364" s="85"/>
      <c r="H364" s="40">
        <v>4</v>
      </c>
      <c r="I364" s="86">
        <v>1057.1600000000001</v>
      </c>
      <c r="J364" s="86"/>
      <c r="K364" s="86">
        <v>1</v>
      </c>
      <c r="L364" s="86"/>
      <c r="M364" s="87">
        <f>ROUND(I364*2/H364/365/24*2,2)</f>
        <v>0.12</v>
      </c>
      <c r="N364" s="87"/>
      <c r="O364" s="8"/>
    </row>
    <row r="365" spans="1:17" s="5" customFormat="1" x14ac:dyDescent="0.3">
      <c r="A365" s="98"/>
      <c r="B365" s="99"/>
      <c r="C365" s="85" t="s">
        <v>94</v>
      </c>
      <c r="D365" s="85"/>
      <c r="E365" s="85"/>
      <c r="F365" s="85"/>
      <c r="G365" s="85"/>
      <c r="H365" s="40">
        <v>3</v>
      </c>
      <c r="I365" s="86">
        <v>112.05</v>
      </c>
      <c r="J365" s="86"/>
      <c r="K365" s="86">
        <v>1</v>
      </c>
      <c r="L365" s="86"/>
      <c r="M365" s="87">
        <f>ROUND(I365/H365/365/24*2,2)</f>
        <v>0.01</v>
      </c>
      <c r="N365" s="87"/>
      <c r="O365" s="8"/>
    </row>
    <row r="366" spans="1:17" s="5" customFormat="1" x14ac:dyDescent="0.3">
      <c r="A366" s="98"/>
      <c r="B366" s="99"/>
      <c r="C366" s="85" t="s">
        <v>93</v>
      </c>
      <c r="D366" s="85"/>
      <c r="E366" s="85"/>
      <c r="F366" s="85"/>
      <c r="G366" s="85"/>
      <c r="H366" s="40">
        <v>3</v>
      </c>
      <c r="I366" s="86">
        <v>159.72</v>
      </c>
      <c r="J366" s="86"/>
      <c r="K366" s="86">
        <v>1</v>
      </c>
      <c r="L366" s="86"/>
      <c r="M366" s="87">
        <f>ROUND(I366/H366/365/24*2,2)</f>
        <v>0.01</v>
      </c>
      <c r="N366" s="87"/>
      <c r="O366" s="8"/>
    </row>
    <row r="367" spans="1:17" s="5" customFormat="1" x14ac:dyDescent="0.3">
      <c r="A367" s="98"/>
      <c r="B367" s="99"/>
      <c r="C367" s="85" t="s">
        <v>92</v>
      </c>
      <c r="D367" s="85"/>
      <c r="E367" s="85"/>
      <c r="F367" s="85"/>
      <c r="G367" s="85"/>
      <c r="H367" s="40">
        <v>2</v>
      </c>
      <c r="I367" s="86">
        <v>38.72</v>
      </c>
      <c r="J367" s="86"/>
      <c r="K367" s="86">
        <v>1</v>
      </c>
      <c r="L367" s="86"/>
      <c r="M367" s="87">
        <f>ROUND(I367*2/H367/365/24*2,2)</f>
        <v>0.01</v>
      </c>
      <c r="N367" s="87"/>
      <c r="O367" s="8"/>
    </row>
    <row r="368" spans="1:17" s="5" customFormat="1" x14ac:dyDescent="0.3">
      <c r="A368" s="98"/>
      <c r="B368" s="99"/>
      <c r="C368" s="85" t="s">
        <v>91</v>
      </c>
      <c r="D368" s="85"/>
      <c r="E368" s="85"/>
      <c r="F368" s="85"/>
      <c r="G368" s="85"/>
      <c r="H368" s="40">
        <v>5</v>
      </c>
      <c r="I368" s="86">
        <v>907.5</v>
      </c>
      <c r="J368" s="86"/>
      <c r="K368" s="86">
        <v>1</v>
      </c>
      <c r="L368" s="86"/>
      <c r="M368" s="87">
        <f>ROUND(I368/H368/365/24*2,2)</f>
        <v>0.04</v>
      </c>
      <c r="N368" s="87"/>
      <c r="O368" s="8"/>
    </row>
    <row r="369" spans="1:23" s="5" customFormat="1" x14ac:dyDescent="0.3">
      <c r="A369" s="98"/>
      <c r="B369" s="99"/>
      <c r="C369" s="85" t="s">
        <v>90</v>
      </c>
      <c r="D369" s="85"/>
      <c r="E369" s="85"/>
      <c r="F369" s="85"/>
      <c r="G369" s="85"/>
      <c r="H369" s="40">
        <v>4</v>
      </c>
      <c r="I369" s="86">
        <v>249.96</v>
      </c>
      <c r="J369" s="86"/>
      <c r="K369" s="86">
        <v>1</v>
      </c>
      <c r="L369" s="86"/>
      <c r="M369" s="87">
        <f>ROUND(I369/H369/365/24*2,2)</f>
        <v>0.01</v>
      </c>
      <c r="N369" s="87"/>
      <c r="O369" s="8"/>
    </row>
    <row r="370" spans="1:23" s="5" customFormat="1" x14ac:dyDescent="0.3">
      <c r="A370" s="98"/>
      <c r="B370" s="99"/>
      <c r="C370" s="85" t="s">
        <v>89</v>
      </c>
      <c r="D370" s="85"/>
      <c r="E370" s="85"/>
      <c r="F370" s="85"/>
      <c r="G370" s="85"/>
      <c r="H370" s="40">
        <v>2</v>
      </c>
      <c r="I370" s="86">
        <v>16</v>
      </c>
      <c r="J370" s="86"/>
      <c r="K370" s="86">
        <v>1</v>
      </c>
      <c r="L370" s="86"/>
      <c r="M370" s="87">
        <f>ROUND(I370/H370/365/24*2,2)</f>
        <v>0</v>
      </c>
      <c r="N370" s="87"/>
      <c r="O370" s="8"/>
    </row>
    <row r="371" spans="1:23" s="5" customFormat="1" x14ac:dyDescent="0.3">
      <c r="A371" s="98"/>
      <c r="B371" s="99"/>
      <c r="C371" s="85" t="s">
        <v>88</v>
      </c>
      <c r="D371" s="85"/>
      <c r="E371" s="85"/>
      <c r="F371" s="85"/>
      <c r="G371" s="85"/>
      <c r="H371" s="40">
        <v>1</v>
      </c>
      <c r="I371" s="86">
        <v>89.74</v>
      </c>
      <c r="J371" s="86"/>
      <c r="K371" s="86">
        <v>1</v>
      </c>
      <c r="L371" s="86"/>
      <c r="M371" s="87">
        <f>ROUND(I371*2/H371/365/24*2,2)</f>
        <v>0.04</v>
      </c>
      <c r="N371" s="87"/>
      <c r="O371" s="8"/>
    </row>
    <row r="372" spans="1:23" s="5" customFormat="1" x14ac:dyDescent="0.3">
      <c r="A372" s="98"/>
      <c r="B372" s="99"/>
      <c r="C372" s="85" t="s">
        <v>87</v>
      </c>
      <c r="D372" s="85"/>
      <c r="E372" s="85"/>
      <c r="F372" s="85"/>
      <c r="G372" s="85"/>
      <c r="H372" s="40">
        <v>4</v>
      </c>
      <c r="I372" s="86">
        <v>3261.98</v>
      </c>
      <c r="J372" s="86"/>
      <c r="K372" s="86">
        <v>1</v>
      </c>
      <c r="L372" s="86"/>
      <c r="M372" s="87">
        <f>ROUND(I372/H372/365/24*2,2)</f>
        <v>0.19</v>
      </c>
      <c r="N372" s="87"/>
      <c r="O372" s="8"/>
    </row>
    <row r="373" spans="1:23" s="5" customFormat="1" x14ac:dyDescent="0.3">
      <c r="A373" s="98"/>
      <c r="B373" s="99"/>
      <c r="C373" s="85" t="s">
        <v>86</v>
      </c>
      <c r="D373" s="85"/>
      <c r="E373" s="85"/>
      <c r="F373" s="85"/>
      <c r="G373" s="85"/>
      <c r="H373" s="40">
        <v>6</v>
      </c>
      <c r="I373" s="86">
        <v>107.97</v>
      </c>
      <c r="J373" s="86"/>
      <c r="K373" s="86">
        <v>1</v>
      </c>
      <c r="L373" s="86"/>
      <c r="M373" s="87">
        <f>ROUND(I373/H373/365/24*2,2)</f>
        <v>0</v>
      </c>
      <c r="N373" s="87"/>
      <c r="O373" s="8"/>
    </row>
    <row r="374" spans="1:23" x14ac:dyDescent="0.3">
      <c r="A374" s="28">
        <v>5000</v>
      </c>
      <c r="B374" s="89" t="s">
        <v>14</v>
      </c>
      <c r="C374" s="89"/>
      <c r="D374" s="89"/>
      <c r="E374" s="89"/>
      <c r="F374" s="89"/>
      <c r="G374" s="89"/>
      <c r="H374" s="89"/>
      <c r="I374" s="89"/>
      <c r="J374" s="89"/>
      <c r="K374" s="89"/>
      <c r="L374" s="89"/>
      <c r="M374" s="117">
        <f>SUM(M376:N381)</f>
        <v>166.04</v>
      </c>
      <c r="N374" s="90"/>
      <c r="O374" s="7"/>
    </row>
    <row r="375" spans="1:23" ht="15" customHeight="1" x14ac:dyDescent="0.3">
      <c r="A375" s="31"/>
      <c r="B375" s="31"/>
      <c r="C375" s="100" t="s">
        <v>13</v>
      </c>
      <c r="D375" s="100"/>
      <c r="E375" s="101" t="s">
        <v>12</v>
      </c>
      <c r="F375" s="101"/>
      <c r="G375" s="101" t="s">
        <v>11</v>
      </c>
      <c r="H375" s="101"/>
      <c r="I375" s="100" t="s">
        <v>10</v>
      </c>
      <c r="J375" s="100"/>
      <c r="K375" s="101" t="s">
        <v>9</v>
      </c>
      <c r="L375" s="101"/>
      <c r="M375" s="97"/>
      <c r="N375" s="97"/>
    </row>
    <row r="376" spans="1:23" ht="30" customHeight="1" x14ac:dyDescent="0.3">
      <c r="A376" s="98">
        <v>5239</v>
      </c>
      <c r="B376" s="122" t="s">
        <v>85</v>
      </c>
      <c r="C376" s="99" t="s">
        <v>84</v>
      </c>
      <c r="D376" s="99"/>
      <c r="E376" s="102">
        <v>10</v>
      </c>
      <c r="F376" s="102"/>
      <c r="G376" s="102">
        <v>1</v>
      </c>
      <c r="H376" s="102"/>
      <c r="I376" s="102">
        <v>3360.17</v>
      </c>
      <c r="J376" s="102"/>
      <c r="K376" s="102">
        <v>1</v>
      </c>
      <c r="L376" s="102"/>
      <c r="M376" s="87">
        <v>7.67</v>
      </c>
      <c r="N376" s="87"/>
      <c r="O376" s="127"/>
      <c r="V376" t="s">
        <v>81</v>
      </c>
    </row>
    <row r="377" spans="1:23" ht="27" customHeight="1" x14ac:dyDescent="0.3">
      <c r="A377" s="98"/>
      <c r="B377" s="122"/>
      <c r="C377" s="99" t="s">
        <v>83</v>
      </c>
      <c r="D377" s="99"/>
      <c r="E377" s="102">
        <v>10</v>
      </c>
      <c r="F377" s="102"/>
      <c r="G377" s="102">
        <v>1</v>
      </c>
      <c r="H377" s="102"/>
      <c r="I377" s="102">
        <v>507.84</v>
      </c>
      <c r="J377" s="102"/>
      <c r="K377" s="102">
        <v>1</v>
      </c>
      <c r="L377" s="102"/>
      <c r="M377" s="87">
        <v>1.1599999999999999</v>
      </c>
      <c r="N377" s="87"/>
      <c r="O377" s="127"/>
      <c r="V377" t="s">
        <v>79</v>
      </c>
    </row>
    <row r="378" spans="1:23" x14ac:dyDescent="0.3">
      <c r="A378" s="98"/>
      <c r="B378" s="122"/>
      <c r="C378" s="99" t="s">
        <v>82</v>
      </c>
      <c r="D378" s="99"/>
      <c r="E378" s="102">
        <v>10</v>
      </c>
      <c r="F378" s="102"/>
      <c r="G378" s="102">
        <v>1</v>
      </c>
      <c r="H378" s="102"/>
      <c r="I378" s="102">
        <v>317.02</v>
      </c>
      <c r="J378" s="102"/>
      <c r="K378" s="102">
        <v>1</v>
      </c>
      <c r="L378" s="102"/>
      <c r="M378" s="87">
        <v>0.72</v>
      </c>
      <c r="N378" s="87"/>
      <c r="O378" s="127"/>
      <c r="V378" t="s">
        <v>81</v>
      </c>
    </row>
    <row r="379" spans="1:23" x14ac:dyDescent="0.3">
      <c r="A379" s="98"/>
      <c r="B379" s="122"/>
      <c r="C379" s="99" t="s">
        <v>80</v>
      </c>
      <c r="D379" s="99"/>
      <c r="E379" s="102">
        <v>10</v>
      </c>
      <c r="F379" s="102"/>
      <c r="G379" s="102">
        <v>1</v>
      </c>
      <c r="H379" s="102"/>
      <c r="I379" s="102">
        <v>525.14</v>
      </c>
      <c r="J379" s="102"/>
      <c r="K379" s="102">
        <v>1</v>
      </c>
      <c r="L379" s="102"/>
      <c r="M379" s="87">
        <v>1.2</v>
      </c>
      <c r="N379" s="87"/>
      <c r="O379" s="127"/>
      <c r="V379" t="s">
        <v>79</v>
      </c>
    </row>
    <row r="380" spans="1:23" ht="44.4" customHeight="1" x14ac:dyDescent="0.3">
      <c r="A380" s="31">
        <v>5231</v>
      </c>
      <c r="B380" s="31" t="s">
        <v>78</v>
      </c>
      <c r="C380" s="99" t="s">
        <v>77</v>
      </c>
      <c r="D380" s="99"/>
      <c r="E380" s="86">
        <v>6.67</v>
      </c>
      <c r="F380" s="86"/>
      <c r="G380" s="86">
        <v>1</v>
      </c>
      <c r="H380" s="86"/>
      <c r="I380" s="133">
        <v>4665664.67</v>
      </c>
      <c r="J380" s="133"/>
      <c r="K380" s="86">
        <v>1</v>
      </c>
      <c r="L380" s="86"/>
      <c r="M380" s="98">
        <f>ROUND(I380*E380/100/12/167*K380,2)</f>
        <v>155.29</v>
      </c>
      <c r="N380" s="98"/>
      <c r="O380" s="127">
        <f>I380/15/365/24</f>
        <v>35.507341476407909</v>
      </c>
      <c r="P380">
        <v>308651</v>
      </c>
      <c r="Q380">
        <v>206</v>
      </c>
      <c r="S380">
        <v>4762827.67</v>
      </c>
      <c r="T380">
        <v>119</v>
      </c>
      <c r="V380">
        <v>180</v>
      </c>
    </row>
    <row r="381" spans="1:23" x14ac:dyDescent="0.3">
      <c r="A381" s="31"/>
      <c r="B381" s="31"/>
      <c r="C381" s="99" t="s">
        <v>76</v>
      </c>
      <c r="D381" s="99"/>
      <c r="E381" s="86"/>
      <c r="F381" s="86"/>
      <c r="G381" s="86"/>
      <c r="H381" s="86"/>
      <c r="I381" s="133"/>
      <c r="J381" s="133"/>
      <c r="K381" s="86"/>
      <c r="L381" s="86"/>
      <c r="M381" s="98"/>
      <c r="N381" s="98"/>
      <c r="O381" s="127"/>
      <c r="P381">
        <v>413878.99</v>
      </c>
      <c r="Q381">
        <v>206</v>
      </c>
      <c r="R381" s="12">
        <f>SUM(P380:P381)/2</f>
        <v>361264.995</v>
      </c>
      <c r="S381">
        <v>4568501.67</v>
      </c>
      <c r="T381">
        <v>119</v>
      </c>
      <c r="U381" s="12">
        <f>SUM(S380:S381)/2</f>
        <v>4665664.67</v>
      </c>
      <c r="V381" t="s">
        <v>75</v>
      </c>
      <c r="W381" t="s">
        <v>74</v>
      </c>
    </row>
    <row r="382" spans="1:23" x14ac:dyDescent="0.3">
      <c r="A382" s="72" t="s">
        <v>73</v>
      </c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4"/>
      <c r="M382" s="124">
        <f>ROUND(M356+M344+M374,2)</f>
        <v>236.72</v>
      </c>
      <c r="N382" s="125"/>
      <c r="T382" t="e">
        <f>#REF!/167</f>
        <v>#REF!</v>
      </c>
    </row>
    <row r="383" spans="1:23" x14ac:dyDescent="0.3">
      <c r="A383" s="48"/>
      <c r="B383" s="48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</row>
    <row r="384" spans="1:23" x14ac:dyDescent="0.3">
      <c r="A384" s="75" t="s">
        <v>1</v>
      </c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7"/>
    </row>
    <row r="385" spans="1:15" x14ac:dyDescent="0.3">
      <c r="A385" s="28">
        <v>1000</v>
      </c>
      <c r="B385" s="89" t="s">
        <v>72</v>
      </c>
      <c r="C385" s="89"/>
      <c r="D385" s="89"/>
      <c r="E385" s="89"/>
      <c r="F385" s="89"/>
      <c r="G385" s="89"/>
      <c r="H385" s="89"/>
      <c r="I385" s="89"/>
      <c r="J385" s="89"/>
      <c r="K385" s="89"/>
      <c r="L385" s="89"/>
      <c r="M385" s="117">
        <f>M386+M404</f>
        <v>8.43</v>
      </c>
      <c r="N385" s="90"/>
    </row>
    <row r="386" spans="1:15" x14ac:dyDescent="0.3">
      <c r="A386" s="29">
        <v>1100</v>
      </c>
      <c r="B386" s="89" t="s">
        <v>71</v>
      </c>
      <c r="C386" s="89"/>
      <c r="D386" s="89"/>
      <c r="E386" s="89"/>
      <c r="F386" s="89"/>
      <c r="G386" s="89"/>
      <c r="H386" s="89"/>
      <c r="I386" s="89"/>
      <c r="J386" s="89"/>
      <c r="K386" s="89"/>
      <c r="L386" s="89"/>
      <c r="M386" s="90">
        <f>M387+M394+M399</f>
        <v>6.82</v>
      </c>
      <c r="N386" s="90"/>
    </row>
    <row r="387" spans="1:15" x14ac:dyDescent="0.3">
      <c r="A387" s="98">
        <v>1116</v>
      </c>
      <c r="B387" s="99" t="s">
        <v>70</v>
      </c>
      <c r="C387" s="100" t="s">
        <v>65</v>
      </c>
      <c r="D387" s="100"/>
      <c r="E387" s="100"/>
      <c r="F387" s="100"/>
      <c r="G387" s="100"/>
      <c r="H387" s="100"/>
      <c r="I387" s="101" t="s">
        <v>64</v>
      </c>
      <c r="J387" s="101"/>
      <c r="K387" s="101" t="s">
        <v>9</v>
      </c>
      <c r="L387" s="101"/>
      <c r="M387" s="97">
        <f>M388+M390+M392</f>
        <v>2.81</v>
      </c>
      <c r="N387" s="97"/>
    </row>
    <row r="388" spans="1:15" s="10" customFormat="1" ht="30" customHeight="1" x14ac:dyDescent="0.3">
      <c r="A388" s="98"/>
      <c r="B388" s="99"/>
      <c r="C388" s="113" t="s">
        <v>69</v>
      </c>
      <c r="D388" s="113"/>
      <c r="E388" s="113"/>
      <c r="F388" s="113"/>
      <c r="G388" s="113"/>
      <c r="H388" s="113"/>
      <c r="I388" s="129">
        <v>2645</v>
      </c>
      <c r="J388" s="129"/>
      <c r="K388" s="104">
        <v>3.3000000000000002E-2</v>
      </c>
      <c r="L388" s="104"/>
      <c r="M388" s="105">
        <f>ROUND(I388/166.92*K388,2)</f>
        <v>0.52</v>
      </c>
      <c r="N388" s="105"/>
      <c r="O388" s="130"/>
    </row>
    <row r="389" spans="1:15" s="10" customFormat="1" ht="17.100000000000001" customHeight="1" x14ac:dyDescent="0.3">
      <c r="A389" s="98"/>
      <c r="B389" s="99"/>
      <c r="C389" s="113" t="s">
        <v>61</v>
      </c>
      <c r="D389" s="113"/>
      <c r="E389" s="113"/>
      <c r="F389" s="113"/>
      <c r="G389" s="113"/>
      <c r="H389" s="113"/>
      <c r="I389" s="129"/>
      <c r="J389" s="129"/>
      <c r="K389" s="104"/>
      <c r="L389" s="104"/>
      <c r="M389" s="105">
        <f>ROUND(I389/167*K389,2)</f>
        <v>0</v>
      </c>
      <c r="N389" s="105"/>
      <c r="O389" s="130"/>
    </row>
    <row r="390" spans="1:15" s="10" customFormat="1" ht="30.9" customHeight="1" x14ac:dyDescent="0.3">
      <c r="A390" s="98"/>
      <c r="B390" s="99"/>
      <c r="C390" s="113" t="s">
        <v>68</v>
      </c>
      <c r="D390" s="113"/>
      <c r="E390" s="113"/>
      <c r="F390" s="113"/>
      <c r="G390" s="113"/>
      <c r="H390" s="113"/>
      <c r="I390" s="129">
        <v>2635</v>
      </c>
      <c r="J390" s="129"/>
      <c r="K390" s="104">
        <v>8.3000000000000004E-2</v>
      </c>
      <c r="L390" s="104"/>
      <c r="M390" s="105">
        <f>ROUND(I390/166.92*K390,2)</f>
        <v>1.31</v>
      </c>
      <c r="N390" s="105"/>
      <c r="O390" s="130"/>
    </row>
    <row r="391" spans="1:15" s="10" customFormat="1" x14ac:dyDescent="0.3">
      <c r="A391" s="98"/>
      <c r="B391" s="99"/>
      <c r="C391" s="113" t="s">
        <v>61</v>
      </c>
      <c r="D391" s="113"/>
      <c r="E391" s="113"/>
      <c r="F391" s="113"/>
      <c r="G391" s="113"/>
      <c r="H391" s="113"/>
      <c r="I391" s="129"/>
      <c r="J391" s="129"/>
      <c r="K391" s="104"/>
      <c r="L391" s="104"/>
      <c r="M391" s="105">
        <f>ROUND(I391/167*K391,2)</f>
        <v>0</v>
      </c>
      <c r="N391" s="105"/>
      <c r="O391" s="130"/>
    </row>
    <row r="392" spans="1:15" s="10" customFormat="1" ht="33" customHeight="1" x14ac:dyDescent="0.3">
      <c r="A392" s="98"/>
      <c r="B392" s="99"/>
      <c r="C392" s="113" t="s">
        <v>67</v>
      </c>
      <c r="D392" s="113"/>
      <c r="E392" s="113"/>
      <c r="F392" s="113"/>
      <c r="G392" s="113"/>
      <c r="H392" s="113"/>
      <c r="I392" s="129">
        <v>1980</v>
      </c>
      <c r="J392" s="129"/>
      <c r="K392" s="104">
        <v>8.3000000000000004E-2</v>
      </c>
      <c r="L392" s="104"/>
      <c r="M392" s="105">
        <f>ROUND(I392/166.92*K392,2)</f>
        <v>0.98</v>
      </c>
      <c r="N392" s="105"/>
      <c r="O392" s="130"/>
    </row>
    <row r="393" spans="1:15" s="10" customFormat="1" x14ac:dyDescent="0.3">
      <c r="A393" s="98"/>
      <c r="B393" s="99"/>
      <c r="C393" s="113" t="s">
        <v>61</v>
      </c>
      <c r="D393" s="113"/>
      <c r="E393" s="113"/>
      <c r="F393" s="113"/>
      <c r="G393" s="113"/>
      <c r="H393" s="113"/>
      <c r="I393" s="129"/>
      <c r="J393" s="129"/>
      <c r="K393" s="104"/>
      <c r="L393" s="104"/>
      <c r="M393" s="105">
        <f>ROUND(I393/167*K393,2)</f>
        <v>0</v>
      </c>
      <c r="N393" s="105"/>
      <c r="O393" s="130"/>
    </row>
    <row r="394" spans="1:15" x14ac:dyDescent="0.3">
      <c r="A394" s="98">
        <v>1119</v>
      </c>
      <c r="B394" s="99" t="s">
        <v>66</v>
      </c>
      <c r="C394" s="100" t="s">
        <v>65</v>
      </c>
      <c r="D394" s="100"/>
      <c r="E394" s="100"/>
      <c r="F394" s="100"/>
      <c r="G394" s="100"/>
      <c r="H394" s="100"/>
      <c r="I394" s="101" t="s">
        <v>64</v>
      </c>
      <c r="J394" s="101"/>
      <c r="K394" s="101" t="s">
        <v>9</v>
      </c>
      <c r="L394" s="101"/>
      <c r="M394" s="97">
        <f>M395+M397</f>
        <v>3.91</v>
      </c>
      <c r="N394" s="97"/>
      <c r="O394" s="6"/>
    </row>
    <row r="395" spans="1:15" s="10" customFormat="1" ht="29.4" customHeight="1" x14ac:dyDescent="0.3">
      <c r="A395" s="98"/>
      <c r="B395" s="99"/>
      <c r="C395" s="113" t="s">
        <v>63</v>
      </c>
      <c r="D395" s="113"/>
      <c r="E395" s="113"/>
      <c r="F395" s="113"/>
      <c r="G395" s="113"/>
      <c r="H395" s="113"/>
      <c r="I395" s="129">
        <v>1958</v>
      </c>
      <c r="J395" s="129"/>
      <c r="K395" s="104">
        <v>0.33</v>
      </c>
      <c r="L395" s="104"/>
      <c r="M395" s="105">
        <f>ROUND(I395/166.92*K395,2)</f>
        <v>3.87</v>
      </c>
      <c r="N395" s="105"/>
      <c r="O395" s="130"/>
    </row>
    <row r="396" spans="1:15" s="10" customFormat="1" ht="15" customHeight="1" x14ac:dyDescent="0.3">
      <c r="A396" s="98"/>
      <c r="B396" s="99"/>
      <c r="C396" s="113" t="s">
        <v>61</v>
      </c>
      <c r="D396" s="113"/>
      <c r="E396" s="113"/>
      <c r="F396" s="113"/>
      <c r="G396" s="113"/>
      <c r="H396" s="113"/>
      <c r="I396" s="129"/>
      <c r="J396" s="129"/>
      <c r="K396" s="104"/>
      <c r="L396" s="104"/>
      <c r="M396" s="105">
        <f>ROUND(I396/167*K396,2)</f>
        <v>0</v>
      </c>
      <c r="N396" s="105"/>
      <c r="O396" s="130"/>
    </row>
    <row r="397" spans="1:15" s="10" customFormat="1" ht="33" customHeight="1" x14ac:dyDescent="0.3">
      <c r="A397" s="98"/>
      <c r="B397" s="99"/>
      <c r="C397" s="113" t="s">
        <v>62</v>
      </c>
      <c r="D397" s="113"/>
      <c r="E397" s="113"/>
      <c r="F397" s="113"/>
      <c r="G397" s="113"/>
      <c r="H397" s="113"/>
      <c r="I397" s="129">
        <v>729</v>
      </c>
      <c r="J397" s="129"/>
      <c r="K397" s="104">
        <v>0.01</v>
      </c>
      <c r="L397" s="104"/>
      <c r="M397" s="105">
        <f>ROUND(I397/166.92*K397,2)</f>
        <v>0.04</v>
      </c>
      <c r="N397" s="105"/>
      <c r="O397" s="130"/>
    </row>
    <row r="398" spans="1:15" s="10" customFormat="1" ht="15" customHeight="1" x14ac:dyDescent="0.3">
      <c r="A398" s="98"/>
      <c r="B398" s="99"/>
      <c r="C398" s="113" t="s">
        <v>61</v>
      </c>
      <c r="D398" s="113"/>
      <c r="E398" s="113"/>
      <c r="F398" s="113"/>
      <c r="G398" s="113"/>
      <c r="H398" s="113"/>
      <c r="I398" s="129"/>
      <c r="J398" s="129"/>
      <c r="K398" s="104"/>
      <c r="L398" s="104"/>
      <c r="M398" s="105">
        <f>ROUND(I398/167*K398,2)</f>
        <v>0</v>
      </c>
      <c r="N398" s="105"/>
      <c r="O398" s="130"/>
    </row>
    <row r="399" spans="1:15" ht="15.75" customHeight="1" x14ac:dyDescent="0.3">
      <c r="A399" s="98">
        <v>1143</v>
      </c>
      <c r="B399" s="99" t="s">
        <v>60</v>
      </c>
      <c r="C399" s="100" t="s">
        <v>59</v>
      </c>
      <c r="D399" s="100"/>
      <c r="E399" s="100"/>
      <c r="F399" s="100"/>
      <c r="G399" s="100"/>
      <c r="H399" s="100"/>
      <c r="I399" s="101" t="s">
        <v>58</v>
      </c>
      <c r="J399" s="101"/>
      <c r="K399" s="101" t="s">
        <v>9</v>
      </c>
      <c r="L399" s="101"/>
      <c r="M399" s="97">
        <f>M400+M402</f>
        <v>0.1</v>
      </c>
      <c r="N399" s="97"/>
      <c r="O399" s="6"/>
    </row>
    <row r="400" spans="1:15" s="10" customFormat="1" x14ac:dyDescent="0.3">
      <c r="A400" s="98"/>
      <c r="B400" s="99"/>
      <c r="C400" s="113" t="s">
        <v>57</v>
      </c>
      <c r="D400" s="113"/>
      <c r="E400" s="113"/>
      <c r="F400" s="113"/>
      <c r="G400" s="113"/>
      <c r="H400" s="113"/>
      <c r="I400" s="104">
        <v>106</v>
      </c>
      <c r="J400" s="104"/>
      <c r="K400" s="104">
        <v>3.3000000000000002E-2</v>
      </c>
      <c r="L400" s="104"/>
      <c r="M400" s="105">
        <f>ROUND(I400/166.92*K400,2)</f>
        <v>0.02</v>
      </c>
      <c r="N400" s="105"/>
      <c r="O400" s="130"/>
    </row>
    <row r="401" spans="1:19" s="10" customFormat="1" ht="15.75" customHeight="1" x14ac:dyDescent="0.3">
      <c r="A401" s="98"/>
      <c r="B401" s="99"/>
      <c r="C401" s="113" t="s">
        <v>55</v>
      </c>
      <c r="D401" s="113"/>
      <c r="E401" s="113"/>
      <c r="F401" s="113"/>
      <c r="G401" s="113"/>
      <c r="H401" s="113"/>
      <c r="I401" s="104"/>
      <c r="J401" s="104"/>
      <c r="K401" s="104"/>
      <c r="L401" s="104"/>
      <c r="M401" s="105">
        <f>ROUND(I401/167*K401,2)</f>
        <v>0</v>
      </c>
      <c r="N401" s="105"/>
      <c r="O401" s="130"/>
    </row>
    <row r="402" spans="1:19" s="10" customFormat="1" x14ac:dyDescent="0.3">
      <c r="A402" s="98"/>
      <c r="B402" s="99"/>
      <c r="C402" s="113" t="s">
        <v>56</v>
      </c>
      <c r="D402" s="113"/>
      <c r="E402" s="113"/>
      <c r="F402" s="113"/>
      <c r="G402" s="113"/>
      <c r="H402" s="113"/>
      <c r="I402" s="104">
        <f>78*2</f>
        <v>156</v>
      </c>
      <c r="J402" s="104"/>
      <c r="K402" s="104">
        <v>8.3000000000000004E-2</v>
      </c>
      <c r="L402" s="104"/>
      <c r="M402" s="105">
        <f>ROUND(I402/166.92*K402,2)</f>
        <v>0.08</v>
      </c>
      <c r="N402" s="105"/>
      <c r="O402" s="130"/>
    </row>
    <row r="403" spans="1:19" s="10" customFormat="1" ht="15.75" customHeight="1" x14ac:dyDescent="0.3">
      <c r="A403" s="98"/>
      <c r="B403" s="99"/>
      <c r="C403" s="113" t="s">
        <v>55</v>
      </c>
      <c r="D403" s="113"/>
      <c r="E403" s="113"/>
      <c r="F403" s="113"/>
      <c r="G403" s="113"/>
      <c r="H403" s="113"/>
      <c r="I403" s="104"/>
      <c r="J403" s="104"/>
      <c r="K403" s="104"/>
      <c r="L403" s="104"/>
      <c r="M403" s="105">
        <f>ROUND(I403/167*K403,2)</f>
        <v>0</v>
      </c>
      <c r="N403" s="105"/>
      <c r="O403" s="130"/>
    </row>
    <row r="404" spans="1:19" x14ac:dyDescent="0.3">
      <c r="A404" s="29">
        <v>1200</v>
      </c>
      <c r="B404" s="89" t="s">
        <v>54</v>
      </c>
      <c r="C404" s="89"/>
      <c r="D404" s="89"/>
      <c r="E404" s="89"/>
      <c r="F404" s="89"/>
      <c r="G404" s="89"/>
      <c r="H404" s="89"/>
      <c r="I404" s="89"/>
      <c r="J404" s="89"/>
      <c r="K404" s="89"/>
      <c r="L404" s="89"/>
      <c r="M404" s="117">
        <f>M405</f>
        <v>1.61</v>
      </c>
      <c r="N404" s="117"/>
      <c r="O404" s="6"/>
    </row>
    <row r="405" spans="1:19" x14ac:dyDescent="0.3">
      <c r="A405" s="36">
        <v>1210</v>
      </c>
      <c r="B405" s="99" t="s">
        <v>53</v>
      </c>
      <c r="C405" s="99"/>
      <c r="D405" s="99"/>
      <c r="E405" s="99"/>
      <c r="F405" s="99"/>
      <c r="G405" s="99"/>
      <c r="H405" s="99"/>
      <c r="I405" s="99"/>
      <c r="J405" s="99"/>
      <c r="K405" s="99"/>
      <c r="L405" s="99"/>
      <c r="M405" s="87">
        <f>ROUND(M386*0.2359,2)</f>
        <v>1.61</v>
      </c>
      <c r="N405" s="87"/>
      <c r="O405" s="6"/>
    </row>
    <row r="406" spans="1:19" x14ac:dyDescent="0.3">
      <c r="A406" s="28">
        <v>2000</v>
      </c>
      <c r="B406" s="89" t="s">
        <v>52</v>
      </c>
      <c r="C406" s="89"/>
      <c r="D406" s="89"/>
      <c r="E406" s="89"/>
      <c r="F406" s="89"/>
      <c r="G406" s="89"/>
      <c r="H406" s="89"/>
      <c r="I406" s="89"/>
      <c r="J406" s="89"/>
      <c r="K406" s="89"/>
      <c r="L406" s="89"/>
      <c r="M406" s="90">
        <f>M407+M418</f>
        <v>40.98</v>
      </c>
      <c r="N406" s="90"/>
      <c r="O406" s="6"/>
    </row>
    <row r="407" spans="1:19" x14ac:dyDescent="0.3">
      <c r="A407" s="29">
        <v>2200</v>
      </c>
      <c r="B407" s="89" t="s">
        <v>51</v>
      </c>
      <c r="C407" s="89"/>
      <c r="D407" s="89"/>
      <c r="E407" s="89"/>
      <c r="F407" s="89"/>
      <c r="G407" s="89"/>
      <c r="H407" s="89"/>
      <c r="I407" s="89"/>
      <c r="J407" s="89"/>
      <c r="K407" s="89"/>
      <c r="L407" s="89"/>
      <c r="M407" s="90">
        <f>SUM(M409:N417)</f>
        <v>40.769999999999996</v>
      </c>
      <c r="N407" s="90"/>
      <c r="O407" s="6"/>
    </row>
    <row r="408" spans="1:19" x14ac:dyDescent="0.3">
      <c r="A408" s="98">
        <v>2220</v>
      </c>
      <c r="B408" s="99" t="s">
        <v>50</v>
      </c>
      <c r="C408" s="100" t="s">
        <v>13</v>
      </c>
      <c r="D408" s="100"/>
      <c r="E408" s="100"/>
      <c r="F408" s="100"/>
      <c r="G408" s="100"/>
      <c r="H408" s="100"/>
      <c r="I408" s="101" t="s">
        <v>10</v>
      </c>
      <c r="J408" s="101"/>
      <c r="K408" s="101" t="s">
        <v>9</v>
      </c>
      <c r="L408" s="101"/>
      <c r="M408" s="97"/>
      <c r="N408" s="97"/>
      <c r="O408" s="6" t="s">
        <v>49</v>
      </c>
      <c r="P408" t="s">
        <v>48</v>
      </c>
    </row>
    <row r="409" spans="1:19" s="9" customFormat="1" x14ac:dyDescent="0.3">
      <c r="A409" s="98"/>
      <c r="B409" s="99"/>
      <c r="C409" s="99" t="s">
        <v>47</v>
      </c>
      <c r="D409" s="99"/>
      <c r="E409" s="99"/>
      <c r="F409" s="99"/>
      <c r="G409" s="99"/>
      <c r="H409" s="99"/>
      <c r="I409" s="86">
        <f>P409</f>
        <v>4.59</v>
      </c>
      <c r="J409" s="86"/>
      <c r="K409" s="86">
        <v>1</v>
      </c>
      <c r="L409" s="86"/>
      <c r="M409" s="126">
        <f t="shared" ref="M409:M417" si="6">I409*K409</f>
        <v>4.59</v>
      </c>
      <c r="N409" s="126"/>
      <c r="O409" s="43">
        <v>40170.910000000003</v>
      </c>
      <c r="P409" s="9">
        <f>ROUND(O409/365/24,2)</f>
        <v>4.59</v>
      </c>
    </row>
    <row r="410" spans="1:19" s="9" customFormat="1" ht="72" customHeight="1" x14ac:dyDescent="0.3">
      <c r="A410" s="98"/>
      <c r="B410" s="99"/>
      <c r="C410" s="99" t="s">
        <v>46</v>
      </c>
      <c r="D410" s="99"/>
      <c r="E410" s="99"/>
      <c r="F410" s="99"/>
      <c r="G410" s="99"/>
      <c r="H410" s="99"/>
      <c r="I410" s="86">
        <v>1.41</v>
      </c>
      <c r="J410" s="86"/>
      <c r="K410" s="86">
        <v>1</v>
      </c>
      <c r="L410" s="86"/>
      <c r="M410" s="126">
        <f t="shared" si="6"/>
        <v>1.41</v>
      </c>
      <c r="N410" s="126"/>
      <c r="O410" s="44" t="s">
        <v>45</v>
      </c>
    </row>
    <row r="411" spans="1:19" s="9" customFormat="1" ht="27.6" x14ac:dyDescent="0.3">
      <c r="A411" s="31">
        <v>2235</v>
      </c>
      <c r="B411" s="31" t="s">
        <v>44</v>
      </c>
      <c r="C411" s="99" t="s">
        <v>43</v>
      </c>
      <c r="D411" s="99"/>
      <c r="E411" s="99"/>
      <c r="F411" s="99"/>
      <c r="G411" s="99"/>
      <c r="H411" s="99"/>
      <c r="I411" s="86">
        <f>P411</f>
        <v>33.409999999999997</v>
      </c>
      <c r="J411" s="86"/>
      <c r="K411" s="86">
        <v>1</v>
      </c>
      <c r="L411" s="86"/>
      <c r="M411" s="126">
        <f t="shared" si="6"/>
        <v>33.409999999999997</v>
      </c>
      <c r="N411" s="126"/>
      <c r="O411" s="45">
        <v>292695.89</v>
      </c>
      <c r="P411" s="9">
        <f t="shared" ref="P411:P417" si="7">ROUND(O411/365/24,2)</f>
        <v>33.409999999999997</v>
      </c>
    </row>
    <row r="412" spans="1:19" ht="27.6" x14ac:dyDescent="0.3">
      <c r="A412" s="31">
        <v>2234</v>
      </c>
      <c r="B412" s="31" t="s">
        <v>42</v>
      </c>
      <c r="C412" s="99" t="s">
        <v>41</v>
      </c>
      <c r="D412" s="99"/>
      <c r="E412" s="99"/>
      <c r="F412" s="99"/>
      <c r="G412" s="99"/>
      <c r="H412" s="99"/>
      <c r="I412" s="86">
        <f>P412</f>
        <v>1</v>
      </c>
      <c r="J412" s="86"/>
      <c r="K412" s="86">
        <v>1</v>
      </c>
      <c r="L412" s="86"/>
      <c r="M412" s="126">
        <f t="shared" si="6"/>
        <v>1</v>
      </c>
      <c r="N412" s="126"/>
      <c r="O412" s="46">
        <v>8720</v>
      </c>
      <c r="P412">
        <f t="shared" si="7"/>
        <v>1</v>
      </c>
    </row>
    <row r="413" spans="1:19" ht="30.9" customHeight="1" x14ac:dyDescent="0.3">
      <c r="A413" s="31">
        <v>2247</v>
      </c>
      <c r="B413" s="31" t="s">
        <v>40</v>
      </c>
      <c r="C413" s="99" t="s">
        <v>39</v>
      </c>
      <c r="D413" s="99"/>
      <c r="E413" s="99"/>
      <c r="F413" s="99"/>
      <c r="G413" s="99"/>
      <c r="H413" s="99"/>
      <c r="I413" s="86">
        <f>P413</f>
        <v>0.33</v>
      </c>
      <c r="J413" s="86"/>
      <c r="K413" s="86">
        <v>1</v>
      </c>
      <c r="L413" s="86"/>
      <c r="M413" s="126">
        <f t="shared" si="6"/>
        <v>0.33</v>
      </c>
      <c r="N413" s="126"/>
      <c r="O413" s="42">
        <v>2920</v>
      </c>
      <c r="P413">
        <f t="shared" si="7"/>
        <v>0.33</v>
      </c>
      <c r="R413">
        <v>2920</v>
      </c>
      <c r="S413" t="s">
        <v>38</v>
      </c>
    </row>
    <row r="414" spans="1:19" ht="72" customHeight="1" x14ac:dyDescent="0.3">
      <c r="A414" s="64">
        <v>2239</v>
      </c>
      <c r="B414" s="122" t="s">
        <v>37</v>
      </c>
      <c r="C414" s="93" t="s">
        <v>140</v>
      </c>
      <c r="D414" s="93"/>
      <c r="E414" s="93"/>
      <c r="F414" s="93"/>
      <c r="G414" s="93"/>
      <c r="H414" s="93"/>
      <c r="I414" s="86"/>
      <c r="J414" s="86"/>
      <c r="K414" s="86"/>
      <c r="L414" s="86"/>
      <c r="M414" s="126">
        <f t="shared" si="6"/>
        <v>0</v>
      </c>
      <c r="N414" s="126"/>
      <c r="O414">
        <f>250+(250*12%)*1.21</f>
        <v>286.3</v>
      </c>
      <c r="P414">
        <f>ROUND(O414/3,2)</f>
        <v>95.43</v>
      </c>
    </row>
    <row r="415" spans="1:19" ht="22.5" customHeight="1" x14ac:dyDescent="0.3">
      <c r="A415" s="65"/>
      <c r="B415" s="122"/>
      <c r="C415" s="99" t="s">
        <v>139</v>
      </c>
      <c r="D415" s="99"/>
      <c r="E415" s="99"/>
      <c r="F415" s="99"/>
      <c r="G415" s="99"/>
      <c r="H415" s="99"/>
      <c r="I415" s="86"/>
      <c r="J415" s="86"/>
      <c r="K415" s="86"/>
      <c r="L415" s="86"/>
      <c r="M415" s="126">
        <f t="shared" si="6"/>
        <v>0</v>
      </c>
      <c r="N415" s="126"/>
      <c r="O415">
        <v>369.2</v>
      </c>
      <c r="P415">
        <f t="shared" si="7"/>
        <v>0.04</v>
      </c>
    </row>
    <row r="416" spans="1:19" ht="18.600000000000001" customHeight="1" x14ac:dyDescent="0.3">
      <c r="A416" s="65"/>
      <c r="B416" s="122"/>
      <c r="C416" s="99" t="s">
        <v>36</v>
      </c>
      <c r="D416" s="99"/>
      <c r="E416" s="99"/>
      <c r="F416" s="99"/>
      <c r="G416" s="99"/>
      <c r="H416" s="99"/>
      <c r="I416" s="86">
        <f>P416</f>
        <v>0.01</v>
      </c>
      <c r="J416" s="86"/>
      <c r="K416" s="86">
        <v>1</v>
      </c>
      <c r="L416" s="86"/>
      <c r="M416" s="126">
        <f t="shared" si="6"/>
        <v>0.01</v>
      </c>
      <c r="N416" s="126"/>
      <c r="O416">
        <v>130</v>
      </c>
      <c r="P416">
        <f t="shared" si="7"/>
        <v>0.01</v>
      </c>
    </row>
    <row r="417" spans="1:16" x14ac:dyDescent="0.3">
      <c r="A417" s="66"/>
      <c r="B417" s="122"/>
      <c r="C417" s="99" t="s">
        <v>35</v>
      </c>
      <c r="D417" s="99"/>
      <c r="E417" s="99"/>
      <c r="F417" s="99"/>
      <c r="G417" s="99"/>
      <c r="H417" s="99"/>
      <c r="I417" s="86">
        <f>P417</f>
        <v>0.02</v>
      </c>
      <c r="J417" s="86"/>
      <c r="K417" s="86">
        <v>1</v>
      </c>
      <c r="L417" s="86"/>
      <c r="M417" s="126">
        <f t="shared" si="6"/>
        <v>0.02</v>
      </c>
      <c r="N417" s="126"/>
      <c r="O417">
        <f>239.47*1.21/2</f>
        <v>144.87934999999999</v>
      </c>
      <c r="P417">
        <f t="shared" si="7"/>
        <v>0.02</v>
      </c>
    </row>
    <row r="418" spans="1:16" x14ac:dyDescent="0.3">
      <c r="A418" s="29">
        <v>2300</v>
      </c>
      <c r="B418" s="89" t="s">
        <v>34</v>
      </c>
      <c r="C418" s="89"/>
      <c r="D418" s="89"/>
      <c r="E418" s="89"/>
      <c r="F418" s="89"/>
      <c r="G418" s="89"/>
      <c r="H418" s="89"/>
      <c r="I418" s="89"/>
      <c r="J418" s="89"/>
      <c r="K418" s="89"/>
      <c r="L418" s="89"/>
      <c r="M418" s="117">
        <f>SUM(M420:N436)</f>
        <v>0.21000000000000005</v>
      </c>
      <c r="N418" s="90"/>
      <c r="O418" s="6"/>
    </row>
    <row r="419" spans="1:16" s="5" customFormat="1" ht="27.6" x14ac:dyDescent="0.3">
      <c r="A419" s="98">
        <v>2364</v>
      </c>
      <c r="B419" s="99" t="s">
        <v>33</v>
      </c>
      <c r="C419" s="100" t="s">
        <v>13</v>
      </c>
      <c r="D419" s="100"/>
      <c r="E419" s="100"/>
      <c r="F419" s="100"/>
      <c r="G419" s="100"/>
      <c r="H419" s="37" t="s">
        <v>32</v>
      </c>
      <c r="I419" s="100" t="s">
        <v>10</v>
      </c>
      <c r="J419" s="100"/>
      <c r="K419" s="101" t="s">
        <v>9</v>
      </c>
      <c r="L419" s="101"/>
      <c r="M419" s="97"/>
      <c r="N419" s="97"/>
      <c r="O419" s="8"/>
    </row>
    <row r="420" spans="1:16" s="5" customFormat="1" x14ac:dyDescent="0.3">
      <c r="A420" s="98"/>
      <c r="B420" s="99"/>
      <c r="C420" s="85" t="s">
        <v>31</v>
      </c>
      <c r="D420" s="85"/>
      <c r="E420" s="85"/>
      <c r="F420" s="85"/>
      <c r="G420" s="85"/>
      <c r="H420" s="40">
        <v>1</v>
      </c>
      <c r="I420" s="86">
        <v>50.07</v>
      </c>
      <c r="J420" s="86"/>
      <c r="K420" s="86">
        <v>1</v>
      </c>
      <c r="L420" s="86"/>
      <c r="M420" s="87">
        <f>ROUND(I420/H420/365/24*3,2)</f>
        <v>0.02</v>
      </c>
      <c r="N420" s="87"/>
      <c r="O420" s="8"/>
    </row>
    <row r="421" spans="1:16" s="5" customFormat="1" x14ac:dyDescent="0.3">
      <c r="A421" s="98"/>
      <c r="B421" s="99"/>
      <c r="C421" s="85" t="s">
        <v>30</v>
      </c>
      <c r="D421" s="85"/>
      <c r="E421" s="85"/>
      <c r="F421" s="85"/>
      <c r="G421" s="85"/>
      <c r="H421" s="40">
        <v>1</v>
      </c>
      <c r="I421" s="86">
        <v>20.239999999999998</v>
      </c>
      <c r="J421" s="86"/>
      <c r="K421" s="86">
        <v>1</v>
      </c>
      <c r="L421" s="86"/>
      <c r="M421" s="87">
        <f>ROUND(I421/H421/365/24*3,2)</f>
        <v>0.01</v>
      </c>
      <c r="N421" s="87"/>
      <c r="O421" s="8"/>
    </row>
    <row r="422" spans="1:16" s="5" customFormat="1" x14ac:dyDescent="0.3">
      <c r="A422" s="98"/>
      <c r="B422" s="99"/>
      <c r="C422" s="85" t="s">
        <v>29</v>
      </c>
      <c r="D422" s="85"/>
      <c r="E422" s="85"/>
      <c r="F422" s="85"/>
      <c r="G422" s="85"/>
      <c r="H422" s="40">
        <v>1</v>
      </c>
      <c r="I422" s="86">
        <v>17.260000000000002</v>
      </c>
      <c r="J422" s="86"/>
      <c r="K422" s="86">
        <v>1</v>
      </c>
      <c r="L422" s="86"/>
      <c r="M422" s="87">
        <f>ROUND(I422/H422/365/24*3,2)</f>
        <v>0.01</v>
      </c>
      <c r="N422" s="87"/>
      <c r="O422" s="8"/>
    </row>
    <row r="423" spans="1:16" s="5" customFormat="1" x14ac:dyDescent="0.3">
      <c r="A423" s="98"/>
      <c r="B423" s="99"/>
      <c r="C423" s="85" t="s">
        <v>28</v>
      </c>
      <c r="D423" s="85"/>
      <c r="E423" s="85"/>
      <c r="F423" s="85"/>
      <c r="G423" s="85"/>
      <c r="H423" s="40">
        <v>2</v>
      </c>
      <c r="I423" s="86">
        <f>39.77+39.77</f>
        <v>79.540000000000006</v>
      </c>
      <c r="J423" s="86"/>
      <c r="K423" s="86">
        <v>1</v>
      </c>
      <c r="L423" s="86"/>
      <c r="M423" s="87">
        <f>ROUND(I423/H423/365/24*3,2)</f>
        <v>0.01</v>
      </c>
      <c r="N423" s="87"/>
      <c r="O423" s="8"/>
    </row>
    <row r="424" spans="1:16" s="5" customFormat="1" x14ac:dyDescent="0.3">
      <c r="A424" s="98"/>
      <c r="B424" s="99"/>
      <c r="C424" s="85" t="s">
        <v>27</v>
      </c>
      <c r="D424" s="85"/>
      <c r="E424" s="85"/>
      <c r="F424" s="85"/>
      <c r="G424" s="85"/>
      <c r="H424" s="40">
        <v>4</v>
      </c>
      <c r="I424" s="86">
        <v>93.75</v>
      </c>
      <c r="J424" s="86"/>
      <c r="K424" s="86">
        <v>1</v>
      </c>
      <c r="L424" s="86"/>
      <c r="M424" s="87">
        <f>ROUND(I424/H424/365/24*3,2)</f>
        <v>0.01</v>
      </c>
      <c r="N424" s="87"/>
      <c r="O424" s="8"/>
    </row>
    <row r="425" spans="1:16" s="5" customFormat="1" x14ac:dyDescent="0.3">
      <c r="A425" s="98"/>
      <c r="B425" s="99"/>
      <c r="C425" s="85" t="s">
        <v>26</v>
      </c>
      <c r="D425" s="85"/>
      <c r="E425" s="85"/>
      <c r="F425" s="85"/>
      <c r="G425" s="85"/>
      <c r="H425" s="40">
        <v>2</v>
      </c>
      <c r="I425" s="86">
        <v>111</v>
      </c>
      <c r="J425" s="86"/>
      <c r="K425" s="86">
        <v>1</v>
      </c>
      <c r="L425" s="86"/>
      <c r="M425" s="87">
        <f>ROUND(I425/H425/365/24*2*3,2)</f>
        <v>0.04</v>
      </c>
      <c r="N425" s="87"/>
      <c r="O425" s="8"/>
    </row>
    <row r="426" spans="1:16" s="5" customFormat="1" x14ac:dyDescent="0.3">
      <c r="A426" s="98"/>
      <c r="B426" s="99"/>
      <c r="C426" s="85" t="s">
        <v>25</v>
      </c>
      <c r="D426" s="85"/>
      <c r="E426" s="85"/>
      <c r="F426" s="85"/>
      <c r="G426" s="85"/>
      <c r="H426" s="40">
        <v>5</v>
      </c>
      <c r="I426" s="86">
        <v>28.31</v>
      </c>
      <c r="J426" s="86"/>
      <c r="K426" s="86">
        <v>1</v>
      </c>
      <c r="L426" s="86"/>
      <c r="M426" s="87">
        <f>ROUND(I426/H426/365/24*2*3,2)</f>
        <v>0</v>
      </c>
      <c r="N426" s="87"/>
      <c r="O426" s="8"/>
    </row>
    <row r="427" spans="1:16" s="5" customFormat="1" x14ac:dyDescent="0.3">
      <c r="A427" s="98"/>
      <c r="B427" s="99"/>
      <c r="C427" s="85" t="s">
        <v>24</v>
      </c>
      <c r="D427" s="85"/>
      <c r="E427" s="85"/>
      <c r="F427" s="85"/>
      <c r="G427" s="85"/>
      <c r="H427" s="40">
        <v>3</v>
      </c>
      <c r="I427" s="86">
        <v>42</v>
      </c>
      <c r="J427" s="86"/>
      <c r="K427" s="86">
        <v>1</v>
      </c>
      <c r="L427" s="86"/>
      <c r="M427" s="87">
        <f>ROUND(I427/H427/365/24*3,2)</f>
        <v>0</v>
      </c>
      <c r="N427" s="87"/>
      <c r="O427" s="8"/>
    </row>
    <row r="428" spans="1:16" s="5" customFormat="1" x14ac:dyDescent="0.3">
      <c r="A428" s="98"/>
      <c r="B428" s="99"/>
      <c r="C428" s="85" t="s">
        <v>23</v>
      </c>
      <c r="D428" s="85"/>
      <c r="E428" s="85"/>
      <c r="F428" s="85"/>
      <c r="G428" s="85"/>
      <c r="H428" s="40">
        <v>4</v>
      </c>
      <c r="I428" s="86">
        <v>68.25</v>
      </c>
      <c r="J428" s="86"/>
      <c r="K428" s="86">
        <v>1</v>
      </c>
      <c r="L428" s="86"/>
      <c r="M428" s="87">
        <f>ROUND(I428/H428/365/24*3,2)</f>
        <v>0.01</v>
      </c>
      <c r="N428" s="87"/>
      <c r="O428" s="8"/>
    </row>
    <row r="429" spans="1:16" s="5" customFormat="1" x14ac:dyDescent="0.3">
      <c r="A429" s="98"/>
      <c r="B429" s="99"/>
      <c r="C429" s="85" t="s">
        <v>22</v>
      </c>
      <c r="D429" s="85"/>
      <c r="E429" s="85"/>
      <c r="F429" s="85"/>
      <c r="G429" s="85"/>
      <c r="H429" s="40">
        <v>4</v>
      </c>
      <c r="I429" s="86">
        <v>23.24</v>
      </c>
      <c r="J429" s="86"/>
      <c r="K429" s="86">
        <v>1</v>
      </c>
      <c r="L429" s="86"/>
      <c r="M429" s="87">
        <f>ROUND(I429/H429/365/24*3,2)</f>
        <v>0</v>
      </c>
      <c r="N429" s="87"/>
      <c r="O429" s="8"/>
    </row>
    <row r="430" spans="1:16" s="5" customFormat="1" x14ac:dyDescent="0.3">
      <c r="A430" s="98"/>
      <c r="B430" s="99"/>
      <c r="C430" s="85" t="s">
        <v>21</v>
      </c>
      <c r="D430" s="85"/>
      <c r="E430" s="85"/>
      <c r="F430" s="85"/>
      <c r="G430" s="85"/>
      <c r="H430" s="40">
        <v>4</v>
      </c>
      <c r="I430" s="86">
        <v>246</v>
      </c>
      <c r="J430" s="86"/>
      <c r="K430" s="86">
        <v>1</v>
      </c>
      <c r="L430" s="86"/>
      <c r="M430" s="87">
        <f>ROUND(I430/H430/365/24*3,2)</f>
        <v>0.02</v>
      </c>
      <c r="N430" s="87"/>
      <c r="O430" s="8"/>
    </row>
    <row r="431" spans="1:16" s="5" customFormat="1" x14ac:dyDescent="0.3">
      <c r="A431" s="98"/>
      <c r="B431" s="99"/>
      <c r="C431" s="85" t="s">
        <v>20</v>
      </c>
      <c r="D431" s="85"/>
      <c r="E431" s="85"/>
      <c r="F431" s="85"/>
      <c r="G431" s="85"/>
      <c r="H431" s="40">
        <v>1</v>
      </c>
      <c r="I431" s="86">
        <v>43.5</v>
      </c>
      <c r="J431" s="86"/>
      <c r="K431" s="86">
        <v>1</v>
      </c>
      <c r="L431" s="86"/>
      <c r="M431" s="87">
        <f>ROUND(I431/H431/365/24*3,2)</f>
        <v>0.01</v>
      </c>
      <c r="N431" s="87"/>
      <c r="O431" s="8"/>
    </row>
    <row r="432" spans="1:16" s="5" customFormat="1" x14ac:dyDescent="0.3">
      <c r="A432" s="98"/>
      <c r="B432" s="99"/>
      <c r="C432" s="85" t="s">
        <v>19</v>
      </c>
      <c r="D432" s="85"/>
      <c r="E432" s="85"/>
      <c r="F432" s="85"/>
      <c r="G432" s="85"/>
      <c r="H432" s="40">
        <v>2</v>
      </c>
      <c r="I432" s="86">
        <v>111</v>
      </c>
      <c r="J432" s="86"/>
      <c r="K432" s="86">
        <v>1</v>
      </c>
      <c r="L432" s="86"/>
      <c r="M432" s="87">
        <f>ROUND(I432/H432/365/24*2*3,2)</f>
        <v>0.04</v>
      </c>
      <c r="N432" s="87"/>
      <c r="O432" s="8"/>
    </row>
    <row r="433" spans="1:15" s="5" customFormat="1" x14ac:dyDescent="0.3">
      <c r="A433" s="98"/>
      <c r="B433" s="99"/>
      <c r="C433" s="85" t="s">
        <v>18</v>
      </c>
      <c r="D433" s="85"/>
      <c r="E433" s="85"/>
      <c r="F433" s="85"/>
      <c r="G433" s="85"/>
      <c r="H433" s="40">
        <v>4</v>
      </c>
      <c r="I433" s="86">
        <v>141.75</v>
      </c>
      <c r="J433" s="86"/>
      <c r="K433" s="86">
        <v>1</v>
      </c>
      <c r="L433" s="86"/>
      <c r="M433" s="87">
        <f>ROUND(I433/H433/365/24*3,2)</f>
        <v>0.01</v>
      </c>
      <c r="N433" s="87"/>
      <c r="O433" s="8"/>
    </row>
    <row r="434" spans="1:15" s="5" customFormat="1" x14ac:dyDescent="0.3">
      <c r="A434" s="98"/>
      <c r="B434" s="99"/>
      <c r="C434" s="85" t="s">
        <v>17</v>
      </c>
      <c r="D434" s="85"/>
      <c r="E434" s="85"/>
      <c r="F434" s="85"/>
      <c r="G434" s="85"/>
      <c r="H434" s="40">
        <v>1</v>
      </c>
      <c r="I434" s="86">
        <v>16.489999999999998</v>
      </c>
      <c r="J434" s="86"/>
      <c r="K434" s="86">
        <v>1</v>
      </c>
      <c r="L434" s="86"/>
      <c r="M434" s="87">
        <f>ROUND(I434/H434/365/24*3,2)</f>
        <v>0.01</v>
      </c>
      <c r="N434" s="87"/>
      <c r="O434" s="8"/>
    </row>
    <row r="435" spans="1:15" s="5" customFormat="1" x14ac:dyDescent="0.3">
      <c r="A435" s="98"/>
      <c r="B435" s="99"/>
      <c r="C435" s="85" t="s">
        <v>16</v>
      </c>
      <c r="D435" s="85"/>
      <c r="E435" s="85"/>
      <c r="F435" s="85"/>
      <c r="G435" s="85"/>
      <c r="H435" s="40">
        <v>4</v>
      </c>
      <c r="I435" s="86">
        <v>23.25</v>
      </c>
      <c r="J435" s="86"/>
      <c r="K435" s="86">
        <v>1</v>
      </c>
      <c r="L435" s="86"/>
      <c r="M435" s="87">
        <f>ROUND(I435/H435/365/24*3,2)</f>
        <v>0</v>
      </c>
      <c r="N435" s="87"/>
      <c r="O435" s="8"/>
    </row>
    <row r="436" spans="1:15" s="5" customFormat="1" ht="14.4" customHeight="1" x14ac:dyDescent="0.3">
      <c r="A436" s="98"/>
      <c r="B436" s="99"/>
      <c r="C436" s="85" t="s">
        <v>15</v>
      </c>
      <c r="D436" s="85"/>
      <c r="E436" s="85"/>
      <c r="F436" s="85"/>
      <c r="G436" s="85"/>
      <c r="H436" s="40">
        <v>3</v>
      </c>
      <c r="I436" s="86">
        <v>63.75</v>
      </c>
      <c r="J436" s="86"/>
      <c r="K436" s="86">
        <v>1</v>
      </c>
      <c r="L436" s="86"/>
      <c r="M436" s="87">
        <f>ROUND(I436/H436/365/24*2*3,2)</f>
        <v>0.01</v>
      </c>
      <c r="N436" s="87"/>
      <c r="O436" s="8"/>
    </row>
    <row r="437" spans="1:15" x14ac:dyDescent="0.3">
      <c r="A437" s="28">
        <v>5000</v>
      </c>
      <c r="B437" s="89" t="s">
        <v>14</v>
      </c>
      <c r="C437" s="89"/>
      <c r="D437" s="89"/>
      <c r="E437" s="89"/>
      <c r="F437" s="89"/>
      <c r="G437" s="89"/>
      <c r="H437" s="89"/>
      <c r="I437" s="89"/>
      <c r="J437" s="89"/>
      <c r="K437" s="89"/>
      <c r="L437" s="89"/>
      <c r="M437" s="90">
        <f>M438</f>
        <v>0</v>
      </c>
      <c r="N437" s="90"/>
      <c r="O437" s="7"/>
    </row>
    <row r="438" spans="1:15" ht="15" customHeight="1" x14ac:dyDescent="0.3">
      <c r="A438" s="31"/>
      <c r="B438" s="31"/>
      <c r="C438" s="100" t="s">
        <v>13</v>
      </c>
      <c r="D438" s="100"/>
      <c r="E438" s="101" t="s">
        <v>12</v>
      </c>
      <c r="F438" s="101"/>
      <c r="G438" s="101" t="s">
        <v>11</v>
      </c>
      <c r="H438" s="101"/>
      <c r="I438" s="100" t="s">
        <v>10</v>
      </c>
      <c r="J438" s="100"/>
      <c r="K438" s="101" t="s">
        <v>9</v>
      </c>
      <c r="L438" s="101"/>
      <c r="M438" s="97">
        <f>M439</f>
        <v>0</v>
      </c>
      <c r="N438" s="97"/>
    </row>
    <row r="439" spans="1:15" ht="23.1" customHeight="1" x14ac:dyDescent="0.3">
      <c r="A439" s="31"/>
      <c r="B439" s="31"/>
      <c r="C439" s="99"/>
      <c r="D439" s="99"/>
      <c r="E439" s="98"/>
      <c r="F439" s="98"/>
      <c r="G439" s="98"/>
      <c r="H439" s="98"/>
      <c r="I439" s="106"/>
      <c r="J439" s="106"/>
      <c r="K439" s="98">
        <v>1</v>
      </c>
      <c r="L439" s="98"/>
      <c r="M439" s="98">
        <f>ROUND(I439*E439/100/12/167*K439,2)</f>
        <v>0</v>
      </c>
      <c r="N439" s="98"/>
      <c r="O439" s="42">
        <v>6628.38</v>
      </c>
    </row>
    <row r="440" spans="1:15" x14ac:dyDescent="0.3">
      <c r="A440" s="78" t="s">
        <v>8</v>
      </c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80"/>
      <c r="M440" s="109">
        <f>M385+M406+M437</f>
        <v>49.41</v>
      </c>
      <c r="N440" s="95"/>
      <c r="O440" s="6"/>
    </row>
    <row r="441" spans="1:15" x14ac:dyDescent="0.3">
      <c r="A441" s="110" t="s">
        <v>7</v>
      </c>
      <c r="B441" s="110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1">
        <f>M440+M382</f>
        <v>286.13</v>
      </c>
      <c r="N441" s="112"/>
      <c r="O441" s="6"/>
    </row>
    <row r="442" spans="1:15" x14ac:dyDescent="0.3">
      <c r="A442" s="57" t="s">
        <v>6</v>
      </c>
      <c r="B442" s="58"/>
      <c r="C442" s="58"/>
      <c r="D442" s="58"/>
      <c r="E442" s="58"/>
      <c r="F442" s="58"/>
      <c r="G442" s="58"/>
      <c r="H442" s="58"/>
      <c r="I442" s="58"/>
      <c r="J442" s="58"/>
      <c r="K442" s="58"/>
      <c r="L442" s="59"/>
      <c r="M442" s="96">
        <f>ROUND(M441*0.21,2)</f>
        <v>60.09</v>
      </c>
      <c r="N442" s="96"/>
      <c r="O442" s="6"/>
    </row>
    <row r="443" spans="1:15" x14ac:dyDescent="0.3">
      <c r="A443" s="60" t="s">
        <v>5</v>
      </c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2"/>
      <c r="M443" s="107">
        <f>M441+M442</f>
        <v>346.22</v>
      </c>
      <c r="N443" s="108"/>
      <c r="O443" s="6"/>
    </row>
    <row r="444" spans="1:15" x14ac:dyDescent="0.3">
      <c r="A444" t="s">
        <v>144</v>
      </c>
    </row>
    <row r="445" spans="1:15" x14ac:dyDescent="0.3">
      <c r="A445" t="s">
        <v>143</v>
      </c>
    </row>
    <row r="448" spans="1:15" ht="23.1" customHeight="1" x14ac:dyDescent="0.3">
      <c r="A448" s="19"/>
      <c r="B448" s="4"/>
      <c r="C448" s="4"/>
      <c r="G448" s="4"/>
      <c r="H448" s="1"/>
      <c r="I448" s="1"/>
      <c r="N448" s="4"/>
    </row>
    <row r="449" spans="1:15" ht="17.100000000000001" customHeight="1" x14ac:dyDescent="0.3">
      <c r="A449" s="19"/>
      <c r="D449" s="49"/>
      <c r="E449" s="49"/>
      <c r="F449" s="49"/>
    </row>
    <row r="450" spans="1:15" ht="31.35" customHeight="1" x14ac:dyDescent="0.35">
      <c r="A450" s="19"/>
      <c r="B450" s="50"/>
      <c r="D450" s="49"/>
      <c r="E450" s="49"/>
      <c r="F450" s="49"/>
      <c r="N450" s="51"/>
      <c r="O450" s="52"/>
    </row>
    <row r="454" spans="1:15" x14ac:dyDescent="0.3">
      <c r="B454" s="3" t="s">
        <v>3</v>
      </c>
    </row>
    <row r="455" spans="1:15" x14ac:dyDescent="0.3">
      <c r="B455" s="3" t="s">
        <v>2</v>
      </c>
    </row>
  </sheetData>
  <mergeCells count="1536">
    <mergeCell ref="M91:N91"/>
    <mergeCell ref="I92:J92"/>
    <mergeCell ref="K92:L92"/>
    <mergeCell ref="K105:L105"/>
    <mergeCell ref="M105:N105"/>
    <mergeCell ref="C106:G106"/>
    <mergeCell ref="I106:J106"/>
    <mergeCell ref="K106:L106"/>
    <mergeCell ref="M106:N106"/>
    <mergeCell ref="A85:A88"/>
    <mergeCell ref="B162:B163"/>
    <mergeCell ref="A162:A163"/>
    <mergeCell ref="A196:A199"/>
    <mergeCell ref="C105:G105"/>
    <mergeCell ref="I105:J105"/>
    <mergeCell ref="C107:G107"/>
    <mergeCell ref="I107:J107"/>
    <mergeCell ref="I95:J95"/>
    <mergeCell ref="C102:G102"/>
    <mergeCell ref="C199:H199"/>
    <mergeCell ref="I199:J199"/>
    <mergeCell ref="K199:L199"/>
    <mergeCell ref="M199:N199"/>
    <mergeCell ref="B196:B199"/>
    <mergeCell ref="C196:H196"/>
    <mergeCell ref="I196:J196"/>
    <mergeCell ref="K196:L196"/>
    <mergeCell ref="M196:N196"/>
    <mergeCell ref="C197:H197"/>
    <mergeCell ref="I197:J197"/>
    <mergeCell ref="K197:L197"/>
    <mergeCell ref="M197:N197"/>
    <mergeCell ref="M443:N443"/>
    <mergeCell ref="M440:N440"/>
    <mergeCell ref="A441:L441"/>
    <mergeCell ref="M441:N441"/>
    <mergeCell ref="M104:N104"/>
    <mergeCell ref="M97:N97"/>
    <mergeCell ref="I98:J98"/>
    <mergeCell ref="K98:L98"/>
    <mergeCell ref="M98:N98"/>
    <mergeCell ref="I99:J99"/>
    <mergeCell ref="K99:L99"/>
    <mergeCell ref="M99:N99"/>
    <mergeCell ref="M100:N100"/>
    <mergeCell ref="M101:N101"/>
    <mergeCell ref="C103:G103"/>
    <mergeCell ref="I103:J103"/>
    <mergeCell ref="K103:L103"/>
    <mergeCell ref="C104:G104"/>
    <mergeCell ref="I104:J104"/>
    <mergeCell ref="K104:L104"/>
    <mergeCell ref="I102:J102"/>
    <mergeCell ref="K102:L102"/>
    <mergeCell ref="I100:J100"/>
    <mergeCell ref="I101:J101"/>
    <mergeCell ref="K101:L101"/>
    <mergeCell ref="K100:L100"/>
    <mergeCell ref="K107:L107"/>
    <mergeCell ref="M107:N107"/>
    <mergeCell ref="G439:H439"/>
    <mergeCell ref="I439:J439"/>
    <mergeCell ref="K439:L439"/>
    <mergeCell ref="M439:N439"/>
    <mergeCell ref="K423:L423"/>
    <mergeCell ref="M423:N423"/>
    <mergeCell ref="C424:G424"/>
    <mergeCell ref="I424:J424"/>
    <mergeCell ref="K424:L424"/>
    <mergeCell ref="M424:N424"/>
    <mergeCell ref="M442:N442"/>
    <mergeCell ref="C438:D438"/>
    <mergeCell ref="E438:F438"/>
    <mergeCell ref="G438:H438"/>
    <mergeCell ref="I438:J438"/>
    <mergeCell ref="K438:L438"/>
    <mergeCell ref="M438:N438"/>
    <mergeCell ref="C439:D439"/>
    <mergeCell ref="E439:F439"/>
    <mergeCell ref="B414:B417"/>
    <mergeCell ref="C414:H414"/>
    <mergeCell ref="I414:J414"/>
    <mergeCell ref="K414:L414"/>
    <mergeCell ref="C417:H417"/>
    <mergeCell ref="I417:J417"/>
    <mergeCell ref="K417:L417"/>
    <mergeCell ref="C421:G421"/>
    <mergeCell ref="I429:J429"/>
    <mergeCell ref="K429:L429"/>
    <mergeCell ref="M429:N429"/>
    <mergeCell ref="C430:G430"/>
    <mergeCell ref="I430:J430"/>
    <mergeCell ref="K430:L430"/>
    <mergeCell ref="M430:N430"/>
    <mergeCell ref="B437:L437"/>
    <mergeCell ref="M437:N437"/>
    <mergeCell ref="B418:L418"/>
    <mergeCell ref="M418:N418"/>
    <mergeCell ref="M427:N427"/>
    <mergeCell ref="C428:G428"/>
    <mergeCell ref="I428:J428"/>
    <mergeCell ref="K428:L428"/>
    <mergeCell ref="M428:N428"/>
    <mergeCell ref="C429:G429"/>
    <mergeCell ref="C425:G425"/>
    <mergeCell ref="I425:J425"/>
    <mergeCell ref="K425:L425"/>
    <mergeCell ref="M425:N425"/>
    <mergeCell ref="C426:G426"/>
    <mergeCell ref="I426:J426"/>
    <mergeCell ref="K426:L426"/>
    <mergeCell ref="C408:H408"/>
    <mergeCell ref="I408:J408"/>
    <mergeCell ref="K408:L408"/>
    <mergeCell ref="M408:N408"/>
    <mergeCell ref="C409:H409"/>
    <mergeCell ref="I409:J409"/>
    <mergeCell ref="K409:L409"/>
    <mergeCell ref="M409:N409"/>
    <mergeCell ref="M417:N417"/>
    <mergeCell ref="C412:H412"/>
    <mergeCell ref="I412:J412"/>
    <mergeCell ref="K412:L412"/>
    <mergeCell ref="M412:N412"/>
    <mergeCell ref="C413:H413"/>
    <mergeCell ref="I413:J413"/>
    <mergeCell ref="K413:L413"/>
    <mergeCell ref="M413:N413"/>
    <mergeCell ref="M414:N414"/>
    <mergeCell ref="C415:H415"/>
    <mergeCell ref="I415:J415"/>
    <mergeCell ref="K415:L415"/>
    <mergeCell ref="M415:N415"/>
    <mergeCell ref="C416:H416"/>
    <mergeCell ref="I416:J416"/>
    <mergeCell ref="K416:L416"/>
    <mergeCell ref="M416:N416"/>
    <mergeCell ref="C411:H411"/>
    <mergeCell ref="I411:J411"/>
    <mergeCell ref="K411:L411"/>
    <mergeCell ref="M411:N411"/>
    <mergeCell ref="A399:A403"/>
    <mergeCell ref="B399:B403"/>
    <mergeCell ref="C399:H399"/>
    <mergeCell ref="I399:J399"/>
    <mergeCell ref="K399:L399"/>
    <mergeCell ref="M399:N399"/>
    <mergeCell ref="B407:L407"/>
    <mergeCell ref="M407:N407"/>
    <mergeCell ref="A408:A410"/>
    <mergeCell ref="O395:O396"/>
    <mergeCell ref="C396:H396"/>
    <mergeCell ref="C397:H397"/>
    <mergeCell ref="I397:J398"/>
    <mergeCell ref="K397:L398"/>
    <mergeCell ref="M397:N398"/>
    <mergeCell ref="O397:O398"/>
    <mergeCell ref="C398:H398"/>
    <mergeCell ref="C410:H410"/>
    <mergeCell ref="I410:J410"/>
    <mergeCell ref="K410:L410"/>
    <mergeCell ref="M410:N410"/>
    <mergeCell ref="B404:L404"/>
    <mergeCell ref="M404:N404"/>
    <mergeCell ref="B405:L405"/>
    <mergeCell ref="M405:N405"/>
    <mergeCell ref="B406:L406"/>
    <mergeCell ref="M406:N406"/>
    <mergeCell ref="B408:B410"/>
    <mergeCell ref="C395:H395"/>
    <mergeCell ref="I395:J396"/>
    <mergeCell ref="K395:L396"/>
    <mergeCell ref="M395:N396"/>
    <mergeCell ref="O402:O403"/>
    <mergeCell ref="C403:H403"/>
    <mergeCell ref="C402:H402"/>
    <mergeCell ref="I402:J403"/>
    <mergeCell ref="K402:L403"/>
    <mergeCell ref="M402:N403"/>
    <mergeCell ref="A394:A398"/>
    <mergeCell ref="B394:B398"/>
    <mergeCell ref="C394:H394"/>
    <mergeCell ref="I394:J394"/>
    <mergeCell ref="K394:L394"/>
    <mergeCell ref="M394:N394"/>
    <mergeCell ref="C400:H400"/>
    <mergeCell ref="I400:J401"/>
    <mergeCell ref="K400:L401"/>
    <mergeCell ref="M400:N401"/>
    <mergeCell ref="O400:O401"/>
    <mergeCell ref="C401:H401"/>
    <mergeCell ref="M382:N382"/>
    <mergeCell ref="B386:L386"/>
    <mergeCell ref="M386:N386"/>
    <mergeCell ref="A387:A393"/>
    <mergeCell ref="B387:B393"/>
    <mergeCell ref="C387:H387"/>
    <mergeCell ref="I387:J387"/>
    <mergeCell ref="K387:L387"/>
    <mergeCell ref="M387:N387"/>
    <mergeCell ref="C388:H388"/>
    <mergeCell ref="I388:J389"/>
    <mergeCell ref="C392:H392"/>
    <mergeCell ref="I392:J393"/>
    <mergeCell ref="K392:L393"/>
    <mergeCell ref="M392:N393"/>
    <mergeCell ref="O392:O393"/>
    <mergeCell ref="C393:H393"/>
    <mergeCell ref="O388:O389"/>
    <mergeCell ref="C389:H389"/>
    <mergeCell ref="C390:H390"/>
    <mergeCell ref="I390:J391"/>
    <mergeCell ref="K390:L391"/>
    <mergeCell ref="M390:N391"/>
    <mergeCell ref="O390:O391"/>
    <mergeCell ref="C391:H391"/>
    <mergeCell ref="C383:D383"/>
    <mergeCell ref="E383:F383"/>
    <mergeCell ref="G383:H383"/>
    <mergeCell ref="I383:J383"/>
    <mergeCell ref="K383:L383"/>
    <mergeCell ref="M383:N383"/>
    <mergeCell ref="K388:L389"/>
    <mergeCell ref="M388:N389"/>
    <mergeCell ref="B385:L385"/>
    <mergeCell ref="M385:N385"/>
    <mergeCell ref="A376:A379"/>
    <mergeCell ref="B376:B379"/>
    <mergeCell ref="E376:F376"/>
    <mergeCell ref="G376:H376"/>
    <mergeCell ref="I376:J376"/>
    <mergeCell ref="K376:L376"/>
    <mergeCell ref="E377:F377"/>
    <mergeCell ref="G377:H377"/>
    <mergeCell ref="I377:J377"/>
    <mergeCell ref="K377:L377"/>
    <mergeCell ref="O380:O381"/>
    <mergeCell ref="C381:D381"/>
    <mergeCell ref="O376:O377"/>
    <mergeCell ref="C377:D377"/>
    <mergeCell ref="C378:D378"/>
    <mergeCell ref="O378:O379"/>
    <mergeCell ref="C379:D379"/>
    <mergeCell ref="M358:N358"/>
    <mergeCell ref="C353:H353"/>
    <mergeCell ref="I353:J353"/>
    <mergeCell ref="K353:L353"/>
    <mergeCell ref="M353:N353"/>
    <mergeCell ref="M376:N376"/>
    <mergeCell ref="M377:N377"/>
    <mergeCell ref="E378:F378"/>
    <mergeCell ref="C380:D380"/>
    <mergeCell ref="E380:F381"/>
    <mergeCell ref="G380:H381"/>
    <mergeCell ref="I380:J381"/>
    <mergeCell ref="K380:L381"/>
    <mergeCell ref="M380:N381"/>
    <mergeCell ref="B374:L374"/>
    <mergeCell ref="M374:N374"/>
    <mergeCell ref="C375:D375"/>
    <mergeCell ref="E375:F375"/>
    <mergeCell ref="G375:H375"/>
    <mergeCell ref="I375:J375"/>
    <mergeCell ref="K375:L375"/>
    <mergeCell ref="M375:N375"/>
    <mergeCell ref="C370:G370"/>
    <mergeCell ref="I370:J370"/>
    <mergeCell ref="B354:L354"/>
    <mergeCell ref="M354:N354"/>
    <mergeCell ref="B355:L355"/>
    <mergeCell ref="M355:N355"/>
    <mergeCell ref="B356:L356"/>
    <mergeCell ref="M356:N356"/>
    <mergeCell ref="B357:L357"/>
    <mergeCell ref="M357:N357"/>
    <mergeCell ref="K366:L366"/>
    <mergeCell ref="M368:N368"/>
    <mergeCell ref="C369:G369"/>
    <mergeCell ref="I369:J369"/>
    <mergeCell ref="K369:L369"/>
    <mergeCell ref="M369:N369"/>
    <mergeCell ref="C359:H359"/>
    <mergeCell ref="K359:L359"/>
    <mergeCell ref="M359:N359"/>
    <mergeCell ref="C360:H360"/>
    <mergeCell ref="K360:L360"/>
    <mergeCell ref="M360:N360"/>
    <mergeCell ref="I363:J363"/>
    <mergeCell ref="K363:L363"/>
    <mergeCell ref="M363:N363"/>
    <mergeCell ref="M366:N366"/>
    <mergeCell ref="C367:G367"/>
    <mergeCell ref="I367:J367"/>
    <mergeCell ref="K367:L367"/>
    <mergeCell ref="M367:N367"/>
    <mergeCell ref="C368:G368"/>
    <mergeCell ref="I368:J368"/>
    <mergeCell ref="K368:L368"/>
    <mergeCell ref="C366:G366"/>
    <mergeCell ref="I366:J366"/>
    <mergeCell ref="C358:H358"/>
    <mergeCell ref="K358:L358"/>
    <mergeCell ref="C352:H352"/>
    <mergeCell ref="I352:J352"/>
    <mergeCell ref="K352:L352"/>
    <mergeCell ref="M352:N352"/>
    <mergeCell ref="C351:H351"/>
    <mergeCell ref="I351:J351"/>
    <mergeCell ref="K351:L351"/>
    <mergeCell ref="C348:H348"/>
    <mergeCell ref="I348:J348"/>
    <mergeCell ref="K348:L348"/>
    <mergeCell ref="M348:N348"/>
    <mergeCell ref="C349:H349"/>
    <mergeCell ref="M351:N351"/>
    <mergeCell ref="C342:N342"/>
    <mergeCell ref="C347:H347"/>
    <mergeCell ref="I347:J347"/>
    <mergeCell ref="K347:L347"/>
    <mergeCell ref="M347:N347"/>
    <mergeCell ref="C350:H350"/>
    <mergeCell ref="I350:J350"/>
    <mergeCell ref="K350:L350"/>
    <mergeCell ref="M350:N350"/>
    <mergeCell ref="B344:L344"/>
    <mergeCell ref="M344:N344"/>
    <mergeCell ref="B345:L345"/>
    <mergeCell ref="M345:N345"/>
    <mergeCell ref="C346:H346"/>
    <mergeCell ref="I346:J346"/>
    <mergeCell ref="K346:L346"/>
    <mergeCell ref="M346:N346"/>
    <mergeCell ref="I349:J349"/>
    <mergeCell ref="K349:L349"/>
    <mergeCell ref="M349:N349"/>
    <mergeCell ref="O340:O341"/>
    <mergeCell ref="I306:J306"/>
    <mergeCell ref="K306:L306"/>
    <mergeCell ref="M306:N306"/>
    <mergeCell ref="C307:H307"/>
    <mergeCell ref="I307:J307"/>
    <mergeCell ref="C330:D330"/>
    <mergeCell ref="E330:F330"/>
    <mergeCell ref="G330:H330"/>
    <mergeCell ref="I330:J330"/>
    <mergeCell ref="K330:L330"/>
    <mergeCell ref="M330:N330"/>
    <mergeCell ref="C329:D329"/>
    <mergeCell ref="E329:F329"/>
    <mergeCell ref="G329:H329"/>
    <mergeCell ref="I329:J329"/>
    <mergeCell ref="K329:L329"/>
    <mergeCell ref="M329:N329"/>
    <mergeCell ref="M334:N334"/>
    <mergeCell ref="M331:N331"/>
    <mergeCell ref="A332:L332"/>
    <mergeCell ref="M332:N332"/>
    <mergeCell ref="M333:N333"/>
    <mergeCell ref="I315:J315"/>
    <mergeCell ref="K315:L315"/>
    <mergeCell ref="M315:N315"/>
    <mergeCell ref="I316:J316"/>
    <mergeCell ref="K316:L316"/>
    <mergeCell ref="M316:N316"/>
    <mergeCell ref="C310:G310"/>
    <mergeCell ref="I310:J310"/>
    <mergeCell ref="B328:L328"/>
    <mergeCell ref="M328:N328"/>
    <mergeCell ref="B340:B341"/>
    <mergeCell ref="C340:N341"/>
    <mergeCell ref="M301:N301"/>
    <mergeCell ref="I304:J304"/>
    <mergeCell ref="K304:L304"/>
    <mergeCell ref="M304:N304"/>
    <mergeCell ref="A299:A301"/>
    <mergeCell ref="B299:B301"/>
    <mergeCell ref="C299:H299"/>
    <mergeCell ref="I299:J299"/>
    <mergeCell ref="K299:L299"/>
    <mergeCell ref="M299:N299"/>
    <mergeCell ref="C300:H300"/>
    <mergeCell ref="K310:L310"/>
    <mergeCell ref="M310:N310"/>
    <mergeCell ref="C311:G311"/>
    <mergeCell ref="I311:J311"/>
    <mergeCell ref="K311:L311"/>
    <mergeCell ref="C303:H303"/>
    <mergeCell ref="I303:J303"/>
    <mergeCell ref="K303:L303"/>
    <mergeCell ref="M303:N303"/>
    <mergeCell ref="C304:H304"/>
    <mergeCell ref="B305:B308"/>
    <mergeCell ref="C306:H306"/>
    <mergeCell ref="B309:L309"/>
    <mergeCell ref="M309:N309"/>
    <mergeCell ref="C302:H302"/>
    <mergeCell ref="I302:J302"/>
    <mergeCell ref="K302:L302"/>
    <mergeCell ref="A290:A294"/>
    <mergeCell ref="B290:B294"/>
    <mergeCell ref="C290:H290"/>
    <mergeCell ref="I290:J290"/>
    <mergeCell ref="K290:L290"/>
    <mergeCell ref="M290:N290"/>
    <mergeCell ref="B298:L298"/>
    <mergeCell ref="M298:N298"/>
    <mergeCell ref="C301:H301"/>
    <mergeCell ref="I301:J301"/>
    <mergeCell ref="K301:L301"/>
    <mergeCell ref="A305:A308"/>
    <mergeCell ref="K307:L307"/>
    <mergeCell ref="M307:N307"/>
    <mergeCell ref="C308:H308"/>
    <mergeCell ref="I308:J308"/>
    <mergeCell ref="K308:L308"/>
    <mergeCell ref="M308:N308"/>
    <mergeCell ref="B297:L297"/>
    <mergeCell ref="M297:N297"/>
    <mergeCell ref="I300:J300"/>
    <mergeCell ref="K300:L300"/>
    <mergeCell ref="M300:N300"/>
    <mergeCell ref="C286:H286"/>
    <mergeCell ref="I286:J287"/>
    <mergeCell ref="K286:L287"/>
    <mergeCell ref="M286:N287"/>
    <mergeCell ref="O293:O294"/>
    <mergeCell ref="C294:H294"/>
    <mergeCell ref="C293:H293"/>
    <mergeCell ref="I293:J294"/>
    <mergeCell ref="K293:L294"/>
    <mergeCell ref="M293:N294"/>
    <mergeCell ref="C305:H305"/>
    <mergeCell ref="I305:J305"/>
    <mergeCell ref="K305:L305"/>
    <mergeCell ref="M305:N305"/>
    <mergeCell ref="C281:H281"/>
    <mergeCell ref="I281:J282"/>
    <mergeCell ref="K281:L282"/>
    <mergeCell ref="M281:N282"/>
    <mergeCell ref="O281:O282"/>
    <mergeCell ref="O286:O287"/>
    <mergeCell ref="C287:H287"/>
    <mergeCell ref="C288:H288"/>
    <mergeCell ref="I288:J289"/>
    <mergeCell ref="K288:L289"/>
    <mergeCell ref="M288:N289"/>
    <mergeCell ref="O288:O289"/>
    <mergeCell ref="C289:H289"/>
    <mergeCell ref="B295:L295"/>
    <mergeCell ref="M295:N295"/>
    <mergeCell ref="B296:L296"/>
    <mergeCell ref="M296:N296"/>
    <mergeCell ref="M302:N302"/>
    <mergeCell ref="C274:D274"/>
    <mergeCell ref="E274:F274"/>
    <mergeCell ref="B277:L277"/>
    <mergeCell ref="M277:N277"/>
    <mergeCell ref="I268:J268"/>
    <mergeCell ref="A285:A289"/>
    <mergeCell ref="B285:B289"/>
    <mergeCell ref="C285:H285"/>
    <mergeCell ref="I285:J285"/>
    <mergeCell ref="K285:L285"/>
    <mergeCell ref="M285:N285"/>
    <mergeCell ref="C291:H291"/>
    <mergeCell ref="I291:J292"/>
    <mergeCell ref="K291:L292"/>
    <mergeCell ref="M291:N292"/>
    <mergeCell ref="O291:O292"/>
    <mergeCell ref="C292:H292"/>
    <mergeCell ref="A278:A284"/>
    <mergeCell ref="B278:B284"/>
    <mergeCell ref="C278:H278"/>
    <mergeCell ref="I278:J278"/>
    <mergeCell ref="K278:L278"/>
    <mergeCell ref="M278:N278"/>
    <mergeCell ref="C279:H279"/>
    <mergeCell ref="I279:J280"/>
    <mergeCell ref="C283:H283"/>
    <mergeCell ref="I283:J284"/>
    <mergeCell ref="K283:L284"/>
    <mergeCell ref="M283:N284"/>
    <mergeCell ref="O283:O284"/>
    <mergeCell ref="C284:H284"/>
    <mergeCell ref="C280:H280"/>
    <mergeCell ref="I269:J269"/>
    <mergeCell ref="K269:L269"/>
    <mergeCell ref="M269:N269"/>
    <mergeCell ref="E270:F270"/>
    <mergeCell ref="G270:H270"/>
    <mergeCell ref="I270:J270"/>
    <mergeCell ref="M271:N272"/>
    <mergeCell ref="O271:O272"/>
    <mergeCell ref="C272:D272"/>
    <mergeCell ref="O267:O268"/>
    <mergeCell ref="C268:D268"/>
    <mergeCell ref="C269:D269"/>
    <mergeCell ref="O269:O270"/>
    <mergeCell ref="C270:D270"/>
    <mergeCell ref="E269:F269"/>
    <mergeCell ref="G269:H269"/>
    <mergeCell ref="C282:H282"/>
    <mergeCell ref="K279:L280"/>
    <mergeCell ref="M279:N280"/>
    <mergeCell ref="G274:H274"/>
    <mergeCell ref="I274:J274"/>
    <mergeCell ref="K274:L274"/>
    <mergeCell ref="M274:N274"/>
    <mergeCell ref="M268:N268"/>
    <mergeCell ref="C271:D271"/>
    <mergeCell ref="E271:F272"/>
    <mergeCell ref="G271:H272"/>
    <mergeCell ref="I271:J272"/>
    <mergeCell ref="K271:L272"/>
    <mergeCell ref="B276:L276"/>
    <mergeCell ref="M276:N276"/>
    <mergeCell ref="M273:N273"/>
    <mergeCell ref="I262:J262"/>
    <mergeCell ref="K262:L262"/>
    <mergeCell ref="K264:L264"/>
    <mergeCell ref="M264:N264"/>
    <mergeCell ref="M249:N249"/>
    <mergeCell ref="C251:H251"/>
    <mergeCell ref="K251:L251"/>
    <mergeCell ref="M251:N251"/>
    <mergeCell ref="M254:N254"/>
    <mergeCell ref="K260:L260"/>
    <mergeCell ref="M260:N260"/>
    <mergeCell ref="C261:G261"/>
    <mergeCell ref="I261:J261"/>
    <mergeCell ref="K261:L261"/>
    <mergeCell ref="M261:N261"/>
    <mergeCell ref="C260:G260"/>
    <mergeCell ref="I260:J260"/>
    <mergeCell ref="M258:N258"/>
    <mergeCell ref="C259:G259"/>
    <mergeCell ref="I259:J259"/>
    <mergeCell ref="K259:L259"/>
    <mergeCell ref="M259:N259"/>
    <mergeCell ref="I210:J210"/>
    <mergeCell ref="C207:G207"/>
    <mergeCell ref="C208:G208"/>
    <mergeCell ref="C209:G209"/>
    <mergeCell ref="C210:G210"/>
    <mergeCell ref="M200:N200"/>
    <mergeCell ref="A201:A218"/>
    <mergeCell ref="B201:B218"/>
    <mergeCell ref="I201:J201"/>
    <mergeCell ref="K201:L201"/>
    <mergeCell ref="M201:N201"/>
    <mergeCell ref="I202:J202"/>
    <mergeCell ref="K202:L202"/>
    <mergeCell ref="M202:N202"/>
    <mergeCell ref="M246:N246"/>
    <mergeCell ref="B247:L247"/>
    <mergeCell ref="M247:N247"/>
    <mergeCell ref="C242:H242"/>
    <mergeCell ref="I242:J242"/>
    <mergeCell ref="K242:L242"/>
    <mergeCell ref="M242:N242"/>
    <mergeCell ref="C243:H243"/>
    <mergeCell ref="M236:N236"/>
    <mergeCell ref="C237:H237"/>
    <mergeCell ref="I237:J237"/>
    <mergeCell ref="K237:L237"/>
    <mergeCell ref="M237:N237"/>
    <mergeCell ref="C238:H238"/>
    <mergeCell ref="I238:J238"/>
    <mergeCell ref="K238:L238"/>
    <mergeCell ref="M238:N238"/>
    <mergeCell ref="I239:J239"/>
    <mergeCell ref="C195:H195"/>
    <mergeCell ref="I195:J195"/>
    <mergeCell ref="K195:L195"/>
    <mergeCell ref="M195:N195"/>
    <mergeCell ref="I198:J198"/>
    <mergeCell ref="K198:L198"/>
    <mergeCell ref="M198:N198"/>
    <mergeCell ref="C193:H193"/>
    <mergeCell ref="I193:J193"/>
    <mergeCell ref="K193:L193"/>
    <mergeCell ref="M193:N193"/>
    <mergeCell ref="C198:H198"/>
    <mergeCell ref="K212:L212"/>
    <mergeCell ref="M212:N212"/>
    <mergeCell ref="C201:G201"/>
    <mergeCell ref="I204:J204"/>
    <mergeCell ref="I205:J205"/>
    <mergeCell ref="I206:J206"/>
    <mergeCell ref="K204:L204"/>
    <mergeCell ref="K205:L205"/>
    <mergeCell ref="K206:L206"/>
    <mergeCell ref="K207:L207"/>
    <mergeCell ref="I203:J203"/>
    <mergeCell ref="K203:L203"/>
    <mergeCell ref="M203:N203"/>
    <mergeCell ref="I211:J211"/>
    <mergeCell ref="K211:L211"/>
    <mergeCell ref="M211:N211"/>
    <mergeCell ref="I212:J212"/>
    <mergeCell ref="B200:L200"/>
    <mergeCell ref="C211:G211"/>
    <mergeCell ref="C212:G212"/>
    <mergeCell ref="A190:A192"/>
    <mergeCell ref="B190:B192"/>
    <mergeCell ref="C177:H177"/>
    <mergeCell ref="I177:J178"/>
    <mergeCell ref="K177:L178"/>
    <mergeCell ref="M177:N178"/>
    <mergeCell ref="C190:H190"/>
    <mergeCell ref="I190:J190"/>
    <mergeCell ref="K190:L190"/>
    <mergeCell ref="M190:N190"/>
    <mergeCell ref="C191:H191"/>
    <mergeCell ref="I191:J191"/>
    <mergeCell ref="K191:L191"/>
    <mergeCell ref="M191:N191"/>
    <mergeCell ref="C194:H194"/>
    <mergeCell ref="I194:J194"/>
    <mergeCell ref="K194:L194"/>
    <mergeCell ref="M194:N194"/>
    <mergeCell ref="B189:L189"/>
    <mergeCell ref="M189:N189"/>
    <mergeCell ref="A176:A180"/>
    <mergeCell ref="M182:N183"/>
    <mergeCell ref="O177:O178"/>
    <mergeCell ref="C178:H178"/>
    <mergeCell ref="C179:H179"/>
    <mergeCell ref="I179:J180"/>
    <mergeCell ref="K179:L180"/>
    <mergeCell ref="M179:N180"/>
    <mergeCell ref="O179:O180"/>
    <mergeCell ref="C180:H180"/>
    <mergeCell ref="C192:H192"/>
    <mergeCell ref="I192:J192"/>
    <mergeCell ref="K192:L192"/>
    <mergeCell ref="M192:N192"/>
    <mergeCell ref="B186:L186"/>
    <mergeCell ref="M186:N186"/>
    <mergeCell ref="B187:L187"/>
    <mergeCell ref="M187:N187"/>
    <mergeCell ref="B188:L188"/>
    <mergeCell ref="M188:N188"/>
    <mergeCell ref="O184:O185"/>
    <mergeCell ref="C185:H185"/>
    <mergeCell ref="C184:H184"/>
    <mergeCell ref="I184:J185"/>
    <mergeCell ref="K184:L185"/>
    <mergeCell ref="M184:N185"/>
    <mergeCell ref="B176:B180"/>
    <mergeCell ref="C176:H176"/>
    <mergeCell ref="I176:J176"/>
    <mergeCell ref="K176:L176"/>
    <mergeCell ref="M176:N176"/>
    <mergeCell ref="C182:H182"/>
    <mergeCell ref="I182:J183"/>
    <mergeCell ref="K182:L183"/>
    <mergeCell ref="O182:O183"/>
    <mergeCell ref="C183:H183"/>
    <mergeCell ref="A181:A185"/>
    <mergeCell ref="B181:B185"/>
    <mergeCell ref="C181:H181"/>
    <mergeCell ref="I181:J181"/>
    <mergeCell ref="K181:L181"/>
    <mergeCell ref="M181:N181"/>
    <mergeCell ref="A169:A175"/>
    <mergeCell ref="B169:B175"/>
    <mergeCell ref="C169:H169"/>
    <mergeCell ref="I169:J169"/>
    <mergeCell ref="K169:L169"/>
    <mergeCell ref="M169:N169"/>
    <mergeCell ref="C170:H170"/>
    <mergeCell ref="I170:J171"/>
    <mergeCell ref="C174:H174"/>
    <mergeCell ref="I174:J175"/>
    <mergeCell ref="K174:L175"/>
    <mergeCell ref="M174:N175"/>
    <mergeCell ref="O174:O175"/>
    <mergeCell ref="C175:H175"/>
    <mergeCell ref="O170:O171"/>
    <mergeCell ref="C171:H171"/>
    <mergeCell ref="C172:H172"/>
    <mergeCell ref="I172:J173"/>
    <mergeCell ref="K172:L173"/>
    <mergeCell ref="M172:N173"/>
    <mergeCell ref="O172:O173"/>
    <mergeCell ref="C173:H173"/>
    <mergeCell ref="K170:L171"/>
    <mergeCell ref="M170:N171"/>
    <mergeCell ref="O162:O163"/>
    <mergeCell ref="C163:D163"/>
    <mergeCell ref="O158:O159"/>
    <mergeCell ref="C159:D159"/>
    <mergeCell ref="C160:D160"/>
    <mergeCell ref="O160:O161"/>
    <mergeCell ref="C161:D161"/>
    <mergeCell ref="G161:H161"/>
    <mergeCell ref="I161:J161"/>
    <mergeCell ref="K161:L161"/>
    <mergeCell ref="K157:L157"/>
    <mergeCell ref="M157:N157"/>
    <mergeCell ref="C158:D158"/>
    <mergeCell ref="C162:D162"/>
    <mergeCell ref="E162:F163"/>
    <mergeCell ref="G162:H163"/>
    <mergeCell ref="I162:J163"/>
    <mergeCell ref="K162:L163"/>
    <mergeCell ref="M162:N163"/>
    <mergeCell ref="M161:N161"/>
    <mergeCell ref="C157:D157"/>
    <mergeCell ref="E157:F157"/>
    <mergeCell ref="G157:H157"/>
    <mergeCell ref="I157:J157"/>
    <mergeCell ref="A143:A155"/>
    <mergeCell ref="B143:B155"/>
    <mergeCell ref="I143:J143"/>
    <mergeCell ref="K143:L143"/>
    <mergeCell ref="M143:N143"/>
    <mergeCell ref="C144:G144"/>
    <mergeCell ref="I144:J144"/>
    <mergeCell ref="K144:L144"/>
    <mergeCell ref="M144:N144"/>
    <mergeCell ref="C145:G145"/>
    <mergeCell ref="M160:N160"/>
    <mergeCell ref="E161:F161"/>
    <mergeCell ref="C141:H141"/>
    <mergeCell ref="K141:L141"/>
    <mergeCell ref="M141:N141"/>
    <mergeCell ref="C142:H142"/>
    <mergeCell ref="K142:L142"/>
    <mergeCell ref="M142:N142"/>
    <mergeCell ref="I145:J145"/>
    <mergeCell ref="K145:L145"/>
    <mergeCell ref="B156:L156"/>
    <mergeCell ref="M156:N156"/>
    <mergeCell ref="M138:N138"/>
    <mergeCell ref="B139:L139"/>
    <mergeCell ref="M139:N139"/>
    <mergeCell ref="C140:H140"/>
    <mergeCell ref="K140:L140"/>
    <mergeCell ref="M140:N140"/>
    <mergeCell ref="C154:G154"/>
    <mergeCell ref="I154:J154"/>
    <mergeCell ref="K154:L154"/>
    <mergeCell ref="M154:N154"/>
    <mergeCell ref="C155:G155"/>
    <mergeCell ref="B136:L136"/>
    <mergeCell ref="M136:N136"/>
    <mergeCell ref="B137:L137"/>
    <mergeCell ref="M137:N137"/>
    <mergeCell ref="B138:L138"/>
    <mergeCell ref="M145:N145"/>
    <mergeCell ref="C152:G152"/>
    <mergeCell ref="I152:J152"/>
    <mergeCell ref="K152:L152"/>
    <mergeCell ref="M152:N152"/>
    <mergeCell ref="C153:G153"/>
    <mergeCell ref="I153:J153"/>
    <mergeCell ref="K153:L153"/>
    <mergeCell ref="M153:N153"/>
    <mergeCell ref="K151:L151"/>
    <mergeCell ref="C135:H135"/>
    <mergeCell ref="I135:J135"/>
    <mergeCell ref="K135:L135"/>
    <mergeCell ref="M135:N135"/>
    <mergeCell ref="C128:H128"/>
    <mergeCell ref="I128:J128"/>
    <mergeCell ref="K128:L128"/>
    <mergeCell ref="M128:N128"/>
    <mergeCell ref="C129:H129"/>
    <mergeCell ref="I129:J129"/>
    <mergeCell ref="C133:H133"/>
    <mergeCell ref="I133:J133"/>
    <mergeCell ref="K133:L133"/>
    <mergeCell ref="M133:N133"/>
    <mergeCell ref="C134:H134"/>
    <mergeCell ref="I134:J134"/>
    <mergeCell ref="K134:L134"/>
    <mergeCell ref="M134:N134"/>
    <mergeCell ref="C127:H127"/>
    <mergeCell ref="I127:J127"/>
    <mergeCell ref="K127:L127"/>
    <mergeCell ref="M127:N127"/>
    <mergeCell ref="C122:N122"/>
    <mergeCell ref="B125:L125"/>
    <mergeCell ref="M125:N125"/>
    <mergeCell ref="C126:H126"/>
    <mergeCell ref="I126:J126"/>
    <mergeCell ref="K126:L126"/>
    <mergeCell ref="M126:N126"/>
    <mergeCell ref="K129:L129"/>
    <mergeCell ref="M129:N129"/>
    <mergeCell ref="C132:H132"/>
    <mergeCell ref="I132:J132"/>
    <mergeCell ref="K132:L132"/>
    <mergeCell ref="M132:N132"/>
    <mergeCell ref="C131:H131"/>
    <mergeCell ref="I131:J131"/>
    <mergeCell ref="K131:L131"/>
    <mergeCell ref="M131:N131"/>
    <mergeCell ref="M80:N80"/>
    <mergeCell ref="A90:A107"/>
    <mergeCell ref="B90:B107"/>
    <mergeCell ref="C90:G90"/>
    <mergeCell ref="C91:G91"/>
    <mergeCell ref="C92:G92"/>
    <mergeCell ref="C93:G93"/>
    <mergeCell ref="C98:G98"/>
    <mergeCell ref="C84:H84"/>
    <mergeCell ref="C88:H88"/>
    <mergeCell ref="B124:L124"/>
    <mergeCell ref="M124:N124"/>
    <mergeCell ref="O49:O50"/>
    <mergeCell ref="C50:D50"/>
    <mergeCell ref="B120:B121"/>
    <mergeCell ref="C120:N121"/>
    <mergeCell ref="C80:H80"/>
    <mergeCell ref="I80:J80"/>
    <mergeCell ref="K80:L80"/>
    <mergeCell ref="M102:N102"/>
    <mergeCell ref="M103:N103"/>
    <mergeCell ref="K95:L95"/>
    <mergeCell ref="M95:N95"/>
    <mergeCell ref="I96:J96"/>
    <mergeCell ref="K96:L96"/>
    <mergeCell ref="M96:N96"/>
    <mergeCell ref="M92:N92"/>
    <mergeCell ref="I93:J93"/>
    <mergeCell ref="K93:L93"/>
    <mergeCell ref="M93:N93"/>
    <mergeCell ref="I94:J94"/>
    <mergeCell ref="K94:L94"/>
    <mergeCell ref="M35:N35"/>
    <mergeCell ref="M36:N36"/>
    <mergeCell ref="M37:N37"/>
    <mergeCell ref="M38:N38"/>
    <mergeCell ref="M39:N39"/>
    <mergeCell ref="M40:N40"/>
    <mergeCell ref="I33:J33"/>
    <mergeCell ref="K33:L33"/>
    <mergeCell ref="M33:N33"/>
    <mergeCell ref="K36:L36"/>
    <mergeCell ref="K37:L37"/>
    <mergeCell ref="K38:L38"/>
    <mergeCell ref="A58:A64"/>
    <mergeCell ref="B58:B64"/>
    <mergeCell ref="C58:H58"/>
    <mergeCell ref="I58:J58"/>
    <mergeCell ref="K58:L58"/>
    <mergeCell ref="C64:H64"/>
    <mergeCell ref="A47:A50"/>
    <mergeCell ref="K49:L49"/>
    <mergeCell ref="K50:L50"/>
    <mergeCell ref="M48:N48"/>
    <mergeCell ref="M49:N49"/>
    <mergeCell ref="M50:N50"/>
    <mergeCell ref="B47:B50"/>
    <mergeCell ref="K47:L47"/>
    <mergeCell ref="M47:N47"/>
    <mergeCell ref="I48:J48"/>
    <mergeCell ref="C46:D46"/>
    <mergeCell ref="E46:F46"/>
    <mergeCell ref="G46:H46"/>
    <mergeCell ref="I39:J39"/>
    <mergeCell ref="O11:O12"/>
    <mergeCell ref="O13:O14"/>
    <mergeCell ref="O15:O16"/>
    <mergeCell ref="I16:J16"/>
    <mergeCell ref="C10:N10"/>
    <mergeCell ref="C11:N11"/>
    <mergeCell ref="M30:N30"/>
    <mergeCell ref="B13:L13"/>
    <mergeCell ref="M13:N13"/>
    <mergeCell ref="B14:L14"/>
    <mergeCell ref="M14:N14"/>
    <mergeCell ref="C15:H15"/>
    <mergeCell ref="I15:J15"/>
    <mergeCell ref="K15:L15"/>
    <mergeCell ref="M15:N15"/>
    <mergeCell ref="C16:H16"/>
    <mergeCell ref="K24:L24"/>
    <mergeCell ref="M24:N24"/>
    <mergeCell ref="B25:L25"/>
    <mergeCell ref="M25:N25"/>
    <mergeCell ref="B26:L26"/>
    <mergeCell ref="M26:N26"/>
    <mergeCell ref="C24:H24"/>
    <mergeCell ref="I24:J24"/>
    <mergeCell ref="C22:H22"/>
    <mergeCell ref="I22:J22"/>
    <mergeCell ref="K22:L22"/>
    <mergeCell ref="M22:N22"/>
    <mergeCell ref="C23:H23"/>
    <mergeCell ref="I23:J23"/>
    <mergeCell ref="K23:L23"/>
    <mergeCell ref="M23:N23"/>
    <mergeCell ref="K29:L29"/>
    <mergeCell ref="M29:N29"/>
    <mergeCell ref="C30:H30"/>
    <mergeCell ref="K30:L30"/>
    <mergeCell ref="C31:H31"/>
    <mergeCell ref="K31:L31"/>
    <mergeCell ref="A32:A44"/>
    <mergeCell ref="B32:B44"/>
    <mergeCell ref="I32:J32"/>
    <mergeCell ref="K32:L32"/>
    <mergeCell ref="M32:N32"/>
    <mergeCell ref="B27:L27"/>
    <mergeCell ref="M27:N27"/>
    <mergeCell ref="B28:L28"/>
    <mergeCell ref="M28:N28"/>
    <mergeCell ref="C29:H29"/>
    <mergeCell ref="K16:L16"/>
    <mergeCell ref="M16:N16"/>
    <mergeCell ref="M43:N43"/>
    <mergeCell ref="M44:N44"/>
    <mergeCell ref="C33:G33"/>
    <mergeCell ref="C34:G34"/>
    <mergeCell ref="C35:G35"/>
    <mergeCell ref="M31:N31"/>
    <mergeCell ref="I40:J40"/>
    <mergeCell ref="I41:J41"/>
    <mergeCell ref="I42:J42"/>
    <mergeCell ref="C36:G36"/>
    <mergeCell ref="C37:G37"/>
    <mergeCell ref="C38:G38"/>
    <mergeCell ref="C39:G39"/>
    <mergeCell ref="C40:G40"/>
    <mergeCell ref="O61:O62"/>
    <mergeCell ref="M41:N41"/>
    <mergeCell ref="M42:N42"/>
    <mergeCell ref="C63:H63"/>
    <mergeCell ref="I63:J64"/>
    <mergeCell ref="K63:L64"/>
    <mergeCell ref="M63:N64"/>
    <mergeCell ref="A53:L53"/>
    <mergeCell ref="I43:J43"/>
    <mergeCell ref="I44:J44"/>
    <mergeCell ref="K34:L34"/>
    <mergeCell ref="K35:L35"/>
    <mergeCell ref="K42:L42"/>
    <mergeCell ref="K43:L43"/>
    <mergeCell ref="K44:L44"/>
    <mergeCell ref="I36:J36"/>
    <mergeCell ref="I37:J37"/>
    <mergeCell ref="I38:J38"/>
    <mergeCell ref="B45:L45"/>
    <mergeCell ref="M45:N45"/>
    <mergeCell ref="C49:D49"/>
    <mergeCell ref="C54:D54"/>
    <mergeCell ref="E54:F54"/>
    <mergeCell ref="G54:H54"/>
    <mergeCell ref="I54:J54"/>
    <mergeCell ref="K54:L54"/>
    <mergeCell ref="M54:N54"/>
    <mergeCell ref="C41:G41"/>
    <mergeCell ref="K39:L39"/>
    <mergeCell ref="K40:L40"/>
    <mergeCell ref="K41:L41"/>
    <mergeCell ref="M34:N34"/>
    <mergeCell ref="A65:A69"/>
    <mergeCell ref="B65:B69"/>
    <mergeCell ref="C65:H65"/>
    <mergeCell ref="I65:J65"/>
    <mergeCell ref="K65:L65"/>
    <mergeCell ref="M65:N65"/>
    <mergeCell ref="C66:H66"/>
    <mergeCell ref="C67:H67"/>
    <mergeCell ref="I66:J67"/>
    <mergeCell ref="K66:L67"/>
    <mergeCell ref="O59:O60"/>
    <mergeCell ref="C60:H60"/>
    <mergeCell ref="I59:J60"/>
    <mergeCell ref="K59:L60"/>
    <mergeCell ref="M59:N60"/>
    <mergeCell ref="B56:L56"/>
    <mergeCell ref="M56:N56"/>
    <mergeCell ref="B57:L57"/>
    <mergeCell ref="M57:N57"/>
    <mergeCell ref="C59:H59"/>
    <mergeCell ref="C68:H68"/>
    <mergeCell ref="C69:H69"/>
    <mergeCell ref="I68:J69"/>
    <mergeCell ref="K68:L69"/>
    <mergeCell ref="M68:N69"/>
    <mergeCell ref="O68:O69"/>
    <mergeCell ref="O63:O64"/>
    <mergeCell ref="C61:H61"/>
    <mergeCell ref="I61:J62"/>
    <mergeCell ref="K61:L62"/>
    <mergeCell ref="M66:N67"/>
    <mergeCell ref="O66:O67"/>
    <mergeCell ref="O73:O74"/>
    <mergeCell ref="A79:A81"/>
    <mergeCell ref="B79:B81"/>
    <mergeCell ref="C79:H79"/>
    <mergeCell ref="I79:J79"/>
    <mergeCell ref="K79:L79"/>
    <mergeCell ref="M79:N79"/>
    <mergeCell ref="C81:H81"/>
    <mergeCell ref="M78:N78"/>
    <mergeCell ref="M76:N76"/>
    <mergeCell ref="B77:L77"/>
    <mergeCell ref="M77:N77"/>
    <mergeCell ref="M71:N72"/>
    <mergeCell ref="O71:O72"/>
    <mergeCell ref="C73:H73"/>
    <mergeCell ref="C74:H74"/>
    <mergeCell ref="I73:J74"/>
    <mergeCell ref="K73:L74"/>
    <mergeCell ref="M73:N74"/>
    <mergeCell ref="C71:H71"/>
    <mergeCell ref="C72:H72"/>
    <mergeCell ref="I71:J72"/>
    <mergeCell ref="K71:L72"/>
    <mergeCell ref="B75:L75"/>
    <mergeCell ref="M75:N75"/>
    <mergeCell ref="B78:L78"/>
    <mergeCell ref="A70:A74"/>
    <mergeCell ref="B70:B74"/>
    <mergeCell ref="C70:H70"/>
    <mergeCell ref="I70:J70"/>
    <mergeCell ref="K70:L70"/>
    <mergeCell ref="B76:L76"/>
    <mergeCell ref="E110:F110"/>
    <mergeCell ref="G110:H110"/>
    <mergeCell ref="I110:J110"/>
    <mergeCell ref="C109:D109"/>
    <mergeCell ref="E109:F109"/>
    <mergeCell ref="G109:H109"/>
    <mergeCell ref="I109:J109"/>
    <mergeCell ref="M82:N82"/>
    <mergeCell ref="I88:J88"/>
    <mergeCell ref="K84:L84"/>
    <mergeCell ref="M84:N84"/>
    <mergeCell ref="K85:L85"/>
    <mergeCell ref="K87:L87"/>
    <mergeCell ref="M85:N85"/>
    <mergeCell ref="K88:L88"/>
    <mergeCell ref="M88:N88"/>
    <mergeCell ref="C82:H82"/>
    <mergeCell ref="C83:H83"/>
    <mergeCell ref="C85:H85"/>
    <mergeCell ref="I83:J83"/>
    <mergeCell ref="K83:L83"/>
    <mergeCell ref="M83:N83"/>
    <mergeCell ref="I84:J84"/>
    <mergeCell ref="I85:J85"/>
    <mergeCell ref="I82:J82"/>
    <mergeCell ref="K82:L82"/>
    <mergeCell ref="M94:N94"/>
    <mergeCell ref="I90:J90"/>
    <mergeCell ref="K90:L90"/>
    <mergeCell ref="M90:N90"/>
    <mergeCell ref="I91:J91"/>
    <mergeCell ref="K91:L91"/>
    <mergeCell ref="I21:J21"/>
    <mergeCell ref="K21:L21"/>
    <mergeCell ref="M21:N21"/>
    <mergeCell ref="M61:N62"/>
    <mergeCell ref="C62:H62"/>
    <mergeCell ref="A112:L112"/>
    <mergeCell ref="K51:L52"/>
    <mergeCell ref="M51:N52"/>
    <mergeCell ref="I34:J34"/>
    <mergeCell ref="I35:J35"/>
    <mergeCell ref="C101:G101"/>
    <mergeCell ref="C17:H17"/>
    <mergeCell ref="I17:J17"/>
    <mergeCell ref="K17:L17"/>
    <mergeCell ref="M17:N17"/>
    <mergeCell ref="C18:H18"/>
    <mergeCell ref="I18:J18"/>
    <mergeCell ref="K18:L18"/>
    <mergeCell ref="M18:N18"/>
    <mergeCell ref="C21:H21"/>
    <mergeCell ref="B108:L108"/>
    <mergeCell ref="M108:N108"/>
    <mergeCell ref="C94:G94"/>
    <mergeCell ref="C95:G95"/>
    <mergeCell ref="C96:G96"/>
    <mergeCell ref="C97:G97"/>
    <mergeCell ref="I97:J97"/>
    <mergeCell ref="K97:L97"/>
    <mergeCell ref="C99:G99"/>
    <mergeCell ref="C100:G100"/>
    <mergeCell ref="C87:H87"/>
    <mergeCell ref="I87:J87"/>
    <mergeCell ref="O51:O52"/>
    <mergeCell ref="C52:D52"/>
    <mergeCell ref="C47:D47"/>
    <mergeCell ref="O47:O48"/>
    <mergeCell ref="C48:D48"/>
    <mergeCell ref="C51:D51"/>
    <mergeCell ref="E51:F52"/>
    <mergeCell ref="G51:H52"/>
    <mergeCell ref="I51:J52"/>
    <mergeCell ref="K48:L48"/>
    <mergeCell ref="C86:H86"/>
    <mergeCell ref="I86:J86"/>
    <mergeCell ref="K86:L86"/>
    <mergeCell ref="M86:N86"/>
    <mergeCell ref="C32:G32"/>
    <mergeCell ref="I47:J47"/>
    <mergeCell ref="I49:J49"/>
    <mergeCell ref="I50:J50"/>
    <mergeCell ref="E47:F47"/>
    <mergeCell ref="E48:F48"/>
    <mergeCell ref="E49:F49"/>
    <mergeCell ref="E50:F50"/>
    <mergeCell ref="G47:H47"/>
    <mergeCell ref="G48:H48"/>
    <mergeCell ref="I46:J46"/>
    <mergeCell ref="K46:L46"/>
    <mergeCell ref="M46:N46"/>
    <mergeCell ref="G49:H49"/>
    <mergeCell ref="G50:H50"/>
    <mergeCell ref="C42:G42"/>
    <mergeCell ref="C43:G43"/>
    <mergeCell ref="C44:G44"/>
    <mergeCell ref="I81:J81"/>
    <mergeCell ref="M58:N58"/>
    <mergeCell ref="M53:N53"/>
    <mergeCell ref="K81:L81"/>
    <mergeCell ref="M81:N81"/>
    <mergeCell ref="M70:N70"/>
    <mergeCell ref="M147:N147"/>
    <mergeCell ref="C148:G148"/>
    <mergeCell ref="I148:J148"/>
    <mergeCell ref="K148:L148"/>
    <mergeCell ref="M148:N148"/>
    <mergeCell ref="M151:N151"/>
    <mergeCell ref="I155:J155"/>
    <mergeCell ref="K155:L155"/>
    <mergeCell ref="M155:N155"/>
    <mergeCell ref="C146:G146"/>
    <mergeCell ref="I146:J146"/>
    <mergeCell ref="K146:L146"/>
    <mergeCell ref="M146:N146"/>
    <mergeCell ref="C147:G147"/>
    <mergeCell ref="I147:J147"/>
    <mergeCell ref="M113:N113"/>
    <mergeCell ref="M87:N87"/>
    <mergeCell ref="C150:G150"/>
    <mergeCell ref="I150:J150"/>
    <mergeCell ref="K150:L150"/>
    <mergeCell ref="M150:N150"/>
    <mergeCell ref="M114:N114"/>
    <mergeCell ref="K109:L109"/>
    <mergeCell ref="M109:N109"/>
    <mergeCell ref="K110:L110"/>
    <mergeCell ref="M110:N110"/>
    <mergeCell ref="M112:N112"/>
    <mergeCell ref="M111:N111"/>
    <mergeCell ref="B89:L89"/>
    <mergeCell ref="M89:N89"/>
    <mergeCell ref="B85:B88"/>
    <mergeCell ref="C110:D110"/>
    <mergeCell ref="C151:G151"/>
    <mergeCell ref="I151:J151"/>
    <mergeCell ref="M204:N204"/>
    <mergeCell ref="M205:N205"/>
    <mergeCell ref="M158:N158"/>
    <mergeCell ref="C255:G255"/>
    <mergeCell ref="I255:J255"/>
    <mergeCell ref="K255:L255"/>
    <mergeCell ref="M255:N255"/>
    <mergeCell ref="C256:G256"/>
    <mergeCell ref="I256:J256"/>
    <mergeCell ref="K256:L256"/>
    <mergeCell ref="M256:N256"/>
    <mergeCell ref="C143:G143"/>
    <mergeCell ref="K147:L147"/>
    <mergeCell ref="K159:L159"/>
    <mergeCell ref="G165:H165"/>
    <mergeCell ref="I165:J165"/>
    <mergeCell ref="K165:L165"/>
    <mergeCell ref="M165:N165"/>
    <mergeCell ref="B167:L167"/>
    <mergeCell ref="M167:N167"/>
    <mergeCell ref="M164:N164"/>
    <mergeCell ref="C165:D165"/>
    <mergeCell ref="E165:F165"/>
    <mergeCell ref="A166:N166"/>
    <mergeCell ref="A252:A264"/>
    <mergeCell ref="B252:B264"/>
    <mergeCell ref="C252:G252"/>
    <mergeCell ref="I252:J252"/>
    <mergeCell ref="K252:L252"/>
    <mergeCell ref="C253:G253"/>
    <mergeCell ref="I253:J253"/>
    <mergeCell ref="K253:L253"/>
    <mergeCell ref="C254:G254"/>
    <mergeCell ref="C149:G149"/>
    <mergeCell ref="I149:J149"/>
    <mergeCell ref="K149:L149"/>
    <mergeCell ref="M149:N149"/>
    <mergeCell ref="M252:N252"/>
    <mergeCell ref="M253:N253"/>
    <mergeCell ref="I254:J254"/>
    <mergeCell ref="K254:L254"/>
    <mergeCell ref="M159:N159"/>
    <mergeCell ref="E160:F160"/>
    <mergeCell ref="G160:H160"/>
    <mergeCell ref="I160:J160"/>
    <mergeCell ref="K160:L160"/>
    <mergeCell ref="I263:J263"/>
    <mergeCell ref="A158:A161"/>
    <mergeCell ref="B158:B161"/>
    <mergeCell ref="E158:F158"/>
    <mergeCell ref="G158:H158"/>
    <mergeCell ref="I158:J158"/>
    <mergeCell ref="K158:L158"/>
    <mergeCell ref="E159:F159"/>
    <mergeCell ref="G159:H159"/>
    <mergeCell ref="I159:J159"/>
    <mergeCell ref="A361:A373"/>
    <mergeCell ref="B361:B373"/>
    <mergeCell ref="C361:G361"/>
    <mergeCell ref="I361:J361"/>
    <mergeCell ref="K361:L361"/>
    <mergeCell ref="C364:G364"/>
    <mergeCell ref="I364:J364"/>
    <mergeCell ref="K364:L364"/>
    <mergeCell ref="C372:G372"/>
    <mergeCell ref="C257:G257"/>
    <mergeCell ref="I257:J257"/>
    <mergeCell ref="K257:L257"/>
    <mergeCell ref="M257:N257"/>
    <mergeCell ref="C258:G258"/>
    <mergeCell ref="I373:J373"/>
    <mergeCell ref="K373:L373"/>
    <mergeCell ref="B265:L265"/>
    <mergeCell ref="M265:N265"/>
    <mergeCell ref="C266:D266"/>
    <mergeCell ref="E266:F266"/>
    <mergeCell ref="G266:H266"/>
    <mergeCell ref="I266:J266"/>
    <mergeCell ref="K266:L266"/>
    <mergeCell ref="M266:N266"/>
    <mergeCell ref="C267:D267"/>
    <mergeCell ref="M267:N267"/>
    <mergeCell ref="E268:F268"/>
    <mergeCell ref="G268:H268"/>
    <mergeCell ref="A267:A270"/>
    <mergeCell ref="B267:B270"/>
    <mergeCell ref="M262:N262"/>
    <mergeCell ref="C263:G263"/>
    <mergeCell ref="B168:L168"/>
    <mergeCell ref="M168:N168"/>
    <mergeCell ref="M206:N206"/>
    <mergeCell ref="M207:N207"/>
    <mergeCell ref="M208:N208"/>
    <mergeCell ref="M209:N209"/>
    <mergeCell ref="M210:N210"/>
    <mergeCell ref="E267:F267"/>
    <mergeCell ref="G267:H267"/>
    <mergeCell ref="I267:J267"/>
    <mergeCell ref="K267:L267"/>
    <mergeCell ref="K270:L270"/>
    <mergeCell ref="C220:D220"/>
    <mergeCell ref="E220:F220"/>
    <mergeCell ref="G220:H220"/>
    <mergeCell ref="I220:J220"/>
    <mergeCell ref="K220:L220"/>
    <mergeCell ref="K208:L208"/>
    <mergeCell ref="K209:L209"/>
    <mergeCell ref="K210:L210"/>
    <mergeCell ref="K214:L214"/>
    <mergeCell ref="K215:L215"/>
    <mergeCell ref="K216:L216"/>
    <mergeCell ref="K263:L263"/>
    <mergeCell ref="M263:N263"/>
    <mergeCell ref="C264:G264"/>
    <mergeCell ref="B219:L219"/>
    <mergeCell ref="B231:B232"/>
    <mergeCell ref="C231:N232"/>
    <mergeCell ref="C221:D221"/>
    <mergeCell ref="E221:F221"/>
    <mergeCell ref="C239:H239"/>
    <mergeCell ref="M219:N219"/>
    <mergeCell ref="C233:N233"/>
    <mergeCell ref="C249:H249"/>
    <mergeCell ref="K249:L249"/>
    <mergeCell ref="I258:J258"/>
    <mergeCell ref="K258:L258"/>
    <mergeCell ref="K268:L268"/>
    <mergeCell ref="K218:L218"/>
    <mergeCell ref="M218:N218"/>
    <mergeCell ref="I213:J213"/>
    <mergeCell ref="K213:L213"/>
    <mergeCell ref="M213:N213"/>
    <mergeCell ref="I217:J217"/>
    <mergeCell ref="K217:L217"/>
    <mergeCell ref="M217:N217"/>
    <mergeCell ref="M214:N214"/>
    <mergeCell ref="M215:N215"/>
    <mergeCell ref="M216:N216"/>
    <mergeCell ref="I216:J216"/>
    <mergeCell ref="C250:H250"/>
    <mergeCell ref="K250:L250"/>
    <mergeCell ref="M250:N250"/>
    <mergeCell ref="I264:J264"/>
    <mergeCell ref="B248:L248"/>
    <mergeCell ref="M248:N248"/>
    <mergeCell ref="I218:J218"/>
    <mergeCell ref="C217:G217"/>
    <mergeCell ref="C218:G218"/>
    <mergeCell ref="I244:J244"/>
    <mergeCell ref="K244:L244"/>
    <mergeCell ref="M244:N244"/>
    <mergeCell ref="C262:G262"/>
    <mergeCell ref="C317:G317"/>
    <mergeCell ref="C318:G318"/>
    <mergeCell ref="M270:N270"/>
    <mergeCell ref="M317:N317"/>
    <mergeCell ref="I318:J318"/>
    <mergeCell ref="K318:L318"/>
    <mergeCell ref="M318:N318"/>
    <mergeCell ref="K312:L312"/>
    <mergeCell ref="M312:N312"/>
    <mergeCell ref="C313:G313"/>
    <mergeCell ref="I313:J313"/>
    <mergeCell ref="K313:L313"/>
    <mergeCell ref="M313:N313"/>
    <mergeCell ref="C213:G213"/>
    <mergeCell ref="C214:G214"/>
    <mergeCell ref="C215:G215"/>
    <mergeCell ref="C216:G216"/>
    <mergeCell ref="I214:J214"/>
    <mergeCell ref="I215:J215"/>
    <mergeCell ref="M222:N222"/>
    <mergeCell ref="A223:L223"/>
    <mergeCell ref="M223:N223"/>
    <mergeCell ref="M224:N224"/>
    <mergeCell ref="A310:A327"/>
    <mergeCell ref="B310:B327"/>
    <mergeCell ref="M311:N311"/>
    <mergeCell ref="C312:G312"/>
    <mergeCell ref="I312:J312"/>
    <mergeCell ref="B245:L245"/>
    <mergeCell ref="M245:N245"/>
    <mergeCell ref="B246:L246"/>
    <mergeCell ref="C244:H244"/>
    <mergeCell ref="C319:G319"/>
    <mergeCell ref="I319:J319"/>
    <mergeCell ref="K319:L319"/>
    <mergeCell ref="M319:N319"/>
    <mergeCell ref="M314:N314"/>
    <mergeCell ref="K314:L314"/>
    <mergeCell ref="I314:J314"/>
    <mergeCell ref="I317:J317"/>
    <mergeCell ref="K317:L317"/>
    <mergeCell ref="I243:J243"/>
    <mergeCell ref="K243:L243"/>
    <mergeCell ref="M243:N243"/>
    <mergeCell ref="G221:H221"/>
    <mergeCell ref="I221:J221"/>
    <mergeCell ref="K221:L221"/>
    <mergeCell ref="C241:H241"/>
    <mergeCell ref="I241:J241"/>
    <mergeCell ref="K241:L241"/>
    <mergeCell ref="M241:N241"/>
    <mergeCell ref="M221:N221"/>
    <mergeCell ref="M225:N225"/>
    <mergeCell ref="K239:L239"/>
    <mergeCell ref="M239:N239"/>
    <mergeCell ref="C240:H240"/>
    <mergeCell ref="I240:J240"/>
    <mergeCell ref="K240:L240"/>
    <mergeCell ref="M240:N240"/>
    <mergeCell ref="A224:L224"/>
    <mergeCell ref="C314:G314"/>
    <mergeCell ref="C315:G315"/>
    <mergeCell ref="C316:G316"/>
    <mergeCell ref="A234:N234"/>
    <mergeCell ref="K323:L323"/>
    <mergeCell ref="M323:N323"/>
    <mergeCell ref="C324:G324"/>
    <mergeCell ref="I324:J324"/>
    <mergeCell ref="K324:L324"/>
    <mergeCell ref="M324:N324"/>
    <mergeCell ref="E379:F379"/>
    <mergeCell ref="G379:H379"/>
    <mergeCell ref="C321:G321"/>
    <mergeCell ref="I321:J321"/>
    <mergeCell ref="K321:L321"/>
    <mergeCell ref="M321:N321"/>
    <mergeCell ref="C322:G322"/>
    <mergeCell ref="I322:J322"/>
    <mergeCell ref="K322:L322"/>
    <mergeCell ref="M322:N322"/>
    <mergeCell ref="C320:G320"/>
    <mergeCell ref="I320:J320"/>
    <mergeCell ref="K320:L320"/>
    <mergeCell ref="M320:N320"/>
    <mergeCell ref="G378:H378"/>
    <mergeCell ref="I378:J378"/>
    <mergeCell ref="K378:L378"/>
    <mergeCell ref="M378:N378"/>
    <mergeCell ref="C323:G323"/>
    <mergeCell ref="I323:J323"/>
    <mergeCell ref="I372:J372"/>
    <mergeCell ref="K372:L372"/>
    <mergeCell ref="M372:N372"/>
    <mergeCell ref="C373:G373"/>
    <mergeCell ref="C371:G371"/>
    <mergeCell ref="I371:J371"/>
    <mergeCell ref="C326:G326"/>
    <mergeCell ref="I326:J326"/>
    <mergeCell ref="K326:L326"/>
    <mergeCell ref="M326:N326"/>
    <mergeCell ref="C327:G327"/>
    <mergeCell ref="I327:J327"/>
    <mergeCell ref="K327:L327"/>
    <mergeCell ref="M327:N327"/>
    <mergeCell ref="C325:G325"/>
    <mergeCell ref="I325:J325"/>
    <mergeCell ref="K325:L325"/>
    <mergeCell ref="M325:N325"/>
    <mergeCell ref="I379:J379"/>
    <mergeCell ref="K379:L379"/>
    <mergeCell ref="M379:N379"/>
    <mergeCell ref="C376:D376"/>
    <mergeCell ref="K370:L370"/>
    <mergeCell ref="M370:N370"/>
    <mergeCell ref="K371:L371"/>
    <mergeCell ref="M371:N371"/>
    <mergeCell ref="M373:N373"/>
    <mergeCell ref="M364:N364"/>
    <mergeCell ref="C365:G365"/>
    <mergeCell ref="I365:J365"/>
    <mergeCell ref="K365:L365"/>
    <mergeCell ref="M365:N365"/>
    <mergeCell ref="M361:N361"/>
    <mergeCell ref="C362:G362"/>
    <mergeCell ref="I362:J362"/>
    <mergeCell ref="K362:L362"/>
    <mergeCell ref="M362:N362"/>
    <mergeCell ref="C363:G363"/>
    <mergeCell ref="I421:J421"/>
    <mergeCell ref="K421:L421"/>
    <mergeCell ref="M421:N421"/>
    <mergeCell ref="C422:G422"/>
    <mergeCell ref="I422:J422"/>
    <mergeCell ref="K422:L422"/>
    <mergeCell ref="M422:N422"/>
    <mergeCell ref="A419:A436"/>
    <mergeCell ref="B419:B436"/>
    <mergeCell ref="C419:G419"/>
    <mergeCell ref="I419:J419"/>
    <mergeCell ref="K419:L419"/>
    <mergeCell ref="M419:N419"/>
    <mergeCell ref="C420:G420"/>
    <mergeCell ref="I420:J420"/>
    <mergeCell ref="K420:L420"/>
    <mergeCell ref="M420:N420"/>
    <mergeCell ref="C436:G436"/>
    <mergeCell ref="I436:J436"/>
    <mergeCell ref="K434:L434"/>
    <mergeCell ref="M434:N434"/>
    <mergeCell ref="K436:L436"/>
    <mergeCell ref="M436:N436"/>
    <mergeCell ref="C431:G431"/>
    <mergeCell ref="I431:J431"/>
    <mergeCell ref="K431:L431"/>
    <mergeCell ref="M431:N431"/>
    <mergeCell ref="C432:G432"/>
    <mergeCell ref="I432:J432"/>
    <mergeCell ref="K432:L432"/>
    <mergeCell ref="M432:N432"/>
    <mergeCell ref="C423:G423"/>
    <mergeCell ref="I423:J423"/>
    <mergeCell ref="M426:N426"/>
    <mergeCell ref="C427:G427"/>
    <mergeCell ref="I427:J427"/>
    <mergeCell ref="K427:L427"/>
    <mergeCell ref="D1:N1"/>
    <mergeCell ref="B235:L235"/>
    <mergeCell ref="M235:N235"/>
    <mergeCell ref="B236:L236"/>
    <mergeCell ref="C202:G202"/>
    <mergeCell ref="C203:G203"/>
    <mergeCell ref="C204:G204"/>
    <mergeCell ref="C205:G205"/>
    <mergeCell ref="C206:G206"/>
    <mergeCell ref="K20:L20"/>
    <mergeCell ref="M20:N20"/>
    <mergeCell ref="C130:H130"/>
    <mergeCell ref="I130:J130"/>
    <mergeCell ref="K130:L130"/>
    <mergeCell ref="M130:N130"/>
    <mergeCell ref="A111:L111"/>
    <mergeCell ref="A113:L113"/>
    <mergeCell ref="C19:H19"/>
    <mergeCell ref="I19:J19"/>
    <mergeCell ref="K19:L19"/>
    <mergeCell ref="M19:N19"/>
    <mergeCell ref="C20:H20"/>
    <mergeCell ref="I20:J20"/>
    <mergeCell ref="M220:N220"/>
    <mergeCell ref="I207:J207"/>
    <mergeCell ref="I208:J208"/>
    <mergeCell ref="I209:J209"/>
    <mergeCell ref="A442:L442"/>
    <mergeCell ref="A443:L443"/>
    <mergeCell ref="H2:N2"/>
    <mergeCell ref="A414:A417"/>
    <mergeCell ref="A340:A341"/>
    <mergeCell ref="A333:L333"/>
    <mergeCell ref="A334:L334"/>
    <mergeCell ref="A343:M343"/>
    <mergeCell ref="A382:L382"/>
    <mergeCell ref="A384:N384"/>
    <mergeCell ref="A440:L440"/>
    <mergeCell ref="A164:L164"/>
    <mergeCell ref="A222:L222"/>
    <mergeCell ref="A225:L225"/>
    <mergeCell ref="A273:L273"/>
    <mergeCell ref="A275:M275"/>
    <mergeCell ref="A331:L331"/>
    <mergeCell ref="A4:N4"/>
    <mergeCell ref="A12:N12"/>
    <mergeCell ref="A55:N55"/>
    <mergeCell ref="A114:L114"/>
    <mergeCell ref="A123:N123"/>
    <mergeCell ref="C435:G435"/>
    <mergeCell ref="I435:J435"/>
    <mergeCell ref="K435:L435"/>
    <mergeCell ref="M435:N435"/>
    <mergeCell ref="C433:G433"/>
    <mergeCell ref="I433:J433"/>
    <mergeCell ref="K433:L433"/>
    <mergeCell ref="M433:N433"/>
    <mergeCell ref="C434:G434"/>
    <mergeCell ref="I434:J434"/>
  </mergeCells>
  <pageMargins left="0.70866141732283472" right="0.70866141732283472" top="0.74803149606299213" bottom="0.74803149606299213" header="0.31496062992125984" footer="0.31496062992125984"/>
  <pageSetup paperSize="9" scale="77" fitToHeight="0" orientation="landscape" horizontalDpi="90" verticalDpi="90" r:id="rId1"/>
  <headerFooter>
    <oddFooter>&amp;R&amp;9Lpp.&amp;P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2pielik</vt:lpstr>
      <vt:lpstr>'2pielik'!Print_Area</vt:lpstr>
      <vt:lpstr>'2pielik'!Print_Titles</vt:lpstr>
    </vt:vector>
  </TitlesOfParts>
  <Company>Valsts robežsardzes koledža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Ministru kabineta noteikumu projekta "Valsts robežsardzes koledžas maksas pakalpojumu cenrādis" sākotnējās ietekmes novērtējuma ziņojuma pielikumi</dc:title>
  <dc:subject>Pielikumi</dc:subject>
  <dc:creator>Velta Grecka</dc:creator>
  <dc:description>64603688, velta.grecka@rs.gov.lv</dc:description>
  <cp:lastModifiedBy>Inga Kola</cp:lastModifiedBy>
  <cp:lastPrinted>2024-02-02T08:34:20Z</cp:lastPrinted>
  <dcterms:created xsi:type="dcterms:W3CDTF">2017-12-04T12:01:01Z</dcterms:created>
  <dcterms:modified xsi:type="dcterms:W3CDTF">2024-02-05T11:53:28Z</dcterms:modified>
</cp:coreProperties>
</file>