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1643_pab_aizbildn_par_berna_uztur\"/>
    </mc:Choice>
  </mc:AlternateContent>
  <xr:revisionPtr revIDLastSave="0" documentId="13_ncr:1_{BF365D16-B5B4-47DC-9B28-54C29834BCB2}" xr6:coauthVersionLast="36" xr6:coauthVersionMax="36" xr10:uidLastSave="{00000000-0000-0000-0000-000000000000}"/>
  <bookViews>
    <workbookView xWindow="0" yWindow="0" windowWidth="19200" windowHeight="6650" tabRatio="776" xr2:uid="{BFD08F63-8698-4612-ACFF-C89DA93FAB58}"/>
  </bookViews>
  <sheets>
    <sheet name="Pielikums" sheetId="5"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2" i="5" l="1"/>
  <c r="B14" i="5" l="1"/>
  <c r="M18" i="13"/>
  <c r="M17" i="13"/>
  <c r="M16" i="13"/>
  <c r="L16" i="13"/>
  <c r="Z11" i="13"/>
  <c r="B16" i="13"/>
  <c r="H15" i="5" l="1"/>
  <c r="H14" i="5"/>
  <c r="E15" i="5"/>
  <c r="E14" i="5"/>
  <c r="B15" i="5"/>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K11" i="5" l="1"/>
  <c r="K15" i="5" l="1"/>
  <c r="E9" i="11" s="1"/>
  <c r="K14" i="5"/>
  <c r="D11" i="12"/>
  <c r="D23" i="12" s="1"/>
  <c r="B20" i="12"/>
  <c r="E11" i="12"/>
  <c r="E23" i="12" s="1"/>
  <c r="C11" i="12"/>
  <c r="C23" i="12" s="1"/>
  <c r="L15" i="5" l="1"/>
  <c r="M15" i="5" s="1"/>
  <c r="L14" i="5"/>
  <c r="M14" i="5" s="1"/>
  <c r="M16" i="5" l="1"/>
  <c r="M17" i="5" s="1"/>
  <c r="E10" i="11" l="1"/>
  <c r="D10" i="11" l="1"/>
  <c r="I15" i="5" l="1"/>
  <c r="J15" i="5" s="1"/>
  <c r="I14" i="5"/>
  <c r="J14" i="5" s="1"/>
  <c r="F15" i="5"/>
  <c r="G15" i="5" s="1"/>
  <c r="F14" i="5"/>
  <c r="G14" i="5" s="1"/>
  <c r="C15" i="5"/>
  <c r="D15" i="5" s="1"/>
  <c r="C14" i="5"/>
  <c r="D14" i="5" s="1"/>
  <c r="G16" i="5" l="1"/>
  <c r="G17" i="5" s="1"/>
  <c r="D16" i="5"/>
  <c r="D17" i="5" s="1"/>
  <c r="J16" i="5" l="1"/>
  <c r="J17"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<sst xmlns="http://schemas.openxmlformats.org/spreadsheetml/2006/main" count="175" uniqueCount="92">
  <si>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</si>
  <si>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</si>
  <si>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</si>
  <si>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</si>
  <si>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saņēmēju skaits</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</si>
  <si>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</si>
  <si>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</si>
  <si>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</si>
  <si>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</si>
  <si>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saņēmēju skaits*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</si>
  <si>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</si>
  <si>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</si>
  <si>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</si>
  <si>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</si>
  <si>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</si>
  <si>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</si>
  <si>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</si>
  <si>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</si>
  <si>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</si>
  <si>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</si>
  <si>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</si>
  <si>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</si>
  <si>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</si>
  <si>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</si>
  <si>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</si>
  <si>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</si>
  <si>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</si>
  <si>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</si>
  <si>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</si>
  <si>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</si>
  <si>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</si>
  <si>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</si>
  <si>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</si>
  <si>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</si>
  <si>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</si>
  <si>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</si>
  <si>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</si>
  <si>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</si>
  <si>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</si>
  <si>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</si>
  <si>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</si>
  <si>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</si>
  <si>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</si>
  <si>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</si>
  <si>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</si>
  <si>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</si>
  <si>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</si>
  <si>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</si>
  <si>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</si>
  <si>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</si>
  <si>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</si>
  <si>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</si>
  <si>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</si>
  <si>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</si>
  <si>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</si>
  <si>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</si>
  <si>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</si>
  <si>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</si>
  <si>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</si>
  <si>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</si>
  <si>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</si>
  <si>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</si>
  <si>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</si>
  <si>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</si>
  <si>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</si>
  <si>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</si>
  <si>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</si>
  <si>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</si>
  <si>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</si>
  <si>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</si>
  <si>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</si>
  <si>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</si>
  <si>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</si>
  <si>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</si>
  <si>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</si>
  <si>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</si>
  <si>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</si>
  <si>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 atbilstoši likumam "Par valsts budžetu 2025. gadam un budžeta ietvaru 2025., 2026. un 2027. gadam"; 2029.gada izdevumi saglabāti 2028.gada līmenī</t>
  </si>
  <si>
    <t>no tiem par bērnu vecumā 0-6 gadi**</t>
  </si>
  <si>
    <t>par bērnu vecumā 7-17 gadi**</t>
  </si>
  <si>
    <t>**atbilstoši VSAA 2023.gada statistikas datiem pabalstu par bērniem vecumā līdz 6 gadiem saņēma 13%, bet par bērniem no 7 gadu vecuma - 87% (noapaļojot tiek pieņemti attiecīgi 15% un 85%)</t>
  </si>
  <si>
    <r>
      <t xml:space="preserve">Pasākums paredz no 2026.gada pārskatīt pabalsta apmēru, ņemot vērā minimālās algas pieaugumu. Pabalsta apmērs tiek rēķināts atbilstoši minimālo uzturlīdzekļu apmēram, ko katram vecākam ir pienākums nodrošināt bērnam saskaņā ar MK 15.01.2013. noteikumiem Nr.37 "Noteikumi par minimālo uzturlīdzekļu apmēru bērnam", t.i., 25% no minimālās algas par bērniem 0-6 gadi un 30% no minimālās algas par bērniem 7-17 gadi. Pabalsts tiek noteikts divkāršā minimālo uzturlīdzekļu apmērā (kā par abiem vecākiem). Minimālā alga 2026.gadā ir plānota 780 </t>
    </r>
    <r>
      <rPr>
        <i/>
        <sz val="11"/>
        <rFont val="Times New Roman"/>
        <family val="1"/>
        <charset val="186"/>
      </rPr>
      <t>euro</t>
    </r>
    <r>
      <rPr>
        <sz val="11"/>
        <rFont val="Times New Roman"/>
        <family val="1"/>
        <charset val="186"/>
      </rPr>
      <t xml:space="preserve">, 2027.gadā - 820 </t>
    </r>
    <r>
      <rPr>
        <i/>
        <sz val="11"/>
        <rFont val="Times New Roman"/>
        <family val="1"/>
        <charset val="186"/>
      </rPr>
      <t>euro</t>
    </r>
    <r>
      <rPr>
        <sz val="11"/>
        <rFont val="Times New Roman"/>
        <family val="1"/>
        <charset val="186"/>
      </rPr>
      <t xml:space="preserve">, 2028.gadā - 860 </t>
    </r>
    <r>
      <rPr>
        <i/>
        <sz val="11"/>
        <rFont val="Times New Roman"/>
        <family val="1"/>
        <charset val="186"/>
      </rPr>
      <t>euro</t>
    </r>
    <r>
      <rPr>
        <sz val="11"/>
        <rFont val="Times New Roman"/>
        <family val="1"/>
        <charset val="186"/>
      </rPr>
      <t xml:space="preserve"> (2029. gadā tiek pieņemta 2028.gada līmenī). Līdz ar to pabalsta apmērs 2026.gadā plānots: par bērnu līdz septiņu gadu vecuma sasniegšanai – 390 </t>
    </r>
    <r>
      <rPr>
        <i/>
        <sz val="11"/>
        <rFont val="Times New Roman"/>
        <family val="1"/>
        <charset val="186"/>
      </rPr>
      <t>euro</t>
    </r>
    <r>
      <rPr>
        <sz val="11"/>
        <rFont val="Times New Roman"/>
        <family val="1"/>
        <charset val="186"/>
      </rPr>
      <t xml:space="preserve"> mēnesī; par bērnu vecumā no septiņiem gadiem – 468 </t>
    </r>
    <r>
      <rPr>
        <i/>
        <sz val="11"/>
        <rFont val="Times New Roman"/>
        <family val="1"/>
        <charset val="186"/>
      </rPr>
      <t xml:space="preserve">euro </t>
    </r>
    <r>
      <rPr>
        <sz val="11"/>
        <rFont val="Times New Roman"/>
        <family val="1"/>
        <charset val="186"/>
      </rPr>
      <t>mēnesī.  Turpmākajos gados apmērs pieaug atbilstoši minimālās algas izmaiņām.</t>
    </r>
  </si>
  <si>
    <t>saņēmēju skaits, vid.mēnesī</t>
  </si>
  <si>
    <t>Ilze Štrausa
Labklājības ministrija 
Finanšu vadības departaments 
Tālr. 20688364
Ilze.Strausa@lm.gov.lv</t>
  </si>
  <si>
    <t>Linda Liepa
Labklājības ministrija 
Bērnu un ģimenes politikas departaments
Tālr. 20683941
Linda.Liepa@lm.gov.lv</t>
  </si>
  <si>
    <r>
      <t xml:space="preserve">papildu nepieciešamais finansējums, </t>
    </r>
    <r>
      <rPr>
        <b/>
        <i/>
        <sz val="11"/>
        <rFont val="Times New Roman"/>
        <family val="1"/>
        <charset val="186"/>
      </rPr>
      <t>euro</t>
    </r>
  </si>
  <si>
    <r>
      <t xml:space="preserve">izdevumi saskaņā ar budžeta ietvara likumu, </t>
    </r>
    <r>
      <rPr>
        <i/>
        <sz val="11"/>
        <rFont val="Times New Roman"/>
        <family val="1"/>
        <charset val="186"/>
      </rPr>
      <t>euro</t>
    </r>
    <r>
      <rPr>
        <sz val="11"/>
        <rFont val="Times New Roman"/>
        <family val="1"/>
        <charset val="186"/>
      </rPr>
      <t>*</t>
    </r>
  </si>
  <si>
    <r>
      <t xml:space="preserve">plānotā minimālā alga valstī, </t>
    </r>
    <r>
      <rPr>
        <i/>
        <sz val="11"/>
        <rFont val="Times New Roman"/>
        <family val="1"/>
        <charset val="186"/>
      </rPr>
      <t>euro</t>
    </r>
  </si>
  <si>
    <r>
      <t xml:space="preserve">plānotie izdevumi gadam ar jauno pabalsta apmēru, </t>
    </r>
    <r>
      <rPr>
        <i/>
        <sz val="11"/>
        <rFont val="Times New Roman"/>
        <family val="1"/>
        <charset val="186"/>
      </rPr>
      <t>euro</t>
    </r>
  </si>
  <si>
    <t>Pielikums anotācijai</t>
  </si>
  <si>
    <t>MK noteikumu projektam "Grozījumi Ministru kabineta 2009. gada 22. decembra noteikumos Nr. 1643
"Kārtība, kādā piešķir un izmaksā pabalstu aizbildnībā esoša bērna uzturēšanai""</t>
  </si>
  <si>
    <t>Pabalsta aizbildnībā esoša bērna uzturēšanai pārskatīšana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</si>
</sst>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b/>
      <i/>
      <sz val="11"/>
      <name val="Times New Roman"/>
      <family val="1"/>
      <charset val="186"/>
    </font>
    <font>
      <i/>
      <sz val="9"/>
      <name val="Times New Roman"/>
      <family val="1"/>
      <charset val="186"/>
    </font>
    <font>
      <sz val="11"/>
      <name val="Calibri"/>
      <family val="2"/>
      <charset val="186"/>
      <scheme val="minor"/>
    </font>
    <font>
      <sz val="8"/>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60">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3" fontId="16" fillId="3" borderId="1" xfId="0" applyNumberFormat="1" applyFont="1" applyFill="1" applyBorder="1"/>
    <xf numFmtId="0" fontId="16" fillId="3" borderId="1" xfId="0" applyFont="1" applyFill="1" applyBorder="1"/>
    <xf numFmtId="0" fontId="8" fillId="3" borderId="1" xfId="0" applyFont="1" applyFill="1" applyBorder="1" applyAlignment="1">
      <alignment horizontal="right"/>
    </xf>
    <xf numFmtId="0" fontId="21"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1" fillId="0" borderId="0" xfId="0" applyNumberFormat="1" applyFont="1" applyFill="1" applyAlignment="1" applyProtection="1">
      <alignment wrapText="1"/>
    </xf>
    <xf numFmtId="0" fontId="25" fillId="0" borderId="0" xfId="0" applyNumberFormat="1" applyFont="1" applyFill="1" applyAlignment="1" applyProtection="1"/>
    <xf numFmtId="0" fontId="26" fillId="0" borderId="0" xfId="0" applyNumberFormat="1" applyFont="1" applyFill="1" applyAlignment="1" applyProtection="1"/>
    <xf numFmtId="0" fontId="21" fillId="0" borderId="0" xfId="0" applyNumberFormat="1" applyFont="1" applyFill="1" applyAlignment="1" applyProtection="1"/>
    <xf numFmtId="0" fontId="24" fillId="9" borderId="1" xfId="0" applyNumberFormat="1" applyFont="1" applyFill="1" applyBorder="1" applyAlignment="1" applyProtection="1">
      <alignment horizontal="center"/>
    </xf>
    <xf numFmtId="0" fontId="25" fillId="9" borderId="1" xfId="0" applyNumberFormat="1" applyFont="1" applyFill="1" applyBorder="1" applyAlignment="1" applyProtection="1">
      <alignment horizontal="center"/>
    </xf>
    <xf numFmtId="0" fontId="21" fillId="9" borderId="1" xfId="0" applyNumberFormat="1" applyFont="1" applyFill="1" applyBorder="1" applyAlignment="1" applyProtection="1">
      <alignment horizontal="center"/>
    </xf>
    <xf numFmtId="0" fontId="24" fillId="0" borderId="1" xfId="0" applyNumberFormat="1" applyFont="1" applyFill="1" applyBorder="1" applyAlignment="1" applyProtection="1"/>
    <xf numFmtId="1" fontId="21" fillId="0" borderId="1" xfId="0" applyNumberFormat="1" applyFont="1" applyFill="1" applyBorder="1" applyAlignment="1" applyProtection="1"/>
    <xf numFmtId="0" fontId="21" fillId="0" borderId="1" xfId="0" applyNumberFormat="1" applyFont="1" applyFill="1" applyBorder="1" applyAlignment="1" applyProtection="1"/>
    <xf numFmtId="0" fontId="24" fillId="0" borderId="1" xfId="0" applyNumberFormat="1" applyFont="1" applyFill="1" applyBorder="1" applyAlignment="1" applyProtection="1">
      <alignment wrapText="1"/>
    </xf>
    <xf numFmtId="0" fontId="27" fillId="0" borderId="1" xfId="0" applyNumberFormat="1" applyFont="1" applyFill="1" applyBorder="1" applyAlignment="1" applyProtection="1"/>
    <xf numFmtId="0" fontId="22" fillId="0" borderId="1" xfId="0" applyNumberFormat="1" applyFont="1" applyFill="1" applyBorder="1" applyAlignment="1" applyProtection="1">
      <alignment horizontal="right" wrapText="1"/>
    </xf>
    <xf numFmtId="9" fontId="22" fillId="0" borderId="1" xfId="4" applyFont="1" applyFill="1" applyBorder="1" applyAlignment="1" applyProtection="1"/>
    <xf numFmtId="9" fontId="28" fillId="0" borderId="1" xfId="4" applyFont="1" applyFill="1" applyBorder="1" applyAlignment="1" applyProtection="1"/>
    <xf numFmtId="0" fontId="25" fillId="0" borderId="1" xfId="0" applyNumberFormat="1" applyFont="1" applyFill="1" applyBorder="1" applyAlignment="1" applyProtection="1">
      <alignment horizontal="right" wrapText="1"/>
    </xf>
    <xf numFmtId="0" fontId="21" fillId="0" borderId="1" xfId="0" applyFont="1" applyBorder="1"/>
    <xf numFmtId="1" fontId="21" fillId="0" borderId="0" xfId="0" applyNumberFormat="1" applyFont="1" applyFill="1" applyAlignment="1" applyProtection="1"/>
    <xf numFmtId="9" fontId="22" fillId="0" borderId="1" xfId="4" applyFont="1" applyBorder="1"/>
    <xf numFmtId="0" fontId="22" fillId="0" borderId="1" xfId="0" applyFont="1" applyBorder="1"/>
    <xf numFmtId="1" fontId="22" fillId="0" borderId="0" xfId="0" applyNumberFormat="1" applyFont="1" applyFill="1" applyAlignment="1" applyProtection="1"/>
    <xf numFmtId="0" fontId="22" fillId="0" borderId="0" xfId="0" applyNumberFormat="1" applyFont="1" applyFill="1" applyAlignment="1" applyProtection="1"/>
    <xf numFmtId="0" fontId="25" fillId="8" borderId="0" xfId="0" applyNumberFormat="1" applyFont="1" applyFill="1" applyAlignment="1" applyProtection="1">
      <alignment horizontal="right" wrapText="1"/>
    </xf>
    <xf numFmtId="9" fontId="26" fillId="8" borderId="0" xfId="4" applyFont="1" applyFill="1" applyAlignment="1" applyProtection="1"/>
    <xf numFmtId="1" fontId="27" fillId="8" borderId="0" xfId="4" applyNumberFormat="1" applyFont="1" applyFill="1" applyAlignment="1" applyProtection="1"/>
    <xf numFmtId="0" fontId="25" fillId="0" borderId="0" xfId="0" applyNumberFormat="1" applyFont="1" applyFill="1" applyAlignment="1" applyProtection="1">
      <alignment horizontal="right" wrapText="1"/>
    </xf>
    <xf numFmtId="9" fontId="26" fillId="0" borderId="0" xfId="4" applyFont="1" applyFill="1" applyAlignment="1" applyProtection="1"/>
    <xf numFmtId="1" fontId="27" fillId="0" borderId="0" xfId="4" applyNumberFormat="1" applyFont="1" applyFill="1" applyAlignment="1" applyProtection="1"/>
    <xf numFmtId="0" fontId="23" fillId="0" borderId="0" xfId="0" applyNumberFormat="1" applyFont="1" applyFill="1" applyAlignment="1" applyProtection="1"/>
    <xf numFmtId="3" fontId="21" fillId="0" borderId="0" xfId="0" applyNumberFormat="1" applyFont="1" applyFill="1" applyAlignment="1" applyProtection="1"/>
    <xf numFmtId="3" fontId="21" fillId="4" borderId="0" xfId="0" applyNumberFormat="1" applyFont="1" applyFill="1" applyAlignment="1" applyProtection="1"/>
    <xf numFmtId="0" fontId="28"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4" fillId="4" borderId="0" xfId="0" applyNumberFormat="1" applyFont="1" applyFill="1" applyAlignment="1" applyProtection="1"/>
    <xf numFmtId="0" fontId="24" fillId="4" borderId="0" xfId="0" applyNumberFormat="1" applyFont="1" applyFill="1" applyAlignment="1" applyProtection="1">
      <alignment horizontal="right"/>
    </xf>
    <xf numFmtId="0" fontId="23" fillId="0" borderId="0" xfId="0" applyFont="1" applyAlignment="1">
      <alignment horizontal="left" vertical="top" wrapText="1"/>
    </xf>
    <xf numFmtId="0" fontId="25" fillId="10" borderId="0" xfId="0" applyNumberFormat="1" applyFont="1" applyFill="1" applyAlignment="1" applyProtection="1"/>
    <xf numFmtId="0" fontId="26" fillId="10" borderId="0" xfId="0" applyNumberFormat="1" applyFont="1" applyFill="1" applyAlignment="1" applyProtection="1"/>
    <xf numFmtId="0" fontId="21"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1" fillId="9" borderId="0" xfId="0" applyNumberFormat="1" applyFont="1" applyFill="1" applyBorder="1" applyAlignment="1" applyProtection="1">
      <alignment horizontal="center"/>
    </xf>
    <xf numFmtId="0" fontId="21" fillId="0" borderId="0" xfId="0" applyNumberFormat="1" applyFont="1" applyFill="1" applyBorder="1" applyAlignment="1" applyProtection="1"/>
    <xf numFmtId="0" fontId="21" fillId="0" borderId="0" xfId="0" applyFont="1" applyBorder="1"/>
    <xf numFmtId="3" fontId="21" fillId="0" borderId="0" xfId="0" applyNumberFormat="1" applyFont="1" applyFill="1" applyBorder="1" applyAlignment="1" applyProtection="1"/>
    <xf numFmtId="9" fontId="22" fillId="0" borderId="0" xfId="0" applyNumberFormat="1" applyFont="1" applyBorder="1"/>
    <xf numFmtId="0" fontId="2" fillId="0" borderId="0" xfId="0" applyFont="1" applyAlignment="1">
      <alignment horizontal="left" vertical="top" wrapText="1"/>
    </xf>
    <xf numFmtId="0" fontId="21" fillId="0" borderId="0" xfId="0" applyFont="1" applyAlignment="1">
      <alignment horizontal="left" vertical="top" wrapText="1"/>
    </xf>
    <xf numFmtId="0" fontId="24" fillId="0" borderId="0" xfId="0" applyNumberFormat="1" applyFont="1" applyFill="1" applyAlignment="1" applyProtection="1"/>
    <xf numFmtId="0" fontId="23" fillId="0" borderId="1" xfId="0" applyNumberFormat="1" applyFont="1" applyFill="1" applyBorder="1" applyAlignment="1" applyProtection="1"/>
    <xf numFmtId="0" fontId="31" fillId="0" borderId="0" xfId="0" applyNumberFormat="1" applyFont="1" applyFill="1" applyAlignment="1" applyProtection="1">
      <alignment horizontal="right"/>
    </xf>
    <xf numFmtId="0" fontId="31" fillId="0" borderId="1" xfId="0" applyNumberFormat="1" applyFont="1" applyFill="1" applyBorder="1" applyAlignment="1" applyProtection="1"/>
    <xf numFmtId="0" fontId="23" fillId="0" borderId="0" xfId="0" applyNumberFormat="1" applyFont="1" applyFill="1" applyAlignment="1" applyProtection="1">
      <alignment horizontal="right"/>
    </xf>
    <xf numFmtId="3" fontId="23" fillId="0" borderId="1" xfId="0" applyNumberFormat="1" applyFont="1" applyFill="1" applyBorder="1" applyAlignment="1" applyProtection="1"/>
    <xf numFmtId="0" fontId="30" fillId="0" borderId="0" xfId="0" applyNumberFormat="1" applyFont="1" applyFill="1" applyAlignment="1" applyProtection="1">
      <alignment horizontal="right"/>
    </xf>
    <xf numFmtId="0" fontId="30" fillId="0" borderId="0" xfId="0" applyNumberFormat="1" applyFont="1" applyFill="1" applyAlignment="1" applyProtection="1"/>
    <xf numFmtId="3" fontId="30"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29" fillId="0" borderId="1" xfId="0" applyFont="1" applyFill="1" applyBorder="1" applyAlignment="1">
      <alignment horizontal="left"/>
    </xf>
    <xf numFmtId="3" fontId="6" fillId="4" borderId="1" xfId="0" applyNumberFormat="1" applyFont="1" applyFill="1" applyBorder="1"/>
    <xf numFmtId="0" fontId="21" fillId="8" borderId="0" xfId="0" applyNumberFormat="1" applyFont="1" applyFill="1" applyAlignment="1" applyProtection="1"/>
    <xf numFmtId="1" fontId="27" fillId="11" borderId="0" xfId="4" applyNumberFormat="1" applyFont="1" applyFill="1" applyAlignment="1" applyProtection="1"/>
    <xf numFmtId="0" fontId="23" fillId="9" borderId="0" xfId="0" applyNumberFormat="1" applyFont="1" applyFill="1" applyBorder="1" applyAlignment="1" applyProtection="1">
      <alignment horizontal="center"/>
    </xf>
    <xf numFmtId="3" fontId="23" fillId="0" borderId="0" xfId="0" applyNumberFormat="1" applyFont="1" applyFill="1" applyBorder="1" applyAlignment="1" applyProtection="1"/>
    <xf numFmtId="0" fontId="23" fillId="0" borderId="0" xfId="0" applyNumberFormat="1" applyFont="1" applyFill="1" applyBorder="1" applyAlignment="1" applyProtection="1"/>
    <xf numFmtId="0" fontId="23" fillId="0" borderId="0" xfId="0" applyFont="1" applyBorder="1"/>
    <xf numFmtId="9" fontId="31" fillId="0" borderId="0" xfId="0" applyNumberFormat="1" applyFont="1" applyBorder="1"/>
    <xf numFmtId="0" fontId="23" fillId="8" borderId="0" xfId="0" applyNumberFormat="1" applyFont="1" applyFill="1" applyAlignment="1" applyProtection="1"/>
    <xf numFmtId="0" fontId="31" fillId="0" borderId="0" xfId="0" applyNumberFormat="1" applyFont="1" applyFill="1" applyAlignment="1" applyProtection="1"/>
    <xf numFmtId="0" fontId="32" fillId="11" borderId="1" xfId="0" applyNumberFormat="1" applyFont="1" applyFill="1" applyBorder="1" applyAlignment="1" applyProtection="1"/>
    <xf numFmtId="3" fontId="8" fillId="3" borderId="1" xfId="0" applyNumberFormat="1" applyFont="1" applyFill="1" applyBorder="1"/>
    <xf numFmtId="1" fontId="16" fillId="3" borderId="1" xfId="0" applyNumberFormat="1" applyFont="1" applyFill="1" applyBorder="1"/>
    <xf numFmtId="0" fontId="16" fillId="0" borderId="0" xfId="0" applyFont="1"/>
    <xf numFmtId="0" fontId="17" fillId="0" borderId="0" xfId="0" applyFont="1" applyAlignment="1">
      <alignment horizontal="right"/>
    </xf>
    <xf numFmtId="0" fontId="16" fillId="0" borderId="1" xfId="0" applyFont="1" applyBorder="1"/>
    <xf numFmtId="3" fontId="16" fillId="0" borderId="1" xfId="0" applyNumberFormat="1" applyFont="1" applyFill="1" applyBorder="1"/>
    <xf numFmtId="0" fontId="8" fillId="0" borderId="3" xfId="0" applyFont="1" applyFill="1" applyBorder="1"/>
    <xf numFmtId="0" fontId="35" fillId="0" borderId="0" xfId="0" applyFont="1"/>
    <xf numFmtId="0" fontId="36" fillId="0" borderId="0" xfId="0" applyFont="1" applyAlignment="1">
      <alignment wrapText="1"/>
    </xf>
    <xf numFmtId="0" fontId="16" fillId="3" borderId="1" xfId="0" applyFont="1" applyFill="1" applyBorder="1" applyAlignment="1">
      <alignment horizontal="center" vertical="center" wrapText="1"/>
    </xf>
    <xf numFmtId="0" fontId="16" fillId="0" borderId="0" xfId="0" applyFont="1" applyAlignment="1">
      <alignment wrapText="1"/>
    </xf>
    <xf numFmtId="0" fontId="16" fillId="3" borderId="6" xfId="0" applyFont="1" applyFill="1" applyBorder="1" applyAlignment="1">
      <alignment horizontal="left"/>
    </xf>
    <xf numFmtId="0" fontId="16" fillId="3" borderId="1" xfId="0" applyFont="1" applyFill="1" applyBorder="1" applyAlignment="1">
      <alignment horizontal="center"/>
    </xf>
    <xf numFmtId="3" fontId="16" fillId="3" borderId="8" xfId="0" applyNumberFormat="1" applyFont="1" applyFill="1" applyBorder="1" applyAlignment="1"/>
    <xf numFmtId="3" fontId="16" fillId="3" borderId="6" xfId="0" applyNumberFormat="1" applyFont="1" applyFill="1" applyBorder="1" applyAlignment="1"/>
    <xf numFmtId="0" fontId="16" fillId="3" borderId="6" xfId="0" applyFont="1" applyFill="1" applyBorder="1"/>
    <xf numFmtId="3" fontId="16" fillId="3" borderId="7" xfId="0" applyNumberFormat="1" applyFont="1" applyFill="1" applyBorder="1" applyAlignment="1"/>
    <xf numFmtId="3" fontId="16" fillId="0" borderId="8" xfId="0" applyNumberFormat="1" applyFont="1" applyFill="1" applyBorder="1" applyAlignment="1"/>
    <xf numFmtId="3" fontId="16" fillId="0" borderId="6" xfId="0" applyNumberFormat="1" applyFont="1" applyFill="1" applyBorder="1" applyAlignment="1"/>
    <xf numFmtId="0" fontId="16" fillId="3" borderId="1" xfId="0" applyFont="1" applyFill="1" applyBorder="1" applyAlignment="1">
      <alignment horizontal="left"/>
    </xf>
    <xf numFmtId="0" fontId="17" fillId="3" borderId="1" xfId="0" applyFont="1" applyFill="1" applyBorder="1" applyAlignment="1">
      <alignment horizontal="right"/>
    </xf>
    <xf numFmtId="0" fontId="34" fillId="0" borderId="0" xfId="0" applyFont="1" applyFill="1" applyAlignment="1"/>
    <xf numFmtId="0" fontId="34" fillId="0" borderId="0" xfId="0" applyFont="1" applyFill="1" applyAlignment="1">
      <alignment wrapText="1"/>
    </xf>
    <xf numFmtId="0" fontId="34" fillId="3" borderId="0" xfId="0" applyFont="1" applyFill="1" applyAlignment="1"/>
    <xf numFmtId="0" fontId="17" fillId="0" borderId="0" xfId="0" applyFont="1" applyAlignment="1">
      <alignment horizontal="right" wrapText="1"/>
    </xf>
    <xf numFmtId="0" fontId="17" fillId="0" borderId="0" xfId="0" applyFont="1" applyAlignment="1">
      <alignment horizontal="right"/>
    </xf>
    <xf numFmtId="0" fontId="36" fillId="0" borderId="0" xfId="0" applyFont="1" applyAlignment="1">
      <alignment horizontal="left" wrapText="1"/>
    </xf>
    <xf numFmtId="0" fontId="16" fillId="0" borderId="0" xfId="0" applyFont="1" applyAlignment="1">
      <alignment horizontal="left" vertical="top" wrapText="1"/>
    </xf>
    <xf numFmtId="0" fontId="8" fillId="5" borderId="3" xfId="0" applyFont="1" applyFill="1" applyBorder="1" applyAlignment="1">
      <alignment horizontal="center"/>
    </xf>
    <xf numFmtId="0" fontId="8" fillId="5" borderId="4" xfId="0" applyFont="1" applyFill="1" applyBorder="1" applyAlignment="1">
      <alignment horizontal="center"/>
    </xf>
    <xf numFmtId="0" fontId="8" fillId="5" borderId="5" xfId="0" applyFont="1" applyFill="1" applyBorder="1" applyAlignment="1">
      <alignment horizontal="center"/>
    </xf>
    <xf numFmtId="0" fontId="16" fillId="5" borderId="2" xfId="0" applyFont="1" applyFill="1" applyBorder="1" applyAlignment="1">
      <alignment horizontal="center" vertical="center"/>
    </xf>
    <xf numFmtId="0" fontId="16" fillId="5" borderId="6" xfId="0" applyFont="1" applyFill="1" applyBorder="1" applyAlignment="1">
      <alignment horizontal="center" vertical="center"/>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1" fillId="0" borderId="0" xfId="0" applyNumberFormat="1" applyFont="1" applyFill="1" applyAlignment="1" applyProtection="1">
      <alignment horizontal="left" wrapText="1"/>
    </xf>
    <xf numFmtId="0" fontId="21" fillId="0" borderId="0" xfId="0" applyFont="1" applyAlignment="1">
      <alignment horizontal="left" vertical="top" wrapText="1"/>
    </xf>
    <xf numFmtId="0" fontId="30" fillId="5" borderId="3" xfId="0" applyNumberFormat="1" applyFont="1" applyFill="1" applyBorder="1" applyAlignment="1" applyProtection="1">
      <alignment horizontal="center"/>
    </xf>
    <xf numFmtId="0" fontId="30" fillId="5" borderId="4" xfId="0" applyNumberFormat="1" applyFont="1" applyFill="1" applyBorder="1" applyAlignment="1" applyProtection="1">
      <alignment horizontal="center"/>
    </xf>
    <xf numFmtId="0" fontId="30" fillId="5" borderId="5" xfId="0" applyNumberFormat="1" applyFont="1" applyFill="1" applyBorder="1" applyAlignment="1" applyProtection="1">
      <alignment horizontal="center"/>
    </xf>
    <xf numFmtId="0" fontId="30"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A5BB-1AF3-4EB0-8280-153E490073F8}">
  <sheetPr>
    <pageSetUpPr fitToPage="1"/>
  </sheetPr>
  <dimension ref="A1:N22"/>
  <sheetViews>
    <sheetView tabSelected="1" zoomScale="85" zoomScaleNormal="85" workbookViewId="0">
      <selection activeCell="A7" sqref="A7:M7"/>
    </sheetView>
  </sheetViews>
  <sheetFormatPr defaultColWidth="8.81640625" defaultRowHeight="14"/>
  <cols>
    <col min="1" max="1" width="55.54296875" style="115" customWidth="1"/>
    <col min="2" max="2" width="10.54296875" style="115" customWidth="1"/>
    <col min="3" max="3" width="13" style="115" customWidth="1"/>
    <col min="4" max="4" width="12.1796875" style="115" bestFit="1" customWidth="1"/>
    <col min="5" max="5" width="10.81640625" style="115" customWidth="1"/>
    <col min="6" max="6" width="10.54296875" style="115" customWidth="1"/>
    <col min="7" max="7" width="12.1796875" style="115" customWidth="1"/>
    <col min="8" max="8" width="9.26953125" style="115" customWidth="1"/>
    <col min="9" max="9" width="10.54296875" style="115" customWidth="1"/>
    <col min="10" max="10" width="12.1796875" style="115" customWidth="1"/>
    <col min="11" max="11" width="9.1796875" style="115" customWidth="1"/>
    <col min="12" max="12" width="10.81640625" style="115" customWidth="1"/>
    <col min="13" max="13" width="12.81640625" style="115" customWidth="1"/>
    <col min="14" max="14" width="8.81640625" style="115"/>
    <col min="15" max="15" width="10.1796875" style="115" customWidth="1"/>
    <col min="16" max="16384" width="8.81640625" style="115"/>
  </cols>
  <sheetData>
    <row r="1" spans="1:14">
      <c r="M1" s="116" t="s">
        <v>89</v>
      </c>
    </row>
    <row r="2" spans="1:14" ht="28" customHeight="1">
      <c r="A2" s="137" t="s">
        <v>90</v>
      </c>
      <c r="B2" s="138"/>
      <c r="C2" s="138"/>
      <c r="D2" s="138"/>
      <c r="E2" s="138"/>
      <c r="F2" s="138"/>
      <c r="G2" s="138"/>
      <c r="H2" s="138"/>
      <c r="I2" s="138"/>
      <c r="J2" s="138"/>
      <c r="K2" s="138"/>
      <c r="L2" s="138"/>
      <c r="M2" s="138"/>
    </row>
    <row r="3" spans="1:14">
      <c r="M3" s="116"/>
    </row>
    <row r="5" spans="1:14" ht="16.5" customHeight="1">
      <c r="A5" s="13" t="s">
        <v>91</v>
      </c>
    </row>
    <row r="6" spans="1:14" ht="15">
      <c r="A6" s="13"/>
    </row>
    <row r="7" spans="1:14" ht="72" customHeight="1">
      <c r="A7" s="140" t="s">
        <v>81</v>
      </c>
      <c r="B7" s="140"/>
      <c r="C7" s="140"/>
      <c r="D7" s="140"/>
      <c r="E7" s="140"/>
      <c r="F7" s="140"/>
      <c r="G7" s="140"/>
      <c r="H7" s="140"/>
      <c r="I7" s="140"/>
      <c r="J7" s="140"/>
      <c r="K7" s="140"/>
      <c r="L7" s="140"/>
      <c r="M7" s="140"/>
    </row>
    <row r="8" spans="1:14" ht="14.5">
      <c r="A8" s="120"/>
      <c r="B8" s="120"/>
      <c r="C8" s="120"/>
      <c r="D8" s="120"/>
      <c r="E8" s="120"/>
    </row>
    <row r="9" spans="1:14" ht="14.5" customHeight="1">
      <c r="A9" s="144" t="s">
        <v>76</v>
      </c>
      <c r="B9" s="141">
        <v>2026</v>
      </c>
      <c r="C9" s="142"/>
      <c r="D9" s="143"/>
      <c r="E9" s="141">
        <v>2027</v>
      </c>
      <c r="F9" s="142"/>
      <c r="G9" s="143"/>
      <c r="H9" s="141">
        <v>2028</v>
      </c>
      <c r="I9" s="142"/>
      <c r="J9" s="143"/>
      <c r="K9" s="141">
        <v>2029</v>
      </c>
      <c r="L9" s="142"/>
      <c r="M9" s="143"/>
    </row>
    <row r="10" spans="1:14" s="123" customFormat="1" ht="28">
      <c r="A10" s="145"/>
      <c r="B10" s="122" t="s">
        <v>19</v>
      </c>
      <c r="C10" s="122" t="s">
        <v>4</v>
      </c>
      <c r="D10" s="122" t="s">
        <v>3</v>
      </c>
      <c r="E10" s="122" t="s">
        <v>19</v>
      </c>
      <c r="F10" s="122" t="s">
        <v>4</v>
      </c>
      <c r="G10" s="122" t="s">
        <v>3</v>
      </c>
      <c r="H10" s="122" t="s">
        <v>19</v>
      </c>
      <c r="I10" s="122" t="s">
        <v>4</v>
      </c>
      <c r="J10" s="122" t="s">
        <v>3</v>
      </c>
      <c r="K10" s="122" t="s">
        <v>19</v>
      </c>
      <c r="L10" s="122" t="s">
        <v>4</v>
      </c>
      <c r="M10" s="122" t="s">
        <v>3</v>
      </c>
    </row>
    <row r="11" spans="1:14" ht="14.15" customHeight="1">
      <c r="A11" s="124" t="s">
        <v>87</v>
      </c>
      <c r="B11" s="125">
        <v>780</v>
      </c>
      <c r="C11" s="125"/>
      <c r="D11" s="125"/>
      <c r="E11" s="125">
        <v>820</v>
      </c>
      <c r="F11" s="125"/>
      <c r="G11" s="125"/>
      <c r="H11" s="125">
        <v>860</v>
      </c>
      <c r="I11" s="117"/>
      <c r="J11" s="125"/>
      <c r="K11" s="125">
        <f>H11</f>
        <v>860</v>
      </c>
      <c r="L11" s="125"/>
      <c r="M11" s="125"/>
    </row>
    <row r="12" spans="1:14" ht="14.15" customHeight="1">
      <c r="A12" s="29" t="s">
        <v>86</v>
      </c>
      <c r="B12" s="29"/>
      <c r="C12" s="29"/>
      <c r="D12" s="126">
        <v>6509256</v>
      </c>
      <c r="E12" s="127"/>
      <c r="F12" s="128"/>
      <c r="G12" s="126">
        <v>6571845</v>
      </c>
      <c r="H12" s="129"/>
      <c r="I12" s="128"/>
      <c r="J12" s="130">
        <v>6634434</v>
      </c>
      <c r="K12" s="131"/>
      <c r="L12" s="128"/>
      <c r="M12" s="130">
        <f>J12</f>
        <v>6634434</v>
      </c>
      <c r="N12" s="120"/>
    </row>
    <row r="13" spans="1:14">
      <c r="A13" s="132" t="s">
        <v>82</v>
      </c>
      <c r="B13" s="29"/>
      <c r="C13" s="118">
        <v>2462</v>
      </c>
      <c r="D13" s="29"/>
      <c r="E13" s="29"/>
      <c r="F13" s="118">
        <v>2449</v>
      </c>
      <c r="G13" s="29"/>
      <c r="H13" s="29"/>
      <c r="I13" s="118">
        <v>2437</v>
      </c>
      <c r="J13" s="29"/>
      <c r="K13" s="29"/>
      <c r="L13" s="118">
        <v>2424</v>
      </c>
      <c r="M13" s="29"/>
    </row>
    <row r="14" spans="1:14">
      <c r="A14" s="133" t="s">
        <v>78</v>
      </c>
      <c r="B14" s="114">
        <f>B11*25%*2</f>
        <v>390</v>
      </c>
      <c r="C14" s="28">
        <f>ROUND(C13*15%,0)</f>
        <v>369</v>
      </c>
      <c r="D14" s="28">
        <f>B14*C14*12</f>
        <v>1726920</v>
      </c>
      <c r="E14" s="114">
        <f>E11*25%*2</f>
        <v>410</v>
      </c>
      <c r="F14" s="28">
        <f>ROUND(F13*15%,0)</f>
        <v>367</v>
      </c>
      <c r="G14" s="28">
        <f>F14*E14*12</f>
        <v>1805640</v>
      </c>
      <c r="H14" s="114">
        <f>H11*25%*2</f>
        <v>430</v>
      </c>
      <c r="I14" s="28">
        <f>ROUND(I13*15%,0)</f>
        <v>366</v>
      </c>
      <c r="J14" s="28">
        <f>I14*H14*12</f>
        <v>1888560</v>
      </c>
      <c r="K14" s="114">
        <f>K11*25%*2</f>
        <v>430</v>
      </c>
      <c r="L14" s="28">
        <f>ROUND(L13*15%,0)</f>
        <v>364</v>
      </c>
      <c r="M14" s="28">
        <f>L14*K14*12</f>
        <v>1878240</v>
      </c>
    </row>
    <row r="15" spans="1:14">
      <c r="A15" s="133" t="s">
        <v>79</v>
      </c>
      <c r="B15" s="114">
        <f>B11*30%*2</f>
        <v>468</v>
      </c>
      <c r="C15" s="28">
        <f>ROUND(C13*85%,0)</f>
        <v>2093</v>
      </c>
      <c r="D15" s="28">
        <f>B15*C15*12</f>
        <v>11754288</v>
      </c>
      <c r="E15" s="114">
        <f>E11*30%*2</f>
        <v>492</v>
      </c>
      <c r="F15" s="28">
        <f>ROUND(F13*85%,0)</f>
        <v>2082</v>
      </c>
      <c r="G15" s="28">
        <f>F15*E15*12</f>
        <v>12292128</v>
      </c>
      <c r="H15" s="114">
        <f>H11*30%*2</f>
        <v>516</v>
      </c>
      <c r="I15" s="28">
        <f>ROUND(I13*85%,0)</f>
        <v>2071</v>
      </c>
      <c r="J15" s="28">
        <f>I15*H15*12</f>
        <v>12823632</v>
      </c>
      <c r="K15" s="114">
        <f>K11*30%*2</f>
        <v>516</v>
      </c>
      <c r="L15" s="28">
        <f>ROUND(L13*85%,0)</f>
        <v>2060</v>
      </c>
      <c r="M15" s="28">
        <f>L15*K15*12</f>
        <v>12755520</v>
      </c>
    </row>
    <row r="16" spans="1:14">
      <c r="A16" s="132" t="s">
        <v>88</v>
      </c>
      <c r="B16" s="29"/>
      <c r="C16" s="29"/>
      <c r="D16" s="28">
        <f>SUM(D14:D15)</f>
        <v>13481208</v>
      </c>
      <c r="E16" s="28"/>
      <c r="F16" s="29"/>
      <c r="G16" s="28">
        <f>SUM(G14:G15)</f>
        <v>14097768</v>
      </c>
      <c r="H16" s="28"/>
      <c r="I16" s="29"/>
      <c r="J16" s="28">
        <f>SUM(J14:J15)</f>
        <v>14712192</v>
      </c>
      <c r="K16" s="28"/>
      <c r="L16" s="29"/>
      <c r="M16" s="28">
        <f>SUM(M14:M15)</f>
        <v>14633760</v>
      </c>
    </row>
    <row r="17" spans="1:13">
      <c r="A17" s="119" t="s">
        <v>85</v>
      </c>
      <c r="B17" s="29"/>
      <c r="C17" s="30"/>
      <c r="D17" s="113">
        <f>D16-D12</f>
        <v>6971952</v>
      </c>
      <c r="E17" s="113"/>
      <c r="F17" s="30"/>
      <c r="G17" s="113">
        <f>G16-G12</f>
        <v>7525923</v>
      </c>
      <c r="H17" s="113"/>
      <c r="I17" s="30"/>
      <c r="J17" s="113">
        <f>J16-J12</f>
        <v>8077758</v>
      </c>
      <c r="K17" s="113"/>
      <c r="L17" s="30"/>
      <c r="M17" s="113">
        <f>M16-M12</f>
        <v>7999326</v>
      </c>
    </row>
    <row r="18" spans="1:13" ht="14" customHeight="1">
      <c r="A18" s="134" t="s">
        <v>77</v>
      </c>
      <c r="B18" s="135"/>
      <c r="C18" s="135"/>
      <c r="D18" s="120"/>
      <c r="E18" s="120"/>
      <c r="F18" s="120"/>
      <c r="G18" s="120"/>
      <c r="H18" s="120"/>
      <c r="I18" s="120"/>
      <c r="J18" s="120"/>
      <c r="K18" s="120"/>
      <c r="L18" s="120"/>
      <c r="M18" s="120"/>
    </row>
    <row r="19" spans="1:13" ht="13.5" customHeight="1">
      <c r="A19" s="136" t="s">
        <v>80</v>
      </c>
      <c r="B19" s="136"/>
      <c r="C19" s="136"/>
      <c r="D19" s="120"/>
      <c r="E19" s="120"/>
      <c r="F19" s="120"/>
      <c r="G19" s="120"/>
      <c r="H19" s="120"/>
      <c r="I19" s="120"/>
      <c r="J19" s="120"/>
      <c r="K19" s="120"/>
      <c r="L19" s="120"/>
      <c r="M19" s="120"/>
    </row>
    <row r="20" spans="1:13" ht="14.5">
      <c r="I20" s="120"/>
      <c r="J20" s="120"/>
      <c r="K20" s="120"/>
      <c r="L20" s="120"/>
      <c r="M20" s="120"/>
    </row>
    <row r="22" spans="1:13" ht="55.5" customHeight="1">
      <c r="A22" s="121" t="s">
        <v>83</v>
      </c>
      <c r="B22" s="121"/>
      <c r="C22" s="139" t="s">
        <v>84</v>
      </c>
      <c r="D22" s="139"/>
      <c r="E22" s="139"/>
    </row>
  </sheetData>
  <mergeCells count="8">
    <mergeCell ref="A2:M2"/>
    <mergeCell ref="C22:E22"/>
    <mergeCell ref="A7:M7"/>
    <mergeCell ref="B9:D9"/>
    <mergeCell ref="E9:G9"/>
    <mergeCell ref="H9:J9"/>
    <mergeCell ref="K9:M9"/>
    <mergeCell ref="A9:A10"/>
  </mergeCells>
  <pageMargins left="0.70866141732283472" right="0.70866141732283472" top="0.74803149606299213" bottom="0.74803149606299213" header="0.31496062992125984" footer="0.31496062992125984"/>
  <pageSetup paperSize="9" scale="69"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47" t="s">
        <v>60</v>
      </c>
      <c r="B4" s="147"/>
      <c r="C4" s="147"/>
      <c r="D4" s="147"/>
      <c r="E4" s="147"/>
      <c r="F4" s="147"/>
      <c r="G4" s="147"/>
    </row>
    <row r="5" spans="1:9" ht="28.5" customHeight="1">
      <c r="A5" s="146" t="s">
        <v>8</v>
      </c>
      <c r="B5" s="146"/>
      <c r="C5" s="146"/>
      <c r="D5" s="146"/>
      <c r="E5" s="146"/>
      <c r="F5" s="146"/>
      <c r="G5" s="146"/>
    </row>
    <row r="6" spans="1:9" ht="22" customHeight="1">
      <c r="A6" s="22"/>
      <c r="B6" s="22"/>
      <c r="C6" s="22"/>
      <c r="D6" s="22"/>
      <c r="E6" s="22"/>
      <c r="F6" s="22"/>
      <c r="G6" s="22"/>
    </row>
    <row r="7" spans="1:9">
      <c r="A7" s="3"/>
      <c r="B7" s="32" t="s">
        <v>21</v>
      </c>
      <c r="C7" s="32">
        <v>2027</v>
      </c>
      <c r="D7" s="32">
        <v>2028</v>
      </c>
      <c r="E7" s="32">
        <v>2029</v>
      </c>
      <c r="F7" s="76"/>
      <c r="G7" s="76"/>
      <c r="H7" s="76"/>
      <c r="I7" s="76"/>
    </row>
    <row r="8" spans="1:9">
      <c r="A8" s="18" t="s">
        <v>9</v>
      </c>
      <c r="B8" s="19">
        <v>2446</v>
      </c>
      <c r="C8" s="19">
        <v>2421</v>
      </c>
      <c r="D8" s="19">
        <v>2396</v>
      </c>
      <c r="E8" s="19">
        <v>2371</v>
      </c>
      <c r="F8" s="77"/>
      <c r="G8" s="77"/>
      <c r="H8" s="77"/>
      <c r="I8" s="77"/>
    </row>
    <row r="9" spans="1:9">
      <c r="A9" s="18" t="s">
        <v>5</v>
      </c>
      <c r="B9" s="16">
        <v>54.07</v>
      </c>
      <c r="C9" s="16">
        <v>54.07</v>
      </c>
      <c r="D9" s="16">
        <v>54.07</v>
      </c>
      <c r="E9" s="16">
        <v>54.07</v>
      </c>
      <c r="F9" s="14"/>
    </row>
    <row r="10" spans="1:9">
      <c r="A10" s="18" t="s">
        <v>16</v>
      </c>
      <c r="B10" s="16">
        <v>171</v>
      </c>
      <c r="C10" s="16">
        <v>171</v>
      </c>
      <c r="D10" s="16">
        <v>171</v>
      </c>
      <c r="E10" s="16">
        <v>171</v>
      </c>
      <c r="F10" s="14"/>
    </row>
    <row r="11" spans="1:9">
      <c r="A11" s="18" t="s">
        <v>6</v>
      </c>
      <c r="B11" s="16">
        <f>B10-B9</f>
        <v>116.93</v>
      </c>
      <c r="C11" s="16">
        <f t="shared" ref="C11:E11" si="0">C10-C9</f>
        <v>116.93</v>
      </c>
      <c r="D11" s="16">
        <f t="shared" si="0"/>
        <v>116.93</v>
      </c>
      <c r="E11" s="16">
        <f t="shared" si="0"/>
        <v>116.93</v>
      </c>
      <c r="F11" s="14"/>
    </row>
    <row r="12" spans="1:9">
      <c r="A12" s="33" t="s">
        <v>23</v>
      </c>
      <c r="B12" s="17">
        <f>ROUND(B11*6*B8,0)</f>
        <v>1716065</v>
      </c>
      <c r="C12" s="17">
        <f>ROUND(C11*12*C8,0)</f>
        <v>3397050</v>
      </c>
      <c r="D12" s="17">
        <f t="shared" ref="D12:E12" si="1">ROUND(D11*12*D8,0)</f>
        <v>3361971</v>
      </c>
      <c r="E12" s="17">
        <f t="shared" si="1"/>
        <v>3326892</v>
      </c>
      <c r="F12" s="14"/>
    </row>
    <row r="13" spans="1:9">
      <c r="A13" s="148" t="s">
        <v>18</v>
      </c>
      <c r="B13" s="148"/>
      <c r="C13" s="148"/>
      <c r="D13" s="148"/>
      <c r="E13" s="148"/>
      <c r="F13" s="148"/>
    </row>
    <row r="15" spans="1:9">
      <c r="A15" s="7" t="s">
        <v>22</v>
      </c>
    </row>
    <row r="16" spans="1:9" ht="29.5" customHeight="1">
      <c r="A16" s="147" t="s">
        <v>10</v>
      </c>
      <c r="B16" s="147"/>
      <c r="C16" s="147"/>
      <c r="D16" s="147"/>
      <c r="E16" s="147"/>
      <c r="F16" s="147"/>
      <c r="G16" s="147"/>
    </row>
    <row r="17" spans="1:7">
      <c r="A17" s="2"/>
      <c r="B17" s="2"/>
      <c r="C17" s="2"/>
      <c r="D17" s="2"/>
      <c r="E17" s="2"/>
      <c r="F17" s="2"/>
      <c r="G17" s="2"/>
    </row>
    <row r="18" spans="1:7" ht="44.5" customHeight="1">
      <c r="A18" s="146" t="s">
        <v>17</v>
      </c>
      <c r="B18" s="146"/>
      <c r="C18" s="146"/>
      <c r="D18" s="146"/>
      <c r="E18" s="146"/>
      <c r="F18" s="146"/>
      <c r="G18" s="146"/>
    </row>
    <row r="19" spans="1:7">
      <c r="A19" s="8"/>
      <c r="B19" s="24">
        <v>2026</v>
      </c>
      <c r="C19" s="23"/>
      <c r="D19" s="23"/>
      <c r="E19" s="23"/>
      <c r="F19" s="23"/>
      <c r="G19" s="23"/>
    </row>
    <row r="20" spans="1:7">
      <c r="A20" s="9" t="s">
        <v>0</v>
      </c>
      <c r="B20" s="10">
        <f>40*556.6</f>
        <v>22264</v>
      </c>
    </row>
    <row r="22" spans="1:7">
      <c r="A22" s="11"/>
      <c r="B22" s="32" t="s">
        <v>21</v>
      </c>
      <c r="C22" s="32">
        <v>2027</v>
      </c>
      <c r="D22" s="32">
        <v>2028</v>
      </c>
      <c r="E22" s="32">
        <v>2029</v>
      </c>
    </row>
    <row r="23" spans="1:7">
      <c r="A23" s="25" t="s">
        <v>1</v>
      </c>
      <c r="B23" s="26">
        <f>B20+B12</f>
        <v>1738329</v>
      </c>
      <c r="C23" s="26">
        <f>C12</f>
        <v>3397050</v>
      </c>
      <c r="D23" s="26">
        <f>D12</f>
        <v>3361971</v>
      </c>
      <c r="E23" s="26">
        <f>E12</f>
        <v>3326892</v>
      </c>
      <c r="F23" s="4"/>
      <c r="G23" s="4"/>
    </row>
    <row r="25" spans="1:7" ht="78">
      <c r="A25" s="15" t="s">
        <v>20</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40" customWidth="1"/>
    <col min="2" max="2" width="9.6328125" style="39" customWidth="1"/>
    <col min="3" max="5" width="10.6328125" style="40" customWidth="1"/>
    <col min="6" max="6" width="10.1796875" style="40" customWidth="1"/>
    <col min="7" max="7" width="10.6328125" style="40" customWidth="1"/>
    <col min="8" max="8" width="8.1796875" style="40" customWidth="1"/>
    <col min="9" max="9" width="7.54296875" style="40" customWidth="1"/>
    <col min="10" max="10" width="10.1796875" style="40" customWidth="1"/>
    <col min="11" max="11" width="11.1796875" style="40" customWidth="1"/>
    <col min="12" max="12" width="8.1796875" style="40" customWidth="1"/>
    <col min="13" max="13" width="10.26953125" style="40" customWidth="1"/>
    <col min="14" max="19" width="7.1796875" style="40" customWidth="1"/>
    <col min="20" max="20" width="7.7265625" style="40" customWidth="1"/>
    <col min="21" max="24" width="8.7265625" style="40"/>
    <col min="25" max="25" width="8.7265625" style="65"/>
    <col min="26" max="16384" width="8.7265625" style="40"/>
  </cols>
  <sheetData>
    <row r="1" spans="1:26">
      <c r="A1" s="73" t="s">
        <v>62</v>
      </c>
      <c r="B1" s="74"/>
      <c r="C1" s="75"/>
      <c r="U1" s="43">
        <v>2025</v>
      </c>
    </row>
    <row r="2" spans="1:26">
      <c r="A2" s="38"/>
      <c r="U2" s="46"/>
    </row>
    <row r="3" spans="1:26" ht="83" customHeight="1">
      <c r="A3" s="150" t="s">
        <v>65</v>
      </c>
      <c r="B3" s="150"/>
      <c r="C3" s="150"/>
      <c r="D3" s="150"/>
      <c r="E3" s="150"/>
      <c r="F3" s="150"/>
      <c r="G3" s="150"/>
      <c r="H3" s="150"/>
      <c r="I3" s="150"/>
      <c r="J3" s="150"/>
      <c r="K3" s="150"/>
      <c r="U3" s="46"/>
    </row>
    <row r="4" spans="1:26">
      <c r="A4" s="151" t="s">
        <v>7</v>
      </c>
      <c r="B4" s="151"/>
      <c r="C4" s="151"/>
      <c r="D4" s="151"/>
      <c r="E4" s="151"/>
      <c r="F4" s="151"/>
      <c r="G4" s="151"/>
      <c r="U4" s="46"/>
    </row>
    <row r="5" spans="1:26">
      <c r="A5" s="72"/>
      <c r="B5" s="84"/>
      <c r="C5" s="84"/>
      <c r="D5" s="84"/>
      <c r="E5" s="84"/>
      <c r="F5" s="84"/>
      <c r="G5" s="84"/>
      <c r="U5" s="53">
        <v>82</v>
      </c>
    </row>
    <row r="6" spans="1:26" ht="14">
      <c r="A6" s="97"/>
      <c r="B6" s="83"/>
      <c r="C6" s="83"/>
      <c r="D6" s="83"/>
      <c r="E6" s="83"/>
      <c r="F6" s="83"/>
      <c r="G6" s="83"/>
      <c r="U6" s="56"/>
    </row>
    <row r="7" spans="1:26">
      <c r="B7" s="41" t="s">
        <v>30</v>
      </c>
      <c r="C7" s="41" t="s">
        <v>31</v>
      </c>
      <c r="D7" s="42" t="s">
        <v>32</v>
      </c>
      <c r="E7" s="42" t="s">
        <v>33</v>
      </c>
      <c r="F7" s="42" t="s">
        <v>34</v>
      </c>
      <c r="G7" s="42" t="s">
        <v>35</v>
      </c>
      <c r="H7" s="42" t="s">
        <v>36</v>
      </c>
      <c r="I7" s="42" t="s">
        <v>37</v>
      </c>
      <c r="J7" s="42" t="s">
        <v>38</v>
      </c>
      <c r="K7" s="42" t="s">
        <v>39</v>
      </c>
      <c r="L7" s="42" t="s">
        <v>40</v>
      </c>
      <c r="M7" s="42" t="s">
        <v>41</v>
      </c>
      <c r="N7" s="42" t="s">
        <v>42</v>
      </c>
      <c r="O7" s="42" t="s">
        <v>43</v>
      </c>
      <c r="P7" s="42" t="s">
        <v>44</v>
      </c>
      <c r="Q7" s="42" t="s">
        <v>45</v>
      </c>
      <c r="R7" s="42" t="s">
        <v>46</v>
      </c>
      <c r="S7" s="42" t="s">
        <v>47</v>
      </c>
      <c r="T7" s="43">
        <v>2024</v>
      </c>
      <c r="U7" s="78">
        <v>2025</v>
      </c>
      <c r="V7" s="78">
        <v>2026</v>
      </c>
      <c r="W7" s="78">
        <v>2027</v>
      </c>
      <c r="X7" s="78">
        <v>2028</v>
      </c>
      <c r="Y7" s="105">
        <v>2029</v>
      </c>
    </row>
    <row r="8" spans="1:26">
      <c r="A8" s="44" t="s">
        <v>58</v>
      </c>
      <c r="B8" s="45">
        <v>22871</v>
      </c>
      <c r="C8" s="45">
        <v>23958</v>
      </c>
      <c r="D8" s="45">
        <v>24397</v>
      </c>
      <c r="E8" s="45">
        <v>22044</v>
      </c>
      <c r="F8" s="45">
        <v>19781</v>
      </c>
      <c r="G8" s="45">
        <v>18825</v>
      </c>
      <c r="H8" s="45">
        <v>19897</v>
      </c>
      <c r="I8" s="45">
        <v>20596</v>
      </c>
      <c r="J8" s="45">
        <v>21746</v>
      </c>
      <c r="K8" s="45">
        <v>21979</v>
      </c>
      <c r="L8" s="45">
        <v>21968</v>
      </c>
      <c r="M8" s="45">
        <v>20828</v>
      </c>
      <c r="N8" s="45">
        <v>19314</v>
      </c>
      <c r="O8" s="45">
        <v>18786</v>
      </c>
      <c r="P8" s="45">
        <v>17552</v>
      </c>
      <c r="Q8" s="45">
        <v>17420</v>
      </c>
      <c r="R8" s="45">
        <v>15954</v>
      </c>
      <c r="S8" s="45">
        <v>14490</v>
      </c>
      <c r="T8" s="45">
        <v>12571</v>
      </c>
      <c r="V8" s="79"/>
      <c r="W8" s="81" t="e">
        <f>#REF!*12</f>
        <v>#REF!</v>
      </c>
      <c r="X8" s="81" t="e">
        <f>#REF!*12</f>
        <v>#REF!</v>
      </c>
      <c r="Y8" s="106" t="e">
        <f>#REF!*12</f>
        <v>#REF!</v>
      </c>
    </row>
    <row r="9" spans="1:26" ht="26">
      <c r="A9" s="47" t="s">
        <v>48</v>
      </c>
      <c r="B9" s="46">
        <v>1926</v>
      </c>
      <c r="C9" s="46">
        <v>1733</v>
      </c>
      <c r="D9" s="48">
        <v>1641</v>
      </c>
      <c r="E9" s="48">
        <v>1513</v>
      </c>
      <c r="F9" s="48">
        <v>1622</v>
      </c>
      <c r="G9" s="48">
        <v>1279</v>
      </c>
      <c r="H9" s="48">
        <v>1213</v>
      </c>
      <c r="I9" s="48">
        <v>1172</v>
      </c>
      <c r="J9" s="48">
        <v>1013</v>
      </c>
      <c r="K9" s="48">
        <v>921</v>
      </c>
      <c r="L9" s="48">
        <v>909</v>
      </c>
      <c r="M9" s="48">
        <v>795</v>
      </c>
      <c r="N9" s="48">
        <v>735</v>
      </c>
      <c r="O9" s="48">
        <v>626</v>
      </c>
      <c r="P9" s="48">
        <v>615</v>
      </c>
      <c r="Q9" s="48">
        <v>495</v>
      </c>
      <c r="R9" s="48">
        <v>512</v>
      </c>
      <c r="S9" s="48">
        <v>451</v>
      </c>
      <c r="T9" s="46">
        <v>404</v>
      </c>
      <c r="V9" s="79"/>
      <c r="W9" s="79"/>
      <c r="X9" s="79"/>
      <c r="Y9" s="107"/>
    </row>
    <row r="10" spans="1:26">
      <c r="A10" s="49" t="s">
        <v>54</v>
      </c>
      <c r="B10" s="50">
        <f>B9/B8</f>
        <v>8.421144681037121E-2</v>
      </c>
      <c r="C10" s="50">
        <f t="shared" ref="C10:T10" si="0">C9/C8</f>
        <v>7.2334919442357454E-2</v>
      </c>
      <c r="D10" s="51">
        <f t="shared" si="0"/>
        <v>6.7262368323974253E-2</v>
      </c>
      <c r="E10" s="51">
        <f t="shared" si="0"/>
        <v>6.8635456360007258E-2</v>
      </c>
      <c r="F10" s="51">
        <f t="shared" si="0"/>
        <v>8.1997876750417073E-2</v>
      </c>
      <c r="G10" s="51">
        <f t="shared" si="0"/>
        <v>6.7941567065073039E-2</v>
      </c>
      <c r="H10" s="51">
        <f t="shared" si="0"/>
        <v>6.0963964416746244E-2</v>
      </c>
      <c r="I10" s="51">
        <f t="shared" si="0"/>
        <v>5.6904253253058847E-2</v>
      </c>
      <c r="J10" s="51">
        <f t="shared" si="0"/>
        <v>4.6583279683619978E-2</v>
      </c>
      <c r="K10" s="51">
        <f t="shared" si="0"/>
        <v>4.1903635288229671E-2</v>
      </c>
      <c r="L10" s="51">
        <f t="shared" si="0"/>
        <v>4.1378368536052437E-2</v>
      </c>
      <c r="M10" s="51">
        <f t="shared" si="0"/>
        <v>3.816977146149414E-2</v>
      </c>
      <c r="N10" s="51">
        <f t="shared" si="0"/>
        <v>3.8055296675986332E-2</v>
      </c>
      <c r="O10" s="51">
        <f t="shared" si="0"/>
        <v>3.3322687107420416E-2</v>
      </c>
      <c r="P10" s="51">
        <f t="shared" si="0"/>
        <v>3.5038742023701004E-2</v>
      </c>
      <c r="Q10" s="51">
        <f t="shared" si="0"/>
        <v>2.8415614236509758E-2</v>
      </c>
      <c r="R10" s="51">
        <f t="shared" si="0"/>
        <v>3.2092265262630058E-2</v>
      </c>
      <c r="S10" s="51">
        <f t="shared" si="0"/>
        <v>3.1124913733609386E-2</v>
      </c>
      <c r="T10" s="51">
        <f t="shared" si="0"/>
        <v>3.2137459231564712E-2</v>
      </c>
      <c r="V10" s="79"/>
      <c r="W10" s="79"/>
      <c r="X10" s="79"/>
      <c r="Y10" s="107"/>
    </row>
    <row r="11" spans="1:26" ht="26">
      <c r="A11" s="52" t="s">
        <v>53</v>
      </c>
      <c r="B11" s="53">
        <v>795</v>
      </c>
      <c r="C11" s="53">
        <v>819</v>
      </c>
      <c r="D11" s="53">
        <v>741</v>
      </c>
      <c r="E11" s="53">
        <v>724</v>
      </c>
      <c r="F11" s="53">
        <v>696</v>
      </c>
      <c r="G11" s="53">
        <v>604</v>
      </c>
      <c r="H11" s="53">
        <v>659</v>
      </c>
      <c r="I11" s="53">
        <v>609</v>
      </c>
      <c r="J11" s="53">
        <v>517</v>
      </c>
      <c r="K11" s="53">
        <v>497</v>
      </c>
      <c r="L11" s="53">
        <v>491</v>
      </c>
      <c r="M11" s="53">
        <v>424</v>
      </c>
      <c r="N11" s="53">
        <v>400</v>
      </c>
      <c r="O11" s="53">
        <v>365</v>
      </c>
      <c r="P11" s="53">
        <v>347</v>
      </c>
      <c r="Q11" s="53">
        <v>305</v>
      </c>
      <c r="R11" s="53">
        <v>293</v>
      </c>
      <c r="S11" s="53">
        <v>308</v>
      </c>
      <c r="T11" s="53">
        <v>313</v>
      </c>
      <c r="U11" s="40">
        <v>300</v>
      </c>
      <c r="V11" s="80">
        <v>300</v>
      </c>
      <c r="W11" s="80">
        <v>300</v>
      </c>
      <c r="X11" s="80">
        <v>300</v>
      </c>
      <c r="Y11" s="108">
        <v>300</v>
      </c>
      <c r="Z11" s="54">
        <f>SUM(C11:T11)</f>
        <v>9112</v>
      </c>
    </row>
    <row r="12" spans="1:26" s="58" customFormat="1">
      <c r="A12" s="68" t="s">
        <v>54</v>
      </c>
      <c r="B12" s="55">
        <f>B11/B8</f>
        <v>3.4760176642910236E-2</v>
      </c>
      <c r="C12" s="55">
        <f t="shared" ref="C12:T12" si="1">C11/C8</f>
        <v>3.4184823441021785E-2</v>
      </c>
      <c r="D12" s="55">
        <f t="shared" si="1"/>
        <v>3.0372586793458212E-2</v>
      </c>
      <c r="E12" s="55">
        <f t="shared" si="1"/>
        <v>3.284340410088913E-2</v>
      </c>
      <c r="F12" s="55">
        <f t="shared" si="1"/>
        <v>3.5185278802891663E-2</v>
      </c>
      <c r="G12" s="55">
        <f t="shared" si="1"/>
        <v>3.208499335989376E-2</v>
      </c>
      <c r="H12" s="55">
        <f t="shared" si="1"/>
        <v>3.3120570940342764E-2</v>
      </c>
      <c r="I12" s="55">
        <f t="shared" si="1"/>
        <v>2.9568848320062149E-2</v>
      </c>
      <c r="J12" s="55">
        <f t="shared" si="1"/>
        <v>2.3774487262025201E-2</v>
      </c>
      <c r="K12" s="55">
        <f t="shared" si="1"/>
        <v>2.2612493744028392E-2</v>
      </c>
      <c r="L12" s="55">
        <f t="shared" si="1"/>
        <v>2.2350691915513473E-2</v>
      </c>
      <c r="M12" s="55">
        <f t="shared" si="1"/>
        <v>2.0357211446130209E-2</v>
      </c>
      <c r="N12" s="55">
        <f t="shared" si="1"/>
        <v>2.0710365537951744E-2</v>
      </c>
      <c r="O12" s="55">
        <f t="shared" si="1"/>
        <v>1.9429362291067818E-2</v>
      </c>
      <c r="P12" s="55">
        <f t="shared" si="1"/>
        <v>1.9769826800364629E-2</v>
      </c>
      <c r="Q12" s="55">
        <f t="shared" si="1"/>
        <v>1.7508610792192882E-2</v>
      </c>
      <c r="R12" s="55">
        <f t="shared" si="1"/>
        <v>1.8365300238184782E-2</v>
      </c>
      <c r="S12" s="55">
        <f t="shared" si="1"/>
        <v>2.1256038647342997E-2</v>
      </c>
      <c r="T12" s="55">
        <f t="shared" si="1"/>
        <v>2.4898576087821176E-2</v>
      </c>
      <c r="V12" s="82"/>
      <c r="W12" s="82"/>
      <c r="X12" s="82"/>
      <c r="Y12" s="109"/>
      <c r="Z12" s="57"/>
    </row>
    <row r="13" spans="1:26" ht="14.5">
      <c r="A13" s="59" t="s">
        <v>73</v>
      </c>
      <c r="B13" s="60"/>
      <c r="E13"/>
      <c r="F13" s="104">
        <v>17</v>
      </c>
      <c r="G13" s="104">
        <v>16</v>
      </c>
      <c r="H13" s="104">
        <v>15</v>
      </c>
      <c r="I13" s="104">
        <v>14</v>
      </c>
      <c r="J13" s="104">
        <v>13</v>
      </c>
      <c r="K13" s="104">
        <v>12</v>
      </c>
      <c r="L13" s="104">
        <v>11</v>
      </c>
      <c r="M13" s="104">
        <v>10</v>
      </c>
      <c r="N13" s="104">
        <v>9</v>
      </c>
      <c r="O13" s="104">
        <v>8</v>
      </c>
      <c r="P13" s="104">
        <v>7</v>
      </c>
      <c r="Q13" s="61">
        <v>6</v>
      </c>
      <c r="R13" s="61">
        <v>5</v>
      </c>
      <c r="S13" s="61">
        <v>4</v>
      </c>
      <c r="T13" s="61">
        <v>3</v>
      </c>
      <c r="U13" s="61">
        <v>2</v>
      </c>
      <c r="V13" s="61">
        <v>1</v>
      </c>
      <c r="W13" s="103">
        <v>0</v>
      </c>
    </row>
    <row r="14" spans="1:26">
      <c r="A14" s="59" t="s">
        <v>74</v>
      </c>
      <c r="B14" s="63"/>
      <c r="C14" s="64"/>
      <c r="D14" s="64"/>
      <c r="E14" s="64"/>
      <c r="F14" s="64"/>
      <c r="G14" s="104">
        <v>17</v>
      </c>
      <c r="H14" s="104">
        <v>16</v>
      </c>
      <c r="I14" s="104">
        <v>15</v>
      </c>
      <c r="J14" s="104">
        <v>14</v>
      </c>
      <c r="K14" s="104">
        <v>13</v>
      </c>
      <c r="L14" s="104">
        <v>12</v>
      </c>
      <c r="M14" s="104">
        <v>11</v>
      </c>
      <c r="N14" s="104">
        <v>10</v>
      </c>
      <c r="O14" s="104">
        <v>9</v>
      </c>
      <c r="P14" s="104">
        <v>8</v>
      </c>
      <c r="Q14" s="104">
        <v>7</v>
      </c>
      <c r="R14" s="61">
        <v>6</v>
      </c>
      <c r="S14" s="61">
        <v>5</v>
      </c>
      <c r="T14" s="61">
        <v>4</v>
      </c>
      <c r="U14" s="61">
        <v>3</v>
      </c>
      <c r="V14" s="61">
        <v>2</v>
      </c>
      <c r="W14" s="61">
        <v>1</v>
      </c>
      <c r="X14" s="103">
        <v>0</v>
      </c>
    </row>
    <row r="15" spans="1:26">
      <c r="A15" s="59" t="s">
        <v>75</v>
      </c>
      <c r="B15" s="63"/>
      <c r="C15" s="64"/>
      <c r="D15" s="64"/>
      <c r="E15" s="64"/>
      <c r="F15" s="64"/>
      <c r="G15" s="64"/>
      <c r="H15" s="104">
        <v>17</v>
      </c>
      <c r="I15" s="104">
        <v>16</v>
      </c>
      <c r="J15" s="104">
        <v>15</v>
      </c>
      <c r="K15" s="104">
        <v>14</v>
      </c>
      <c r="L15" s="104">
        <v>13</v>
      </c>
      <c r="M15" s="104">
        <v>12</v>
      </c>
      <c r="N15" s="104">
        <v>11</v>
      </c>
      <c r="O15" s="104">
        <v>10</v>
      </c>
      <c r="P15" s="104">
        <v>9</v>
      </c>
      <c r="Q15" s="104">
        <v>8</v>
      </c>
      <c r="R15" s="104">
        <v>7</v>
      </c>
      <c r="S15" s="61">
        <v>6</v>
      </c>
      <c r="T15" s="61">
        <v>5</v>
      </c>
      <c r="U15" s="61">
        <v>4</v>
      </c>
      <c r="V15" s="61">
        <v>3</v>
      </c>
      <c r="W15" s="61">
        <v>2</v>
      </c>
      <c r="X15" s="61">
        <v>1</v>
      </c>
      <c r="Y15" s="110">
        <v>0</v>
      </c>
    </row>
    <row r="16" spans="1:26">
      <c r="A16" s="62"/>
      <c r="B16" s="63"/>
      <c r="C16" s="64"/>
      <c r="D16" s="64"/>
      <c r="E16" s="64"/>
      <c r="F16" s="64"/>
      <c r="G16" s="64"/>
      <c r="H16" s="64"/>
      <c r="I16" s="64"/>
      <c r="J16" s="64"/>
      <c r="K16" s="64"/>
      <c r="L16" s="64"/>
      <c r="M16" s="64"/>
      <c r="N16" s="64"/>
      <c r="O16" s="64"/>
      <c r="P16" s="64"/>
      <c r="Q16" s="64"/>
      <c r="R16" s="64"/>
      <c r="S16" s="64"/>
      <c r="T16" s="64"/>
    </row>
    <row r="17" spans="1:25" ht="52">
      <c r="B17" s="37" t="s">
        <v>50</v>
      </c>
      <c r="C17" s="37" t="s">
        <v>64</v>
      </c>
      <c r="D17" s="37" t="s">
        <v>57</v>
      </c>
      <c r="E17" s="37" t="s">
        <v>51</v>
      </c>
      <c r="F17" s="37" t="s">
        <v>3</v>
      </c>
      <c r="K17" s="37" t="s">
        <v>56</v>
      </c>
      <c r="L17" s="37" t="s">
        <v>51</v>
      </c>
      <c r="M17" s="37" t="s">
        <v>3</v>
      </c>
    </row>
    <row r="18" spans="1:25">
      <c r="A18" s="40" t="s">
        <v>52</v>
      </c>
      <c r="B18" s="54">
        <f>SUM(N11:T11)</f>
        <v>2331</v>
      </c>
      <c r="C18" s="40">
        <v>820</v>
      </c>
      <c r="D18" s="40">
        <f>C18*25%</f>
        <v>205</v>
      </c>
      <c r="E18" s="65">
        <f>D18/2</f>
        <v>102.5</v>
      </c>
      <c r="F18" s="66">
        <f>B18*E18*12</f>
        <v>2867130</v>
      </c>
      <c r="K18" s="40">
        <v>125</v>
      </c>
      <c r="L18" s="65">
        <f>K18/2</f>
        <v>62.5</v>
      </c>
      <c r="M18" s="66">
        <f>B18*L18*12</f>
        <v>1748250</v>
      </c>
    </row>
    <row r="19" spans="1:25">
      <c r="A19" s="40" t="s">
        <v>55</v>
      </c>
      <c r="B19" s="54">
        <f>SUM(C11:M11)</f>
        <v>6781</v>
      </c>
      <c r="C19" s="40">
        <v>820</v>
      </c>
      <c r="D19" s="40">
        <f>C19*30%</f>
        <v>246</v>
      </c>
      <c r="E19" s="65">
        <f>D19/2</f>
        <v>123</v>
      </c>
      <c r="F19" s="66">
        <f>B19*E19*12</f>
        <v>10008756</v>
      </c>
      <c r="K19" s="40">
        <v>150</v>
      </c>
      <c r="L19" s="65">
        <f>K19/2</f>
        <v>75</v>
      </c>
      <c r="M19" s="66">
        <f>B19*L19*12</f>
        <v>6102900</v>
      </c>
    </row>
    <row r="20" spans="1:25">
      <c r="A20" s="71" t="s">
        <v>59</v>
      </c>
      <c r="B20" s="54">
        <f>SUM(B18:B19)</f>
        <v>9112</v>
      </c>
      <c r="F20" s="70">
        <f>SUM(F18:F19)</f>
        <v>12875886</v>
      </c>
      <c r="M20" s="67">
        <f>SUM(M18:M19)</f>
        <v>7851150</v>
      </c>
    </row>
    <row r="23" spans="1:25" ht="14.5" customHeight="1">
      <c r="A23" s="65"/>
      <c r="B23" s="152">
        <v>2027</v>
      </c>
      <c r="C23" s="153"/>
      <c r="D23" s="154"/>
      <c r="E23" s="152">
        <v>2028</v>
      </c>
      <c r="F23" s="153"/>
      <c r="G23" s="154"/>
      <c r="H23" s="155">
        <v>2029</v>
      </c>
      <c r="I23" s="155"/>
      <c r="J23" s="155"/>
    </row>
    <row r="24" spans="1:25">
      <c r="A24" s="65"/>
      <c r="B24" s="86" t="s">
        <v>68</v>
      </c>
      <c r="C24" s="86" t="s">
        <v>19</v>
      </c>
      <c r="D24" s="86" t="s">
        <v>3</v>
      </c>
      <c r="E24" s="86" t="s">
        <v>68</v>
      </c>
      <c r="F24" s="86" t="s">
        <v>19</v>
      </c>
      <c r="G24" s="86" t="s">
        <v>3</v>
      </c>
      <c r="H24" s="86" t="s">
        <v>68</v>
      </c>
      <c r="I24" s="86" t="s">
        <v>19</v>
      </c>
      <c r="J24" s="86" t="s">
        <v>3</v>
      </c>
    </row>
    <row r="25" spans="1:25" s="58" customFormat="1">
      <c r="A25" s="87" t="s">
        <v>66</v>
      </c>
      <c r="B25" s="88"/>
      <c r="C25" s="88">
        <v>820</v>
      </c>
      <c r="D25" s="88"/>
      <c r="E25" s="88"/>
      <c r="F25" s="88">
        <v>860</v>
      </c>
      <c r="G25" s="88"/>
      <c r="H25" s="88"/>
      <c r="I25" s="88">
        <v>860</v>
      </c>
      <c r="J25" s="88"/>
      <c r="Y25" s="111"/>
    </row>
    <row r="26" spans="1:25">
      <c r="A26" s="89" t="s">
        <v>52</v>
      </c>
      <c r="B26" s="112">
        <f>SUM(Q11:W11)</f>
        <v>2119</v>
      </c>
      <c r="C26" s="86">
        <f>ROUND((C25*25%)/2,2)</f>
        <v>102.5</v>
      </c>
      <c r="D26" s="90">
        <f>ROUND(B26*C26*12,0)</f>
        <v>2606370</v>
      </c>
      <c r="E26" s="112">
        <f>SUM(R11:X11)</f>
        <v>2114</v>
      </c>
      <c r="F26" s="86">
        <f>ROUND((F25*25%)/2,2)</f>
        <v>107.5</v>
      </c>
      <c r="G26" s="90">
        <f>ROUND(E26*F26*12,0)</f>
        <v>2727060</v>
      </c>
      <c r="H26" s="112">
        <f>SUM(S11:Y11)</f>
        <v>2121</v>
      </c>
      <c r="I26" s="86">
        <f>ROUND((I25*25%)/2,2)</f>
        <v>107.5</v>
      </c>
      <c r="J26" s="90">
        <f>ROUND(H26*I26*12,0)</f>
        <v>2736090</v>
      </c>
    </row>
    <row r="27" spans="1:25">
      <c r="A27" s="89" t="s">
        <v>55</v>
      </c>
      <c r="B27" s="112">
        <f>SUM(F11:P11)</f>
        <v>5609</v>
      </c>
      <c r="C27" s="86">
        <f>ROUND((C25*30%)/2,2)</f>
        <v>123</v>
      </c>
      <c r="D27" s="90">
        <f>ROUND(B27*C27*12,0)</f>
        <v>8278884</v>
      </c>
      <c r="E27" s="112">
        <f>SUM(G11:Q11)</f>
        <v>5218</v>
      </c>
      <c r="F27" s="86">
        <f>ROUND((F25*30%)/2,2)</f>
        <v>129</v>
      </c>
      <c r="G27" s="90">
        <f>ROUND(E27*F27*12,0)</f>
        <v>8077464</v>
      </c>
      <c r="H27" s="112">
        <f>SUM(H11:R11)</f>
        <v>4907</v>
      </c>
      <c r="I27" s="86">
        <f>ROUND((I25*30%)/2,2)</f>
        <v>129</v>
      </c>
      <c r="J27" s="90">
        <f>ROUND(H27*I27*12,0)</f>
        <v>7596036</v>
      </c>
    </row>
    <row r="28" spans="1:25" s="85" customFormat="1">
      <c r="A28" s="91" t="s">
        <v>67</v>
      </c>
      <c r="B28" s="92">
        <f>B26+B27</f>
        <v>7728</v>
      </c>
      <c r="C28" s="92"/>
      <c r="D28" s="93">
        <f>D26+D27</f>
        <v>10885254</v>
      </c>
      <c r="E28" s="92">
        <f>E26+E27</f>
        <v>7332</v>
      </c>
      <c r="F28" s="92"/>
      <c r="G28" s="93">
        <f>G26+G27</f>
        <v>10804524</v>
      </c>
      <c r="H28" s="92">
        <f>H26+H27</f>
        <v>7028</v>
      </c>
      <c r="I28" s="92"/>
      <c r="J28" s="93">
        <f>J26+J27</f>
        <v>10332126</v>
      </c>
      <c r="Y28" s="92"/>
    </row>
    <row r="29" spans="1:25">
      <c r="A29" s="94" t="s">
        <v>69</v>
      </c>
      <c r="B29" s="65"/>
      <c r="C29" s="65"/>
      <c r="D29" s="65"/>
      <c r="E29" s="65"/>
      <c r="F29" s="65"/>
      <c r="G29" s="65"/>
      <c r="H29" s="65"/>
      <c r="I29" s="65"/>
      <c r="J29" s="65"/>
    </row>
    <row r="30" spans="1:25">
      <c r="A30" s="94" t="s">
        <v>70</v>
      </c>
      <c r="B30" s="65"/>
      <c r="C30" s="65"/>
      <c r="D30" s="65"/>
      <c r="E30" s="65"/>
      <c r="F30" s="65"/>
      <c r="G30" s="65"/>
      <c r="H30" s="65"/>
      <c r="I30" s="65"/>
      <c r="J30" s="65"/>
    </row>
    <row r="32" spans="1:25" ht="14">
      <c r="A32" s="95" t="s">
        <v>22</v>
      </c>
      <c r="B32" s="12"/>
      <c r="C32" s="12"/>
      <c r="D32" s="12"/>
      <c r="E32" s="12"/>
      <c r="F32" s="12"/>
      <c r="G32" s="12"/>
    </row>
    <row r="33" spans="1:7" ht="14">
      <c r="A33" s="156" t="s">
        <v>71</v>
      </c>
      <c r="B33" s="156"/>
      <c r="C33" s="156"/>
      <c r="D33" s="156"/>
      <c r="E33" s="156"/>
      <c r="F33" s="156"/>
      <c r="G33" s="156"/>
    </row>
    <row r="34" spans="1:7" ht="14">
      <c r="A34" s="96"/>
      <c r="B34" s="96"/>
      <c r="C34" s="96"/>
      <c r="D34" s="96"/>
      <c r="E34" s="96"/>
      <c r="F34" s="96"/>
      <c r="G34" s="96"/>
    </row>
    <row r="35" spans="1:7" ht="46" customHeight="1">
      <c r="A35" s="149" t="s">
        <v>17</v>
      </c>
      <c r="B35" s="149"/>
      <c r="C35" s="149"/>
      <c r="D35" s="149"/>
      <c r="E35" s="149"/>
      <c r="F35" s="149"/>
      <c r="G35" s="149"/>
    </row>
    <row r="36" spans="1:7" ht="14">
      <c r="A36" s="98"/>
      <c r="B36" s="99">
        <v>2026</v>
      </c>
      <c r="C36" s="100">
        <v>2027</v>
      </c>
      <c r="D36" s="100">
        <v>2028</v>
      </c>
      <c r="E36" s="100">
        <v>2029</v>
      </c>
      <c r="F36" s="97"/>
      <c r="G36" s="97"/>
    </row>
    <row r="37" spans="1:7" ht="14">
      <c r="A37" s="101" t="s">
        <v>72</v>
      </c>
      <c r="B37" s="102">
        <f>131*556.6</f>
        <v>72914.600000000006</v>
      </c>
      <c r="C37" s="102">
        <f>D28</f>
        <v>10885254</v>
      </c>
      <c r="D37" s="102">
        <f>G28</f>
        <v>10804524</v>
      </c>
      <c r="E37" s="102">
        <f>J28</f>
        <v>10332126</v>
      </c>
      <c r="F37" s="12"/>
      <c r="G37" s="12"/>
    </row>
    <row r="40" spans="1:7" ht="117">
      <c r="A40" s="15" t="s">
        <v>63</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40" customWidth="1"/>
    <col min="2" max="2" width="9.6328125" style="39" customWidth="1"/>
    <col min="3" max="5" width="10.6328125" style="40" customWidth="1"/>
    <col min="6" max="6" width="10.1796875" style="40" customWidth="1"/>
    <col min="7" max="7" width="10.6328125" style="40" customWidth="1"/>
    <col min="8" max="8" width="8.1796875" style="40" customWidth="1"/>
    <col min="9" max="9" width="7.54296875" style="40" customWidth="1"/>
    <col min="10" max="10" width="10.1796875" style="40" customWidth="1"/>
    <col min="11" max="11" width="11.1796875" style="40" customWidth="1"/>
    <col min="12" max="12" width="8.1796875" style="40" customWidth="1"/>
    <col min="13" max="13" width="10.26953125" style="40" customWidth="1"/>
    <col min="14" max="19" width="7.1796875" style="40" customWidth="1"/>
    <col min="20" max="20" width="7.7265625" style="40" customWidth="1"/>
    <col min="21" max="16384" width="8.7265625" style="40"/>
  </cols>
  <sheetData>
    <row r="1" spans="1:26">
      <c r="A1" s="73" t="s">
        <v>62</v>
      </c>
      <c r="B1" s="74"/>
      <c r="C1" s="75"/>
      <c r="U1" s="43">
        <v>2025</v>
      </c>
    </row>
    <row r="2" spans="1:26">
      <c r="A2" s="38"/>
      <c r="U2" s="46"/>
    </row>
    <row r="3" spans="1:26" ht="83" customHeight="1">
      <c r="A3" s="150" t="s">
        <v>65</v>
      </c>
      <c r="B3" s="150"/>
      <c r="C3" s="150"/>
      <c r="D3" s="150"/>
      <c r="E3" s="150"/>
      <c r="F3" s="150"/>
      <c r="G3" s="150"/>
      <c r="H3" s="150"/>
      <c r="I3" s="150"/>
      <c r="J3" s="150"/>
      <c r="K3" s="150"/>
      <c r="U3" s="46"/>
    </row>
    <row r="4" spans="1:26">
      <c r="A4" s="151" t="s">
        <v>7</v>
      </c>
      <c r="B4" s="151"/>
      <c r="C4" s="151"/>
      <c r="D4" s="151"/>
      <c r="E4" s="151"/>
      <c r="F4" s="151"/>
      <c r="G4" s="151"/>
      <c r="U4" s="46"/>
    </row>
    <row r="5" spans="1:26">
      <c r="A5" s="72"/>
      <c r="B5" s="31"/>
      <c r="C5" s="31"/>
      <c r="D5" s="31"/>
      <c r="E5" s="31"/>
      <c r="F5" s="31"/>
      <c r="G5" s="31"/>
      <c r="U5" s="53">
        <v>82</v>
      </c>
    </row>
    <row r="6" spans="1:26" ht="14">
      <c r="A6" s="69"/>
      <c r="B6" s="27"/>
      <c r="C6" s="27"/>
      <c r="D6" s="27"/>
      <c r="E6" s="27"/>
      <c r="F6" s="27"/>
      <c r="G6" s="27"/>
      <c r="U6" s="56"/>
    </row>
    <row r="7" spans="1:26">
      <c r="B7" s="41" t="s">
        <v>30</v>
      </c>
      <c r="C7" s="41" t="s">
        <v>31</v>
      </c>
      <c r="D7" s="42" t="s">
        <v>32</v>
      </c>
      <c r="E7" s="42" t="s">
        <v>33</v>
      </c>
      <c r="F7" s="42" t="s">
        <v>34</v>
      </c>
      <c r="G7" s="42" t="s">
        <v>35</v>
      </c>
      <c r="H7" s="42" t="s">
        <v>36</v>
      </c>
      <c r="I7" s="42" t="s">
        <v>37</v>
      </c>
      <c r="J7" s="42" t="s">
        <v>38</v>
      </c>
      <c r="K7" s="42" t="s">
        <v>39</v>
      </c>
      <c r="L7" s="42" t="s">
        <v>40</v>
      </c>
      <c r="M7" s="42" t="s">
        <v>41</v>
      </c>
      <c r="N7" s="42" t="s">
        <v>42</v>
      </c>
      <c r="O7" s="42" t="s">
        <v>43</v>
      </c>
      <c r="P7" s="42" t="s">
        <v>44</v>
      </c>
      <c r="Q7" s="42" t="s">
        <v>45</v>
      </c>
      <c r="R7" s="42" t="s">
        <v>46</v>
      </c>
      <c r="S7" s="42" t="s">
        <v>47</v>
      </c>
      <c r="T7" s="43">
        <v>2024</v>
      </c>
      <c r="U7" s="78">
        <v>2025</v>
      </c>
      <c r="V7" s="78">
        <v>2026</v>
      </c>
      <c r="W7" s="78">
        <v>2027</v>
      </c>
      <c r="X7" s="78">
        <v>2028</v>
      </c>
      <c r="Y7" s="78"/>
    </row>
    <row r="8" spans="1:26">
      <c r="A8" s="44" t="s">
        <v>58</v>
      </c>
      <c r="B8" s="45">
        <v>22871</v>
      </c>
      <c r="C8" s="45">
        <v>23958</v>
      </c>
      <c r="D8" s="45">
        <v>24397</v>
      </c>
      <c r="E8" s="45">
        <v>22044</v>
      </c>
      <c r="F8" s="45">
        <v>19781</v>
      </c>
      <c r="G8" s="45">
        <v>18825</v>
      </c>
      <c r="H8" s="45">
        <v>19897</v>
      </c>
      <c r="I8" s="45">
        <v>20596</v>
      </c>
      <c r="J8" s="45">
        <v>21746</v>
      </c>
      <c r="K8" s="45">
        <v>21979</v>
      </c>
      <c r="L8" s="45">
        <v>21968</v>
      </c>
      <c r="M8" s="45">
        <v>20828</v>
      </c>
      <c r="N8" s="45">
        <v>19314</v>
      </c>
      <c r="O8" s="45">
        <v>18786</v>
      </c>
      <c r="P8" s="45">
        <v>17552</v>
      </c>
      <c r="Q8" s="45">
        <v>17420</v>
      </c>
      <c r="R8" s="45">
        <v>15954</v>
      </c>
      <c r="S8" s="45">
        <v>14490</v>
      </c>
      <c r="T8" s="45">
        <v>12571</v>
      </c>
      <c r="V8" s="79"/>
      <c r="W8" s="81" t="e">
        <f>#REF!*12</f>
        <v>#REF!</v>
      </c>
      <c r="X8" s="81" t="e">
        <f>#REF!*12</f>
        <v>#REF!</v>
      </c>
      <c r="Y8" s="81" t="e">
        <f>#REF!*12</f>
        <v>#REF!</v>
      </c>
    </row>
    <row r="9" spans="1:26" ht="26">
      <c r="A9" s="47" t="s">
        <v>48</v>
      </c>
      <c r="B9" s="46">
        <v>1926</v>
      </c>
      <c r="C9" s="46">
        <v>1733</v>
      </c>
      <c r="D9" s="48">
        <v>1641</v>
      </c>
      <c r="E9" s="48">
        <v>1513</v>
      </c>
      <c r="F9" s="48">
        <v>1622</v>
      </c>
      <c r="G9" s="48">
        <v>1279</v>
      </c>
      <c r="H9" s="48">
        <v>1213</v>
      </c>
      <c r="I9" s="48">
        <v>1172</v>
      </c>
      <c r="J9" s="48">
        <v>1013</v>
      </c>
      <c r="K9" s="48">
        <v>921</v>
      </c>
      <c r="L9" s="48">
        <v>909</v>
      </c>
      <c r="M9" s="48">
        <v>795</v>
      </c>
      <c r="N9" s="48">
        <v>735</v>
      </c>
      <c r="O9" s="48">
        <v>626</v>
      </c>
      <c r="P9" s="48">
        <v>615</v>
      </c>
      <c r="Q9" s="48">
        <v>495</v>
      </c>
      <c r="R9" s="48">
        <v>512</v>
      </c>
      <c r="S9" s="48">
        <v>451</v>
      </c>
      <c r="T9" s="46">
        <v>404</v>
      </c>
      <c r="V9" s="79"/>
      <c r="W9" s="79"/>
      <c r="X9" s="79"/>
      <c r="Y9" s="79"/>
    </row>
    <row r="10" spans="1:26">
      <c r="A10" s="49" t="s">
        <v>54</v>
      </c>
      <c r="B10" s="50">
        <f>B9/B8</f>
        <v>8.421144681037121E-2</v>
      </c>
      <c r="C10" s="50">
        <f t="shared" ref="C10:T10" si="0">C9/C8</f>
        <v>7.2334919442357454E-2</v>
      </c>
      <c r="D10" s="51">
        <f t="shared" si="0"/>
        <v>6.7262368323974253E-2</v>
      </c>
      <c r="E10" s="51">
        <f t="shared" si="0"/>
        <v>6.8635456360007258E-2</v>
      </c>
      <c r="F10" s="51">
        <f t="shared" si="0"/>
        <v>8.1997876750417073E-2</v>
      </c>
      <c r="G10" s="51">
        <f t="shared" si="0"/>
        <v>6.7941567065073039E-2</v>
      </c>
      <c r="H10" s="51">
        <f t="shared" si="0"/>
        <v>6.0963964416746244E-2</v>
      </c>
      <c r="I10" s="51">
        <f t="shared" si="0"/>
        <v>5.6904253253058847E-2</v>
      </c>
      <c r="J10" s="51">
        <f t="shared" si="0"/>
        <v>4.6583279683619978E-2</v>
      </c>
      <c r="K10" s="51">
        <f t="shared" si="0"/>
        <v>4.1903635288229671E-2</v>
      </c>
      <c r="L10" s="51">
        <f t="shared" si="0"/>
        <v>4.1378368536052437E-2</v>
      </c>
      <c r="M10" s="51">
        <f t="shared" si="0"/>
        <v>3.816977146149414E-2</v>
      </c>
      <c r="N10" s="51">
        <f t="shared" si="0"/>
        <v>3.8055296675986332E-2</v>
      </c>
      <c r="O10" s="51">
        <f t="shared" si="0"/>
        <v>3.3322687107420416E-2</v>
      </c>
      <c r="P10" s="51">
        <f t="shared" si="0"/>
        <v>3.5038742023701004E-2</v>
      </c>
      <c r="Q10" s="51">
        <f t="shared" si="0"/>
        <v>2.8415614236509758E-2</v>
      </c>
      <c r="R10" s="51">
        <f t="shared" si="0"/>
        <v>3.2092265262630058E-2</v>
      </c>
      <c r="S10" s="51">
        <f t="shared" si="0"/>
        <v>3.1124913733609386E-2</v>
      </c>
      <c r="T10" s="51">
        <f t="shared" si="0"/>
        <v>3.2137459231564712E-2</v>
      </c>
      <c r="V10" s="79"/>
      <c r="W10" s="79"/>
      <c r="X10" s="79"/>
      <c r="Y10" s="79"/>
    </row>
    <row r="11" spans="1:26" ht="26">
      <c r="A11" s="52" t="s">
        <v>53</v>
      </c>
      <c r="B11" s="53">
        <v>795</v>
      </c>
      <c r="C11" s="53">
        <v>819</v>
      </c>
      <c r="D11" s="53">
        <v>741</v>
      </c>
      <c r="E11" s="53">
        <v>724</v>
      </c>
      <c r="F11" s="53">
        <v>696</v>
      </c>
      <c r="G11" s="53">
        <v>604</v>
      </c>
      <c r="H11" s="53">
        <v>659</v>
      </c>
      <c r="I11" s="53">
        <v>609</v>
      </c>
      <c r="J11" s="53">
        <v>517</v>
      </c>
      <c r="K11" s="53">
        <v>497</v>
      </c>
      <c r="L11" s="53">
        <v>491</v>
      </c>
      <c r="M11" s="53">
        <v>424</v>
      </c>
      <c r="N11" s="53">
        <v>400</v>
      </c>
      <c r="O11" s="53">
        <v>365</v>
      </c>
      <c r="P11" s="53">
        <v>347</v>
      </c>
      <c r="Q11" s="53">
        <v>305</v>
      </c>
      <c r="R11" s="53">
        <v>293</v>
      </c>
      <c r="S11" s="53">
        <v>308</v>
      </c>
      <c r="T11" s="53">
        <v>313</v>
      </c>
      <c r="U11" s="40">
        <v>300</v>
      </c>
      <c r="V11" s="80">
        <v>300</v>
      </c>
      <c r="W11" s="80">
        <v>300</v>
      </c>
      <c r="X11" s="80">
        <v>300</v>
      </c>
      <c r="Y11" s="80" t="e">
        <f t="shared" ref="Y11" si="1">ROUND(Y8*Y12,0)</f>
        <v>#REF!</v>
      </c>
      <c r="Z11" s="54">
        <f>SUM(C11:T11)</f>
        <v>9112</v>
      </c>
    </row>
    <row r="12" spans="1:26" s="58" customFormat="1">
      <c r="A12" s="68" t="s">
        <v>54</v>
      </c>
      <c r="B12" s="55">
        <f>B11/B8</f>
        <v>3.4760176642910236E-2</v>
      </c>
      <c r="C12" s="55">
        <f t="shared" ref="C12:T12" si="2">C11/C8</f>
        <v>3.4184823441021785E-2</v>
      </c>
      <c r="D12" s="55">
        <f t="shared" si="2"/>
        <v>3.0372586793458212E-2</v>
      </c>
      <c r="E12" s="55">
        <f t="shared" si="2"/>
        <v>3.284340410088913E-2</v>
      </c>
      <c r="F12" s="55">
        <f t="shared" si="2"/>
        <v>3.5185278802891663E-2</v>
      </c>
      <c r="G12" s="55">
        <f t="shared" si="2"/>
        <v>3.208499335989376E-2</v>
      </c>
      <c r="H12" s="55">
        <f t="shared" si="2"/>
        <v>3.3120570940342764E-2</v>
      </c>
      <c r="I12" s="55">
        <f t="shared" si="2"/>
        <v>2.9568848320062149E-2</v>
      </c>
      <c r="J12" s="55">
        <f t="shared" si="2"/>
        <v>2.3774487262025201E-2</v>
      </c>
      <c r="K12" s="55">
        <f t="shared" si="2"/>
        <v>2.2612493744028392E-2</v>
      </c>
      <c r="L12" s="55">
        <f t="shared" si="2"/>
        <v>2.2350691915513473E-2</v>
      </c>
      <c r="M12" s="55">
        <f t="shared" si="2"/>
        <v>2.0357211446130209E-2</v>
      </c>
      <c r="N12" s="55">
        <f t="shared" si="2"/>
        <v>2.0710365537951744E-2</v>
      </c>
      <c r="O12" s="55">
        <f t="shared" si="2"/>
        <v>1.9429362291067818E-2</v>
      </c>
      <c r="P12" s="55">
        <f t="shared" si="2"/>
        <v>1.9769826800364629E-2</v>
      </c>
      <c r="Q12" s="55">
        <f t="shared" si="2"/>
        <v>1.7508610792192882E-2</v>
      </c>
      <c r="R12" s="55">
        <f t="shared" si="2"/>
        <v>1.8365300238184782E-2</v>
      </c>
      <c r="S12" s="55">
        <f t="shared" si="2"/>
        <v>2.1256038647342997E-2</v>
      </c>
      <c r="T12" s="55">
        <f t="shared" si="2"/>
        <v>2.4898576087821176E-2</v>
      </c>
      <c r="V12" s="82"/>
      <c r="W12" s="82"/>
      <c r="X12" s="82"/>
      <c r="Y12" s="82"/>
      <c r="Z12" s="57"/>
    </row>
    <row r="13" spans="1:26">
      <c r="A13" s="59" t="s">
        <v>49</v>
      </c>
      <c r="B13" s="60"/>
      <c r="E13" s="61">
        <v>17</v>
      </c>
      <c r="F13" s="61">
        <v>16</v>
      </c>
      <c r="G13" s="61">
        <v>15</v>
      </c>
      <c r="H13" s="61">
        <v>14</v>
      </c>
      <c r="I13" s="61">
        <v>13</v>
      </c>
      <c r="J13" s="61">
        <v>12</v>
      </c>
      <c r="K13" s="61">
        <v>11</v>
      </c>
      <c r="L13" s="61">
        <v>10</v>
      </c>
      <c r="M13" s="61">
        <v>9</v>
      </c>
      <c r="N13" s="61">
        <v>8</v>
      </c>
      <c r="O13" s="61">
        <v>7</v>
      </c>
      <c r="P13" s="61">
        <v>6</v>
      </c>
      <c r="Q13" s="61">
        <v>5</v>
      </c>
      <c r="R13" s="61">
        <v>4</v>
      </c>
      <c r="S13" s="61">
        <v>3</v>
      </c>
      <c r="T13" s="61">
        <v>2</v>
      </c>
      <c r="U13" s="61">
        <v>1</v>
      </c>
      <c r="V13" s="61">
        <v>0</v>
      </c>
    </row>
    <row r="14" spans="1:26">
      <c r="A14" s="62"/>
      <c r="B14" s="63"/>
      <c r="C14" s="64"/>
      <c r="D14" s="64"/>
      <c r="E14" s="64"/>
      <c r="F14" s="64"/>
      <c r="G14" s="64"/>
      <c r="H14" s="64"/>
      <c r="I14" s="64"/>
      <c r="J14" s="64"/>
      <c r="K14" s="64"/>
      <c r="L14" s="64"/>
      <c r="M14" s="64"/>
      <c r="N14" s="64"/>
      <c r="O14" s="64"/>
      <c r="P14" s="64"/>
      <c r="Q14" s="64"/>
      <c r="R14" s="64"/>
      <c r="S14" s="64"/>
      <c r="T14" s="64"/>
    </row>
    <row r="15" spans="1:26" ht="52">
      <c r="B15" s="37" t="s">
        <v>50</v>
      </c>
      <c r="C15" s="37" t="s">
        <v>64</v>
      </c>
      <c r="D15" s="37" t="s">
        <v>57</v>
      </c>
      <c r="E15" s="37" t="s">
        <v>51</v>
      </c>
      <c r="F15" s="37" t="s">
        <v>3</v>
      </c>
      <c r="K15" s="37" t="s">
        <v>56</v>
      </c>
      <c r="L15" s="37" t="s">
        <v>51</v>
      </c>
      <c r="M15" s="37" t="s">
        <v>3</v>
      </c>
    </row>
    <row r="16" spans="1:26">
      <c r="A16" s="40" t="s">
        <v>52</v>
      </c>
      <c r="B16" s="54">
        <f>SUM(N11:T11)</f>
        <v>2331</v>
      </c>
      <c r="C16" s="40">
        <v>820</v>
      </c>
      <c r="D16" s="40">
        <f>C16*25%</f>
        <v>205</v>
      </c>
      <c r="E16" s="65">
        <f>D16/2</f>
        <v>102.5</v>
      </c>
      <c r="F16" s="66">
        <f>B16*E16*12</f>
        <v>2867130</v>
      </c>
      <c r="K16" s="40">
        <v>125</v>
      </c>
      <c r="L16" s="65">
        <f>K16/2</f>
        <v>62.5</v>
      </c>
      <c r="M16" s="66">
        <f>B16*L16*12</f>
        <v>1748250</v>
      </c>
    </row>
    <row r="17" spans="1:13">
      <c r="A17" s="40" t="s">
        <v>55</v>
      </c>
      <c r="B17" s="54">
        <f>SUM(C11:M11)</f>
        <v>6781</v>
      </c>
      <c r="C17" s="40">
        <v>820</v>
      </c>
      <c r="D17" s="40">
        <f>C17*30%</f>
        <v>246</v>
      </c>
      <c r="E17" s="65">
        <f>D17/2</f>
        <v>123</v>
      </c>
      <c r="F17" s="66">
        <f>B17*E17*12</f>
        <v>10008756</v>
      </c>
      <c r="K17" s="40">
        <v>150</v>
      </c>
      <c r="L17" s="65">
        <f>K17/2</f>
        <v>75</v>
      </c>
      <c r="M17" s="66">
        <f>B17*L17*12</f>
        <v>6102900</v>
      </c>
    </row>
    <row r="18" spans="1:13">
      <c r="A18" s="71" t="s">
        <v>59</v>
      </c>
      <c r="B18" s="54">
        <f>SUM(B16:B17)</f>
        <v>9112</v>
      </c>
      <c r="F18" s="70">
        <f>SUM(F16:F17)</f>
        <v>12875886</v>
      </c>
      <c r="M18" s="67">
        <f>SUM(M16:M17)</f>
        <v>7851150</v>
      </c>
    </row>
    <row r="21" spans="1:13" ht="14.5" customHeight="1">
      <c r="A21" s="65"/>
      <c r="B21" s="152">
        <v>2027</v>
      </c>
      <c r="C21" s="153"/>
      <c r="D21" s="154"/>
      <c r="E21" s="152">
        <v>2028</v>
      </c>
      <c r="F21" s="153"/>
      <c r="G21" s="154"/>
      <c r="H21" s="155">
        <v>2029</v>
      </c>
      <c r="I21" s="155"/>
      <c r="J21" s="155"/>
    </row>
    <row r="22" spans="1:13">
      <c r="A22" s="65"/>
      <c r="B22" s="86" t="s">
        <v>68</v>
      </c>
      <c r="C22" s="86" t="s">
        <v>19</v>
      </c>
      <c r="D22" s="86" t="s">
        <v>3</v>
      </c>
      <c r="E22" s="86" t="s">
        <v>68</v>
      </c>
      <c r="F22" s="86" t="s">
        <v>19</v>
      </c>
      <c r="G22" s="86" t="s">
        <v>3</v>
      </c>
      <c r="H22" s="86" t="s">
        <v>68</v>
      </c>
      <c r="I22" s="86" t="s">
        <v>19</v>
      </c>
      <c r="J22" s="86" t="s">
        <v>3</v>
      </c>
    </row>
    <row r="23" spans="1:13" s="58" customFormat="1">
      <c r="A23" s="87" t="s">
        <v>66</v>
      </c>
      <c r="B23" s="88"/>
      <c r="C23" s="88">
        <v>820</v>
      </c>
      <c r="D23" s="88"/>
      <c r="E23" s="88"/>
      <c r="F23" s="88">
        <v>860</v>
      </c>
      <c r="G23" s="88"/>
      <c r="H23" s="88"/>
      <c r="I23" s="88">
        <v>860</v>
      </c>
      <c r="J23" s="88"/>
    </row>
    <row r="24" spans="1:13">
      <c r="A24" s="89" t="s">
        <v>52</v>
      </c>
      <c r="B24" s="86">
        <f>SUM(P11:V11)</f>
        <v>2166</v>
      </c>
      <c r="C24" s="86">
        <f>ROUND((C23*25%)/2,2)</f>
        <v>102.5</v>
      </c>
      <c r="D24" s="90">
        <f>ROUND(B24*C24*12,0)</f>
        <v>2664180</v>
      </c>
      <c r="E24" s="86">
        <f>SUM(Q11:W11)</f>
        <v>2119</v>
      </c>
      <c r="F24" s="86">
        <f>ROUND((F23*25%)/2,2)</f>
        <v>107.5</v>
      </c>
      <c r="G24" s="90">
        <f>ROUND(E24*F24*12,0)</f>
        <v>2733510</v>
      </c>
      <c r="H24" s="86">
        <f>SUM(R11:X11)</f>
        <v>2114</v>
      </c>
      <c r="I24" s="86">
        <f>ROUND((I23*25%)/2,2)</f>
        <v>107.5</v>
      </c>
      <c r="J24" s="90">
        <f>ROUND(H24*I24*12,0)</f>
        <v>2727060</v>
      </c>
    </row>
    <row r="25" spans="1:13">
      <c r="A25" s="89" t="s">
        <v>55</v>
      </c>
      <c r="B25" s="86">
        <f>SUM(E11:O11)</f>
        <v>5986</v>
      </c>
      <c r="C25" s="86">
        <f>ROUND((C23*30%)/2,2)</f>
        <v>123</v>
      </c>
      <c r="D25" s="90">
        <f>ROUND(B25*C25*12,0)</f>
        <v>8835336</v>
      </c>
      <c r="E25" s="86">
        <f>SUM(F11:P11)</f>
        <v>5609</v>
      </c>
      <c r="F25" s="86">
        <f>ROUND((F23*30%)/2,2)</f>
        <v>129</v>
      </c>
      <c r="G25" s="90">
        <f>ROUND(E25*F25*12,0)</f>
        <v>8682732</v>
      </c>
      <c r="H25" s="86">
        <f>SUM(G11:Q11)</f>
        <v>5218</v>
      </c>
      <c r="I25" s="86">
        <f>ROUND((I23*30%)/2,2)</f>
        <v>129</v>
      </c>
      <c r="J25" s="90">
        <f>ROUND(H25*I25*12,0)</f>
        <v>8077464</v>
      </c>
    </row>
    <row r="26" spans="1:13" s="85" customFormat="1">
      <c r="A26" s="91" t="s">
        <v>67</v>
      </c>
      <c r="B26" s="92">
        <f>B24+B25</f>
        <v>8152</v>
      </c>
      <c r="C26" s="92"/>
      <c r="D26" s="93">
        <f>D24+D25</f>
        <v>11499516</v>
      </c>
      <c r="E26" s="92">
        <f>E24+E25</f>
        <v>7728</v>
      </c>
      <c r="F26" s="92"/>
      <c r="G26" s="93">
        <f>G24+G25</f>
        <v>11416242</v>
      </c>
      <c r="H26" s="92">
        <f>H24+H25</f>
        <v>7332</v>
      </c>
      <c r="I26" s="92"/>
      <c r="J26" s="93">
        <f>J24+J25</f>
        <v>10804524</v>
      </c>
    </row>
    <row r="27" spans="1:13">
      <c r="A27" s="94" t="s">
        <v>69</v>
      </c>
      <c r="B27" s="65"/>
      <c r="C27" s="65"/>
      <c r="D27" s="65"/>
      <c r="E27" s="65"/>
      <c r="F27" s="65"/>
      <c r="G27" s="65"/>
      <c r="H27" s="65"/>
      <c r="I27" s="65"/>
      <c r="J27" s="65"/>
    </row>
    <row r="28" spans="1:13">
      <c r="A28" s="94" t="s">
        <v>70</v>
      </c>
      <c r="B28" s="65"/>
      <c r="C28" s="65"/>
      <c r="D28" s="65"/>
      <c r="E28" s="65"/>
      <c r="F28" s="65"/>
      <c r="G28" s="65"/>
      <c r="H28" s="65"/>
      <c r="I28" s="65"/>
      <c r="J28" s="65"/>
    </row>
    <row r="30" spans="1:13" ht="14">
      <c r="A30" s="95" t="s">
        <v>22</v>
      </c>
      <c r="B30" s="12"/>
      <c r="C30" s="12"/>
      <c r="D30" s="12"/>
      <c r="E30" s="12"/>
      <c r="F30" s="12"/>
      <c r="G30" s="12"/>
    </row>
    <row r="31" spans="1:13" ht="14">
      <c r="A31" s="156" t="s">
        <v>71</v>
      </c>
      <c r="B31" s="156"/>
      <c r="C31" s="156"/>
      <c r="D31" s="156"/>
      <c r="E31" s="156"/>
      <c r="F31" s="156"/>
      <c r="G31" s="156"/>
    </row>
    <row r="32" spans="1:13" ht="14">
      <c r="A32" s="96"/>
      <c r="B32" s="96"/>
      <c r="C32" s="96"/>
      <c r="D32" s="96"/>
      <c r="E32" s="96"/>
      <c r="F32" s="96"/>
      <c r="G32" s="96"/>
    </row>
    <row r="33" spans="1:7" ht="46" customHeight="1">
      <c r="A33" s="149" t="s">
        <v>17</v>
      </c>
      <c r="B33" s="149"/>
      <c r="C33" s="149"/>
      <c r="D33" s="149"/>
      <c r="E33" s="149"/>
      <c r="F33" s="149"/>
      <c r="G33" s="149"/>
    </row>
    <row r="34" spans="1:7" ht="14">
      <c r="A34" s="98"/>
      <c r="B34" s="99">
        <v>2026</v>
      </c>
      <c r="C34" s="100">
        <v>2027</v>
      </c>
      <c r="D34" s="100">
        <v>2028</v>
      </c>
      <c r="E34" s="100">
        <v>2029</v>
      </c>
      <c r="F34" s="69"/>
      <c r="G34" s="69"/>
    </row>
    <row r="35" spans="1:7" ht="14">
      <c r="A35" s="101" t="s">
        <v>72</v>
      </c>
      <c r="B35" s="102">
        <f>131*556.6</f>
        <v>72914.600000000006</v>
      </c>
      <c r="C35" s="102">
        <f>D26</f>
        <v>11499516</v>
      </c>
      <c r="D35" s="102">
        <f>G26</f>
        <v>11416242</v>
      </c>
      <c r="E35" s="102">
        <f>J26</f>
        <v>10804524</v>
      </c>
      <c r="F35" s="12"/>
      <c r="G35" s="12"/>
    </row>
    <row r="38" spans="1:7" ht="117">
      <c r="A38" s="15" t="s">
        <v>63</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6" t="s">
        <v>11</v>
      </c>
    </row>
    <row r="3" spans="1:8" ht="24" customHeight="1">
      <c r="A3" s="21"/>
    </row>
    <row r="4" spans="1:8" ht="47.15" customHeight="1">
      <c r="A4" s="159" t="s">
        <v>25</v>
      </c>
      <c r="B4" s="159"/>
      <c r="C4" s="159"/>
      <c r="D4" s="159"/>
      <c r="E4" s="159"/>
      <c r="F4" s="159"/>
    </row>
    <row r="5" spans="1:8" ht="80.150000000000006" customHeight="1">
      <c r="A5" s="159" t="s">
        <v>15</v>
      </c>
      <c r="B5" s="159"/>
      <c r="C5" s="159"/>
      <c r="D5" s="159"/>
      <c r="E5" s="159"/>
      <c r="F5" s="159"/>
    </row>
    <row r="6" spans="1:8">
      <c r="B6" s="35" t="s">
        <v>24</v>
      </c>
      <c r="C6" s="35">
        <v>2027</v>
      </c>
      <c r="D6" s="35">
        <v>2028</v>
      </c>
      <c r="E6" s="35">
        <v>2029</v>
      </c>
    </row>
    <row r="7" spans="1:8">
      <c r="A7" s="3" t="s">
        <v>12</v>
      </c>
      <c r="B7" s="3">
        <v>10</v>
      </c>
      <c r="C7" s="3">
        <v>10</v>
      </c>
      <c r="D7" s="3">
        <v>10</v>
      </c>
      <c r="E7" s="3">
        <v>10</v>
      </c>
    </row>
    <row r="8" spans="1:8">
      <c r="A8" s="3" t="s">
        <v>13</v>
      </c>
      <c r="B8" s="16">
        <f>ROUND(850.02/2,0)</f>
        <v>425</v>
      </c>
      <c r="C8" s="16">
        <f>ROUND(930.77/2,0)</f>
        <v>465</v>
      </c>
      <c r="D8" s="16">
        <f>ROUND(984.75/2,0)</f>
        <v>492</v>
      </c>
      <c r="E8" s="16">
        <f>ROUND(1038.91/2,0)</f>
        <v>519</v>
      </c>
      <c r="F8" s="12"/>
    </row>
    <row r="9" spans="1:8">
      <c r="A9" s="3" t="s">
        <v>14</v>
      </c>
      <c r="B9" s="34">
        <f>Pielikums!B15</f>
        <v>468</v>
      </c>
      <c r="C9" s="34">
        <f>Pielikums!E15</f>
        <v>492</v>
      </c>
      <c r="D9" s="34">
        <f>Pielikums!H15</f>
        <v>516</v>
      </c>
      <c r="E9" s="34">
        <f>Pielikums!K15</f>
        <v>516</v>
      </c>
    </row>
    <row r="10" spans="1:8">
      <c r="A10" s="5" t="s">
        <v>26</v>
      </c>
      <c r="B10" s="6">
        <f>(B7*B8*6)+(B7*B9*6)</f>
        <v>53580</v>
      </c>
      <c r="C10" s="6">
        <f>(C7*C8*12)+(C7*C9*12)</f>
        <v>114840</v>
      </c>
      <c r="D10" s="6">
        <f>(D7*D8*12)+(D7*D9*12)</f>
        <v>120960</v>
      </c>
      <c r="E10" s="6">
        <f>(E7*E8*12)+(E7*E9*12)</f>
        <v>124200</v>
      </c>
    </row>
    <row r="12" spans="1:8">
      <c r="A12" s="20" t="s">
        <v>61</v>
      </c>
      <c r="B12" s="20"/>
      <c r="C12" s="20"/>
      <c r="D12" s="20"/>
      <c r="E12" s="20"/>
      <c r="F12" s="20"/>
      <c r="G12" s="20"/>
      <c r="H12" s="20"/>
    </row>
    <row r="13" spans="1:8" ht="16.5" customHeight="1">
      <c r="A13" s="148" t="s">
        <v>27</v>
      </c>
      <c r="B13" s="148"/>
      <c r="C13" s="148"/>
      <c r="D13" s="148"/>
      <c r="E13" s="148"/>
      <c r="F13" s="148"/>
      <c r="G13" s="20"/>
      <c r="H13" s="20"/>
    </row>
    <row r="14" spans="1:8" ht="27" customHeight="1">
      <c r="A14" s="157" t="s">
        <v>29</v>
      </c>
      <c r="B14" s="157"/>
      <c r="C14" s="157"/>
      <c r="D14" s="157"/>
      <c r="E14" s="157"/>
      <c r="F14" s="157"/>
      <c r="G14" s="20"/>
      <c r="H14" s="20"/>
    </row>
    <row r="15" spans="1:8">
      <c r="A15" s="158" t="s">
        <v>28</v>
      </c>
      <c r="B15" s="158"/>
      <c r="C15" s="158"/>
      <c r="D15" s="158"/>
      <c r="E15" s="158"/>
      <c r="F15" s="158"/>
      <c r="G15" s="158"/>
      <c r="H15" s="158"/>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1C8B93-9C4C-44F6-8272-42153F38C285}">
  <ds:schemaRefs>
    <ds:schemaRef ds:uri="34235810-5ed5-45b3-8fcb-729ac39c12c6"/>
    <ds:schemaRef ds:uri="http://purl.org/dc/elements/1.1/"/>
    <ds:schemaRef ds:uri="http://schemas.microsoft.com/office/2006/documentManagement/types"/>
    <ds:schemaRef ds:uri="http://www.w3.org/XML/1998/namespace"/>
    <ds:schemaRef ds:uri="3213a959-d619-43b7-90ec-b07047c2526f"/>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AECB7C6A-9175-41AB-BA9A-5E26EDEF6E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Pielikums</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2025-10-20T19:16:31Z</cp:lastPrinted>
  <dcterms:created xsi:type="dcterms:W3CDTF">2024-05-13T11:31:36Z</dcterms:created>
  <dcterms:modified xsi:type="dcterms:W3CDTF">2025-10-31T13:50:34Z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