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ĢIMENES ĀRSTI\Aizvietošana_LNG_2022_jūlijs-septembris+avanss\"/>
    </mc:Choice>
  </mc:AlternateContent>
  <xr:revisionPtr revIDLastSave="0" documentId="13_ncr:1_{4A4CF983-6D78-435A-9031-B55C9CB5736B}" xr6:coauthVersionLast="47" xr6:coauthVersionMax="47" xr10:uidLastSave="{00000000-0000-0000-0000-000000000000}"/>
  <bookViews>
    <workbookView xWindow="-120" yWindow="-120" windowWidth="29040" windowHeight="15840" xr2:uid="{8221BE9E-7EB6-4E63-BF97-C0624DD2AF1B}"/>
  </bookViews>
  <sheets>
    <sheet name="1p_kopsavilkums" sheetId="17" r:id="rId1"/>
    <sheet name="2p_jūlijs" sheetId="14" r:id="rId2"/>
    <sheet name="3p_augusts" sheetId="15" r:id="rId3"/>
    <sheet name="4p_septembris" sheetId="16" r:id="rId4"/>
  </sheets>
  <externalReferences>
    <externalReference r:id="rId5"/>
    <externalReference r:id="rId6"/>
  </externalReferences>
  <definedNames>
    <definedName name="_xlnm._FilterDatabase" localSheetId="3" hidden="1">'4p_septembris'!$A$6:$T$71</definedName>
    <definedName name="_xlnm.Auto_Open" localSheetId="2">#REF!</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2" i="15" l="1"/>
  <c r="P67" i="16" l="1"/>
  <c r="P57" i="16"/>
  <c r="P53" i="16"/>
  <c r="P52" i="16"/>
  <c r="O118" i="14"/>
  <c r="O112" i="14"/>
  <c r="O111" i="14"/>
  <c r="O48" i="14"/>
  <c r="O47" i="14"/>
  <c r="O42" i="14"/>
  <c r="O41" i="14"/>
  <c r="O45" i="14"/>
  <c r="O44" i="14"/>
  <c r="P37" i="15" l="1"/>
  <c r="P36" i="15"/>
  <c r="P15" i="15" l="1"/>
  <c r="D12" i="17"/>
  <c r="D15" i="17" s="1"/>
  <c r="O22" i="15" l="1"/>
  <c r="O49" i="15"/>
  <c r="O120" i="15"/>
  <c r="O129" i="15"/>
  <c r="O153" i="15"/>
  <c r="O71" i="16"/>
  <c r="N71" i="16"/>
  <c r="L71" i="16"/>
  <c r="P70" i="16"/>
  <c r="M70" i="16"/>
  <c r="P69" i="16"/>
  <c r="M69" i="16"/>
  <c r="P68" i="16"/>
  <c r="M68" i="16"/>
  <c r="P66" i="16"/>
  <c r="M66" i="16"/>
  <c r="P65" i="16"/>
  <c r="M65" i="16"/>
  <c r="P64" i="16"/>
  <c r="M64" i="16"/>
  <c r="P63" i="16"/>
  <c r="M63" i="16"/>
  <c r="P62" i="16"/>
  <c r="M62" i="16"/>
  <c r="P61" i="16"/>
  <c r="M61" i="16"/>
  <c r="P60" i="16"/>
  <c r="M60" i="16"/>
  <c r="P59" i="16"/>
  <c r="M59" i="16"/>
  <c r="O58" i="16"/>
  <c r="N58" i="16"/>
  <c r="L58" i="16"/>
  <c r="P56" i="16"/>
  <c r="M56" i="16"/>
  <c r="P55" i="16"/>
  <c r="M55" i="16"/>
  <c r="P54" i="16"/>
  <c r="M54" i="16"/>
  <c r="M52" i="16"/>
  <c r="P51" i="16"/>
  <c r="M51" i="16"/>
  <c r="P50" i="16"/>
  <c r="M50" i="16"/>
  <c r="O49" i="16"/>
  <c r="N49" i="16"/>
  <c r="L49" i="16"/>
  <c r="P48" i="16"/>
  <c r="M48" i="16"/>
  <c r="P47" i="16"/>
  <c r="M47" i="16"/>
  <c r="P46" i="16"/>
  <c r="M46" i="16"/>
  <c r="P45" i="16"/>
  <c r="M45" i="16"/>
  <c r="P44" i="16"/>
  <c r="M44" i="16"/>
  <c r="P43" i="16"/>
  <c r="M43" i="16"/>
  <c r="P42" i="16"/>
  <c r="M42" i="16"/>
  <c r="P41" i="16"/>
  <c r="M41" i="16"/>
  <c r="P40" i="16"/>
  <c r="M40" i="16"/>
  <c r="P39" i="16"/>
  <c r="M39" i="16"/>
  <c r="P38" i="16"/>
  <c r="M38" i="16"/>
  <c r="P37" i="16"/>
  <c r="M37" i="16"/>
  <c r="P36" i="16"/>
  <c r="M36" i="16"/>
  <c r="P35" i="16"/>
  <c r="M35" i="16"/>
  <c r="P34" i="16"/>
  <c r="M34" i="16"/>
  <c r="P33" i="16"/>
  <c r="M33" i="16"/>
  <c r="P32" i="16"/>
  <c r="M32" i="16"/>
  <c r="P31" i="16"/>
  <c r="M31" i="16"/>
  <c r="P30" i="16"/>
  <c r="M30" i="16"/>
  <c r="P29" i="16"/>
  <c r="M29" i="16"/>
  <c r="P28" i="16"/>
  <c r="M28" i="16"/>
  <c r="P27" i="16"/>
  <c r="M27" i="16"/>
  <c r="P26" i="16"/>
  <c r="M26" i="16"/>
  <c r="P25" i="16"/>
  <c r="M25" i="16"/>
  <c r="P24" i="16"/>
  <c r="M24" i="16"/>
  <c r="P23" i="16"/>
  <c r="M23" i="16"/>
  <c r="P22" i="16"/>
  <c r="M22" i="16"/>
  <c r="P21" i="16"/>
  <c r="M21" i="16"/>
  <c r="P20" i="16"/>
  <c r="M20" i="16"/>
  <c r="P19" i="16"/>
  <c r="M19" i="16"/>
  <c r="O18" i="16"/>
  <c r="N18" i="16"/>
  <c r="L18" i="16"/>
  <c r="P17" i="16"/>
  <c r="M17" i="16"/>
  <c r="P16" i="16"/>
  <c r="M16" i="16"/>
  <c r="P15" i="16"/>
  <c r="M15" i="16"/>
  <c r="P14" i="16"/>
  <c r="M14" i="16"/>
  <c r="P13" i="16"/>
  <c r="M13" i="16"/>
  <c r="P12" i="16"/>
  <c r="M12" i="16"/>
  <c r="O11" i="16"/>
  <c r="N11" i="16"/>
  <c r="L11" i="16"/>
  <c r="P10" i="16"/>
  <c r="M10" i="16"/>
  <c r="P9" i="16"/>
  <c r="M9" i="16"/>
  <c r="P8" i="16"/>
  <c r="M8" i="16"/>
  <c r="R153" i="15"/>
  <c r="N153" i="15"/>
  <c r="L153" i="15"/>
  <c r="P152" i="15"/>
  <c r="Q152" i="15" s="1"/>
  <c r="M152" i="15"/>
  <c r="P151" i="15"/>
  <c r="Q151" i="15" s="1"/>
  <c r="M151" i="15"/>
  <c r="P150" i="15"/>
  <c r="Q150" i="15" s="1"/>
  <c r="M150" i="15"/>
  <c r="P149" i="15"/>
  <c r="Q149" i="15" s="1"/>
  <c r="M149" i="15"/>
  <c r="P148" i="15"/>
  <c r="Q148" i="15" s="1"/>
  <c r="M148" i="15"/>
  <c r="P147" i="15"/>
  <c r="Q147" i="15" s="1"/>
  <c r="M147" i="15"/>
  <c r="P146" i="15"/>
  <c r="Q146" i="15" s="1"/>
  <c r="M146" i="15"/>
  <c r="P145" i="15"/>
  <c r="Q145" i="15" s="1"/>
  <c r="M145" i="15"/>
  <c r="P144" i="15"/>
  <c r="Q144" i="15" s="1"/>
  <c r="M144" i="15"/>
  <c r="P143" i="15"/>
  <c r="Q143" i="15" s="1"/>
  <c r="M143" i="15"/>
  <c r="P142" i="15"/>
  <c r="Q142" i="15" s="1"/>
  <c r="M142" i="15"/>
  <c r="P141" i="15"/>
  <c r="Q141" i="15" s="1"/>
  <c r="M141" i="15"/>
  <c r="P140" i="15"/>
  <c r="Q140" i="15" s="1"/>
  <c r="M140" i="15"/>
  <c r="P139" i="15"/>
  <c r="Q139" i="15" s="1"/>
  <c r="M139" i="15"/>
  <c r="P138" i="15"/>
  <c r="Q138" i="15" s="1"/>
  <c r="M138" i="15"/>
  <c r="P137" i="15"/>
  <c r="Q137" i="15" s="1"/>
  <c r="M137" i="15"/>
  <c r="P136" i="15"/>
  <c r="Q136" i="15" s="1"/>
  <c r="M136" i="15"/>
  <c r="P135" i="15"/>
  <c r="Q135" i="15" s="1"/>
  <c r="M135" i="15"/>
  <c r="P134" i="15"/>
  <c r="Q134" i="15" s="1"/>
  <c r="M134" i="15"/>
  <c r="P133" i="15"/>
  <c r="Q133" i="15" s="1"/>
  <c r="M133" i="15"/>
  <c r="P132" i="15"/>
  <c r="Q132" i="15" s="1"/>
  <c r="M132" i="15"/>
  <c r="P131" i="15"/>
  <c r="Q131" i="15" s="1"/>
  <c r="M131" i="15"/>
  <c r="P130" i="15"/>
  <c r="Q130" i="15" s="1"/>
  <c r="M130" i="15"/>
  <c r="R129" i="15"/>
  <c r="N129" i="15"/>
  <c r="L129" i="15"/>
  <c r="P128" i="15"/>
  <c r="Q128" i="15" s="1"/>
  <c r="M128" i="15"/>
  <c r="P127" i="15"/>
  <c r="Q127" i="15" s="1"/>
  <c r="M127" i="15"/>
  <c r="P126" i="15"/>
  <c r="Q126" i="15" s="1"/>
  <c r="M126" i="15"/>
  <c r="P125" i="15"/>
  <c r="Q125" i="15" s="1"/>
  <c r="M125" i="15"/>
  <c r="P124" i="15"/>
  <c r="Q124" i="15" s="1"/>
  <c r="M124" i="15"/>
  <c r="P123" i="15"/>
  <c r="Q123" i="15" s="1"/>
  <c r="M123" i="15"/>
  <c r="P122" i="15"/>
  <c r="Q122" i="15" s="1"/>
  <c r="M122" i="15"/>
  <c r="P121" i="15"/>
  <c r="Q121" i="15" s="1"/>
  <c r="M121" i="15"/>
  <c r="N120" i="15"/>
  <c r="L120" i="15"/>
  <c r="P119" i="15"/>
  <c r="Q119" i="15" s="1"/>
  <c r="M119" i="15"/>
  <c r="P118" i="15"/>
  <c r="Q118" i="15" s="1"/>
  <c r="M118" i="15"/>
  <c r="P117" i="15"/>
  <c r="Q117" i="15" s="1"/>
  <c r="M117" i="15"/>
  <c r="P116" i="15"/>
  <c r="Q116" i="15" s="1"/>
  <c r="M116" i="15"/>
  <c r="P115" i="15"/>
  <c r="Q115" i="15" s="1"/>
  <c r="M115" i="15"/>
  <c r="P114" i="15"/>
  <c r="Q114" i="15" s="1"/>
  <c r="M114" i="15"/>
  <c r="P113" i="15"/>
  <c r="Q113" i="15" s="1"/>
  <c r="M113" i="15"/>
  <c r="P112" i="15"/>
  <c r="Q112" i="15" s="1"/>
  <c r="M112" i="15"/>
  <c r="P111" i="15"/>
  <c r="R111" i="15" s="1"/>
  <c r="M111" i="15"/>
  <c r="P110" i="15"/>
  <c r="Q110" i="15" s="1"/>
  <c r="M110" i="15"/>
  <c r="P109" i="15"/>
  <c r="Q109" i="15" s="1"/>
  <c r="M109" i="15"/>
  <c r="P108" i="15"/>
  <c r="Q108" i="15" s="1"/>
  <c r="M108" i="15"/>
  <c r="P107" i="15"/>
  <c r="Q107" i="15" s="1"/>
  <c r="M107" i="15"/>
  <c r="P106" i="15"/>
  <c r="Q106" i="15" s="1"/>
  <c r="M106" i="15"/>
  <c r="P105" i="15"/>
  <c r="Q105" i="15" s="1"/>
  <c r="M105" i="15"/>
  <c r="P104" i="15"/>
  <c r="Q104" i="15" s="1"/>
  <c r="M104" i="15"/>
  <c r="P103" i="15"/>
  <c r="R103" i="15" s="1"/>
  <c r="M103" i="15"/>
  <c r="P102" i="15"/>
  <c r="Q102" i="15" s="1"/>
  <c r="M102" i="15"/>
  <c r="P101" i="15"/>
  <c r="Q101" i="15" s="1"/>
  <c r="M101" i="15"/>
  <c r="P100" i="15"/>
  <c r="Q100" i="15" s="1"/>
  <c r="M100" i="15"/>
  <c r="P99" i="15"/>
  <c r="Q99" i="15" s="1"/>
  <c r="M99" i="15"/>
  <c r="P98" i="15"/>
  <c r="Q98" i="15" s="1"/>
  <c r="M98" i="15"/>
  <c r="P97" i="15"/>
  <c r="Q97" i="15" s="1"/>
  <c r="M97" i="15"/>
  <c r="P96" i="15"/>
  <c r="R96" i="15" s="1"/>
  <c r="M96" i="15"/>
  <c r="P95" i="15"/>
  <c r="Q95" i="15" s="1"/>
  <c r="M95" i="15"/>
  <c r="P94" i="15"/>
  <c r="Q94" i="15" s="1"/>
  <c r="M94" i="15"/>
  <c r="P93" i="15"/>
  <c r="Q93" i="15" s="1"/>
  <c r="M93" i="15"/>
  <c r="P92" i="15"/>
  <c r="Q92" i="15" s="1"/>
  <c r="M92" i="15"/>
  <c r="P91" i="15"/>
  <c r="Q91" i="15" s="1"/>
  <c r="M91" i="15"/>
  <c r="P90" i="15"/>
  <c r="Q90" i="15" s="1"/>
  <c r="M90" i="15"/>
  <c r="P89" i="15"/>
  <c r="Q89" i="15" s="1"/>
  <c r="M89" i="15"/>
  <c r="P88" i="15"/>
  <c r="Q88" i="15" s="1"/>
  <c r="M88" i="15"/>
  <c r="P87" i="15"/>
  <c r="Q87" i="15" s="1"/>
  <c r="M87" i="15"/>
  <c r="P86" i="15"/>
  <c r="Q86" i="15" s="1"/>
  <c r="M86" i="15"/>
  <c r="P85" i="15"/>
  <c r="Q85" i="15" s="1"/>
  <c r="M85" i="15"/>
  <c r="P84" i="15"/>
  <c r="Q84" i="15" s="1"/>
  <c r="M84" i="15"/>
  <c r="P83" i="15"/>
  <c r="Q83" i="15" s="1"/>
  <c r="M83" i="15"/>
  <c r="P82" i="15"/>
  <c r="Q82" i="15" s="1"/>
  <c r="M82" i="15"/>
  <c r="P81" i="15"/>
  <c r="Q81" i="15" s="1"/>
  <c r="M81" i="15"/>
  <c r="P80" i="15"/>
  <c r="Q80" i="15" s="1"/>
  <c r="M80" i="15"/>
  <c r="P79" i="15"/>
  <c r="Q79" i="15" s="1"/>
  <c r="M79" i="15"/>
  <c r="P78" i="15"/>
  <c r="Q78" i="15" s="1"/>
  <c r="M78" i="15"/>
  <c r="P77" i="15"/>
  <c r="Q77" i="15" s="1"/>
  <c r="M77" i="15"/>
  <c r="P76" i="15"/>
  <c r="Q76" i="15" s="1"/>
  <c r="M76" i="15"/>
  <c r="P75" i="15"/>
  <c r="Q75" i="15" s="1"/>
  <c r="M75" i="15"/>
  <c r="P74" i="15"/>
  <c r="Q74" i="15" s="1"/>
  <c r="M74" i="15"/>
  <c r="P73" i="15"/>
  <c r="Q73" i="15" s="1"/>
  <c r="M73" i="15"/>
  <c r="P72" i="15"/>
  <c r="Q72" i="15" s="1"/>
  <c r="M72" i="15"/>
  <c r="P71" i="15"/>
  <c r="Q71" i="15" s="1"/>
  <c r="M71" i="15"/>
  <c r="P70" i="15"/>
  <c r="Q70" i="15" s="1"/>
  <c r="M70" i="15"/>
  <c r="P69" i="15"/>
  <c r="Q69" i="15" s="1"/>
  <c r="M69" i="15"/>
  <c r="P68" i="15"/>
  <c r="Q68" i="15" s="1"/>
  <c r="M68" i="15"/>
  <c r="P67" i="15"/>
  <c r="Q67" i="15" s="1"/>
  <c r="M67" i="15"/>
  <c r="P66" i="15"/>
  <c r="Q66" i="15" s="1"/>
  <c r="M66" i="15"/>
  <c r="P65" i="15"/>
  <c r="Q65" i="15" s="1"/>
  <c r="M65" i="15"/>
  <c r="P64" i="15"/>
  <c r="Q64" i="15" s="1"/>
  <c r="M64" i="15"/>
  <c r="P63" i="15"/>
  <c r="Q63" i="15" s="1"/>
  <c r="M63" i="15"/>
  <c r="P62" i="15"/>
  <c r="Q62" i="15" s="1"/>
  <c r="M62" i="15"/>
  <c r="P61" i="15"/>
  <c r="Q61" i="15" s="1"/>
  <c r="M61" i="15"/>
  <c r="P60" i="15"/>
  <c r="Q60" i="15" s="1"/>
  <c r="M60" i="15"/>
  <c r="P59" i="15"/>
  <c r="Q59" i="15" s="1"/>
  <c r="M59" i="15"/>
  <c r="P58" i="15"/>
  <c r="Q58" i="15" s="1"/>
  <c r="M58" i="15"/>
  <c r="P57" i="15"/>
  <c r="M57" i="15"/>
  <c r="P56" i="15"/>
  <c r="Q56" i="15" s="1"/>
  <c r="M56" i="15"/>
  <c r="P55" i="15"/>
  <c r="Q55" i="15" s="1"/>
  <c r="M55" i="15"/>
  <c r="P54" i="15"/>
  <c r="Q54" i="15" s="1"/>
  <c r="M54" i="15"/>
  <c r="P53" i="15"/>
  <c r="Q53" i="15" s="1"/>
  <c r="M53" i="15"/>
  <c r="P52" i="15"/>
  <c r="Q52" i="15" s="1"/>
  <c r="M52" i="15"/>
  <c r="P51" i="15"/>
  <c r="Q51" i="15" s="1"/>
  <c r="M51" i="15"/>
  <c r="P50" i="15"/>
  <c r="Q50" i="15" s="1"/>
  <c r="M50" i="15"/>
  <c r="R49" i="15"/>
  <c r="N49" i="15"/>
  <c r="L49" i="15"/>
  <c r="L7" i="15" s="1"/>
  <c r="P48" i="15"/>
  <c r="Q48" i="15" s="1"/>
  <c r="M48" i="15"/>
  <c r="P47" i="15"/>
  <c r="Q47" i="15" s="1"/>
  <c r="M47" i="15"/>
  <c r="P46" i="15"/>
  <c r="Q46" i="15" s="1"/>
  <c r="M46" i="15"/>
  <c r="P45" i="15"/>
  <c r="Q45" i="15" s="1"/>
  <c r="M45" i="15"/>
  <c r="P44" i="15"/>
  <c r="Q44" i="15" s="1"/>
  <c r="M44" i="15"/>
  <c r="Q42" i="15"/>
  <c r="M42" i="15"/>
  <c r="P41" i="15"/>
  <c r="Q41" i="15" s="1"/>
  <c r="M41" i="15"/>
  <c r="P40" i="15"/>
  <c r="Q40" i="15" s="1"/>
  <c r="M40" i="15"/>
  <c r="P39" i="15"/>
  <c r="Q39" i="15" s="1"/>
  <c r="M39" i="15"/>
  <c r="P38" i="15"/>
  <c r="Q38" i="15" s="1"/>
  <c r="M38" i="15"/>
  <c r="Q37" i="15"/>
  <c r="Q36" i="15"/>
  <c r="M36" i="15"/>
  <c r="P35" i="15"/>
  <c r="Q35" i="15" s="1"/>
  <c r="M35" i="15"/>
  <c r="P34" i="15"/>
  <c r="Q34" i="15" s="1"/>
  <c r="M34" i="15"/>
  <c r="P33" i="15"/>
  <c r="Q33" i="15" s="1"/>
  <c r="M33" i="15"/>
  <c r="P32" i="15"/>
  <c r="Q32" i="15" s="1"/>
  <c r="M32" i="15"/>
  <c r="P31" i="15"/>
  <c r="Q31" i="15" s="1"/>
  <c r="M31" i="15"/>
  <c r="P30" i="15"/>
  <c r="Q30" i="15" s="1"/>
  <c r="M30" i="15"/>
  <c r="P29" i="15"/>
  <c r="Q29" i="15" s="1"/>
  <c r="M29" i="15"/>
  <c r="P28" i="15"/>
  <c r="Q28" i="15" s="1"/>
  <c r="M28" i="15"/>
  <c r="P27" i="15"/>
  <c r="Q27" i="15" s="1"/>
  <c r="M27" i="15"/>
  <c r="P26" i="15"/>
  <c r="Q26" i="15" s="1"/>
  <c r="M26" i="15"/>
  <c r="P25" i="15"/>
  <c r="Q25" i="15" s="1"/>
  <c r="M25" i="15"/>
  <c r="P24" i="15"/>
  <c r="Q24" i="15" s="1"/>
  <c r="M24" i="15"/>
  <c r="P23" i="15"/>
  <c r="Q23" i="15" s="1"/>
  <c r="M23" i="15"/>
  <c r="R22" i="15"/>
  <c r="N22" i="15"/>
  <c r="L22" i="15"/>
  <c r="P21" i="15"/>
  <c r="Q21" i="15" s="1"/>
  <c r="M21" i="15"/>
  <c r="P20" i="15"/>
  <c r="Q20" i="15" s="1"/>
  <c r="M20" i="15"/>
  <c r="P19" i="15"/>
  <c r="Q19" i="15" s="1"/>
  <c r="M19" i="15"/>
  <c r="P18" i="15"/>
  <c r="Q18" i="15" s="1"/>
  <c r="M18" i="15"/>
  <c r="P17" i="15"/>
  <c r="Q17" i="15" s="1"/>
  <c r="M17" i="15"/>
  <c r="P16" i="15"/>
  <c r="Q16" i="15" s="1"/>
  <c r="M16" i="15"/>
  <c r="Q15" i="15"/>
  <c r="M15" i="15"/>
  <c r="P14" i="15"/>
  <c r="Q14" i="15" s="1"/>
  <c r="M14" i="15"/>
  <c r="P13" i="15"/>
  <c r="Q13" i="15" s="1"/>
  <c r="M13" i="15"/>
  <c r="P12" i="15"/>
  <c r="Q12" i="15" s="1"/>
  <c r="M12" i="15"/>
  <c r="P11" i="15"/>
  <c r="Q11" i="15" s="1"/>
  <c r="M11" i="15"/>
  <c r="P10" i="15"/>
  <c r="Q10" i="15" s="1"/>
  <c r="M10" i="15"/>
  <c r="P9" i="15"/>
  <c r="Q9" i="15" s="1"/>
  <c r="M9" i="15"/>
  <c r="P8" i="15"/>
  <c r="M8" i="15"/>
  <c r="Q127" i="14"/>
  <c r="N127" i="14"/>
  <c r="L127" i="14"/>
  <c r="O126" i="14"/>
  <c r="P126" i="14" s="1"/>
  <c r="M126" i="14"/>
  <c r="O125" i="14"/>
  <c r="P125" i="14" s="1"/>
  <c r="M125" i="14"/>
  <c r="O124" i="14"/>
  <c r="P124" i="14" s="1"/>
  <c r="M124" i="14"/>
  <c r="O123" i="14"/>
  <c r="P123" i="14" s="1"/>
  <c r="M123" i="14"/>
  <c r="O122" i="14"/>
  <c r="P122" i="14" s="1"/>
  <c r="M122" i="14"/>
  <c r="O121" i="14"/>
  <c r="P121" i="14" s="1"/>
  <c r="M121" i="14"/>
  <c r="O120" i="14"/>
  <c r="P120" i="14" s="1"/>
  <c r="M120" i="14"/>
  <c r="O119" i="14"/>
  <c r="P119" i="14" s="1"/>
  <c r="M119" i="14"/>
  <c r="P118" i="14"/>
  <c r="O117" i="14"/>
  <c r="P117" i="14" s="1"/>
  <c r="M117" i="14"/>
  <c r="O116" i="14"/>
  <c r="P116" i="14" s="1"/>
  <c r="M116" i="14"/>
  <c r="O115" i="14"/>
  <c r="P115" i="14" s="1"/>
  <c r="M115" i="14"/>
  <c r="O114" i="14"/>
  <c r="P114" i="14" s="1"/>
  <c r="M114" i="14"/>
  <c r="O113" i="14"/>
  <c r="P113" i="14" s="1"/>
  <c r="M113" i="14"/>
  <c r="P112" i="14"/>
  <c r="P111" i="14"/>
  <c r="M111" i="14"/>
  <c r="O110" i="14"/>
  <c r="P110" i="14" s="1"/>
  <c r="M110" i="14"/>
  <c r="O109" i="14"/>
  <c r="P109" i="14" s="1"/>
  <c r="M109" i="14"/>
  <c r="Q108" i="14"/>
  <c r="N108" i="14"/>
  <c r="L108" i="14"/>
  <c r="O107" i="14"/>
  <c r="P107" i="14" s="1"/>
  <c r="M107" i="14"/>
  <c r="O106" i="14"/>
  <c r="P106" i="14" s="1"/>
  <c r="M106" i="14"/>
  <c r="O105" i="14"/>
  <c r="P105" i="14" s="1"/>
  <c r="M105" i="14"/>
  <c r="O104" i="14"/>
  <c r="P104" i="14" s="1"/>
  <c r="M104" i="14"/>
  <c r="N103" i="14"/>
  <c r="L103" i="14"/>
  <c r="O102" i="14"/>
  <c r="P102" i="14" s="1"/>
  <c r="M102" i="14"/>
  <c r="O101" i="14"/>
  <c r="P101" i="14" s="1"/>
  <c r="M101" i="14"/>
  <c r="O100" i="14"/>
  <c r="P100" i="14" s="1"/>
  <c r="M100" i="14"/>
  <c r="O99" i="14"/>
  <c r="P99" i="14" s="1"/>
  <c r="M99" i="14"/>
  <c r="O98" i="14"/>
  <c r="P98" i="14" s="1"/>
  <c r="M98" i="14"/>
  <c r="O97" i="14"/>
  <c r="P97" i="14" s="1"/>
  <c r="M97" i="14"/>
  <c r="O96" i="14"/>
  <c r="P96" i="14" s="1"/>
  <c r="M96" i="14"/>
  <c r="O95" i="14"/>
  <c r="P95" i="14" s="1"/>
  <c r="M95" i="14"/>
  <c r="O94" i="14"/>
  <c r="P94" i="14" s="1"/>
  <c r="M94" i="14"/>
  <c r="O93" i="14"/>
  <c r="Q93" i="14" s="1"/>
  <c r="M93" i="14"/>
  <c r="O92" i="14"/>
  <c r="P92" i="14" s="1"/>
  <c r="M92" i="14"/>
  <c r="O91" i="14"/>
  <c r="P91" i="14" s="1"/>
  <c r="M91" i="14"/>
  <c r="O90" i="14"/>
  <c r="P90" i="14" s="1"/>
  <c r="M90" i="14"/>
  <c r="O89" i="14"/>
  <c r="P89" i="14" s="1"/>
  <c r="M89" i="14"/>
  <c r="O88" i="14"/>
  <c r="P88" i="14" s="1"/>
  <c r="M88" i="14"/>
  <c r="O87" i="14"/>
  <c r="Q87" i="14" s="1"/>
  <c r="M87" i="14"/>
  <c r="O86" i="14"/>
  <c r="P86" i="14" s="1"/>
  <c r="M86" i="14"/>
  <c r="O85" i="14"/>
  <c r="P85" i="14" s="1"/>
  <c r="M85" i="14"/>
  <c r="O84" i="14"/>
  <c r="P84" i="14" s="1"/>
  <c r="M84" i="14"/>
  <c r="O83" i="14"/>
  <c r="P83" i="14" s="1"/>
  <c r="M83" i="14"/>
  <c r="O82" i="14"/>
  <c r="P82" i="14" s="1"/>
  <c r="M82" i="14"/>
  <c r="O81" i="14"/>
  <c r="P81" i="14" s="1"/>
  <c r="M81" i="14"/>
  <c r="O80" i="14"/>
  <c r="P80" i="14" s="1"/>
  <c r="M80" i="14"/>
  <c r="O79" i="14"/>
  <c r="P79" i="14" s="1"/>
  <c r="M79" i="14"/>
  <c r="O78" i="14"/>
  <c r="P78" i="14" s="1"/>
  <c r="M78" i="14"/>
  <c r="O77" i="14"/>
  <c r="P77" i="14" s="1"/>
  <c r="M77" i="14"/>
  <c r="O76" i="14"/>
  <c r="P76" i="14" s="1"/>
  <c r="M76" i="14"/>
  <c r="O75" i="14"/>
  <c r="P75" i="14" s="1"/>
  <c r="M75" i="14"/>
  <c r="O74" i="14"/>
  <c r="P74" i="14" s="1"/>
  <c r="M74" i="14"/>
  <c r="O73" i="14"/>
  <c r="P73" i="14" s="1"/>
  <c r="M73" i="14"/>
  <c r="O72" i="14"/>
  <c r="P72" i="14" s="1"/>
  <c r="M72" i="14"/>
  <c r="O71" i="14"/>
  <c r="P71" i="14" s="1"/>
  <c r="M71" i="14"/>
  <c r="O70" i="14"/>
  <c r="P70" i="14" s="1"/>
  <c r="M70" i="14"/>
  <c r="O69" i="14"/>
  <c r="P69" i="14" s="1"/>
  <c r="M69" i="14"/>
  <c r="O68" i="14"/>
  <c r="P68" i="14" s="1"/>
  <c r="M68" i="14"/>
  <c r="O67" i="14"/>
  <c r="P67" i="14" s="1"/>
  <c r="M67" i="14"/>
  <c r="O66" i="14"/>
  <c r="P66" i="14" s="1"/>
  <c r="M66" i="14"/>
  <c r="O65" i="14"/>
  <c r="P65" i="14" s="1"/>
  <c r="M65" i="14"/>
  <c r="O64" i="14"/>
  <c r="P64" i="14" s="1"/>
  <c r="M64" i="14"/>
  <c r="O63" i="14"/>
  <c r="P63" i="14" s="1"/>
  <c r="M63" i="14"/>
  <c r="O62" i="14"/>
  <c r="P62" i="14" s="1"/>
  <c r="M62" i="14"/>
  <c r="O61" i="14"/>
  <c r="M61" i="14"/>
  <c r="O60" i="14"/>
  <c r="P60" i="14" s="1"/>
  <c r="M60" i="14"/>
  <c r="O59" i="14"/>
  <c r="P59" i="14" s="1"/>
  <c r="M59" i="14"/>
  <c r="O58" i="14"/>
  <c r="P58" i="14" s="1"/>
  <c r="M58" i="14"/>
  <c r="O57" i="14"/>
  <c r="P57" i="14" s="1"/>
  <c r="M57" i="14"/>
  <c r="O56" i="14"/>
  <c r="P56" i="14" s="1"/>
  <c r="M56" i="14"/>
  <c r="O55" i="14"/>
  <c r="P55" i="14" s="1"/>
  <c r="M55" i="14"/>
  <c r="Q54" i="14"/>
  <c r="N54" i="14"/>
  <c r="L54" i="14"/>
  <c r="O53" i="14"/>
  <c r="P53" i="14" s="1"/>
  <c r="M53" i="14"/>
  <c r="O52" i="14"/>
  <c r="P52" i="14" s="1"/>
  <c r="M52" i="14"/>
  <c r="O51" i="14"/>
  <c r="P51" i="14" s="1"/>
  <c r="M51" i="14"/>
  <c r="O50" i="14"/>
  <c r="P50" i="14" s="1"/>
  <c r="M50" i="14"/>
  <c r="O49" i="14"/>
  <c r="P49" i="14" s="1"/>
  <c r="M49" i="14"/>
  <c r="P48" i="14"/>
  <c r="P47" i="14"/>
  <c r="M47" i="14"/>
  <c r="O46" i="14"/>
  <c r="P46" i="14" s="1"/>
  <c r="M46" i="14"/>
  <c r="P45" i="14"/>
  <c r="P44" i="14"/>
  <c r="M44" i="14"/>
  <c r="O43" i="14"/>
  <c r="P43" i="14" s="1"/>
  <c r="M43" i="14"/>
  <c r="P42" i="14"/>
  <c r="P41" i="14"/>
  <c r="M41" i="14"/>
  <c r="O40" i="14"/>
  <c r="P40" i="14" s="1"/>
  <c r="M40" i="14"/>
  <c r="O39" i="14"/>
  <c r="P39" i="14" s="1"/>
  <c r="M39" i="14"/>
  <c r="O38" i="14"/>
  <c r="P38" i="14" s="1"/>
  <c r="M38" i="14"/>
  <c r="O37" i="14"/>
  <c r="P37" i="14" s="1"/>
  <c r="M37" i="14"/>
  <c r="O36" i="14"/>
  <c r="P36" i="14" s="1"/>
  <c r="M36" i="14"/>
  <c r="O35" i="14"/>
  <c r="P35" i="14" s="1"/>
  <c r="M35" i="14"/>
  <c r="O34" i="14"/>
  <c r="P34" i="14" s="1"/>
  <c r="M34" i="14"/>
  <c r="O33" i="14"/>
  <c r="P33" i="14" s="1"/>
  <c r="M33" i="14"/>
  <c r="O32" i="14"/>
  <c r="P32" i="14" s="1"/>
  <c r="M32" i="14"/>
  <c r="O31" i="14"/>
  <c r="P31" i="14" s="1"/>
  <c r="M31" i="14"/>
  <c r="O30" i="14"/>
  <c r="P30" i="14" s="1"/>
  <c r="M30" i="14"/>
  <c r="O29" i="14"/>
  <c r="P29" i="14" s="1"/>
  <c r="M29" i="14"/>
  <c r="O28" i="14"/>
  <c r="P28" i="14" s="1"/>
  <c r="M28" i="14"/>
  <c r="O27" i="14"/>
  <c r="P27" i="14" s="1"/>
  <c r="M27" i="14"/>
  <c r="O26" i="14"/>
  <c r="P26" i="14" s="1"/>
  <c r="M26" i="14"/>
  <c r="O25" i="14"/>
  <c r="P25" i="14" s="1"/>
  <c r="M25" i="14"/>
  <c r="O24" i="14"/>
  <c r="P24" i="14" s="1"/>
  <c r="M24" i="14"/>
  <c r="O23" i="14"/>
  <c r="P23" i="14" s="1"/>
  <c r="M23" i="14"/>
  <c r="O22" i="14"/>
  <c r="P22" i="14" s="1"/>
  <c r="M22" i="14"/>
  <c r="P21" i="14"/>
  <c r="M21" i="14"/>
  <c r="O20" i="14"/>
  <c r="P20" i="14" s="1"/>
  <c r="M20" i="14"/>
  <c r="O19" i="14"/>
  <c r="P19" i="14" s="1"/>
  <c r="M19" i="14"/>
  <c r="O18" i="14"/>
  <c r="P18" i="14" s="1"/>
  <c r="M18" i="14"/>
  <c r="O17" i="14"/>
  <c r="P17" i="14" s="1"/>
  <c r="M17" i="14"/>
  <c r="O16" i="14"/>
  <c r="P16" i="14" s="1"/>
  <c r="M16" i="14"/>
  <c r="O15" i="14"/>
  <c r="P15" i="14" s="1"/>
  <c r="M15" i="14"/>
  <c r="O14" i="14"/>
  <c r="M14" i="14"/>
  <c r="Q13" i="14"/>
  <c r="N13" i="14"/>
  <c r="L13" i="14"/>
  <c r="O12" i="14"/>
  <c r="P12" i="14" s="1"/>
  <c r="M12" i="14"/>
  <c r="O11" i="14"/>
  <c r="P11" i="14" s="1"/>
  <c r="M11" i="14"/>
  <c r="O10" i="14"/>
  <c r="P10" i="14" s="1"/>
  <c r="M10" i="14"/>
  <c r="O9" i="14"/>
  <c r="P9" i="14" s="1"/>
  <c r="M9" i="14"/>
  <c r="O8" i="14"/>
  <c r="M8" i="14"/>
  <c r="M18" i="16" l="1"/>
  <c r="N7" i="15"/>
  <c r="O7" i="15"/>
  <c r="P71" i="16"/>
  <c r="L7" i="16"/>
  <c r="N7" i="16"/>
  <c r="L7" i="14"/>
  <c r="N7" i="14"/>
  <c r="M49" i="15"/>
  <c r="Q103" i="14"/>
  <c r="Q7" i="14" s="1"/>
  <c r="M127" i="14"/>
  <c r="M108" i="14"/>
  <c r="M11" i="16"/>
  <c r="M49" i="16"/>
  <c r="P120" i="15"/>
  <c r="M120" i="15"/>
  <c r="M129" i="15"/>
  <c r="P22" i="15"/>
  <c r="Q8" i="15"/>
  <c r="Q22" i="15" s="1"/>
  <c r="P129" i="15"/>
  <c r="M22" i="15"/>
  <c r="M153" i="15"/>
  <c r="O7" i="16"/>
  <c r="M58" i="16"/>
  <c r="P49" i="16"/>
  <c r="P18" i="16"/>
  <c r="P58" i="16"/>
  <c r="M71" i="16"/>
  <c r="P11" i="16"/>
  <c r="P108" i="14"/>
  <c r="M54" i="14"/>
  <c r="O103" i="14"/>
  <c r="O54" i="14"/>
  <c r="M103" i="14"/>
  <c r="O127" i="14"/>
  <c r="M13" i="14"/>
  <c r="O13" i="14"/>
  <c r="Q153" i="15"/>
  <c r="R120" i="15"/>
  <c r="R7" i="15" s="1"/>
  <c r="Q49" i="15"/>
  <c r="Q129" i="15"/>
  <c r="P49" i="15"/>
  <c r="Q57" i="15"/>
  <c r="Q120" i="15" s="1"/>
  <c r="P153" i="15"/>
  <c r="P127" i="14"/>
  <c r="P61" i="14"/>
  <c r="P103" i="14" s="1"/>
  <c r="P14" i="14"/>
  <c r="P54" i="14" s="1"/>
  <c r="O108" i="14"/>
  <c r="P8" i="14"/>
  <c r="P13" i="14" s="1"/>
  <c r="M7" i="15" l="1"/>
  <c r="P7" i="16"/>
  <c r="D26" i="17" s="1"/>
  <c r="M7" i="16"/>
  <c r="Q7" i="15"/>
  <c r="P7" i="15"/>
  <c r="D25" i="17" s="1"/>
  <c r="O7" i="14"/>
  <c r="D24" i="17" s="1"/>
  <c r="M7" i="14"/>
  <c r="P7" i="14"/>
  <c r="D27" i="17" l="1"/>
  <c r="D30" i="17" s="1"/>
  <c r="D42" i="17" l="1"/>
  <c r="D33" i="17"/>
  <c r="D36" i="17" s="1"/>
  <c r="D39" i="17" s="1"/>
</calcChain>
</file>

<file path=xl/sharedStrings.xml><?xml version="1.0" encoding="utf-8"?>
<sst xmlns="http://schemas.openxmlformats.org/spreadsheetml/2006/main" count="1853" uniqueCount="856">
  <si>
    <t>Ārstniecības iestādes kods ārstam, kuru aizvieto (aizvietojamais)</t>
  </si>
  <si>
    <t>Ārstniecības iestādes kods ārstam, kurš aizvieto (aizvietotājs)</t>
  </si>
  <si>
    <t>Aizvieto no</t>
  </si>
  <si>
    <t>Aizvieto līdz</t>
  </si>
  <si>
    <t>Identifikators ārstam, kuru aizvieto (aizvietojamais)</t>
  </si>
  <si>
    <t>Teritoriāla nodaļa</t>
  </si>
  <si>
    <t>Rīgas nodaļa</t>
  </si>
  <si>
    <t>Kurzemes nodaļa</t>
  </si>
  <si>
    <t>Latgales nodaļa</t>
  </si>
  <si>
    <t>Vidzemes nodaļa</t>
  </si>
  <si>
    <t>Zemgales nodaļa</t>
  </si>
  <si>
    <t>KOPĀ</t>
  </si>
  <si>
    <t>Komentāri</t>
  </si>
  <si>
    <t>Kurzemes nodaļa kopā:</t>
  </si>
  <si>
    <t>Latgales nodaļa kopā:</t>
  </si>
  <si>
    <t>Rīgas nodaļa kopā:</t>
  </si>
  <si>
    <t>Vidzemes nodaļa kopā:</t>
  </si>
  <si>
    <t>Zemgales nodaļa kopā:</t>
  </si>
  <si>
    <t>Ārstniecības iestādes nosaukums ārstam, kuru aizvieto (aizvietojamais)</t>
  </si>
  <si>
    <t>Vārds ārstam, kuru aizvieto (aizvietojamais)</t>
  </si>
  <si>
    <t>Uzvārds ārstam, ārstam, kuru aizvieto (aizvietojamais)</t>
  </si>
  <si>
    <t>Ārstniecības iestādes nosaukums ārstam, kurš aizvieto (aizvietotājs)</t>
  </si>
  <si>
    <t>EKK 3000</t>
  </si>
  <si>
    <t>EKK 7460</t>
  </si>
  <si>
    <t>Inas Zemtures ģimenes ārsta-pediatra prakse, SIA</t>
  </si>
  <si>
    <t xml:space="preserve">Ina </t>
  </si>
  <si>
    <t>Zemture</t>
  </si>
  <si>
    <t>Kudiņa Inta - ģimenes ārsta prakse</t>
  </si>
  <si>
    <t>Ribakova Tatjana - ģimenes ārsta prakse</t>
  </si>
  <si>
    <t>Tatjana</t>
  </si>
  <si>
    <t>Ribakova</t>
  </si>
  <si>
    <t>Pūce Daira - ģimenes ārsta prakse</t>
  </si>
  <si>
    <t>Medeor, SIA</t>
  </si>
  <si>
    <t>Dzidra</t>
  </si>
  <si>
    <t>Trumpika</t>
  </si>
  <si>
    <t>Stepanova Vija - ģimenes ārsta un arodveselības un arodslimību ārsta prakse</t>
  </si>
  <si>
    <t xml:space="preserve">Ventspils poliklīnika, Pašvaldības SIA </t>
  </si>
  <si>
    <t>Madara</t>
  </si>
  <si>
    <t>Bula</t>
  </si>
  <si>
    <t xml:space="preserve">Anna </t>
  </si>
  <si>
    <t>Matvejeva</t>
  </si>
  <si>
    <t>Leonardova Ļubova - ģimenes ārsta prakse</t>
  </si>
  <si>
    <t>Ļubova</t>
  </si>
  <si>
    <t>Leonardova</t>
  </si>
  <si>
    <t>OLGAS GOLUBES ĢIMENES ĀRSTA PRAKSE, Sabiedrība ar ierobežotu atbildību</t>
  </si>
  <si>
    <t>18.07.2022.</t>
  </si>
  <si>
    <t>31.07.2022.</t>
  </si>
  <si>
    <t>Ogorelova Jeļena - ģimenes ārsta prakse</t>
  </si>
  <si>
    <t>Jeļena</t>
  </si>
  <si>
    <t>Ogorelova</t>
  </si>
  <si>
    <t>Krasnikova Jeļena - ģimenes ārsta prakse, SIA</t>
  </si>
  <si>
    <t>21.07.2022.</t>
  </si>
  <si>
    <t>Sidorova Nataša - ģimenes ārsta un arodveselības un arodslimību ārsta prakse</t>
  </si>
  <si>
    <t>Nataša</t>
  </si>
  <si>
    <t>Sidorova</t>
  </si>
  <si>
    <t>Pogumirskis Jāzeps - ģimenes ārsta un neirologa prakse</t>
  </si>
  <si>
    <t>25.07.2022.</t>
  </si>
  <si>
    <t>Grišāne Ingrīda - ģimenes ārsta prakse</t>
  </si>
  <si>
    <t>Ingrīda</t>
  </si>
  <si>
    <t>Grišāne</t>
  </si>
  <si>
    <t>Šatilova Nadežda -ģimenes ārsta prakse</t>
  </si>
  <si>
    <t>01.07.2022.</t>
  </si>
  <si>
    <t>08.07.2022.</t>
  </si>
  <si>
    <t>Mihailova Svetlana - ģimenes ārsta un pediatra prakse</t>
  </si>
  <si>
    <t>Svetlana</t>
  </si>
  <si>
    <t>Mihailova</t>
  </si>
  <si>
    <t>Petroviča Larisa - ģimenes ārsta un pediatra prakse</t>
  </si>
  <si>
    <t>Zīmele Emīlija - ģimenes ārsta prakse</t>
  </si>
  <si>
    <t>Emīlija</t>
  </si>
  <si>
    <t>Zīmele</t>
  </si>
  <si>
    <t>Novikova Dzintra - ģimenes ārsta prakse</t>
  </si>
  <si>
    <t>04.07.2022.</t>
  </si>
  <si>
    <t>29.07.2022.</t>
  </si>
  <si>
    <t>Jāzeps</t>
  </si>
  <si>
    <t>Pogumirskis</t>
  </si>
  <si>
    <t>Juškevičs Juris - ģimenes ārsta prakse</t>
  </si>
  <si>
    <t>Juris</t>
  </si>
  <si>
    <t>Juškevičs</t>
  </si>
  <si>
    <t>Meņģiša Lija - ģimenes ārsta prakse</t>
  </si>
  <si>
    <t>Petrāns Jānis - ģimenes ārsta prakse</t>
  </si>
  <si>
    <t>Jānis</t>
  </si>
  <si>
    <t>Petrāns</t>
  </si>
  <si>
    <t>Kirsanova Ļubova - ģimenes ārsta prakse</t>
  </si>
  <si>
    <t>Čaika Natālija - ģimenes ārsta, endokrinologa, arodveselības un arodslimību ārsta prakse</t>
  </si>
  <si>
    <t>Natālija</t>
  </si>
  <si>
    <t>Čaika</t>
  </si>
  <si>
    <t>Putra Marija - ģimenes ārsta prakse</t>
  </si>
  <si>
    <t>Marhele Lidija - ģimenes ārsta un arodveselības un arodslimību ārsta prakse</t>
  </si>
  <si>
    <t>Lidija</t>
  </si>
  <si>
    <t>Marhele</t>
  </si>
  <si>
    <t>01.07.2022-10.07.2022</t>
  </si>
  <si>
    <t>25.07.2022-31.07.2022</t>
  </si>
  <si>
    <t>Požarska Jeļena - ģimenes ārsta prakse</t>
  </si>
  <si>
    <t>Požarska</t>
  </si>
  <si>
    <t>Muromceva Tatjana - ģimenes ārsta prakse</t>
  </si>
  <si>
    <t>22.07.2022.</t>
  </si>
  <si>
    <t>Krasnikova</t>
  </si>
  <si>
    <t>15.07.2022.</t>
  </si>
  <si>
    <t>Lija</t>
  </si>
  <si>
    <t>Meņģiša</t>
  </si>
  <si>
    <t>Trušele Gunta- ģimenes ārsta prakse</t>
  </si>
  <si>
    <t>Gunta</t>
  </si>
  <si>
    <t>Trušele</t>
  </si>
  <si>
    <t>Mačuļska Natālija-ģimenes ārsta prakse</t>
  </si>
  <si>
    <t>Sidorovs Viktors - ģimenes ārsta prakse</t>
  </si>
  <si>
    <t>Viktors</t>
  </si>
  <si>
    <t>Sidorovs</t>
  </si>
  <si>
    <t>Procevska Marina - ģimenes ārsta prakse</t>
  </si>
  <si>
    <t>Krokša Ineta -ģimenes ārsta prakse</t>
  </si>
  <si>
    <t>Ineta</t>
  </si>
  <si>
    <t>Krokša</t>
  </si>
  <si>
    <t>Vasiļjevs Roberts -ģimenes ārsta prakse</t>
  </si>
  <si>
    <t>05.07.2022.</t>
  </si>
  <si>
    <t>19.07.2022.</t>
  </si>
  <si>
    <t>Fjodorova Inga - ģimenes ārsta prakse</t>
  </si>
  <si>
    <t>Inga</t>
  </si>
  <si>
    <t>Fjodorova</t>
  </si>
  <si>
    <t>Irēnas Čirko ģimenes ārsta prakse, Sabiedrība ar ierobežotu atbildību</t>
  </si>
  <si>
    <t>11.07.2022.</t>
  </si>
  <si>
    <t>Boroduļins Mihails - ģimenes ārsta prakse</t>
  </si>
  <si>
    <t xml:space="preserve">Mihails </t>
  </si>
  <si>
    <t>Boroduļins</t>
  </si>
  <si>
    <t>Ivanova Iraida - ģimenes ārsta prakse</t>
  </si>
  <si>
    <t>18.07.2002.</t>
  </si>
  <si>
    <t>Kalniņa Mudīte - ģimenes ārsta prakse</t>
  </si>
  <si>
    <t>Mudīte</t>
  </si>
  <si>
    <t>Kalniņa</t>
  </si>
  <si>
    <t>Milta Inese - ģimenes ārsta prakse</t>
  </si>
  <si>
    <t>Rutka Zinaīda - ģimenes ārsta prakse</t>
  </si>
  <si>
    <t>Zinaīda</t>
  </si>
  <si>
    <t>Rutka</t>
  </si>
  <si>
    <t>Sipoviča Olga - ģimenes ārsta prakse</t>
  </si>
  <si>
    <t>Marina</t>
  </si>
  <si>
    <t>Procevska</t>
  </si>
  <si>
    <t>Sviklāne Inga - ģimenes ārsta prakse</t>
  </si>
  <si>
    <t>Sviklāne</t>
  </si>
  <si>
    <t>Cvetkova Anna - ģimenes ārsta prakse</t>
  </si>
  <si>
    <t>01.07.2022-08.07.2022</t>
  </si>
  <si>
    <t>19.07.2022-25.07.2022</t>
  </si>
  <si>
    <t>Bogdanovičs Artūrs - ģimenes ārsta un internista prakse</t>
  </si>
  <si>
    <t xml:space="preserve">Artūrs </t>
  </si>
  <si>
    <t>Bogdanovičs</t>
  </si>
  <si>
    <t>Antonova Ludmila - ģimenes ārsta prakse</t>
  </si>
  <si>
    <t>Nalivaiko Aina- ģimenes ārsta prakse</t>
  </si>
  <si>
    <t>Aina</t>
  </si>
  <si>
    <t>Nalivaiko</t>
  </si>
  <si>
    <t>Simonova Irina - ģimenes ārsta prakse</t>
  </si>
  <si>
    <t>Grunda Darja - ģimenes ārsta prakse</t>
  </si>
  <si>
    <t>Darja</t>
  </si>
  <si>
    <t>Grunda</t>
  </si>
  <si>
    <t>Trubena Vita - ģimenes ārsta un pediatra prakse</t>
  </si>
  <si>
    <t>03.07.2022.</t>
  </si>
  <si>
    <t xml:space="preserve">Irēna </t>
  </si>
  <si>
    <t>Čirko</t>
  </si>
  <si>
    <t>Ārstes Vaivodes prakse Preiļos, SIA</t>
  </si>
  <si>
    <t>Vaivode</t>
  </si>
  <si>
    <t>Rutkovskis Staņislavs - ģimenes ārsta prakse</t>
  </si>
  <si>
    <t>Petrāne Irēna - ģimenes ārsta prakse</t>
  </si>
  <si>
    <t>Mačuļska</t>
  </si>
  <si>
    <t>Požarskis Anatolijs - ģimenes ārsta, seksologa, seksopatologa un psihoterapeita prakse</t>
  </si>
  <si>
    <t>Anatolijs</t>
  </si>
  <si>
    <t>Požarskis</t>
  </si>
  <si>
    <t>MEDEXPERT PLUS, Sabiedrība ar ierobežotu atbildību</t>
  </si>
  <si>
    <t>Grincevičiene Olga - ģimenes ārsta prakse</t>
  </si>
  <si>
    <t>Olga</t>
  </si>
  <si>
    <t>Sipoviča</t>
  </si>
  <si>
    <t>Kramiča Tatjana - ģimenes ārsta prakse</t>
  </si>
  <si>
    <t>Kramiča</t>
  </si>
  <si>
    <t>Vengreviča Anžella - ģimenes ārsta prakse</t>
  </si>
  <si>
    <t>Anžella</t>
  </si>
  <si>
    <t>Vengreviča</t>
  </si>
  <si>
    <t>Šuhtujeva Irina - ģimenes ārsta prakse</t>
  </si>
  <si>
    <t>Anna</t>
  </si>
  <si>
    <t>Cvetkova</t>
  </si>
  <si>
    <t>26.07.2022.</t>
  </si>
  <si>
    <t>Nadežda</t>
  </si>
  <si>
    <t>Šatilova</t>
  </si>
  <si>
    <t>SIA “Krasnikova Jeļena - ģimenes ārsta prakse”</t>
  </si>
  <si>
    <t>Kristaps</t>
  </si>
  <si>
    <t>Seikals</t>
  </si>
  <si>
    <t>Čivkule Iveta - ģimenes ārsta prakse</t>
  </si>
  <si>
    <t>Iveta</t>
  </si>
  <si>
    <t>Čivkule</t>
  </si>
  <si>
    <t>Strode Sandra -ģimenes ārsta prakse</t>
  </si>
  <si>
    <t>Jaudzeme Oksana – ģimenes ārsta prakse</t>
  </si>
  <si>
    <t>Oksana</t>
  </si>
  <si>
    <t>Jaudzeme</t>
  </si>
  <si>
    <t>Natālijas Aleksandrovas ģimenes ārsta prakse</t>
  </si>
  <si>
    <t>Bessudnova Ludmila - ģimenes ārsta prakse</t>
  </si>
  <si>
    <t>Ludmila</t>
  </si>
  <si>
    <t>Bessudnova</t>
  </si>
  <si>
    <t>SIA „I.Kuģes ģimenes ārsta prakse”</t>
  </si>
  <si>
    <t>Inese</t>
  </si>
  <si>
    <t>Kuģe</t>
  </si>
  <si>
    <t>SIA " Ilzes Jākobsones ģimenes ārsta prakse "</t>
  </si>
  <si>
    <t>SIA "Dziedniecība"</t>
  </si>
  <si>
    <t>Irina</t>
  </si>
  <si>
    <t>Kaļinkina Iļmira - ģimenes ārsta prakse</t>
  </si>
  <si>
    <t>Dmitrija Pučkova ģimenes ārsta prakse</t>
  </si>
  <si>
    <t>Dmitrijs</t>
  </si>
  <si>
    <t>Pučkovs</t>
  </si>
  <si>
    <t xml:space="preserve">Larisas Demidovas ģimenes ārsta prakse </t>
  </si>
  <si>
    <t>Nataļjas Zaharovas ģimenes ārsta prakse, SIA</t>
  </si>
  <si>
    <t>Nataļja</t>
  </si>
  <si>
    <t>Zaharova</t>
  </si>
  <si>
    <t>Blaua Silva - ģimenes ārsta prakse</t>
  </si>
  <si>
    <t>01.07.2022-07.07.2022</t>
  </si>
  <si>
    <t>27.07.2022-28.07.2022</t>
  </si>
  <si>
    <t>GEMMA doktorāts, SIA</t>
  </si>
  <si>
    <t>Margarita</t>
  </si>
  <si>
    <t>Gemma</t>
  </si>
  <si>
    <t>Mikule Laila - ģimenes ārsta prakse</t>
  </si>
  <si>
    <t>Valsts SIA "Iekšlietu ministrijas poliklīnika"</t>
  </si>
  <si>
    <t xml:space="preserve">Gaļina </t>
  </si>
  <si>
    <t>Perepjolka</t>
  </si>
  <si>
    <t>SIA "M&amp;M centrs"</t>
  </si>
  <si>
    <t>Dace</t>
  </si>
  <si>
    <t>Pavlova</t>
  </si>
  <si>
    <t>Mairas Indrānes ģimenes ārsta prakse</t>
  </si>
  <si>
    <t xml:space="preserve">Rakhatas Mambetaevas  ģimenes ārsta prakse </t>
  </si>
  <si>
    <t xml:space="preserve">Rakhata </t>
  </si>
  <si>
    <t>Mambetajeva</t>
  </si>
  <si>
    <t>Stūrmane Aija- ģimenes ārsta prakse</t>
  </si>
  <si>
    <t>SIA "Valijas Pčolkinas ģimenes ārsta prakse "</t>
  </si>
  <si>
    <t xml:space="preserve">Valija </t>
  </si>
  <si>
    <t>Pčolkina</t>
  </si>
  <si>
    <t>SIA "Tatjanas Boilovičas ģimenes ārsta prakse"</t>
  </si>
  <si>
    <t>Vitas Jirgensones ārsta prakse, SIA</t>
  </si>
  <si>
    <t>Vita</t>
  </si>
  <si>
    <t>Jirgensone</t>
  </si>
  <si>
    <t>Kazarjana Anželika - ģimenes ārsta prakse</t>
  </si>
  <si>
    <t>Ingrīdas Petraškēvičas ģimenes ārsta prakse</t>
  </si>
  <si>
    <t>Petraškēviča</t>
  </si>
  <si>
    <t>Ināras Beļēvičas ģimenes ārsta  prakse</t>
  </si>
  <si>
    <t>Lailas Mikules ģimenes ārsta prakse</t>
  </si>
  <si>
    <t>Laila</t>
  </si>
  <si>
    <t>Mikule</t>
  </si>
  <si>
    <t>01.07.2022-01.07.2022</t>
  </si>
  <si>
    <t>25.07.2022-29.07.2022</t>
  </si>
  <si>
    <t>Stūrmane Aija - ģimenes ārsta prakse</t>
  </si>
  <si>
    <t>Aija</t>
  </si>
  <si>
    <t>Stūrmane</t>
  </si>
  <si>
    <t>Mambetajeva Rahata - ģimenes ārsta prakse</t>
  </si>
  <si>
    <t>Cingele Aija - ģimenes ārsta prakse</t>
  </si>
  <si>
    <t>Cingele</t>
  </si>
  <si>
    <t>Rasmane Ligita -ģimenes ārsta prakse</t>
  </si>
  <si>
    <t>Zaremba Līga - ģimenes ārsta prakse</t>
  </si>
  <si>
    <t>Līga</t>
  </si>
  <si>
    <t>Zaremba</t>
  </si>
  <si>
    <t>Rukavišņikova Ērika - ģimenes ārsta prakse</t>
  </si>
  <si>
    <t>D.Pastares prakse, Sabiedrība ar ierobežotu atbildību</t>
  </si>
  <si>
    <t>Tomilina</t>
  </si>
  <si>
    <t>M.Gavronskas ārsta prakse, Sabiedrība ar ierobežotu atbildību</t>
  </si>
  <si>
    <t>Aijas Klaubergas ģimenes ārsta prakse</t>
  </si>
  <si>
    <t>Klauberga</t>
  </si>
  <si>
    <t>RĪTS M, SIA</t>
  </si>
  <si>
    <t>Santas Lapiņas ģimenes ārsta prakse</t>
  </si>
  <si>
    <t>Santa</t>
  </si>
  <si>
    <t>Lapiņa</t>
  </si>
  <si>
    <t>Gailīte Agita - ģimenes ārsta prakse</t>
  </si>
  <si>
    <t>Inna</t>
  </si>
  <si>
    <t>Miļutikova</t>
  </si>
  <si>
    <t>Dr.Aļonas prakse, Sabiedrība ar ierobežotu atbildību</t>
  </si>
  <si>
    <t>Aļona</t>
  </si>
  <si>
    <t>Bergmane</t>
  </si>
  <si>
    <t>Jeļenas Pogodinas ģimenes ārsta un internista prakse</t>
  </si>
  <si>
    <t>Pogodina</t>
  </si>
  <si>
    <t>Nataļjas Gizatullinas ģimenes ārsta prakse</t>
  </si>
  <si>
    <t>Irinas Rudometovas ārsta prakse pediatrijā</t>
  </si>
  <si>
    <t>Rudometova</t>
  </si>
  <si>
    <t>SIA "Rīgas Veselības centrs"</t>
  </si>
  <si>
    <t>Ligitas Rasmanes ģimenes ārsta prakse</t>
  </si>
  <si>
    <t xml:space="preserve">Ligita </t>
  </si>
  <si>
    <t>Rasmane</t>
  </si>
  <si>
    <t>Aijas Cingeles  ģimenes ārsta prakse</t>
  </si>
  <si>
    <t>Ērikas Rukavišņikovas ģimenes ārsta prakse</t>
  </si>
  <si>
    <t>Ērika</t>
  </si>
  <si>
    <t>Rukavišņikova</t>
  </si>
  <si>
    <t>Līgas Zarembas ģimenes ārsta prakse</t>
  </si>
  <si>
    <t>Rita</t>
  </si>
  <si>
    <t>Dārziņa</t>
  </si>
  <si>
    <t>Strazdiņa Inguna - ģimenes ārsta prakse</t>
  </si>
  <si>
    <t>Strazdiņa</t>
  </si>
  <si>
    <t>Inguna</t>
  </si>
  <si>
    <t>Kozaka Nataļja - ģimenes ārsta prakse</t>
  </si>
  <si>
    <t>Galijas Kaļinkinas ģimenes ārsta prakse</t>
  </si>
  <si>
    <t>Galija</t>
  </si>
  <si>
    <t>Kaļinkina</t>
  </si>
  <si>
    <t>Indras Kārkliņas ģimenes ārsta prakse</t>
  </si>
  <si>
    <t>Solovjova Kira -  ģimenes ārsta prakse</t>
  </si>
  <si>
    <t>Kira</t>
  </si>
  <si>
    <t>Solovjova</t>
  </si>
  <si>
    <t>Rīgas pašvaldības SIA "Rīgas 1.slimnīca"</t>
  </si>
  <si>
    <t>Valda</t>
  </si>
  <si>
    <t>Binde</t>
  </si>
  <si>
    <t>VESELĪBAS CENTRS BIĶERNIEKI, Sabiedrība ar ierobežotu atbildību</t>
  </si>
  <si>
    <t>Viktorija</t>
  </si>
  <si>
    <t>Ropažu novada pašvaldības aģentūra „Stopiņu ambulance”</t>
  </si>
  <si>
    <t>Kristīne</t>
  </si>
  <si>
    <t>Grosvalde</t>
  </si>
  <si>
    <t>04.07.2022-15.07.2022</t>
  </si>
  <si>
    <t>SIA "Rīgas veselības centrs"</t>
  </si>
  <si>
    <t>Žanna</t>
  </si>
  <si>
    <t>Raka</t>
  </si>
  <si>
    <t>Spasova Prakse, SIA</t>
  </si>
  <si>
    <t>Astrīdas Kuzmanes ģimenes ārsta prakse</t>
  </si>
  <si>
    <t>Astrīda</t>
  </si>
  <si>
    <t>Kuzmane</t>
  </si>
  <si>
    <t>Jeļenas Purinas ģimenes ārsta prakse</t>
  </si>
  <si>
    <t>Individuālais komersants "Ozoliņas doktorāts"</t>
  </si>
  <si>
    <t xml:space="preserve">Sandra </t>
  </si>
  <si>
    <t>Ozoliņa</t>
  </si>
  <si>
    <t>Ināras Zemītes ģimenes ārsta prakse</t>
  </si>
  <si>
    <t>Aila</t>
  </si>
  <si>
    <t>Bērziņa</t>
  </si>
  <si>
    <t>Jeļenas Kozickas ģimenes ārsta un pediatra prakse</t>
  </si>
  <si>
    <t>Kozicka</t>
  </si>
  <si>
    <t>Ingas Šaripovas ģimenes ārsta prakse</t>
  </si>
  <si>
    <t>Mārtiņš</t>
  </si>
  <si>
    <t>Būmanis</t>
  </si>
  <si>
    <t>06.06.2022-19.06.2022</t>
  </si>
  <si>
    <t>18.07.2022-24.07.2022</t>
  </si>
  <si>
    <t>Tatjanas Proskurņas ģimenes ārsta un internista prakse</t>
  </si>
  <si>
    <t>Proskurņa</t>
  </si>
  <si>
    <t>SIA " A.Kraules ģimenes ārsta prakse"</t>
  </si>
  <si>
    <t>Kraule</t>
  </si>
  <si>
    <t xml:space="preserve">Andras Matuševicas ģimenes ārsta prakse </t>
  </si>
  <si>
    <t>Innas Pernas ģimenes ārsta un pediatra prakse</t>
  </si>
  <si>
    <t>Perna</t>
  </si>
  <si>
    <t>Evitas Langinas ģimenes ārsta prakse</t>
  </si>
  <si>
    <t>Ilvas Gailumas ģimenes ārsta prakse, SIA</t>
  </si>
  <si>
    <t>Ilona</t>
  </si>
  <si>
    <t>Šrenka</t>
  </si>
  <si>
    <t>MOŽUMS-1, Sabiedrība ar ierobežotu atbildību</t>
  </si>
  <si>
    <t>Ingunas Ponnes ģimenes ārsta prakse</t>
  </si>
  <si>
    <t>Ponne</t>
  </si>
  <si>
    <t>Aleksandras Homenko ģimenes ārsta un pediatra prakse</t>
  </si>
  <si>
    <t>Veide Sarmīte - ģimenes ārsta prakse</t>
  </si>
  <si>
    <t>Sarmīte</t>
  </si>
  <si>
    <t>Veide</t>
  </si>
  <si>
    <t>Zandas Oliņas Putenes ģimenes ārsta prakse, Sabiedrība ar ierobežotu atbildību</t>
  </si>
  <si>
    <t>Blāze Dana - ģimenes ārsta prakse</t>
  </si>
  <si>
    <t>Dana</t>
  </si>
  <si>
    <t>Blāze</t>
  </si>
  <si>
    <t>SIA "Ineses Rabkevičas  ārsta prakse"</t>
  </si>
  <si>
    <t>Rabkeviča</t>
  </si>
  <si>
    <t>Kristas Bondares ģimenes ārsta prakse</t>
  </si>
  <si>
    <t>Iritas Muižzemnieces ģimenes ārsta prakse</t>
  </si>
  <si>
    <t>Irita</t>
  </si>
  <si>
    <t>Muižzemniece</t>
  </si>
  <si>
    <t>Āra Čukura ģimenes ārsta prakse</t>
  </si>
  <si>
    <t>Šnikvalde Anita - ģimenes ārsta un pediatra prakse</t>
  </si>
  <si>
    <t>Anita</t>
  </si>
  <si>
    <t>Šnikvalde</t>
  </si>
  <si>
    <t>Baibas Koševares ģimenes ārsta prakse, SIA</t>
  </si>
  <si>
    <t>L. ZIEMELES DOKTORĀTS, SIA</t>
  </si>
  <si>
    <t>Ziemele</t>
  </si>
  <si>
    <t>M.BINDRES DOKTORĀTS, SIA</t>
  </si>
  <si>
    <t>Bērziņa Inga - ģimenes ārsta prakse</t>
  </si>
  <si>
    <t>Kravale Jolanta - ģimenes ārsta prakse</t>
  </si>
  <si>
    <t>Luika Marita - ģimenes ārsta prakse</t>
  </si>
  <si>
    <t xml:space="preserve">Marita </t>
  </si>
  <si>
    <t>Luika</t>
  </si>
  <si>
    <t>Luguze Inta - ģimenes ārsta prakse</t>
  </si>
  <si>
    <t>Grīga Lilita - ģimenes ārsta prakse</t>
  </si>
  <si>
    <t>Lilita</t>
  </si>
  <si>
    <t>Grīga</t>
  </si>
  <si>
    <t>Siliņa Sandra -ģimenes ārsta prakse</t>
  </si>
  <si>
    <t>RIMED, Sabiedrība ar ierobežotu atbildību</t>
  </si>
  <si>
    <t>Mārīte</t>
  </si>
  <si>
    <t>Rinkevica</t>
  </si>
  <si>
    <t>MEDICOM, Sabiedrība ar ierobežotu atbildību</t>
  </si>
  <si>
    <t>18.07.2022-29.07.2022</t>
  </si>
  <si>
    <t>04.07-08.07.2022</t>
  </si>
  <si>
    <t>Troska Dzintra - ģimenes ārsta un arodveselības un arodslimību ārsta prakse</t>
  </si>
  <si>
    <t>Dzintra</t>
  </si>
  <si>
    <t>Troska</t>
  </si>
  <si>
    <t>Dr.Rukmanes ģimenes ārsta prakse, Sabiedrība ar ierobežotu atbildību</t>
  </si>
  <si>
    <t>Šmits Roberts - ārsta internista prakse</t>
  </si>
  <si>
    <t>Nenišķe Iveta - ģimenes ārsta prakse</t>
  </si>
  <si>
    <t>Nenišķe</t>
  </si>
  <si>
    <t>Dobulāne Tatjana - ģimenes ārsta prakse</t>
  </si>
  <si>
    <t>Bergmane Anita - ģimenes ārsta prakse</t>
  </si>
  <si>
    <t>M.Zakse-Grigorjana ģimenes ārsta prakse, SIA</t>
  </si>
  <si>
    <t>Tēraude Aija - ģimenes ārsta un pediatra prakse</t>
  </si>
  <si>
    <t>Tēraude</t>
  </si>
  <si>
    <t>Inas Mortukānes ārsta prakse, SIA</t>
  </si>
  <si>
    <t>Bernāne Olita - ģimenes ārsta prakse</t>
  </si>
  <si>
    <t>Olita</t>
  </si>
  <si>
    <t>Bernāne</t>
  </si>
  <si>
    <t>Niedre Ilze - ģimenes ārsta prakse</t>
  </si>
  <si>
    <t>Roberts</t>
  </si>
  <si>
    <t>Šmits</t>
  </si>
  <si>
    <t>Zdūne Rita - ģimenes ārsta prakse</t>
  </si>
  <si>
    <t>Zdūne</t>
  </si>
  <si>
    <t>Pārpuce Sanita -ģimenes ārsta prakse</t>
  </si>
  <si>
    <t>Ērikas Borisovas ģimenes ārsta prakse, Sabiedrība ar ierobežotu atbildību</t>
  </si>
  <si>
    <t>Borisova</t>
  </si>
  <si>
    <t>Dainas Vaivodes ģimenes ārsta prakse, Sabiedrība ar ierobežotu atbildību</t>
  </si>
  <si>
    <t>Ilze</t>
  </si>
  <si>
    <t>Niedre</t>
  </si>
  <si>
    <t>Sproģe Ilze - ģimenes ārsta un pediatra prakse</t>
  </si>
  <si>
    <t>Sproģe</t>
  </si>
  <si>
    <t>Sarbantoviča Inese - ģimenes ārsta un pediatra prakse</t>
  </si>
  <si>
    <t>Sandra</t>
  </si>
  <si>
    <t>Siliņa</t>
  </si>
  <si>
    <t>Olgas Tomaševskas ģimenes ārsta prakse, Sabiedrība ar ierobežotu atbildību</t>
  </si>
  <si>
    <t>Tomaševska</t>
  </si>
  <si>
    <t>Ivanova Maiga - ģimenes ārsta prakse</t>
  </si>
  <si>
    <t>Zīle Anda - ģimenes ārsta prakse</t>
  </si>
  <si>
    <t>Anda</t>
  </si>
  <si>
    <t>Zīle</t>
  </si>
  <si>
    <t>SANUS SN, SIA</t>
  </si>
  <si>
    <t>Čaupjonoka Ilona -ģimenes ārsta prakse</t>
  </si>
  <si>
    <t>Čaupjonoka</t>
  </si>
  <si>
    <t>Līdzekļu sadalījums maksājumam ģimenes ārstu aizvietošanai atvaļinājuma un slimības gadījumā 2022.gada augustā</t>
  </si>
  <si>
    <t>Aizvietotas dienas</t>
  </si>
  <si>
    <t>MANS DOKTORĀTS, SIA</t>
  </si>
  <si>
    <t>Liepa</t>
  </si>
  <si>
    <t>Liepājas ģimenes veselības centrs, SIA</t>
  </si>
  <si>
    <t>Spudzāne</t>
  </si>
  <si>
    <t>Gundega</t>
  </si>
  <si>
    <t>Rūtenberga</t>
  </si>
  <si>
    <t>Izgagina</t>
  </si>
  <si>
    <t xml:space="preserve">Kronoss, Sabiedrība ar ierobežotu atbildību </t>
  </si>
  <si>
    <t>Gaļina</t>
  </si>
  <si>
    <t>Serebrjakova</t>
  </si>
  <si>
    <t>Zviedrīte Lelde - ģimenes ārsta prakse</t>
  </si>
  <si>
    <t xml:space="preserve">Lelde </t>
  </si>
  <si>
    <t>Zviedrīte</t>
  </si>
  <si>
    <t>Čipiga Rozālija - ģimenes ārsta prakse</t>
  </si>
  <si>
    <t>Skābarde Andra - ģimenes ārsta un pediatra prakse</t>
  </si>
  <si>
    <t xml:space="preserve">Andra </t>
  </si>
  <si>
    <t>Skābarde</t>
  </si>
  <si>
    <t>Pūpola Linda - ģimenes ārsta un pediatra prakse</t>
  </si>
  <si>
    <t>RŪTAS EGLĪTES ĢIMENES ĀRSTA PRAKSE, SIA</t>
  </si>
  <si>
    <t>Rūta</t>
  </si>
  <si>
    <t>Eglīte</t>
  </si>
  <si>
    <t>Klauga Jolanta - ģimenes ārsta prakse</t>
  </si>
  <si>
    <t>I. ANDERSONES ĀRSTA PRAKSE, SIA</t>
  </si>
  <si>
    <t>Ināra</t>
  </si>
  <si>
    <t>Andersone</t>
  </si>
  <si>
    <t>L.LAGZDIŅAS ĀRSTA PRAKSE, SIA</t>
  </si>
  <si>
    <t>Laimas Jansones ārsta prakse, SIA</t>
  </si>
  <si>
    <t>Laima</t>
  </si>
  <si>
    <t>Jansone</t>
  </si>
  <si>
    <t>Cakule Gita - ģimenes ārsta prakse</t>
  </si>
  <si>
    <t>Avots Elmārs - ģimenes ārsta prakse</t>
  </si>
  <si>
    <t xml:space="preserve">Elmārs </t>
  </si>
  <si>
    <t>Avots</t>
  </si>
  <si>
    <t>Pūpola Ieva - ģimenes ārsta prakse</t>
  </si>
  <si>
    <t xml:space="preserve">INATE, SIA </t>
  </si>
  <si>
    <t>Zane</t>
  </si>
  <si>
    <t>Kobiaka</t>
  </si>
  <si>
    <t>Trubena</t>
  </si>
  <si>
    <t>Larisa</t>
  </si>
  <si>
    <t>Petroviča</t>
  </si>
  <si>
    <t>Milta</t>
  </si>
  <si>
    <t>Zamjatina Inna - ģimenes ārsta prakse</t>
  </si>
  <si>
    <t>Zamjatina</t>
  </si>
  <si>
    <t>Terentjevs Vladimirs - ģimenes ārsta un neirologa prakse</t>
  </si>
  <si>
    <t xml:space="preserve">Vladimirs </t>
  </si>
  <si>
    <t>Terentjevs</t>
  </si>
  <si>
    <t>Medicīnas centrs Saule, Sabiedrība ar ierobežotu atbildību</t>
  </si>
  <si>
    <t>Labinska</t>
  </si>
  <si>
    <t>Stare Mirdza - ģimenes ārsta prakse</t>
  </si>
  <si>
    <t>15.08.2022-18.08.2022</t>
  </si>
  <si>
    <t>19.08.2022-27.08.2022</t>
  </si>
  <si>
    <t>atvaļinājums, DNL</t>
  </si>
  <si>
    <t>Novickis Vitālijs - ģimenes ārsta prakse</t>
  </si>
  <si>
    <t>Vitālijs</t>
  </si>
  <si>
    <t>Novickis</t>
  </si>
  <si>
    <t>Minčenko Valerians- ģimenes ārsta prakse</t>
  </si>
  <si>
    <t>Baltruševiča Irēna - ģimenes ārsta prakse, Sabiedrība ar ierobežotu atbildību</t>
  </si>
  <si>
    <t>Baltruševiča</t>
  </si>
  <si>
    <t>Lioznova Svetlana - ģimenes ārsta prakse</t>
  </si>
  <si>
    <t>Lioznova</t>
  </si>
  <si>
    <t xml:space="preserve">Ļubova </t>
  </si>
  <si>
    <t>Kirsanova</t>
  </si>
  <si>
    <t>Iraida</t>
  </si>
  <si>
    <t>Ivanova</t>
  </si>
  <si>
    <t>Antonovs Sergejs - ģimenes ārsta prakse</t>
  </si>
  <si>
    <t>Sergejs</t>
  </si>
  <si>
    <t>Antonovs</t>
  </si>
  <si>
    <t>Solodova Tatjana - ģimenes ārsta prakse</t>
  </si>
  <si>
    <t xml:space="preserve">Tatjana </t>
  </si>
  <si>
    <t>Solodova</t>
  </si>
  <si>
    <t>Spicina Gaļina - ģimenes ārsta prakse</t>
  </si>
  <si>
    <t>Jaudzeme Oksana - ģimenes ārsta prakse</t>
  </si>
  <si>
    <t>Aleksandrova Natālija - ģimenes ārsta prakse</t>
  </si>
  <si>
    <t>Cikovska</t>
  </si>
  <si>
    <t>Dr. Ilzes Leimanes ģimenes ārstes prakse, SIA</t>
  </si>
  <si>
    <t>Leimane</t>
  </si>
  <si>
    <t>Veide Artūrs – ģimenes ārsta, arodslimību un arodveselības ārsta prakse</t>
  </si>
  <si>
    <t>16.08.2022-17.08.2022</t>
  </si>
  <si>
    <t>22.08.2022-26.08.2022; 29.08.2022-31.08.2022</t>
  </si>
  <si>
    <t>Šaripova</t>
  </si>
  <si>
    <t>Tambovceva</t>
  </si>
  <si>
    <t>Agita</t>
  </si>
  <si>
    <t>Gailīte</t>
  </si>
  <si>
    <t>Grīviņa Gita - ģimenes ārsta prakse</t>
  </si>
  <si>
    <t>Gita</t>
  </si>
  <si>
    <t>Grīviņa</t>
  </si>
  <si>
    <t>Bogdanova Gaļina - ģimenes ārsta prakse</t>
  </si>
  <si>
    <t>ARMONIA HEALTH, SIA</t>
  </si>
  <si>
    <t xml:space="preserve">Jeļena </t>
  </si>
  <si>
    <t>Kulakova</t>
  </si>
  <si>
    <t>Lailas Kudules ģimenes ārsta prakse</t>
  </si>
  <si>
    <t>Maļinovska</t>
  </si>
  <si>
    <t>Zandare-Legata Evija- ģimenes ārsta prakse</t>
  </si>
  <si>
    <t>Evija</t>
  </si>
  <si>
    <t>Zandare-Legata</t>
  </si>
  <si>
    <t>SIA "Vilitas Melbārdes ģimenes ārsta prakse"</t>
  </si>
  <si>
    <t>Maijas Purenkovas ģimenes ārsta prakse</t>
  </si>
  <si>
    <t>Maija</t>
  </si>
  <si>
    <t>Purenkova</t>
  </si>
  <si>
    <t xml:space="preserve">Daces Cibules ģimenes ārsta un internista prakse </t>
  </si>
  <si>
    <t xml:space="preserve">SIA „Zandas Oliņas Putenes ģimenes ārsta prakse” </t>
  </si>
  <si>
    <t xml:space="preserve">Zanda </t>
  </si>
  <si>
    <t>Oliņa - Putene</t>
  </si>
  <si>
    <t>SIA "Možums-1"</t>
  </si>
  <si>
    <t>Lindas Zēģeles ģimenes ārsta prakse</t>
  </si>
  <si>
    <t>Linda</t>
  </si>
  <si>
    <t>Zēģele</t>
  </si>
  <si>
    <t>Zanes Zitmanes ģimenes ārsta prakse</t>
  </si>
  <si>
    <t>01.08.2022-05.08.2022</t>
  </si>
  <si>
    <t>29.08.2022-31.08.2022</t>
  </si>
  <si>
    <t>Lapa Daina - ģimenes ārsta un arodveselības un arodslimību ārsta prakse</t>
  </si>
  <si>
    <t xml:space="preserve">Daina </t>
  </si>
  <si>
    <t>Lapa</t>
  </si>
  <si>
    <t>Briede Inese - ģimenes ārsta prakse</t>
  </si>
  <si>
    <t>Jerjomenko</t>
  </si>
  <si>
    <t>SIA "Ūnijas doktorāts"</t>
  </si>
  <si>
    <t>Ineses Briedes ģimenes ārsta prakse</t>
  </si>
  <si>
    <t>Briede</t>
  </si>
  <si>
    <t>Dainas Lapas ģimenes ārsta un arodveselības un arodslimību ārsta prakse</t>
  </si>
  <si>
    <t xml:space="preserve">01.08.2022-05.08.2022; </t>
  </si>
  <si>
    <t xml:space="preserve">SIA „D.Pastares prakse” </t>
  </si>
  <si>
    <t>SIA „M.Gavronskas ārsta prakse”</t>
  </si>
  <si>
    <t>Zeltiņa Anda - ģimenes ārsta prakse</t>
  </si>
  <si>
    <t>Zeltiņa</t>
  </si>
  <si>
    <t>Skudra Ilona - ģimenes ārsta prakse</t>
  </si>
  <si>
    <t xml:space="preserve">LAIMAS PRAKSE, SIA </t>
  </si>
  <si>
    <t>Upeniece</t>
  </si>
  <si>
    <t>Sokaļska Alla - ģimenes ārsta prakse</t>
  </si>
  <si>
    <t>Alla</t>
  </si>
  <si>
    <t>Sokaļska</t>
  </si>
  <si>
    <t>Valucka Tatjana - ģimenes ārsta prakse</t>
  </si>
  <si>
    <t>Elksne Livija - ģimenes ārsta prakse</t>
  </si>
  <si>
    <t>Livija</t>
  </si>
  <si>
    <t>Elksne</t>
  </si>
  <si>
    <t>Krastiņa Inese - ģimenes ārsta prakse</t>
  </si>
  <si>
    <t>Aijas Karlsones ģimenes ārsta prakse</t>
  </si>
  <si>
    <t xml:space="preserve">Aija </t>
  </si>
  <si>
    <t>Karlsone</t>
  </si>
  <si>
    <t>Ņeborakova Inga – ģimenes ārsta prakse</t>
  </si>
  <si>
    <t xml:space="preserve">SIA „Indras Mukānes ģimenes ārsta prakse”  </t>
  </si>
  <si>
    <t>Indra</t>
  </si>
  <si>
    <t>Mukāne</t>
  </si>
  <si>
    <t>SIA „Armandas Skrickas ģimenes ārsta prakse”</t>
  </si>
  <si>
    <t>Armanda</t>
  </si>
  <si>
    <t>Skricka</t>
  </si>
  <si>
    <t>Lidijas Laganovskas ģimenes ārsta prakse, SIA</t>
  </si>
  <si>
    <t>19.08.2022-26.08.2022</t>
  </si>
  <si>
    <t>30.08-31.08.2022</t>
  </si>
  <si>
    <t>L.Petražickas Doktorāts, SIA</t>
  </si>
  <si>
    <t>Petražicka</t>
  </si>
  <si>
    <t>Jeļenas Aizikovičas ģimenes ārsta prakse</t>
  </si>
  <si>
    <t>Gaļinas Kormiļicinas ģimenes ārsta prakse</t>
  </si>
  <si>
    <t>Kormiļicina</t>
  </si>
  <si>
    <t>ISMA, SIA</t>
  </si>
  <si>
    <t>Faridas Saļahovas ģimenes ārsta prakse</t>
  </si>
  <si>
    <t>Farida</t>
  </si>
  <si>
    <t>Saļahova</t>
  </si>
  <si>
    <t>Pāvela Dimenšteina ģimenes ārsta prakse</t>
  </si>
  <si>
    <t>Anželikas Kazarjanas ģimenes ārsta prakse</t>
  </si>
  <si>
    <t xml:space="preserve">Anželika </t>
  </si>
  <si>
    <t>Kazarjana</t>
  </si>
  <si>
    <t>SIA "Vitas Jirgensones ārsta prakse"</t>
  </si>
  <si>
    <t>22.08.2022-28.08.2022</t>
  </si>
  <si>
    <t>Fotiadu Nataļja - ģimenes ārsta prakse</t>
  </si>
  <si>
    <t>Fotiadu</t>
  </si>
  <si>
    <t>Astafjeva Veronika - ģimenes ārsta prakse</t>
  </si>
  <si>
    <t>Ingunas Strazdiņas ģimenes ārsta prakse</t>
  </si>
  <si>
    <t>Talente Guntra – ģimenes ārsta un arodveselības un arodslimību ārsta prakse</t>
  </si>
  <si>
    <t>Gavronska</t>
  </si>
  <si>
    <t>15.08-26.08.2022</t>
  </si>
  <si>
    <t>Tatjanas Koršunovas ģimenes ārsta prakse</t>
  </si>
  <si>
    <t>Koršunova</t>
  </si>
  <si>
    <t>Margaritas Balmanes ģimenes ārsta prakse</t>
  </si>
  <si>
    <t>Brigitas Veseles ģimenes ārsta prakse</t>
  </si>
  <si>
    <t>Brigita</t>
  </si>
  <si>
    <t>Vesele</t>
  </si>
  <si>
    <t>Iļmiras Kaļinkinas ģimenes ārsta prakse</t>
  </si>
  <si>
    <t xml:space="preserve">Iļmira </t>
  </si>
  <si>
    <t>Kiras Solovjovas ģimenes ārsta ārsta prakse</t>
  </si>
  <si>
    <t>Gizatullina Nataļja - ģimenes ārsta prakse</t>
  </si>
  <si>
    <t>Gizatullina</t>
  </si>
  <si>
    <t>Pogodina Jeļena  - ģimenes ārsta un internista prakse</t>
  </si>
  <si>
    <t>Ritvars</t>
  </si>
  <si>
    <t>Ziedonis</t>
  </si>
  <si>
    <t>Jekaterinas Gerķes ģimenes ārsta prakse, SIA</t>
  </si>
  <si>
    <t>Jekaterina</t>
  </si>
  <si>
    <t>Gerķe</t>
  </si>
  <si>
    <t>01.08.2022-14.08.2022</t>
  </si>
  <si>
    <t>Purina</t>
  </si>
  <si>
    <t>Proskurina Antoņina - ģimenes ārsta un ārsta prakse padziļināta elektrokardiogrāfijas metodē</t>
  </si>
  <si>
    <t xml:space="preserve">NMN Med, Sabiedrība ar ierobežotu atbildību  </t>
  </si>
  <si>
    <t>Nadīne</t>
  </si>
  <si>
    <t>Muciņa-Noreika</t>
  </si>
  <si>
    <t>SIA "NEOCORTEX"</t>
  </si>
  <si>
    <t xml:space="preserve">Zane </t>
  </si>
  <si>
    <t>Zitmane</t>
  </si>
  <si>
    <t xml:space="preserve">Malnača Dagmāra – ģimenes ārsta prakse </t>
  </si>
  <si>
    <t>Dagmāra</t>
  </si>
  <si>
    <t>Malnača</t>
  </si>
  <si>
    <t xml:space="preserve">Atpile Elita – ģimenes ārsta prakse </t>
  </si>
  <si>
    <t>Daigas Molodcovas ģimenes ārstu prakse</t>
  </si>
  <si>
    <t>Daiga</t>
  </si>
  <si>
    <t>Molodcova</t>
  </si>
  <si>
    <t>Dinas Lagzdiņas ģimenes ārsta prakse</t>
  </si>
  <si>
    <t>Matuševica</t>
  </si>
  <si>
    <t>Bubenko Ludmila - ģimenes ārsta prakse</t>
  </si>
  <si>
    <t>Bubenko</t>
  </si>
  <si>
    <t>Demčenkova Ņina - ģimenes ārsta prakse</t>
  </si>
  <si>
    <t>Larisas Urbanovičas ģimenes ārsta prakse</t>
  </si>
  <si>
    <t>Urbanoviča</t>
  </si>
  <si>
    <t xml:space="preserve">Boroviks Dmitrijs – ģimenes ārsta prakse </t>
  </si>
  <si>
    <t>Kārkliņa</t>
  </si>
  <si>
    <t>Davidovičs-Ščerbackis</t>
  </si>
  <si>
    <t>NMN Med, SIA</t>
  </si>
  <si>
    <t xml:space="preserve">Jeļizaveta </t>
  </si>
  <si>
    <t xml:space="preserve">Saidjaševa-Zajaca </t>
  </si>
  <si>
    <t>Larisas Zaharovas ģimenes ārsta un pediatra prakse, SIA</t>
  </si>
  <si>
    <t>Agitas Vaivades ģimenes ārsta un pediatra prakse</t>
  </si>
  <si>
    <t>Rīgas patversme</t>
  </si>
  <si>
    <t xml:space="preserve">Ilze </t>
  </si>
  <si>
    <t>Pozņaka</t>
  </si>
  <si>
    <t>Gončarova Larisa – ģimenes ārsta prakse</t>
  </si>
  <si>
    <t xml:space="preserve">Evita </t>
  </si>
  <si>
    <t>Langina</t>
  </si>
  <si>
    <t>SIA "Zanes Torbejevas ģimenes ārsta prakse"</t>
  </si>
  <si>
    <t>Torbejeva</t>
  </si>
  <si>
    <t>SIA "D.Pakalniņas Ģimenes ārsta prakse"</t>
  </si>
  <si>
    <t>Gredzena Aija - ģimenes ārsta prakse</t>
  </si>
  <si>
    <t>Gredzena</t>
  </si>
  <si>
    <t>M.Jakušenokas ārstu prakse, SIA</t>
  </si>
  <si>
    <t>Jeļenas Kudrjavcevas ģimenes ārsta un osteopāta prakse</t>
  </si>
  <si>
    <t>Kudrjavceva</t>
  </si>
  <si>
    <t>Daces Vikmanes ģimenes ārsta un pediatra prakse</t>
  </si>
  <si>
    <t>Edvīns</t>
  </si>
  <si>
    <t>Bunkas</t>
  </si>
  <si>
    <t>Aiva</t>
  </si>
  <si>
    <t xml:space="preserve">Doroško </t>
  </si>
  <si>
    <t>Maruta</t>
  </si>
  <si>
    <t>Bindre</t>
  </si>
  <si>
    <t>G.Ozolas ģimenes ārsta prakse, Sabiedrība ar ierobežotu atbildību</t>
  </si>
  <si>
    <t>Ozola</t>
  </si>
  <si>
    <t>Krauze Egita - ģimenes ārsta un pediatra prakse</t>
  </si>
  <si>
    <t>A.Ādamsona ģimenes ārsta prakse, SIA</t>
  </si>
  <si>
    <t>Alvis</t>
  </si>
  <si>
    <t>Ādamsons</t>
  </si>
  <si>
    <t>Žīgurs Jānis - ģimenes ārsta un arodveselības un arodslimību ārsta prakse</t>
  </si>
  <si>
    <t>Smeķe Aija - ģimenes ārsta prakse</t>
  </si>
  <si>
    <t>Smeķe</t>
  </si>
  <si>
    <t>Prindule Ilona -ģimenes ārsta prakse</t>
  </si>
  <si>
    <t>Jolanta</t>
  </si>
  <si>
    <t>Kravale</t>
  </si>
  <si>
    <t>Jansone Dace - ģimenes ārsta prakse</t>
  </si>
  <si>
    <t>Luguzis Egīls - ģimenes ārsta prakse</t>
  </si>
  <si>
    <t>Egīls</t>
  </si>
  <si>
    <t>Luguzis</t>
  </si>
  <si>
    <t>ANITAS KLŪGAS DOKTORĀTS, SIA</t>
  </si>
  <si>
    <t>Klūga</t>
  </si>
  <si>
    <t>Kreicberga Dace - ģimenes ārsta prakse</t>
  </si>
  <si>
    <t>Ludmilas Skrjabinas ārsta prakse, Sabiedrība ar ierobežotu atbildību</t>
  </si>
  <si>
    <t>Skrjabina</t>
  </si>
  <si>
    <t>Ilzes Rudko ārsta prakse, Sabiedrība ar ierobežotu atbildību</t>
  </si>
  <si>
    <t>Ornellas Smirnovas ģimenes ārsta prakse, SIA</t>
  </si>
  <si>
    <t>Ornella</t>
  </si>
  <si>
    <t>Smirnova</t>
  </si>
  <si>
    <t>VIMED, Sabiedrība ar ierobežotu atbildību</t>
  </si>
  <si>
    <t>Bosko Marija - ģimenes ārsta prakse</t>
  </si>
  <si>
    <t>Marija</t>
  </si>
  <si>
    <t>Bosko</t>
  </si>
  <si>
    <t>Valijas Nagņibedas ģimenes ārsta prakse, SIA</t>
  </si>
  <si>
    <t>Beires prakse, Sabiedrība ar ierobežotu atbildību</t>
  </si>
  <si>
    <t>Evelīna</t>
  </si>
  <si>
    <t>Beire</t>
  </si>
  <si>
    <t>Ķuze Anna - ģimenes ārsta prakse</t>
  </si>
  <si>
    <t>Novicāne Silva - ģimenes ārsta prakse</t>
  </si>
  <si>
    <t>Silva</t>
  </si>
  <si>
    <t>Novicāne</t>
  </si>
  <si>
    <t>Šulce Ināra - ģimenes ārsta, neirologa un arodveselības un arodslimību ārsta prakse</t>
  </si>
  <si>
    <t>Veselības centrs "Džūkste", SIA</t>
  </si>
  <si>
    <t>Lubgāne</t>
  </si>
  <si>
    <t>Anitas Selezņevas ģimenes ārsta prakse, SIA</t>
  </si>
  <si>
    <t>Selezņeva</t>
  </si>
  <si>
    <t>Urbanoviča Anita - ģimenes ārsta prakse</t>
  </si>
  <si>
    <t>Daina</t>
  </si>
  <si>
    <t>Vivejas Epiņas ģimenes ārsta prakse, SIA</t>
  </si>
  <si>
    <t>Viveja</t>
  </si>
  <si>
    <t>Epiņa</t>
  </si>
  <si>
    <t xml:space="preserve">Jelgavas doktorāts, SIA </t>
  </si>
  <si>
    <t>Kauliņa Anna - ģimenes ārsta un arodveselības un arodslimību ārsta prakse</t>
  </si>
  <si>
    <t>Kauliņa</t>
  </si>
  <si>
    <t>Dobulāne</t>
  </si>
  <si>
    <t>Piļipčuka Tatjana - ģimenes ārsta un neirologa prakse</t>
  </si>
  <si>
    <t>Piļipčuka</t>
  </si>
  <si>
    <t>Unas Leitānes ģimenes ārsta prakse, SIA</t>
  </si>
  <si>
    <t>Ina</t>
  </si>
  <si>
    <t>Mortukāne</t>
  </si>
  <si>
    <t>Zaderņuka Inesa - ģimenes ārsta prakse</t>
  </si>
  <si>
    <t>Inesa</t>
  </si>
  <si>
    <t>Zaderņuka</t>
  </si>
  <si>
    <t>Sandras Lapsas-Ārentas ģimenes ārstes prakse, Sabiedrība ar ierobežotu atbildību</t>
  </si>
  <si>
    <t>Pūpols Aigars - ģimenes ārsta prakse</t>
  </si>
  <si>
    <t>Aigars</t>
  </si>
  <si>
    <t>Pūpols</t>
  </si>
  <si>
    <t>Zaigas Rones ģimenes ārsta prakse, SIA</t>
  </si>
  <si>
    <t>Ostašova Māra - ģimenes ārsta prakse</t>
  </si>
  <si>
    <t>Māra</t>
  </si>
  <si>
    <t>Ostašova</t>
  </si>
  <si>
    <t>Āboliņš Mārtiņš - ģimenes ārsta un internista prakse</t>
  </si>
  <si>
    <t>19.09.2022.</t>
  </si>
  <si>
    <t>30.09.2022.</t>
  </si>
  <si>
    <t>16.09.2022.</t>
  </si>
  <si>
    <t>22.09.2022.</t>
  </si>
  <si>
    <t>DNL</t>
  </si>
  <si>
    <t>Novikova</t>
  </si>
  <si>
    <t>05.09.2022.</t>
  </si>
  <si>
    <t>14.09.2022.</t>
  </si>
  <si>
    <t>20.09.2022.</t>
  </si>
  <si>
    <t>Celmiņa Ināra - ģimenes ārsta prakse</t>
  </si>
  <si>
    <t>Celmiņa</t>
  </si>
  <si>
    <t>Ā.Ancānes ģimenes ārsta prakse, SIA</t>
  </si>
  <si>
    <t>Kudule</t>
  </si>
  <si>
    <t>Guntra</t>
  </si>
  <si>
    <t>Talente</t>
  </si>
  <si>
    <t>Laimdotas Berķes-Bergas ģimenes ārsta prakse</t>
  </si>
  <si>
    <t>Laimdota</t>
  </si>
  <si>
    <t>Berķe-Berga</t>
  </si>
  <si>
    <t>Annas Skribnovskas ģimenes ārsta prakse</t>
  </si>
  <si>
    <t>Angel Plus, Sabiedrība ar ierobežotu atbildību</t>
  </si>
  <si>
    <t>Anžela</t>
  </si>
  <si>
    <t>Leite</t>
  </si>
  <si>
    <t>25.09.2022.</t>
  </si>
  <si>
    <t>26.09.2022.</t>
  </si>
  <si>
    <t xml:space="preserve"> Rukavišņikova</t>
  </si>
  <si>
    <t>Miķelsone Astra – ģimenes ārsta un arodveselības un arodslimību ārsta prakse</t>
  </si>
  <si>
    <t>Astra</t>
  </si>
  <si>
    <t>Miķelsone</t>
  </si>
  <si>
    <t>Sanitas Dzenes ģimenes ārsta prakse</t>
  </si>
  <si>
    <t>12.09.2022-20.09.2022</t>
  </si>
  <si>
    <t>26.09.2022-30.09.2022</t>
  </si>
  <si>
    <t>Ivetas Teleženko ģimenes ārsta prakse</t>
  </si>
  <si>
    <t>Teleženko</t>
  </si>
  <si>
    <t>Karīnas Kaņepes ģimenes ārsta prakse</t>
  </si>
  <si>
    <t>Zanes Torbejevas ģimenes ārsta prakse, SIA</t>
  </si>
  <si>
    <t>D.Pakalniņas Ģimenes ārsta prakse, SIA</t>
  </si>
  <si>
    <t>ISMA SIA</t>
  </si>
  <si>
    <t>Šmaukstele</t>
  </si>
  <si>
    <t>Kormiļicina Gaļina - ģimenes ārsta prakse</t>
  </si>
  <si>
    <t>ANJE, SIA</t>
  </si>
  <si>
    <t>Andra</t>
  </si>
  <si>
    <t>Jemeļjanova</t>
  </si>
  <si>
    <t>Bondare Krista - ģimenes ārsta prakse</t>
  </si>
  <si>
    <t>Jansone Sanita - ģimenes ārsta prakse</t>
  </si>
  <si>
    <t>Sanita</t>
  </si>
  <si>
    <t>Līgas Purmales ģimenes ārstes prakse, SIA</t>
  </si>
  <si>
    <t>Putriņa Līga -ģimenes ārsta un pediatra prakse</t>
  </si>
  <si>
    <t>Putriņa</t>
  </si>
  <si>
    <t>Kļaviņa Ritma -ģimenes ārsta prakse</t>
  </si>
  <si>
    <t>Vīķele Rasma - ģimenes ārsta prakse</t>
  </si>
  <si>
    <t>Rasma</t>
  </si>
  <si>
    <t>Vīķele</t>
  </si>
  <si>
    <t>Zondaka Natālija - ārsta internista prakse</t>
  </si>
  <si>
    <t>Slukina Tatjana - ģimenes ārsta prakse</t>
  </si>
  <si>
    <t>Pujate Rasma -ģimenes ārsta prakse</t>
  </si>
  <si>
    <t>Pujate</t>
  </si>
  <si>
    <t>DAMIA, Sabiedrība ar ierobežotu atbildību</t>
  </si>
  <si>
    <t>Slukina</t>
  </si>
  <si>
    <t>Matisone Inese - ģimenes ārsta prakse</t>
  </si>
  <si>
    <t>Matisone</t>
  </si>
  <si>
    <t>Rudko</t>
  </si>
  <si>
    <t>01.09.2022-02.09.2022</t>
  </si>
  <si>
    <t>22.09.2022-30.09.2022</t>
  </si>
  <si>
    <t>Mantons Uldis - ģimenes ārsta prakse</t>
  </si>
  <si>
    <t>Uldis</t>
  </si>
  <si>
    <t>Mantons</t>
  </si>
  <si>
    <t>A.Jurovas ģimenes ārsta prakse, SIA</t>
  </si>
  <si>
    <t>Ose Māra - ģimenes ārsta prakse</t>
  </si>
  <si>
    <t>Ose</t>
  </si>
  <si>
    <t>Broniča Sandra - ģimenes ārsta prakse</t>
  </si>
  <si>
    <t>Apeināne Inga - ģimenes ārsta prakse</t>
  </si>
  <si>
    <t>Staņa Ināra - ģimenes ārsta prakse</t>
  </si>
  <si>
    <t>Staņa</t>
  </si>
  <si>
    <t>Vijas Freimanes ārsta prakse, Sabiedrība ar ierobežotu atbildību</t>
  </si>
  <si>
    <t>Elste Anda - ģimenes ārsta prakse</t>
  </si>
  <si>
    <t>Elste</t>
  </si>
  <si>
    <t>Mauliņš Ziedonis - ģimenes ārsta un arodveselības un arodslimību ārsta prakse</t>
  </si>
  <si>
    <t>1.pielikums MK rīkojuma projekta “Par finanšu līdzekļu piešķiršanu no valsts budžeta programmas “Līdzekļi neparedzētiem gadījumiem”” anotācijai</t>
  </si>
  <si>
    <t>2.pielikums MK rīkojuma projekta “Par finanšu līdzekļu piešķiršanu no valsts budžeta programmas “Līdzekļi neparedzētiem gadījumiem”” anotācijai</t>
  </si>
  <si>
    <t>3.pielikums MK rīkojuma projekta “Par finanšu līdzekļu piešķiršanu no valsts budžeta programmas “Līdzekļi neparedzētiem gadījumiem”” anotācijai</t>
  </si>
  <si>
    <t>4.pielikums MK rīkojuma projekta “Par finanšu līdzekļu piešķiršanu no valsts budžeta programmas “Līdzekļi neparedzētiem gadījumiem”” anotācijai</t>
  </si>
  <si>
    <t>Saskaņā ar kārtību par maksājuma piešķiršanu ģimenes ārstu aizvietošanai atvaļinājuma un slimības gadījumā (Līguma par primārās veselības  aprūpes pakalpojumu sniegšanu un apmaksu 6.1.27.punkts) maksājuma apmēru par iepriekšējo kalendāro mēnesi Nacionālais veselības dienests aprēķina, reizinot vienas darba dienas izmaksas no 2022.gada finanšu paziņojumā norādītās  IZPILDĪTĀJA plānotas 2022.gadam kapitācijas naudas apjoma, kura  izdalīta ar darba dienu skaitu 2022. gadā un to reizinot ar IZPILDĪTĀJA apliecinājumā norādīto prombūtnes darba dienu skaitu, kad ģimenes ārsts tika aizvietots atvaļinājumā vai darbnespējas lapas A gadījumā. 2022.gadā ir 253 darba dienas. Maksājuma apmērs par laikposmu no 2022.gada 1.janvāra līdz 31.decembrim nevar pārsniegt vienam  ģimenes ārstam viena mēneša kapitācijas naudas apjomu.</t>
  </si>
  <si>
    <t>tai skaitā, sadalījumā pa EKK</t>
  </si>
  <si>
    <t>Netiek maksāts, jo sasniegts kapitācijas naudas viena mēneša apmērs.</t>
  </si>
  <si>
    <t>Summa par jūliju mazāka, jo sasniegts kapitācijas naudas viena mēneša apmērs.</t>
  </si>
  <si>
    <t xml:space="preserve">Aizvietošana jūnija mēnesī  </t>
  </si>
  <si>
    <t>euro</t>
  </si>
  <si>
    <r>
      <t xml:space="preserve">MK 14.07.2022. protokollēmuma “Informatīvais ziņojums “Par veselības aprūpes nozares iziešanu no Covid-19 izraisītās krīzes 2021/22. gada rudens/ziemas periodā un gatavošanos 2022/23. gada rudens/ziemas scenārijiem”” (Nr.36 115.§) 2.punkts, ar kuru MK ir pieņēmis zināšanai, ka VM informatīvajā ziņojumā pamatbāzē (nodrošinot gatavības režīmu veselības aprūpes sistēmā) minēto pasākumu Covid-19 izplatības mazināšanai īstenošanu segs no likumā “Par valsts budžetu 2022.gadam” 74. resora programmā 12.00.00 “Finansējums veselības jomas pasākumiem Covid-19 infekcijas izplatības ierobežošanai” rezervētā finansējuma un, </t>
    </r>
    <r>
      <rPr>
        <b/>
        <sz val="11"/>
        <color theme="1"/>
        <rFont val="Times New Roman"/>
        <family val="1"/>
      </rPr>
      <t>ņemot vērā faktisko līdzekļu izpildi no atbilstoši MK rīkojumiem 2022.g. no valsts budžeta programmas 02.00.00 “Līdzekļi neparedzētiem gadījumiem” jau piešķirtā finansējuma atlikumiem, atbilstoši faktiskajai nepieciešamībai 2022.g. II pusgadā</t>
    </r>
    <r>
      <rPr>
        <sz val="11"/>
        <color theme="1"/>
        <rFont val="Times New Roman"/>
        <family val="1"/>
      </rPr>
      <t>.</t>
    </r>
  </si>
  <si>
    <r>
      <t xml:space="preserve">130 801 </t>
    </r>
    <r>
      <rPr>
        <i/>
        <sz val="11"/>
        <rFont val="Times New Roman"/>
        <family val="1"/>
      </rPr>
      <t>euro</t>
    </r>
    <r>
      <rPr>
        <sz val="11"/>
        <rFont val="Times New Roman"/>
        <family val="1"/>
      </rPr>
      <t>, lai segtu ģimenes ārstu praksēm radušos izdevumus par ģimenes ārstu aizvietošanas nodrošināšanu laikposmā no 2022.gada 1.aprīļa līdz 2022.gada 31.maijam.</t>
    </r>
  </si>
  <si>
    <r>
      <t xml:space="preserve">142 501 </t>
    </r>
    <r>
      <rPr>
        <i/>
        <sz val="11"/>
        <rFont val="Times New Roman"/>
        <family val="1"/>
      </rPr>
      <t>euro</t>
    </r>
    <r>
      <rPr>
        <sz val="11"/>
        <rFont val="Times New Roman"/>
        <family val="1"/>
      </rPr>
      <t>, lai segtu ģimenes ārstu praksēm radušos izdevumus par ģimenes ārstu aizvietošanas nodrošināšanu 2022.gada jūnijā.</t>
    </r>
  </si>
  <si>
    <t>FM 25.05.2022 rīkojums Nr.324</t>
  </si>
  <si>
    <t>FM 19.07.2022 rīkojums Nr.449</t>
  </si>
  <si>
    <t>FM 07.09.2022 rīkojums Nr.534</t>
  </si>
  <si>
    <r>
      <t xml:space="preserve">46 015 </t>
    </r>
    <r>
      <rPr>
        <i/>
        <sz val="11"/>
        <color theme="1"/>
        <rFont val="Times New Roman"/>
        <family val="1"/>
      </rPr>
      <t>euro</t>
    </r>
    <r>
      <rPr>
        <sz val="11"/>
        <color theme="1"/>
        <rFont val="Times New Roman"/>
        <family val="1"/>
      </rPr>
      <t>, lai segtu ģimenes ārstu praksēm radušos izdevumus par ģimenes ārstu aizvietošanas nodrošināšanu laikposmā no 2022.gada 1.janvāra līdz 2022.gada 31.martam.</t>
    </r>
  </si>
  <si>
    <r>
      <t xml:space="preserve">Finanšu ministrijai (turpmāk - FM) no valsts budžeta programmas 02.00.00 "Līdzekļi neparedzētiem gadījumiem" piešķirt Veselības ministrijai (turpmāk - VM) (Nacionālajam veselības dienestam) finansējumu, kas nepārsniedz 2 519 496 euro, samaksai ģimenes ārstu praksēm par ģimenes ārstu aizvietošanas nodrošināšanu </t>
    </r>
    <r>
      <rPr>
        <b/>
        <sz val="11"/>
        <color theme="1"/>
        <rFont val="Times New Roman"/>
        <family val="1"/>
      </rPr>
      <t>laikposmā no 2022.gada 1.janvāra līdz 2022.gada 30.jūnijam.</t>
    </r>
  </si>
  <si>
    <t>Prognoze izlietojumam 2022.gada oktobrī - decembrī:</t>
  </si>
  <si>
    <t>Summa par augustu mazāka, jo sasniegts kapitācijas naudas viena mēneša apmērs.</t>
  </si>
  <si>
    <t>t.sk. no 24.08. līdz 30.08. DNL A, Summa par augustu mazāka, jo sasniegts kapitācijas naudas viena mēneša apmērs.</t>
  </si>
  <si>
    <t>Samaksa par septembri, euro
(EKK 3000)</t>
  </si>
  <si>
    <t>no 04.07.2022 līdz 08.07.2022 DNL lapa</t>
  </si>
  <si>
    <r>
      <t xml:space="preserve">MK 14.07.2022. protokollēmuma “Noteikumu projekts “Grozījumi Ministru kabineta 2018. gada 28. augusta noteikumos Nr. 555 “Veselības aprūpes pakalpojumu organizēšanas un samaksas kārtība”” (Nr.36 91.§) 4.punkts, kurā ir noteikts, ka noteikumu 262.1., 262.4., 262.5. apakšpunktā un 263., 265., 267., 268. un 270. punktā iekļautajiem pasākumiem, kas ir  radušies saistībā ar Covid - 19 uzliesmojumu un seku novēršanu </t>
    </r>
    <r>
      <rPr>
        <b/>
        <sz val="11"/>
        <color theme="1"/>
        <rFont val="Times New Roman"/>
        <family val="1"/>
      </rPr>
      <t>2022. gada oktobrī, novembrī un decembrī ir veicams avansa</t>
    </r>
    <r>
      <rPr>
        <sz val="11"/>
        <color theme="1"/>
        <rFont val="Times New Roman"/>
        <family val="1"/>
      </rPr>
      <t xml:space="preserve"> </t>
    </r>
    <r>
      <rPr>
        <b/>
        <sz val="11"/>
        <color theme="1"/>
        <rFont val="Times New Roman"/>
        <family val="1"/>
      </rPr>
      <t>norēķins</t>
    </r>
    <r>
      <rPr>
        <sz val="11"/>
        <color theme="1"/>
        <rFont val="Times New Roman"/>
        <family val="1"/>
      </rPr>
      <t xml:space="preserve"> ne vairāk kā 10 006 081 euro apmērā, sedzot no  likumā "Par valsts budžetu 2022. gadam" 74.resora programmā 12.00.00 "Finansējums veselības jomas pasākumiem Covid-19 infekcijas izplatības ierobežošanai" rezervētā finansējuma un, </t>
    </r>
    <r>
      <rPr>
        <b/>
        <sz val="11"/>
        <color theme="1"/>
        <rFont val="Times New Roman"/>
        <family val="1"/>
      </rPr>
      <t>ņemot vērā faktisko līdzekļu izpildi, no atbilstoši Ministru kabineta rīkojumiem 2022.gadā no valsts budžeta programmas 02.00.00 "Līdzekļi neparedzētiem gadījumiem" jau piešķirtā finansējuma atlikumiem.</t>
    </r>
  </si>
  <si>
    <r>
      <t xml:space="preserve">MK 14.07.2022. protokollēmuma “Noteikumu projekts “Grozījumi Ministru kabineta 2018. gada 28. augusta noteikumos Nr. 555 “Veselības aprūpes pakalpojumu organizēšanas un samaksas kārtība”” (Nr.36 91.§) 3.punkts, kurā ir noteikts, ka Noteikumu 262.1., 262.4., 262.5. apakšpunktā un 263., 265., 267., 268. un 270. punktā iekļautajiem pasākumiem, kas radušies saistībā ar Covid - 19 uzliesmojumu un seku novēršanu </t>
    </r>
    <r>
      <rPr>
        <b/>
        <sz val="11"/>
        <color theme="1"/>
        <rFont val="Times New Roman"/>
        <family val="1"/>
      </rPr>
      <t>2022. gada jūlijā, augustā un septembrī</t>
    </r>
    <r>
      <rPr>
        <sz val="11"/>
        <color theme="1"/>
        <rFont val="Times New Roman"/>
        <family val="1"/>
      </rPr>
      <t xml:space="preserve">, </t>
    </r>
    <r>
      <rPr>
        <b/>
        <sz val="11"/>
        <color theme="1"/>
        <rFont val="Times New Roman"/>
        <family val="1"/>
      </rPr>
      <t>nepieciešamos izdevumus</t>
    </r>
    <r>
      <rPr>
        <sz val="11"/>
        <color theme="1"/>
        <rFont val="Times New Roman"/>
        <family val="1"/>
      </rPr>
      <t xml:space="preserve"> ne vairāk kā 10 006 084 </t>
    </r>
    <r>
      <rPr>
        <i/>
        <sz val="11"/>
        <color theme="1"/>
        <rFont val="Times New Roman"/>
        <family val="1"/>
      </rPr>
      <t>euro</t>
    </r>
    <r>
      <rPr>
        <sz val="11"/>
        <color theme="1"/>
        <rFont val="Times New Roman"/>
        <family val="1"/>
      </rPr>
      <t xml:space="preserve"> apmērā segt no likumā “Par valsts budžetu 2022. gadam” 74.resora programmā 12.00.00 “Finansējums veselības jomas pasākumiem Covid - 19 infekcijas izplatības ierobežošanai” rezervētā finansējuma un, </t>
    </r>
    <r>
      <rPr>
        <b/>
        <sz val="11"/>
        <color theme="1"/>
        <rFont val="Times New Roman"/>
        <family val="1"/>
      </rPr>
      <t>ņemot vērā faktisko līdzekļu izpildi, no atbilstoši MK rīkojumiem 2022.gadā no valsts budžeta programmas 02.00.00 “Līdzekļi neparedzētiem gadījumiem” jau piešķirtā finansējuma atlikumiem.</t>
    </r>
  </si>
  <si>
    <r>
      <rPr>
        <b/>
        <sz val="11"/>
        <color theme="1"/>
        <rFont val="Times New Roman"/>
        <family val="1"/>
      </rPr>
      <t>Vidēji mēnesī</t>
    </r>
    <r>
      <rPr>
        <sz val="11"/>
        <color theme="1"/>
        <rFont val="Times New Roman"/>
        <family val="1"/>
      </rPr>
      <t xml:space="preserve"> (nemot vērā faktisko izlietojumu pirmajos 9 mēnešos)</t>
    </r>
  </si>
  <si>
    <t>Kopsavilkums par rīkojuma projektā “Par finanšu līdzekļu piešķiršanu no valsts budžeta programmas “Līdzekļi neparedzētiem gadījumiem”” pieprasāmo finansējumu</t>
  </si>
  <si>
    <t>KOPĀ FAKTISKAIS izlietojums laikposmā no 2022. gada jūlija līdz septembrim:</t>
  </si>
  <si>
    <t>KOPĀ faktiski piešķirts ar FM rīkojumiem MK 22.02.2022 rīkojuma Nr.127 izpildei laikposmā no 2022. gada 1. janvāra līdz 2022. gada 30. jūnijam:</t>
  </si>
  <si>
    <r>
      <rPr>
        <b/>
        <sz val="11"/>
        <color theme="1"/>
        <rFont val="Times New Roman"/>
        <family val="1"/>
      </rPr>
      <t>Iezīmēts</t>
    </r>
    <r>
      <rPr>
        <sz val="11"/>
        <color theme="1"/>
        <rFont val="Times New Roman"/>
        <family val="1"/>
      </rPr>
      <t xml:space="preserve"> </t>
    </r>
    <r>
      <rPr>
        <b/>
        <sz val="11"/>
        <color theme="1"/>
        <rFont val="Times New Roman"/>
        <family val="1"/>
      </rPr>
      <t>ar</t>
    </r>
    <r>
      <rPr>
        <sz val="11"/>
        <color theme="1"/>
        <rFont val="Times New Roman"/>
        <family val="1"/>
      </rPr>
      <t xml:space="preserve"> </t>
    </r>
    <r>
      <rPr>
        <b/>
        <sz val="11"/>
        <color theme="1"/>
        <rFont val="Times New Roman"/>
        <family val="1"/>
      </rPr>
      <t>Ministru kabineta (turpmāk - MK) 22.02.2022 rīkojumu Nr.127</t>
    </r>
    <r>
      <rPr>
        <sz val="11"/>
        <color theme="1"/>
        <rFont val="Times New Roman"/>
        <family val="1"/>
      </rPr>
      <t xml:space="preserve"> (prot. Nr.9 35.§) "Par finanšu līdzekļu piešķiršanu no valsts budžeta programmas "Līdzekļi neparedzētiem gadījumiem"":</t>
    </r>
  </si>
  <si>
    <t>Faktiski piešķirts ar FM rīkojumiem:</t>
  </si>
  <si>
    <t>Faktiskais atlikums MK 22.02.2022 rīkojuma Nr.127 izpildē uz rīkojuma perioda beigām (I pusgadā):</t>
  </si>
  <si>
    <t>MK pieņemtie lēmumi sākot ar 01.07.2022:</t>
  </si>
  <si>
    <r>
      <t xml:space="preserve">MK 28.08.2018. noteikumu Nr. 555 “Veselības aprūpes pakalpojumu organizēšanas un samaksas kārtība”” </t>
    </r>
    <r>
      <rPr>
        <b/>
        <sz val="11"/>
        <color theme="1"/>
        <rFont val="Times New Roman"/>
        <family val="1"/>
      </rPr>
      <t>265.1.punkts: līdz 2022. gada 31. decembrim</t>
    </r>
    <r>
      <rPr>
        <sz val="11"/>
        <color theme="1"/>
        <rFont val="Times New Roman"/>
        <family val="1"/>
      </rPr>
      <t xml:space="preserve"> </t>
    </r>
    <r>
      <rPr>
        <b/>
        <sz val="11"/>
        <color theme="1"/>
        <rFont val="Times New Roman"/>
        <family val="1"/>
      </rPr>
      <t>dienests apmaksā</t>
    </r>
    <r>
      <rPr>
        <sz val="11"/>
        <color theme="1"/>
        <rFont val="Times New Roman"/>
        <family val="1"/>
      </rPr>
      <t xml:space="preserve"> līgumā ar dienestu noteiktajā kārtībā – </t>
    </r>
    <r>
      <rPr>
        <b/>
        <sz val="11"/>
        <color theme="1"/>
        <rFont val="Times New Roman"/>
        <family val="1"/>
      </rPr>
      <t>ģimenes ārsta aizvietošanas nodrošināšanu</t>
    </r>
    <r>
      <rPr>
        <sz val="11"/>
        <color theme="1"/>
        <rFont val="Times New Roman"/>
        <family val="1"/>
      </rPr>
      <t xml:space="preserve"> atvaļinājuma laikā un darbnespējas lapas A gadījumā, ja ģimenes ārsta prombūtnes laikā tiek nodrošināta ģimenes ārsta pakalpojumu pieejamība pacientiem (Nr.36 91.§).</t>
    </r>
  </si>
  <si>
    <t>MK 14.07.2022. prot. Nr.36 115.§</t>
  </si>
  <si>
    <t>MK 14.07.2022. prot. Nr.36 91.§</t>
  </si>
  <si>
    <r>
      <rPr>
        <b/>
        <sz val="11"/>
        <color theme="1"/>
        <rFont val="Times New Roman"/>
        <family val="1"/>
      </rPr>
      <t>Faktiskais izlietojums</t>
    </r>
    <r>
      <rPr>
        <sz val="11"/>
        <color theme="1"/>
        <rFont val="Times New Roman"/>
        <family val="1"/>
      </rPr>
      <t xml:space="preserve"> atbilstoši MK 28.08.2018. noteikumu Nr. 555 265.1.punktam </t>
    </r>
    <r>
      <rPr>
        <b/>
        <sz val="11"/>
        <color theme="1"/>
        <rFont val="Times New Roman"/>
        <family val="1"/>
      </rPr>
      <t xml:space="preserve">sākot ar 01.07.2022 </t>
    </r>
    <r>
      <rPr>
        <sz val="11"/>
        <color theme="1"/>
        <rFont val="Times New Roman"/>
        <family val="1"/>
      </rPr>
      <t>(līdzekļu sadalījums maksājumam ģimenes ārstu aizvietošanai atvaļinājuma un slimības gadījumā 2022.gada II pusgadā):</t>
    </r>
  </si>
  <si>
    <t>2022.gada jūlijā</t>
  </si>
  <si>
    <t>2022.gada augustā</t>
  </si>
  <si>
    <t>2022.gada septembrī</t>
  </si>
  <si>
    <t>PAVISAM KOPĀ ar rīkojuma projektu pieprasāmais finansējums:</t>
  </si>
  <si>
    <t>Faktiski izmaksātas summas aprēķins tiks koriģēts oktobra maksājumā (oktobra rēķinā tiks veiktas korekcijas, piemaksājot 1483 euro). Aizvieto divi ārsti. Rutkovskis Stanislavs apkalpo pieaugušos, bet Irēna Petrāne - bērnus.</t>
  </si>
  <si>
    <t>Summa par septembri mazāka, jo sasniegts kapitācijas naudas viena mēneša apmērs.</t>
  </si>
  <si>
    <r>
      <t xml:space="preserve">Kapitācijas naudas apjoms 2022. gadam, </t>
    </r>
    <r>
      <rPr>
        <b/>
        <i/>
        <sz val="12"/>
        <rFont val="Times New Roman"/>
        <family val="1"/>
      </rPr>
      <t>euro</t>
    </r>
  </si>
  <si>
    <r>
      <t xml:space="preserve">Kapitācijas nauda uz 1 mēnesi (nedrikst pārsniegt par visu periodu), </t>
    </r>
    <r>
      <rPr>
        <b/>
        <i/>
        <sz val="12"/>
        <rFont val="Times New Roman"/>
        <family val="1"/>
      </rPr>
      <t>euro</t>
    </r>
  </si>
  <si>
    <r>
      <t xml:space="preserve">Jau izmaksāts par 2022.g. janvāri-jūniju, </t>
    </r>
    <r>
      <rPr>
        <b/>
        <i/>
        <sz val="12"/>
        <rFont val="Times New Roman"/>
        <family val="1"/>
      </rPr>
      <t>euro</t>
    </r>
  </si>
  <si>
    <r>
      <t xml:space="preserve">Samaksa par 2022.g. jūliju, </t>
    </r>
    <r>
      <rPr>
        <b/>
        <i/>
        <sz val="12"/>
        <rFont val="Times New Roman"/>
        <family val="1"/>
      </rPr>
      <t>euro</t>
    </r>
  </si>
  <si>
    <r>
      <t xml:space="preserve">Jau izmaksāts par 2022.g. janvāri-jūliju, </t>
    </r>
    <r>
      <rPr>
        <b/>
        <i/>
        <sz val="12"/>
        <rFont val="Times New Roman"/>
        <family val="1"/>
      </rPr>
      <t>euro</t>
    </r>
  </si>
  <si>
    <r>
      <t xml:space="preserve">Samaksa par augustu, </t>
    </r>
    <r>
      <rPr>
        <b/>
        <i/>
        <sz val="12"/>
        <rFont val="Times New Roman"/>
        <family val="1"/>
      </rPr>
      <t>euro</t>
    </r>
  </si>
  <si>
    <r>
      <t xml:space="preserve">Jau izmaksāts par janvāri-augustu, </t>
    </r>
    <r>
      <rPr>
        <b/>
        <i/>
        <sz val="12"/>
        <rFont val="Times New Roman"/>
        <family val="1"/>
      </rPr>
      <t>euro</t>
    </r>
  </si>
  <si>
    <t>Līdzekļu sadalījums maksājumam ģimenes ārstu aizvietošanai atvaļinājuma un slimības gadījumā 2022.gada septembrī</t>
  </si>
  <si>
    <t>Līdzekļu sadalījums maksājumam ģimenes ārstu aizvietošanai atvaļinājuma un slimības gadījumā 2022.gada jūlijā</t>
  </si>
  <si>
    <t>KOPĀ AVANSĀ pieprasāmais finansējums 2022.gada oktobrim - novembrim:</t>
  </si>
  <si>
    <t>Prognozētais MK 22.02.2022 rīkojuma Nr.127 (prot. Nr.9 35.§) 2022.gadā atlikušais neizlietotais finansējums:</t>
  </si>
  <si>
    <t>KOPĀ pieprasāmais indikatīvais finansējums 2023.gadā (tiks pieprasīts 2023.gadā atbilstoši faktiskajam izlietojumam 2022.gada decembrī):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</si>
</sst>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charset val="186"/>
      <scheme val="minor"/>
    </font>
    <font>
      <sz val="11"/>
      <color theme="1"/>
      <name val="Calibri"/>
      <family val="2"/>
      <charset val="186"/>
      <scheme val="minor"/>
    </font>
    <font>
      <sz val="10"/>
      <color theme="1"/>
      <name val="Times New Roman"/>
      <family val="1"/>
    </font>
    <font>
      <b/>
      <sz val="12"/>
      <color theme="1"/>
      <name val="Times New Roman"/>
      <family val="1"/>
    </font>
    <font>
      <sz val="11"/>
      <color theme="1"/>
      <name val="Calibri"/>
      <family val="2"/>
      <scheme val="minor"/>
    </font>
    <font>
      <sz val="10"/>
      <name val="Times New Roman"/>
      <family val="1"/>
    </font>
    <font>
      <sz val="11"/>
      <name val="Times New Roman"/>
      <family val="1"/>
      <charset val="186"/>
    </font>
    <font>
      <sz val="10"/>
      <name val="Arial"/>
      <family val="2"/>
      <charset val="186"/>
    </font>
    <font>
      <sz val="10"/>
      <name val="Times New Roman"/>
      <family val="1"/>
      <charset val="186"/>
    </font>
    <font>
      <b/>
      <sz val="10"/>
      <name val="Times New Roman"/>
      <family val="1"/>
      <charset val="186"/>
    </font>
    <font>
      <b/>
      <sz val="10"/>
      <name val="Times New Roman"/>
      <family val="1"/>
    </font>
    <font>
      <sz val="11"/>
      <color theme="1"/>
      <name val="Times New Roman"/>
      <family val="1"/>
    </font>
    <font>
      <sz val="11"/>
      <name val="Times New Roman"/>
      <family val="1"/>
    </font>
    <font>
      <b/>
      <sz val="11"/>
      <color theme="1"/>
      <name val="Times New Roman"/>
      <family val="1"/>
    </font>
    <font>
      <i/>
      <sz val="11"/>
      <color theme="1"/>
      <name val="Times New Roman"/>
      <family val="1"/>
    </font>
    <font>
      <b/>
      <sz val="11"/>
      <name val="Times New Roman"/>
      <family val="1"/>
    </font>
    <font>
      <i/>
      <sz val="11"/>
      <name val="Times New Roman"/>
      <family val="1"/>
    </font>
    <font>
      <sz val="11"/>
      <name val="Calibri"/>
      <family val="2"/>
    </font>
    <font>
      <sz val="12"/>
      <name val="Times New Roman"/>
      <family val="1"/>
      <charset val="186"/>
    </font>
    <font>
      <sz val="11"/>
      <name val="Calibri"/>
      <family val="2"/>
      <charset val="186"/>
      <scheme val="minor"/>
    </font>
    <font>
      <sz val="12"/>
      <name val="Times New Roman"/>
      <family val="1"/>
    </font>
    <font>
      <b/>
      <sz val="14"/>
      <name val="Times New Roman"/>
      <family val="1"/>
      <charset val="186"/>
    </font>
    <font>
      <b/>
      <sz val="12"/>
      <name val="Times New Roman"/>
      <family val="1"/>
      <charset val="186"/>
    </font>
    <font>
      <i/>
      <sz val="12"/>
      <name val="Times New Roman"/>
      <family val="1"/>
      <charset val="186"/>
    </font>
    <font>
      <i/>
      <sz val="11"/>
      <name val="Calibri"/>
      <family val="2"/>
      <charset val="186"/>
    </font>
    <font>
      <b/>
      <i/>
      <sz val="12"/>
      <name val="Times New Roman"/>
      <family val="1"/>
    </font>
    <font>
      <sz val="11"/>
      <name val="Calibri"/>
      <family val="2"/>
      <charset val="186"/>
    </font>
    <font>
      <b/>
      <sz val="11"/>
      <name val="Calibri"/>
      <family val="2"/>
      <charset val="186"/>
    </font>
    <font>
      <b/>
      <sz val="11"/>
      <name val="Times New Roman"/>
      <family val="1"/>
      <charset val="186"/>
    </font>
    <font>
      <b/>
      <sz val="11"/>
      <name val="Calibri"/>
      <family val="2"/>
      <charset val="186"/>
      <scheme val="minor"/>
    </font>
    <font>
      <i/>
      <sz val="11"/>
      <name val="Calibri"/>
      <family val="2"/>
      <charset val="186"/>
      <scheme val="minor"/>
    </font>
    <font>
      <b/>
      <sz val="14"/>
      <name val="Times New Roman"/>
      <family val="1"/>
    </font>
    <font>
      <b/>
      <sz val="12"/>
      <name val="Times New Roman"/>
      <family val="1"/>
    </font>
    <font>
      <sz val="11"/>
      <name val="Calibri"/>
      <family val="2"/>
      <scheme val="minor"/>
    </font>
    <font>
      <sz val="10"/>
      <name val="Calibri"/>
      <family val="2"/>
      <charset val="186"/>
      <scheme val="minor"/>
    </font>
  </fonts>
  <fills count="9">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rgb="FFFFF2CC"/>
        <bgColor rgb="FF000000"/>
      </patternFill>
    </fill>
    <fill>
      <patternFill patternType="solid">
        <fgColor rgb="FFFFFFFF"/>
        <bgColor rgb="FF000000"/>
      </patternFill>
    </fill>
    <fill>
      <patternFill patternType="solid">
        <fgColor theme="7" tint="0.79998168889431442"/>
        <bgColor rgb="FF000000"/>
      </patternFill>
    </fill>
    <fill>
      <patternFill patternType="solid">
        <fgColor theme="9" tint="0.7999816888943144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 fillId="0" borderId="0"/>
    <xf numFmtId="0" fontId="1" fillId="0" borderId="0"/>
    <xf numFmtId="0" fontId="4" fillId="0" borderId="0"/>
    <xf numFmtId="0" fontId="7" fillId="0" borderId="0"/>
  </cellStyleXfs>
  <cellXfs count="242">
    <xf numFmtId="0" fontId="0" fillId="0" borderId="0" xfId="0"/>
    <xf numFmtId="0" fontId="6" fillId="0" borderId="1" xfId="4" applyFont="1" applyBorder="1" applyAlignment="1">
      <alignment horizontal="center" vertical="center"/>
    </xf>
    <xf numFmtId="3" fontId="9" fillId="2" borderId="1"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0" fontId="11" fillId="0" borderId="0" xfId="0" applyFont="1"/>
    <xf numFmtId="3" fontId="11" fillId="0" borderId="0" xfId="0" applyNumberFormat="1" applyFont="1"/>
    <xf numFmtId="14"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4" applyFont="1" applyBorder="1" applyAlignment="1">
      <alignment horizontal="center" vertical="center"/>
    </xf>
    <xf numFmtId="14" fontId="12" fillId="0" borderId="1" xfId="0" applyNumberFormat="1" applyFont="1" applyBorder="1" applyAlignment="1">
      <alignment horizontal="center" vertical="center" wrapText="1"/>
    </xf>
    <xf numFmtId="0" fontId="5" fillId="0" borderId="1" xfId="4" applyFont="1" applyFill="1" applyBorder="1" applyAlignment="1">
      <alignment horizontal="center" vertical="center"/>
    </xf>
    <xf numFmtId="0" fontId="11" fillId="0" borderId="0" xfId="0" applyFont="1" applyBorder="1" applyAlignment="1">
      <alignment horizontal="left" wrapText="1"/>
    </xf>
    <xf numFmtId="3" fontId="11" fillId="0" borderId="0" xfId="0" applyNumberFormat="1" applyFont="1" applyBorder="1" applyAlignment="1">
      <alignment horizontal="center" vertical="center"/>
    </xf>
    <xf numFmtId="0" fontId="12" fillId="0" borderId="1" xfId="0" applyFont="1" applyBorder="1" applyAlignment="1">
      <alignment horizontal="center" vertical="center" wrapText="1"/>
    </xf>
    <xf numFmtId="0" fontId="11" fillId="0" borderId="1" xfId="0" applyFont="1" applyBorder="1" applyAlignment="1">
      <alignment horizontal="left"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3" fontId="12" fillId="0" borderId="1" xfId="0" applyNumberFormat="1" applyFont="1" applyBorder="1" applyAlignment="1">
      <alignment horizontal="center" vertical="center" wrapText="1"/>
    </xf>
    <xf numFmtId="0" fontId="11" fillId="0" borderId="0" xfId="0" applyFont="1" applyBorder="1" applyAlignment="1">
      <alignment horizontal="right" wrapText="1"/>
    </xf>
    <xf numFmtId="3" fontId="13" fillId="0" borderId="0" xfId="0" applyNumberFormat="1" applyFont="1" applyBorder="1" applyAlignment="1">
      <alignment horizontal="center" vertical="center"/>
    </xf>
    <xf numFmtId="0" fontId="2" fillId="0" borderId="0" xfId="0" applyFont="1" applyAlignment="1">
      <alignment horizontal="right" wrapText="1"/>
    </xf>
    <xf numFmtId="0" fontId="11" fillId="0" borderId="0" xfId="0" applyFont="1" applyBorder="1" applyAlignment="1">
      <alignment horizontal="left" vertical="top" wrapText="1"/>
    </xf>
    <xf numFmtId="3" fontId="11" fillId="0" borderId="1" xfId="0" applyNumberFormat="1" applyFont="1" applyBorder="1"/>
    <xf numFmtId="0" fontId="13" fillId="0" borderId="0" xfId="0" applyFont="1"/>
    <xf numFmtId="3" fontId="11" fillId="0" borderId="0" xfId="0" applyNumberFormat="1" applyFont="1" applyBorder="1"/>
    <xf numFmtId="3" fontId="13" fillId="2" borderId="1" xfId="0" applyNumberFormat="1" applyFont="1" applyFill="1" applyBorder="1"/>
    <xf numFmtId="0" fontId="8" fillId="3" borderId="1" xfId="1" applyFont="1" applyFill="1" applyBorder="1" applyAlignment="1">
      <alignment horizontal="center" vertical="center"/>
    </xf>
    <xf numFmtId="0" fontId="13" fillId="0" borderId="0" xfId="0" applyFont="1" applyAlignment="1">
      <alignment wrapText="1"/>
    </xf>
    <xf numFmtId="0" fontId="2" fillId="0" borderId="0" xfId="0" applyFont="1" applyAlignment="1">
      <alignment wrapText="1"/>
    </xf>
    <xf numFmtId="0" fontId="11" fillId="0" borderId="0" xfId="0" applyFont="1" applyAlignment="1">
      <alignment horizontal="right"/>
    </xf>
    <xf numFmtId="0" fontId="14" fillId="0" borderId="0" xfId="0" applyFont="1" applyAlignment="1">
      <alignment horizontal="right"/>
    </xf>
    <xf numFmtId="3" fontId="13" fillId="7" borderId="1" xfId="0" applyNumberFormat="1" applyFont="1" applyFill="1" applyBorder="1" applyAlignment="1">
      <alignment horizontal="center" vertical="center"/>
    </xf>
    <xf numFmtId="0" fontId="11" fillId="0" borderId="1" xfId="0" applyFont="1" applyBorder="1" applyAlignment="1">
      <alignment horizontal="center" vertical="center" wrapText="1"/>
    </xf>
    <xf numFmtId="0" fontId="17" fillId="0" borderId="0" xfId="0" applyFont="1" applyAlignment="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5" borderId="1" xfId="4" applyFont="1" applyFill="1" applyBorder="1" applyAlignment="1">
      <alignment horizontal="center" vertical="center"/>
    </xf>
    <xf numFmtId="14" fontId="6"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xf>
    <xf numFmtId="3" fontId="18"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0" fontId="19" fillId="0" borderId="0" xfId="0" applyFont="1" applyAlignment="1">
      <alignment vertical="center"/>
    </xf>
    <xf numFmtId="0" fontId="12" fillId="0" borderId="0" xfId="0" applyFont="1" applyAlignment="1">
      <alignment vertical="center"/>
    </xf>
    <xf numFmtId="0" fontId="12" fillId="0" borderId="1" xfId="0" applyFont="1" applyBorder="1" applyAlignment="1">
      <alignment horizontal="left" vertical="center"/>
    </xf>
    <xf numFmtId="0" fontId="12" fillId="0" borderId="1" xfId="0" applyFont="1" applyBorder="1" applyAlignment="1">
      <alignment horizontal="center" vertical="center"/>
    </xf>
    <xf numFmtId="3" fontId="20" fillId="0" borderId="1" xfId="0" applyNumberFormat="1" applyFont="1" applyBorder="1" applyAlignment="1">
      <alignment horizontal="center" vertical="center"/>
    </xf>
    <xf numFmtId="3" fontId="5"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xf>
    <xf numFmtId="3" fontId="8" fillId="3" borderId="1" xfId="3" applyNumberFormat="1" applyFont="1" applyFill="1" applyBorder="1" applyAlignment="1">
      <alignment horizontal="center" vertical="center"/>
    </xf>
    <xf numFmtId="3" fontId="8" fillId="0" borderId="1" xfId="3" applyNumberFormat="1" applyFont="1" applyBorder="1" applyAlignment="1">
      <alignment horizontal="center" vertical="center"/>
    </xf>
    <xf numFmtId="3" fontId="8" fillId="0" borderId="1" xfId="3" applyNumberFormat="1" applyFont="1" applyFill="1" applyBorder="1" applyAlignment="1">
      <alignment horizontal="center" vertical="center"/>
    </xf>
    <xf numFmtId="3" fontId="8" fillId="0" borderId="1" xfId="0" applyNumberFormat="1" applyFont="1" applyBorder="1" applyAlignment="1">
      <alignment horizontal="left" vertical="center" wrapText="1"/>
    </xf>
    <xf numFmtId="0" fontId="19" fillId="0" borderId="0" xfId="0" applyFont="1"/>
    <xf numFmtId="0" fontId="19" fillId="0" borderId="0" xfId="0" applyFont="1" applyAlignment="1">
      <alignment horizontal="center" vertical="center"/>
    </xf>
    <xf numFmtId="0" fontId="19" fillId="0" borderId="0" xfId="0" applyFont="1" applyAlignment="1">
      <alignment horizontal="center"/>
    </xf>
    <xf numFmtId="0" fontId="19" fillId="0" borderId="0" xfId="0" applyFont="1" applyAlignment="1">
      <alignment horizontal="center" wrapText="1"/>
    </xf>
    <xf numFmtId="3" fontId="19" fillId="0" borderId="0" xfId="0" applyNumberFormat="1" applyFont="1"/>
    <xf numFmtId="0" fontId="17" fillId="0" borderId="0" xfId="0" applyFont="1"/>
    <xf numFmtId="0" fontId="18"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vertical="center"/>
    </xf>
    <xf numFmtId="0" fontId="18" fillId="0" borderId="0" xfId="0" applyFont="1" applyAlignment="1">
      <alignment horizontal="center" vertical="center" wrapText="1"/>
    </xf>
    <xf numFmtId="3" fontId="18" fillId="0" borderId="0" xfId="0" applyNumberFormat="1" applyFont="1" applyAlignment="1">
      <alignment horizontal="center" vertical="center" wrapText="1"/>
    </xf>
    <xf numFmtId="3" fontId="18" fillId="0" borderId="0" xfId="0" applyNumberFormat="1" applyFont="1" applyAlignment="1">
      <alignment horizontal="center" vertical="center"/>
    </xf>
    <xf numFmtId="3" fontId="23" fillId="0" borderId="0" xfId="0" applyNumberFormat="1" applyFont="1" applyAlignment="1">
      <alignment horizontal="center" vertical="center"/>
    </xf>
    <xf numFmtId="3" fontId="24" fillId="0" borderId="0" xfId="0" applyNumberFormat="1" applyFont="1" applyAlignment="1">
      <alignment horizontal="center"/>
    </xf>
    <xf numFmtId="0" fontId="5" fillId="0" borderId="0" xfId="3" applyFont="1"/>
    <xf numFmtId="0" fontId="5" fillId="0" borderId="0" xfId="3" applyFont="1" applyAlignment="1">
      <alignment horizontal="center" vertical="center" wrapText="1"/>
    </xf>
    <xf numFmtId="3" fontId="5" fillId="0" borderId="0" xfId="3" applyNumberFormat="1" applyFont="1" applyAlignment="1">
      <alignment horizontal="center" vertical="center" wrapText="1"/>
    </xf>
    <xf numFmtId="0" fontId="22" fillId="6" borderId="1" xfId="0" applyFont="1" applyFill="1" applyBorder="1" applyAlignment="1">
      <alignment horizontal="center" vertical="center" wrapText="1"/>
    </xf>
    <xf numFmtId="3" fontId="22" fillId="6" borderId="1" xfId="0" applyNumberFormat="1" applyFont="1" applyFill="1" applyBorder="1" applyAlignment="1">
      <alignment horizontal="center" vertical="center" wrapText="1"/>
    </xf>
    <xf numFmtId="3" fontId="17" fillId="0" borderId="0" xfId="0" applyNumberFormat="1" applyFont="1" applyAlignment="1">
      <alignment vertical="center"/>
    </xf>
    <xf numFmtId="3" fontId="19" fillId="0" borderId="0" xfId="0" applyNumberFormat="1" applyFont="1" applyAlignment="1">
      <alignment vertical="center"/>
    </xf>
    <xf numFmtId="3" fontId="26" fillId="0" borderId="1" xfId="0" applyNumberFormat="1" applyFont="1" applyBorder="1" applyAlignment="1">
      <alignment horizontal="center" vertical="center"/>
    </xf>
    <xf numFmtId="0" fontId="27" fillId="0" borderId="0" xfId="0" applyFont="1" applyAlignment="1">
      <alignment vertical="center"/>
    </xf>
    <xf numFmtId="0" fontId="28" fillId="4" borderId="1" xfId="0" applyFont="1" applyFill="1" applyBorder="1" applyAlignment="1">
      <alignment horizontal="left" vertical="center"/>
    </xf>
    <xf numFmtId="0" fontId="28" fillId="6" borderId="1" xfId="0" applyFont="1" applyFill="1" applyBorder="1" applyAlignment="1">
      <alignment horizontal="center" vertical="center"/>
    </xf>
    <xf numFmtId="0" fontId="28" fillId="6" borderId="1" xfId="0" applyFont="1" applyFill="1" applyBorder="1" applyAlignment="1">
      <alignment horizontal="left" vertical="center"/>
    </xf>
    <xf numFmtId="14" fontId="28" fillId="6" borderId="1" xfId="0" applyNumberFormat="1" applyFont="1" applyFill="1" applyBorder="1" applyAlignment="1">
      <alignment horizontal="center" vertical="center" wrapText="1"/>
    </xf>
    <xf numFmtId="0" fontId="28" fillId="6" borderId="1" xfId="0" applyFont="1" applyFill="1" applyBorder="1" applyAlignment="1">
      <alignment horizontal="center" vertical="center" wrapText="1"/>
    </xf>
    <xf numFmtId="3" fontId="28" fillId="6" borderId="1" xfId="0" applyNumberFormat="1" applyFont="1" applyFill="1" applyBorder="1" applyAlignment="1">
      <alignment horizontal="center" vertical="center"/>
    </xf>
    <xf numFmtId="3" fontId="9" fillId="6" borderId="1" xfId="0" applyNumberFormat="1" applyFont="1" applyFill="1" applyBorder="1" applyAlignment="1">
      <alignment horizontal="left" vertical="center" wrapText="1"/>
    </xf>
    <xf numFmtId="0" fontId="29" fillId="0" borderId="0" xfId="0" applyFont="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vertical="center"/>
    </xf>
    <xf numFmtId="0" fontId="6" fillId="5"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6" fillId="0" borderId="1" xfId="0" applyFont="1" applyFill="1" applyBorder="1" applyAlignment="1">
      <alignment horizontal="center" vertical="center" wrapText="1"/>
    </xf>
    <xf numFmtId="3" fontId="6" fillId="0" borderId="1" xfId="0" applyNumberFormat="1" applyFont="1" applyFill="1" applyBorder="1" applyAlignment="1">
      <alignment horizontal="center" vertical="center"/>
    </xf>
    <xf numFmtId="3" fontId="18" fillId="0" borderId="1" xfId="0" applyNumberFormat="1" applyFont="1" applyFill="1" applyBorder="1" applyAlignment="1">
      <alignment horizontal="center" vertical="center"/>
    </xf>
    <xf numFmtId="0" fontId="6" fillId="0" borderId="1" xfId="0" applyFont="1" applyFill="1" applyBorder="1" applyAlignment="1">
      <alignment vertical="center"/>
    </xf>
    <xf numFmtId="0" fontId="6" fillId="0" borderId="1" xfId="4" applyFont="1" applyBorder="1" applyAlignment="1">
      <alignment horizontal="left" vertical="center"/>
    </xf>
    <xf numFmtId="14" fontId="6" fillId="0"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center"/>
    </xf>
    <xf numFmtId="3" fontId="26" fillId="0" borderId="1" xfId="0" applyNumberFormat="1" applyFont="1" applyFill="1" applyBorder="1" applyAlignment="1">
      <alignment horizontal="center" vertical="center"/>
    </xf>
    <xf numFmtId="3" fontId="9" fillId="0" borderId="1" xfId="0" applyNumberFormat="1" applyFont="1" applyBorder="1" applyAlignment="1">
      <alignment horizontal="left" vertical="center" wrapText="1"/>
    </xf>
    <xf numFmtId="0" fontId="6" fillId="0" borderId="1" xfId="4" applyFont="1" applyFill="1" applyBorder="1" applyAlignment="1">
      <alignment horizontal="center" vertical="center"/>
    </xf>
    <xf numFmtId="0" fontId="15" fillId="6" borderId="1" xfId="0" applyFont="1" applyFill="1" applyBorder="1" applyAlignment="1">
      <alignment horizontal="left" vertical="center"/>
    </xf>
    <xf numFmtId="0" fontId="15" fillId="6" borderId="1" xfId="0" applyFont="1" applyFill="1" applyBorder="1" applyAlignment="1">
      <alignment horizontal="center" vertical="center"/>
    </xf>
    <xf numFmtId="14" fontId="15" fillId="6" borderId="1" xfId="0" applyNumberFormat="1" applyFont="1" applyFill="1" applyBorder="1" applyAlignment="1">
      <alignment horizontal="center" vertical="center" wrapText="1"/>
    </xf>
    <xf numFmtId="3" fontId="15" fillId="6" borderId="1" xfId="0" applyNumberFormat="1" applyFont="1" applyFill="1" applyBorder="1" applyAlignment="1">
      <alignment horizontal="center" vertical="center"/>
    </xf>
    <xf numFmtId="0" fontId="6" fillId="5" borderId="1" xfId="4" applyFont="1" applyFill="1" applyBorder="1" applyAlignment="1">
      <alignment horizontal="left" vertical="center"/>
    </xf>
    <xf numFmtId="3" fontId="7" fillId="0" borderId="1" xfId="0" applyNumberFormat="1" applyFont="1" applyBorder="1" applyAlignment="1">
      <alignment vertical="center" wrapText="1"/>
    </xf>
    <xf numFmtId="0" fontId="15" fillId="6" borderId="1" xfId="0" applyFont="1" applyFill="1" applyBorder="1" applyAlignment="1">
      <alignment horizontal="center" vertical="center" wrapText="1"/>
    </xf>
    <xf numFmtId="3" fontId="8" fillId="4" borderId="1" xfId="0" applyNumberFormat="1" applyFont="1" applyFill="1" applyBorder="1" applyAlignment="1">
      <alignment horizontal="left" vertical="center" wrapText="1"/>
    </xf>
    <xf numFmtId="0" fontId="15" fillId="4" borderId="1" xfId="0" applyFont="1" applyFill="1" applyBorder="1" applyAlignment="1">
      <alignment horizontal="left" vertical="center"/>
    </xf>
    <xf numFmtId="0" fontId="15" fillId="4" borderId="1" xfId="0" applyFont="1" applyFill="1" applyBorder="1" applyAlignment="1">
      <alignment horizontal="center" vertical="center"/>
    </xf>
    <xf numFmtId="0" fontId="15" fillId="4" borderId="1" xfId="0" applyFont="1" applyFill="1" applyBorder="1" applyAlignment="1">
      <alignment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xf>
    <xf numFmtId="3" fontId="8" fillId="6" borderId="1" xfId="0" applyNumberFormat="1" applyFont="1" applyFill="1" applyBorder="1" applyAlignment="1">
      <alignment horizontal="left" vertical="center" wrapText="1"/>
    </xf>
    <xf numFmtId="0" fontId="17" fillId="0" borderId="0" xfId="0" applyFont="1" applyAlignment="1">
      <alignment horizontal="center" vertical="center"/>
    </xf>
    <xf numFmtId="0" fontId="17" fillId="0" borderId="0" xfId="0" applyFont="1" applyAlignment="1">
      <alignment horizontal="center"/>
    </xf>
    <xf numFmtId="0" fontId="17" fillId="0" borderId="0" xfId="0" applyFont="1" applyAlignment="1">
      <alignment horizontal="center" wrapText="1"/>
    </xf>
    <xf numFmtId="3" fontId="17" fillId="0" borderId="0" xfId="0" applyNumberFormat="1" applyFont="1"/>
    <xf numFmtId="3" fontId="17" fillId="0" borderId="0" xfId="0" applyNumberFormat="1" applyFont="1" applyAlignment="1">
      <alignment wrapText="1"/>
    </xf>
    <xf numFmtId="3" fontId="30" fillId="0" borderId="0" xfId="0" applyNumberFormat="1" applyFont="1" applyAlignment="1">
      <alignment horizontal="center"/>
    </xf>
    <xf numFmtId="3" fontId="19" fillId="0" borderId="0" xfId="0" applyNumberFormat="1" applyFont="1" applyAlignment="1">
      <alignment wrapText="1"/>
    </xf>
    <xf numFmtId="0" fontId="12" fillId="0" borderId="0" xfId="0" applyFont="1"/>
    <xf numFmtId="0" fontId="12" fillId="0" borderId="0" xfId="0" applyFont="1" applyAlignment="1">
      <alignment horizontal="center" vertical="center"/>
    </xf>
    <xf numFmtId="0" fontId="12" fillId="0" borderId="0" xfId="0" applyFont="1" applyAlignment="1">
      <alignment horizontal="center"/>
    </xf>
    <xf numFmtId="0" fontId="12" fillId="0" borderId="0" xfId="0" applyFont="1" applyAlignment="1">
      <alignment horizontal="center" wrapText="1"/>
    </xf>
    <xf numFmtId="3" fontId="12" fillId="0" borderId="0" xfId="0" applyNumberFormat="1" applyFont="1"/>
    <xf numFmtId="0" fontId="32" fillId="6" borderId="1" xfId="0" applyFont="1" applyFill="1" applyBorder="1" applyAlignment="1">
      <alignment horizontal="center" vertical="center" wrapText="1"/>
    </xf>
    <xf numFmtId="3" fontId="32" fillId="6" borderId="1" xfId="0" applyNumberFormat="1" applyFont="1" applyFill="1" applyBorder="1" applyAlignment="1">
      <alignment horizontal="center" vertical="center" wrapText="1"/>
    </xf>
    <xf numFmtId="4" fontId="32" fillId="6" borderId="1" xfId="0" applyNumberFormat="1" applyFont="1" applyFill="1" applyBorder="1" applyAlignment="1">
      <alignment horizontal="center" vertical="center" wrapText="1"/>
    </xf>
    <xf numFmtId="0" fontId="20" fillId="0" borderId="0" xfId="0" applyFont="1"/>
    <xf numFmtId="0" fontId="5" fillId="0" borderId="1" xfId="0" applyFont="1" applyBorder="1" applyAlignment="1">
      <alignment horizontal="left" vertical="center"/>
    </xf>
    <xf numFmtId="3" fontId="5" fillId="0" borderId="1" xfId="0" applyNumberFormat="1" applyFont="1" applyBorder="1" applyAlignment="1">
      <alignment horizontal="center" vertical="center"/>
    </xf>
    <xf numFmtId="3" fontId="5" fillId="0" borderId="1" xfId="0" applyNumberFormat="1" applyFont="1" applyBorder="1" applyAlignment="1">
      <alignment horizontal="center"/>
    </xf>
    <xf numFmtId="0" fontId="5" fillId="0" borderId="1" xfId="0" applyFont="1" applyBorder="1" applyAlignment="1">
      <alignment horizontal="left" vertical="center" wrapText="1"/>
    </xf>
    <xf numFmtId="0" fontId="5" fillId="0" borderId="0" xfId="0" applyFont="1"/>
    <xf numFmtId="3" fontId="5" fillId="0" borderId="1" xfId="0" applyNumberFormat="1" applyFont="1" applyBorder="1" applyAlignment="1">
      <alignment horizontal="left" vertical="center" wrapText="1"/>
    </xf>
    <xf numFmtId="0" fontId="5" fillId="5" borderId="1" xfId="0" applyFont="1" applyFill="1" applyBorder="1" applyAlignment="1">
      <alignment horizontal="left" vertical="center"/>
    </xf>
    <xf numFmtId="14" fontId="15" fillId="4" borderId="1" xfId="0" applyNumberFormat="1" applyFont="1" applyFill="1" applyBorder="1" applyAlignment="1">
      <alignment horizontal="center" vertical="center" wrapText="1"/>
    </xf>
    <xf numFmtId="0" fontId="10" fillId="4" borderId="1"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14" fontId="5" fillId="0" borderId="1" xfId="0" applyNumberFormat="1" applyFont="1" applyFill="1" applyBorder="1" applyAlignment="1">
      <alignment horizontal="center" vertical="center" wrapText="1"/>
    </xf>
    <xf numFmtId="49" fontId="5" fillId="0" borderId="1" xfId="0" applyNumberFormat="1" applyFont="1" applyBorder="1" applyAlignment="1">
      <alignment horizontal="center" vertical="center"/>
    </xf>
    <xf numFmtId="0" fontId="5" fillId="4" borderId="1" xfId="0" applyFont="1" applyFill="1" applyBorder="1" applyAlignment="1">
      <alignment horizontal="left" vertical="center" wrapText="1"/>
    </xf>
    <xf numFmtId="0" fontId="5" fillId="5" borderId="1" xfId="4" applyFont="1" applyFill="1" applyBorder="1" applyAlignment="1">
      <alignment horizontal="center" vertical="center"/>
    </xf>
    <xf numFmtId="0" fontId="5" fillId="5" borderId="1" xfId="4" applyFont="1" applyFill="1" applyBorder="1" applyAlignment="1">
      <alignment horizontal="left" vertical="center"/>
    </xf>
    <xf numFmtId="0" fontId="5" fillId="0" borderId="1" xfId="4" applyFont="1" applyBorder="1" applyAlignment="1">
      <alignment horizontal="left" vertical="center"/>
    </xf>
    <xf numFmtId="0" fontId="5" fillId="0" borderId="1" xfId="0" applyFont="1" applyBorder="1" applyAlignment="1">
      <alignment horizontal="center"/>
    </xf>
    <xf numFmtId="0" fontId="5" fillId="0" borderId="1" xfId="0" applyFont="1" applyBorder="1"/>
    <xf numFmtId="0" fontId="5" fillId="0" borderId="1" xfId="0" applyFont="1" applyBorder="1" applyAlignment="1">
      <alignment horizontal="left"/>
    </xf>
    <xf numFmtId="0" fontId="5" fillId="0" borderId="1" xfId="4" applyFont="1" applyFill="1" applyBorder="1" applyAlignment="1">
      <alignment horizontal="left" vertical="center"/>
    </xf>
    <xf numFmtId="0" fontId="5" fillId="0" borderId="1" xfId="0" applyFont="1" applyFill="1" applyBorder="1" applyAlignment="1">
      <alignment horizontal="center"/>
    </xf>
    <xf numFmtId="0" fontId="5" fillId="0" borderId="1" xfId="0" applyFont="1" applyFill="1" applyBorder="1"/>
    <xf numFmtId="0" fontId="5" fillId="0" borderId="1" xfId="0" applyFont="1" applyBorder="1" applyAlignment="1">
      <alignment vertical="center"/>
    </xf>
    <xf numFmtId="0" fontId="5" fillId="5" borderId="1" xfId="0" applyFont="1" applyFill="1" applyBorder="1" applyAlignment="1">
      <alignment horizontal="center" vertical="center"/>
    </xf>
    <xf numFmtId="14" fontId="5" fillId="5" borderId="1" xfId="0" applyNumberFormat="1" applyFont="1" applyFill="1" applyBorder="1" applyAlignment="1">
      <alignment horizontal="center" vertical="center" wrapText="1"/>
    </xf>
    <xf numFmtId="3" fontId="5" fillId="0" borderId="0" xfId="0" applyNumberFormat="1" applyFont="1" applyAlignment="1">
      <alignment horizontal="center"/>
    </xf>
    <xf numFmtId="0" fontId="12" fillId="0" borderId="0" xfId="0" applyFont="1" applyAlignment="1">
      <alignment wrapText="1"/>
    </xf>
    <xf numFmtId="0" fontId="18" fillId="0" borderId="0" xfId="3" applyFont="1" applyAlignment="1">
      <alignment horizontal="center" vertical="center"/>
    </xf>
    <xf numFmtId="0" fontId="18" fillId="0" borderId="0" xfId="3" applyFont="1" applyAlignment="1">
      <alignment vertical="center"/>
    </xf>
    <xf numFmtId="0" fontId="18" fillId="0" borderId="0" xfId="3" applyFont="1" applyAlignment="1">
      <alignment horizontal="center" vertical="center" wrapText="1"/>
    </xf>
    <xf numFmtId="3" fontId="18" fillId="0" borderId="0" xfId="3" applyNumberFormat="1" applyFont="1" applyAlignment="1">
      <alignment horizontal="center" vertical="center"/>
    </xf>
    <xf numFmtId="0" fontId="33" fillId="0" borderId="0" xfId="3" applyFont="1"/>
    <xf numFmtId="0" fontId="22" fillId="0" borderId="0" xfId="3" applyFont="1" applyAlignment="1">
      <alignment horizontal="center" vertical="center"/>
    </xf>
    <xf numFmtId="3" fontId="18" fillId="0" borderId="0" xfId="3" applyNumberFormat="1" applyFont="1" applyAlignment="1">
      <alignment horizontal="center" vertical="center" wrapText="1"/>
    </xf>
    <xf numFmtId="0" fontId="5" fillId="0" borderId="0" xfId="3" applyFont="1" applyAlignment="1">
      <alignment vertical="center" wrapText="1"/>
    </xf>
    <xf numFmtId="0" fontId="22" fillId="2" borderId="1" xfId="3" applyFont="1" applyFill="1" applyBorder="1" applyAlignment="1">
      <alignment horizontal="center" vertical="center" wrapText="1"/>
    </xf>
    <xf numFmtId="3" fontId="22" fillId="2" borderId="1" xfId="3" applyNumberFormat="1" applyFont="1" applyFill="1" applyBorder="1" applyAlignment="1">
      <alignment horizontal="center" vertical="center" wrapText="1"/>
    </xf>
    <xf numFmtId="0" fontId="8" fillId="0" borderId="1" xfId="3" applyFont="1" applyBorder="1" applyAlignment="1">
      <alignment horizontal="left" vertical="center"/>
    </xf>
    <xf numFmtId="0" fontId="8" fillId="0" borderId="1" xfId="3" applyFont="1" applyBorder="1" applyAlignment="1">
      <alignment horizontal="center" vertical="center"/>
    </xf>
    <xf numFmtId="14" fontId="8" fillId="0" borderId="1" xfId="3" applyNumberFormat="1" applyFont="1" applyBorder="1" applyAlignment="1">
      <alignment horizontal="center" vertical="center"/>
    </xf>
    <xf numFmtId="3" fontId="5" fillId="0" borderId="1" xfId="3" applyNumberFormat="1" applyFont="1" applyBorder="1" applyAlignment="1">
      <alignment horizontal="left" vertical="center" wrapText="1"/>
    </xf>
    <xf numFmtId="0" fontId="9" fillId="2" borderId="1" xfId="3" applyFont="1" applyFill="1" applyBorder="1" applyAlignment="1">
      <alignment horizontal="left" vertical="center"/>
    </xf>
    <xf numFmtId="0" fontId="9" fillId="2" borderId="1" xfId="3" applyFont="1" applyFill="1" applyBorder="1" applyAlignment="1">
      <alignment horizontal="center" vertical="center"/>
    </xf>
    <xf numFmtId="14" fontId="9" fillId="2" borderId="1" xfId="3" applyNumberFormat="1" applyFont="1" applyFill="1" applyBorder="1" applyAlignment="1">
      <alignment horizontal="center" vertical="center"/>
    </xf>
    <xf numFmtId="3" fontId="9" fillId="2" borderId="1" xfId="3" applyNumberFormat="1" applyFont="1" applyFill="1" applyBorder="1" applyAlignment="1">
      <alignment horizontal="center" vertical="center"/>
    </xf>
    <xf numFmtId="3" fontId="10" fillId="2" borderId="1" xfId="3" applyNumberFormat="1" applyFont="1" applyFill="1" applyBorder="1" applyAlignment="1">
      <alignment horizontal="left" vertical="center" wrapText="1"/>
    </xf>
    <xf numFmtId="3" fontId="5" fillId="2" borderId="1" xfId="3" applyNumberFormat="1" applyFont="1" applyFill="1" applyBorder="1" applyAlignment="1">
      <alignment horizontal="left" vertical="center" wrapText="1"/>
    </xf>
    <xf numFmtId="49" fontId="8" fillId="0" borderId="1" xfId="3" applyNumberFormat="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xf>
    <xf numFmtId="0" fontId="8" fillId="3" borderId="1" xfId="3" applyFont="1" applyFill="1" applyBorder="1" applyAlignment="1">
      <alignment horizontal="left" vertical="center"/>
    </xf>
    <xf numFmtId="0" fontId="8" fillId="3" borderId="1" xfId="3" applyFont="1" applyFill="1" applyBorder="1" applyAlignment="1">
      <alignment horizontal="center" vertical="center"/>
    </xf>
    <xf numFmtId="14" fontId="8" fillId="3" borderId="1" xfId="3" applyNumberFormat="1" applyFont="1" applyFill="1" applyBorder="1" applyAlignment="1">
      <alignment horizontal="center" vertical="center"/>
    </xf>
    <xf numFmtId="3" fontId="5" fillId="3" borderId="1" xfId="3" applyNumberFormat="1" applyFont="1" applyFill="1" applyBorder="1" applyAlignment="1">
      <alignment horizontal="left" vertical="center" wrapText="1"/>
    </xf>
    <xf numFmtId="0" fontId="33" fillId="3" borderId="0" xfId="3" applyFont="1" applyFill="1"/>
    <xf numFmtId="49" fontId="8" fillId="3" borderId="1" xfId="3" applyNumberFormat="1" applyFont="1" applyFill="1" applyBorder="1" applyAlignment="1">
      <alignment horizontal="center" vertical="center"/>
    </xf>
    <xf numFmtId="0" fontId="8" fillId="3" borderId="1" xfId="1" applyFont="1" applyFill="1" applyBorder="1" applyAlignment="1">
      <alignment horizontal="left" vertical="center"/>
    </xf>
    <xf numFmtId="0" fontId="33" fillId="0" borderId="0" xfId="3" applyFont="1" applyAlignment="1">
      <alignment horizontal="center"/>
    </xf>
    <xf numFmtId="3" fontId="33" fillId="0" borderId="0" xfId="3" applyNumberFormat="1" applyFont="1"/>
    <xf numFmtId="3" fontId="33" fillId="0" borderId="0" xfId="3" applyNumberFormat="1" applyFont="1" applyAlignment="1">
      <alignment wrapText="1"/>
    </xf>
    <xf numFmtId="0" fontId="34" fillId="0" borderId="0" xfId="3" applyFont="1" applyAlignment="1">
      <alignment horizontal="center" vertical="center"/>
    </xf>
    <xf numFmtId="0" fontId="34" fillId="0" borderId="0" xfId="3" applyFont="1" applyAlignment="1">
      <alignment horizontal="center"/>
    </xf>
    <xf numFmtId="0" fontId="8" fillId="0" borderId="0" xfId="3" applyFont="1" applyAlignment="1">
      <alignment horizontal="center" vertical="center"/>
    </xf>
    <xf numFmtId="3" fontId="34" fillId="0" borderId="0" xfId="3" applyNumberFormat="1" applyFont="1" applyAlignment="1">
      <alignment horizontal="center"/>
    </xf>
    <xf numFmtId="3" fontId="34" fillId="0" borderId="0" xfId="3" applyNumberFormat="1" applyFont="1"/>
    <xf numFmtId="3" fontId="34" fillId="0" borderId="0" xfId="3" applyNumberFormat="1" applyFont="1" applyAlignment="1">
      <alignment wrapText="1"/>
    </xf>
    <xf numFmtId="0" fontId="34" fillId="0" borderId="0" xfId="3" applyFont="1"/>
    <xf numFmtId="0" fontId="31" fillId="0" borderId="0" xfId="0" applyFont="1" applyAlignment="1">
      <alignment horizontal="center" vertical="center"/>
    </xf>
    <xf numFmtId="0" fontId="13" fillId="2" borderId="1" xfId="0" applyFont="1" applyFill="1" applyBorder="1" applyAlignment="1">
      <alignment horizontal="right"/>
    </xf>
    <xf numFmtId="0" fontId="13" fillId="2" borderId="1" xfId="0" applyFont="1" applyFill="1" applyBorder="1" applyAlignment="1">
      <alignment horizontal="left"/>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right" wrapText="1"/>
    </xf>
    <xf numFmtId="0" fontId="11" fillId="0" borderId="0" xfId="0" applyFont="1" applyAlignment="1">
      <alignment horizontal="left" wrapText="1"/>
    </xf>
    <xf numFmtId="0" fontId="11" fillId="0" borderId="1" xfId="0" applyFont="1" applyBorder="1" applyAlignment="1">
      <alignment horizontal="right"/>
    </xf>
    <xf numFmtId="0" fontId="13" fillId="2" borderId="3" xfId="0" applyFont="1" applyFill="1" applyBorder="1" applyAlignment="1">
      <alignment horizontal="right"/>
    </xf>
    <xf numFmtId="0" fontId="13" fillId="2" borderId="4" xfId="0" applyFont="1" applyFill="1" applyBorder="1" applyAlignment="1">
      <alignment horizontal="right"/>
    </xf>
    <xf numFmtId="0" fontId="11" fillId="7" borderId="1" xfId="0" applyFont="1" applyFill="1" applyBorder="1" applyAlignment="1">
      <alignment horizontal="left" wrapText="1"/>
    </xf>
    <xf numFmtId="0" fontId="13" fillId="7" borderId="1" xfId="0" applyFont="1" applyFill="1" applyBorder="1" applyAlignment="1">
      <alignment horizontal="left" wrapText="1"/>
    </xf>
    <xf numFmtId="0" fontId="15" fillId="7" borderId="1" xfId="0" applyFont="1" applyFill="1" applyBorder="1" applyAlignment="1">
      <alignment horizontal="left" vertical="center" wrapText="1"/>
    </xf>
    <xf numFmtId="0" fontId="2" fillId="0" borderId="0" xfId="0" applyFont="1" applyAlignment="1">
      <alignment horizontal="right" wrapText="1"/>
    </xf>
    <xf numFmtId="0" fontId="3" fillId="0" borderId="0" xfId="0" applyFont="1" applyAlignment="1">
      <alignment horizontal="center" wrapText="1"/>
    </xf>
    <xf numFmtId="3" fontId="5" fillId="0" borderId="0" xfId="1" applyNumberFormat="1" applyFont="1" applyAlignment="1">
      <alignment horizontal="right" vertical="center" wrapText="1"/>
    </xf>
    <xf numFmtId="0" fontId="21" fillId="0" borderId="0" xfId="0" applyFont="1" applyAlignment="1">
      <alignment horizontal="center" vertical="center"/>
    </xf>
    <xf numFmtId="0" fontId="5" fillId="0" borderId="0" xfId="3" applyFont="1" applyAlignment="1">
      <alignment horizontal="center" vertical="center" wrapText="1"/>
    </xf>
    <xf numFmtId="3" fontId="22" fillId="6" borderId="1" xfId="0" applyNumberFormat="1" applyFont="1" applyFill="1" applyBorder="1" applyAlignment="1">
      <alignment horizontal="right" vertical="center" wrapText="1"/>
    </xf>
    <xf numFmtId="3" fontId="5" fillId="0" borderId="1" xfId="3" applyNumberFormat="1" applyFont="1" applyBorder="1" applyAlignment="1">
      <alignment horizontal="center" vertical="center" wrapText="1"/>
    </xf>
    <xf numFmtId="3" fontId="6" fillId="0" borderId="2" xfId="0" applyNumberFormat="1" applyFont="1" applyFill="1" applyBorder="1" applyAlignment="1">
      <alignment horizontal="center" vertical="center"/>
    </xf>
    <xf numFmtId="3" fontId="6" fillId="0" borderId="5" xfId="0" applyNumberFormat="1" applyFont="1" applyFill="1" applyBorder="1" applyAlignment="1">
      <alignment horizontal="center" vertical="center"/>
    </xf>
    <xf numFmtId="0" fontId="5" fillId="0" borderId="0" xfId="1" applyFont="1" applyAlignment="1">
      <alignment horizontal="right" vertical="center" wrapText="1"/>
    </xf>
    <xf numFmtId="0" fontId="31" fillId="0" borderId="0" xfId="0" applyFont="1" applyAlignment="1">
      <alignment horizontal="center" vertical="center"/>
    </xf>
    <xf numFmtId="3" fontId="5" fillId="0" borderId="2" xfId="3" applyNumberFormat="1" applyFont="1" applyBorder="1" applyAlignment="1">
      <alignment horizontal="center" vertical="center" wrapText="1"/>
    </xf>
    <xf numFmtId="0" fontId="32" fillId="6" borderId="1" xfId="0" applyFont="1" applyFill="1" applyBorder="1" applyAlignment="1">
      <alignment horizontal="righ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3" fontId="5" fillId="0" borderId="2" xfId="0" applyNumberFormat="1" applyFont="1" applyBorder="1" applyAlignment="1">
      <alignment horizontal="center"/>
    </xf>
    <xf numFmtId="3" fontId="5" fillId="0" borderId="5" xfId="0" applyNumberFormat="1" applyFont="1" applyBorder="1" applyAlignment="1">
      <alignment horizontal="center"/>
    </xf>
    <xf numFmtId="3" fontId="5" fillId="0" borderId="2" xfId="0" applyNumberFormat="1" applyFont="1" applyFill="1" applyBorder="1" applyAlignment="1">
      <alignment horizontal="center" vertical="center"/>
    </xf>
    <xf numFmtId="3" fontId="5" fillId="0" borderId="5" xfId="0" applyNumberFormat="1" applyFont="1" applyFill="1" applyBorder="1" applyAlignment="1">
      <alignment horizontal="center" vertical="center"/>
    </xf>
    <xf numFmtId="3" fontId="5"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vertical="center" wrapText="1"/>
    </xf>
    <xf numFmtId="0" fontId="22" fillId="2" borderId="1" xfId="3" applyFont="1" applyFill="1" applyBorder="1" applyAlignment="1">
      <alignment horizontal="right" vertical="center" wrapText="1"/>
    </xf>
    <xf numFmtId="0" fontId="21" fillId="0" borderId="0" xfId="3" applyFont="1" applyAlignment="1">
      <alignment horizontal="center" vertical="center"/>
    </xf>
    <xf numFmtId="3" fontId="8" fillId="0" borderId="2" xfId="3" applyNumberFormat="1" applyFont="1" applyFill="1" applyBorder="1" applyAlignment="1">
      <alignment horizontal="center" vertical="center"/>
    </xf>
    <xf numFmtId="3" fontId="8" fillId="0" borderId="5" xfId="3" applyNumberFormat="1" applyFont="1" applyFill="1" applyBorder="1" applyAlignment="1">
      <alignment horizontal="center" vertical="center"/>
    </xf>
    <xf numFmtId="3" fontId="13" fillId="8" borderId="1" xfId="0" applyNumberFormat="1" applyFont="1" applyFill="1" applyBorder="1"/>
    <xf numFmtId="0" fontId="13" fillId="8" borderId="1" xfId="0" applyFont="1" applyFill="1" applyBorder="1" applyAlignment="1">
      <alignment horizontal="right" wrapText="1"/>
    </xf>
    <xf numFmtId="0" fontId="13" fillId="0" borderId="0" xfId="0" applyFont="1" applyFill="1" applyBorder="1" applyAlignment="1">
      <alignment horizontal="right"/>
    </xf>
    <xf numFmtId="3" fontId="13" fillId="0" borderId="0" xfId="0" applyNumberFormat="1" applyFont="1" applyFill="1" applyBorder="1"/>
    <xf numFmtId="0" fontId="11" fillId="0" borderId="0" xfId="0" applyFont="1" applyFill="1"/>
  </cellXfs>
  <cellStyles count="5">
    <cellStyle name="Normal" xfId="0" builtinId="0"/>
    <cellStyle name="Normal 2" xfId="3" xr:uid="{0C9A3BC8-C17F-45C0-91CF-0152CDB1B246}"/>
    <cellStyle name="Normal 3" xfId="1" xr:uid="{4C2E0A1E-E5DE-4201-AC1B-A77A8CE021A5}"/>
    <cellStyle name="Normal 3 2" xfId="4" xr:uid="{F178A866-D5BD-4802-91AB-96AE3109BB13}"/>
    <cellStyle name="Normal 3 2 3" xfId="2" xr:uid="{E360B0E9-EF13-4181-8221-D4995C0B6381}"/>
  </cellStyles>
  <dxfs count="1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DA66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5260F-8706-43D8-B593-1B08C177A6B2}">
  <dimension ref="B1:H42"/>
  <sheetViews>
    <sheetView tabSelected="1" zoomScaleNormal="100" workbookViewId="0">
      <selection activeCell="B15" sqref="B15:C15"/>
    </sheetView>
  </sheetViews>
  <sheetFormatPr defaultColWidth="9.28515625" defaultRowHeight="15" x14ac:dyDescent="0.25"/>
  <cols>
    <col min="1" max="1" width="4.140625" style="4" customWidth="1"/>
    <col min="2" max="2" width="17" style="4" customWidth="1"/>
    <col min="3" max="3" width="86.5703125" style="4" customWidth="1"/>
    <col min="4" max="4" width="13.42578125" style="4" customWidth="1"/>
    <col min="5" max="16384" width="9.28515625" style="4"/>
  </cols>
  <sheetData>
    <row r="1" spans="2:8" ht="29.25" customHeight="1" x14ac:dyDescent="0.25">
      <c r="C1" s="212" t="s">
        <v>801</v>
      </c>
      <c r="D1" s="212"/>
      <c r="E1" s="28"/>
      <c r="F1" s="28"/>
      <c r="G1" s="28"/>
      <c r="H1" s="28"/>
    </row>
    <row r="2" spans="2:8" x14ac:dyDescent="0.25">
      <c r="C2" s="20"/>
      <c r="D2" s="20"/>
      <c r="E2" s="28"/>
      <c r="F2" s="28"/>
      <c r="G2" s="28"/>
      <c r="H2" s="28"/>
    </row>
    <row r="3" spans="2:8" ht="33.75" customHeight="1" x14ac:dyDescent="0.25">
      <c r="B3" s="213" t="s">
        <v>827</v>
      </c>
      <c r="C3" s="213"/>
      <c r="D3" s="213"/>
      <c r="E3" s="27"/>
      <c r="F3" s="20"/>
      <c r="G3" s="20"/>
      <c r="H3" s="20"/>
    </row>
    <row r="4" spans="2:8" x14ac:dyDescent="0.25">
      <c r="D4" s="20"/>
      <c r="E4" s="20"/>
      <c r="F4" s="20"/>
      <c r="G4" s="20"/>
      <c r="H4" s="20"/>
    </row>
    <row r="5" spans="2:8" ht="30.75" customHeight="1" x14ac:dyDescent="0.25">
      <c r="B5" s="205" t="s">
        <v>830</v>
      </c>
      <c r="C5" s="205"/>
      <c r="D5" s="30" t="s">
        <v>810</v>
      </c>
    </row>
    <row r="6" spans="2:8" ht="61.5" customHeight="1" x14ac:dyDescent="0.25">
      <c r="B6" s="209" t="s">
        <v>818</v>
      </c>
      <c r="C6" s="209"/>
      <c r="D6" s="31">
        <v>2519496</v>
      </c>
    </row>
    <row r="7" spans="2:8" x14ac:dyDescent="0.25">
      <c r="B7" s="11"/>
      <c r="C7" s="11"/>
      <c r="D7" s="12"/>
    </row>
    <row r="8" spans="2:8" x14ac:dyDescent="0.25">
      <c r="B8" s="23" t="s">
        <v>831</v>
      </c>
      <c r="D8" s="30" t="s">
        <v>810</v>
      </c>
    </row>
    <row r="9" spans="2:8" ht="30" customHeight="1" x14ac:dyDescent="0.25">
      <c r="B9" s="13" t="s">
        <v>814</v>
      </c>
      <c r="C9" s="14" t="s">
        <v>817</v>
      </c>
      <c r="D9" s="15">
        <v>46015</v>
      </c>
    </row>
    <row r="10" spans="2:8" ht="33.75" customHeight="1" x14ac:dyDescent="0.25">
      <c r="B10" s="13" t="s">
        <v>815</v>
      </c>
      <c r="C10" s="16" t="s">
        <v>812</v>
      </c>
      <c r="D10" s="17">
        <v>130801</v>
      </c>
    </row>
    <row r="11" spans="2:8" ht="30" x14ac:dyDescent="0.25">
      <c r="B11" s="13" t="s">
        <v>816</v>
      </c>
      <c r="C11" s="16" t="s">
        <v>813</v>
      </c>
      <c r="D11" s="17">
        <v>142501</v>
      </c>
    </row>
    <row r="12" spans="2:8" ht="29.25" customHeight="1" x14ac:dyDescent="0.25">
      <c r="B12" s="210" t="s">
        <v>829</v>
      </c>
      <c r="C12" s="210"/>
      <c r="D12" s="31">
        <f>D9+D10+D11</f>
        <v>319317</v>
      </c>
    </row>
    <row r="13" spans="2:8" x14ac:dyDescent="0.25">
      <c r="B13" s="18"/>
      <c r="C13" s="18"/>
      <c r="D13" s="19"/>
    </row>
    <row r="14" spans="2:8" x14ac:dyDescent="0.25">
      <c r="D14" s="30" t="s">
        <v>810</v>
      </c>
    </row>
    <row r="15" spans="2:8" ht="17.25" customHeight="1" x14ac:dyDescent="0.25">
      <c r="B15" s="211" t="s">
        <v>832</v>
      </c>
      <c r="C15" s="211"/>
      <c r="D15" s="31">
        <f>D6-D12</f>
        <v>2200179</v>
      </c>
    </row>
    <row r="17" spans="2:4" x14ac:dyDescent="0.25">
      <c r="B17" s="198" t="s">
        <v>833</v>
      </c>
      <c r="C17" s="198"/>
      <c r="D17" s="198"/>
    </row>
    <row r="18" spans="2:4" ht="119.25" customHeight="1" x14ac:dyDescent="0.25">
      <c r="B18" s="199" t="s">
        <v>811</v>
      </c>
      <c r="C18" s="200"/>
      <c r="D18" s="32" t="s">
        <v>835</v>
      </c>
    </row>
    <row r="19" spans="2:4" ht="60.75" customHeight="1" x14ac:dyDescent="0.25">
      <c r="B19" s="199" t="s">
        <v>834</v>
      </c>
      <c r="C19" s="200"/>
      <c r="D19" s="201" t="s">
        <v>836</v>
      </c>
    </row>
    <row r="20" spans="2:4" ht="122.25" customHeight="1" x14ac:dyDescent="0.25">
      <c r="B20" s="199" t="s">
        <v>825</v>
      </c>
      <c r="C20" s="200"/>
      <c r="D20" s="202"/>
    </row>
    <row r="21" spans="2:4" ht="134.25" customHeight="1" x14ac:dyDescent="0.25">
      <c r="B21" s="199" t="s">
        <v>824</v>
      </c>
      <c r="C21" s="200"/>
      <c r="D21" s="203"/>
    </row>
    <row r="22" spans="2:4" ht="13.5" customHeight="1" x14ac:dyDescent="0.25">
      <c r="B22" s="21"/>
      <c r="C22" s="21"/>
      <c r="D22" s="21"/>
    </row>
    <row r="23" spans="2:4" ht="33" customHeight="1" x14ac:dyDescent="0.25">
      <c r="B23" s="205" t="s">
        <v>837</v>
      </c>
      <c r="C23" s="205"/>
      <c r="D23" s="30" t="s">
        <v>810</v>
      </c>
    </row>
    <row r="24" spans="2:4" x14ac:dyDescent="0.25">
      <c r="B24" s="206" t="s">
        <v>838</v>
      </c>
      <c r="C24" s="206"/>
      <c r="D24" s="22">
        <f>'2p_jūlijs'!O7</f>
        <v>190588</v>
      </c>
    </row>
    <row r="25" spans="2:4" x14ac:dyDescent="0.25">
      <c r="B25" s="206" t="s">
        <v>839</v>
      </c>
      <c r="C25" s="206"/>
      <c r="D25" s="22">
        <f>'3p_augusts'!P7</f>
        <v>262296</v>
      </c>
    </row>
    <row r="26" spans="2:4" x14ac:dyDescent="0.25">
      <c r="B26" s="206" t="s">
        <v>840</v>
      </c>
      <c r="C26" s="206"/>
      <c r="D26" s="22">
        <f>'4p_septembris'!P7</f>
        <v>72630</v>
      </c>
    </row>
    <row r="27" spans="2:4" x14ac:dyDescent="0.25">
      <c r="B27" s="207" t="s">
        <v>828</v>
      </c>
      <c r="C27" s="208"/>
      <c r="D27" s="25">
        <f>D24+D25+D26</f>
        <v>525514</v>
      </c>
    </row>
    <row r="29" spans="2:4" x14ac:dyDescent="0.25">
      <c r="B29" s="23" t="s">
        <v>819</v>
      </c>
      <c r="D29" s="30" t="s">
        <v>810</v>
      </c>
    </row>
    <row r="30" spans="2:4" x14ac:dyDescent="0.25">
      <c r="B30" s="204" t="s">
        <v>826</v>
      </c>
      <c r="C30" s="204"/>
      <c r="D30" s="22">
        <f>(D9+D10+D11+D27)/9</f>
        <v>93870.111111111109</v>
      </c>
    </row>
    <row r="31" spans="2:4" x14ac:dyDescent="0.25">
      <c r="B31" s="18"/>
      <c r="C31" s="18"/>
      <c r="D31" s="24"/>
    </row>
    <row r="32" spans="2:4" x14ac:dyDescent="0.25">
      <c r="B32" s="18"/>
      <c r="C32" s="18"/>
      <c r="D32" s="30" t="s">
        <v>810</v>
      </c>
    </row>
    <row r="33" spans="2:4" x14ac:dyDescent="0.25">
      <c r="B33" s="197" t="s">
        <v>853</v>
      </c>
      <c r="C33" s="197"/>
      <c r="D33" s="25">
        <f>D30*2</f>
        <v>187740.22222222222</v>
      </c>
    </row>
    <row r="35" spans="2:4" x14ac:dyDescent="0.25">
      <c r="D35" s="30" t="s">
        <v>810</v>
      </c>
    </row>
    <row r="36" spans="2:4" x14ac:dyDescent="0.25">
      <c r="B36" s="197" t="s">
        <v>841</v>
      </c>
      <c r="C36" s="197"/>
      <c r="D36" s="25">
        <f>D27+D33</f>
        <v>713254.22222222225</v>
      </c>
    </row>
    <row r="37" spans="2:4" s="241" customFormat="1" x14ac:dyDescent="0.25">
      <c r="B37" s="239"/>
      <c r="C37" s="239"/>
      <c r="D37" s="240"/>
    </row>
    <row r="38" spans="2:4" x14ac:dyDescent="0.25">
      <c r="D38" s="30" t="s">
        <v>810</v>
      </c>
    </row>
    <row r="39" spans="2:4" x14ac:dyDescent="0.25">
      <c r="C39" s="29" t="s">
        <v>854</v>
      </c>
      <c r="D39" s="5">
        <f>D15-D36</f>
        <v>1486924.7777777778</v>
      </c>
    </row>
    <row r="40" spans="2:4" x14ac:dyDescent="0.25">
      <c r="C40" s="29"/>
      <c r="D40" s="5"/>
    </row>
    <row r="41" spans="2:4" x14ac:dyDescent="0.25">
      <c r="D41" s="30" t="s">
        <v>810</v>
      </c>
    </row>
    <row r="42" spans="2:4" ht="31.5" customHeight="1" x14ac:dyDescent="0.25">
      <c r="B42" s="238" t="s">
        <v>855</v>
      </c>
      <c r="C42" s="238"/>
      <c r="D42" s="237">
        <f>D30</f>
        <v>93870.111111111109</v>
      </c>
    </row>
  </sheetData>
  <mergeCells count="21">
    <mergeCell ref="B42:C42"/>
    <mergeCell ref="B6:C6"/>
    <mergeCell ref="B5:C5"/>
    <mergeCell ref="B12:C12"/>
    <mergeCell ref="B15:C15"/>
    <mergeCell ref="C1:D1"/>
    <mergeCell ref="B3:D3"/>
    <mergeCell ref="B36:C36"/>
    <mergeCell ref="B17:D17"/>
    <mergeCell ref="B21:C21"/>
    <mergeCell ref="B20:C20"/>
    <mergeCell ref="B19:C19"/>
    <mergeCell ref="B18:C18"/>
    <mergeCell ref="D19:D21"/>
    <mergeCell ref="B30:C30"/>
    <mergeCell ref="B33:C33"/>
    <mergeCell ref="B23:C23"/>
    <mergeCell ref="B24:C24"/>
    <mergeCell ref="B25:C25"/>
    <mergeCell ref="B26:C26"/>
    <mergeCell ref="B27:C2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0C62-C098-467D-9023-AE814DEA1C57}">
  <dimension ref="A1:S167"/>
  <sheetViews>
    <sheetView zoomScale="80" zoomScaleNormal="80" workbookViewId="0">
      <pane ySplit="7" topLeftCell="A24" activePane="bottomLeft" state="frozen"/>
      <selection pane="bottomLeft" activeCell="O7" sqref="O7"/>
    </sheetView>
  </sheetViews>
  <sheetFormatPr defaultRowHeight="15" x14ac:dyDescent="0.25"/>
  <cols>
    <col min="1" max="1" width="5.5703125" style="52" customWidth="1"/>
    <col min="2" max="2" width="17.5703125" style="52" customWidth="1"/>
    <col min="3" max="3" width="18" style="53" customWidth="1"/>
    <col min="4" max="4" width="45.85546875" style="52" customWidth="1"/>
    <col min="5" max="5" width="17" style="54" customWidth="1"/>
    <col min="6" max="6" width="16" style="54" customWidth="1"/>
    <col min="7" max="7" width="17" style="54" bestFit="1" customWidth="1"/>
    <col min="8" max="8" width="16" style="53" customWidth="1"/>
    <col min="9" max="9" width="43.42578125" style="52" customWidth="1"/>
    <col min="10" max="10" width="12" style="55" bestFit="1" customWidth="1"/>
    <col min="11" max="11" width="13.140625" style="55" bestFit="1" customWidth="1"/>
    <col min="12" max="12" width="17.28515625" style="56" customWidth="1"/>
    <col min="13" max="13" width="19.42578125" style="56" customWidth="1"/>
    <col min="14" max="14" width="14.5703125" style="56" customWidth="1"/>
    <col min="15" max="15" width="12.42578125" style="56" customWidth="1"/>
    <col min="16" max="17" width="10" style="117" bestFit="1" customWidth="1"/>
    <col min="18" max="18" width="56" style="118" customWidth="1"/>
    <col min="19" max="16384" width="9.140625" style="52"/>
  </cols>
  <sheetData>
    <row r="1" spans="1:19" ht="27" customHeight="1" x14ac:dyDescent="0.25">
      <c r="M1" s="214" t="s">
        <v>802</v>
      </c>
      <c r="N1" s="214"/>
      <c r="O1" s="214"/>
      <c r="P1" s="214"/>
      <c r="Q1" s="214"/>
      <c r="R1" s="214"/>
    </row>
    <row r="2" spans="1:19" ht="18.75" x14ac:dyDescent="0.25">
      <c r="A2" s="57"/>
      <c r="B2" s="215" t="s">
        <v>852</v>
      </c>
      <c r="C2" s="215"/>
      <c r="D2" s="215"/>
      <c r="E2" s="215"/>
      <c r="F2" s="215"/>
      <c r="G2" s="215"/>
      <c r="H2" s="215"/>
      <c r="I2" s="215"/>
      <c r="J2" s="215"/>
      <c r="K2" s="215"/>
      <c r="L2" s="215"/>
      <c r="M2" s="215"/>
      <c r="N2" s="215"/>
      <c r="O2" s="215"/>
      <c r="P2" s="215"/>
      <c r="Q2" s="215"/>
      <c r="R2" s="215"/>
      <c r="S2" s="57"/>
    </row>
    <row r="3" spans="1:19" ht="8.25" customHeight="1" x14ac:dyDescent="0.25">
      <c r="A3" s="57"/>
      <c r="B3" s="58"/>
      <c r="C3" s="59"/>
      <c r="D3" s="60"/>
      <c r="E3" s="58"/>
      <c r="F3" s="58"/>
      <c r="G3" s="61"/>
      <c r="H3" s="58"/>
      <c r="I3" s="60"/>
      <c r="J3" s="61"/>
      <c r="K3" s="61"/>
      <c r="L3" s="62"/>
      <c r="M3" s="62"/>
      <c r="N3" s="62"/>
      <c r="O3" s="63"/>
      <c r="P3" s="64"/>
      <c r="Q3" s="65"/>
      <c r="R3" s="62"/>
      <c r="S3" s="57"/>
    </row>
    <row r="4" spans="1:19" s="66" customFormat="1" ht="33" customHeight="1" x14ac:dyDescent="0.2">
      <c r="B4" s="216" t="s">
        <v>805</v>
      </c>
      <c r="C4" s="216"/>
      <c r="D4" s="216"/>
      <c r="E4" s="216"/>
      <c r="F4" s="216"/>
      <c r="G4" s="216"/>
      <c r="H4" s="216"/>
      <c r="I4" s="216"/>
      <c r="J4" s="216"/>
      <c r="K4" s="216"/>
      <c r="L4" s="216"/>
      <c r="M4" s="216"/>
      <c r="N4" s="216"/>
      <c r="O4" s="216"/>
      <c r="P4" s="216"/>
      <c r="Q4" s="216"/>
      <c r="R4" s="216"/>
    </row>
    <row r="5" spans="1:19" s="66" customFormat="1" ht="28.5" customHeight="1" x14ac:dyDescent="0.2">
      <c r="B5" s="67"/>
      <c r="C5" s="67"/>
      <c r="D5" s="67"/>
      <c r="E5" s="67"/>
      <c r="F5" s="67"/>
      <c r="G5" s="67"/>
      <c r="H5" s="67"/>
      <c r="I5" s="67"/>
      <c r="J5" s="67"/>
      <c r="K5" s="67"/>
      <c r="L5" s="68"/>
      <c r="M5" s="68"/>
      <c r="N5" s="68"/>
      <c r="O5" s="68"/>
      <c r="P5" s="218" t="s">
        <v>806</v>
      </c>
      <c r="Q5" s="218"/>
      <c r="R5" s="68"/>
    </row>
    <row r="6" spans="1:19" s="41" customFormat="1" ht="78.75" x14ac:dyDescent="0.25">
      <c r="A6" s="33"/>
      <c r="B6" s="69" t="s">
        <v>5</v>
      </c>
      <c r="C6" s="69" t="s">
        <v>0</v>
      </c>
      <c r="D6" s="69" t="s">
        <v>18</v>
      </c>
      <c r="E6" s="69" t="s">
        <v>4</v>
      </c>
      <c r="F6" s="69" t="s">
        <v>19</v>
      </c>
      <c r="G6" s="69" t="s">
        <v>20</v>
      </c>
      <c r="H6" s="69" t="s">
        <v>1</v>
      </c>
      <c r="I6" s="69" t="s">
        <v>21</v>
      </c>
      <c r="J6" s="69" t="s">
        <v>2</v>
      </c>
      <c r="K6" s="69" t="s">
        <v>3</v>
      </c>
      <c r="L6" s="70" t="s">
        <v>844</v>
      </c>
      <c r="M6" s="70" t="s">
        <v>845</v>
      </c>
      <c r="N6" s="70" t="s">
        <v>846</v>
      </c>
      <c r="O6" s="70" t="s">
        <v>847</v>
      </c>
      <c r="P6" s="2" t="s">
        <v>22</v>
      </c>
      <c r="Q6" s="2" t="s">
        <v>23</v>
      </c>
      <c r="R6" s="70" t="s">
        <v>12</v>
      </c>
      <c r="S6" s="33"/>
    </row>
    <row r="7" spans="1:19" s="72" customFormat="1" ht="15.75" x14ac:dyDescent="0.25">
      <c r="A7" s="71"/>
      <c r="B7" s="217" t="s">
        <v>11</v>
      </c>
      <c r="C7" s="217"/>
      <c r="D7" s="217"/>
      <c r="E7" s="217"/>
      <c r="F7" s="217"/>
      <c r="G7" s="217"/>
      <c r="H7" s="217"/>
      <c r="I7" s="217"/>
      <c r="J7" s="217"/>
      <c r="K7" s="217"/>
      <c r="L7" s="70">
        <f t="shared" ref="L7:Q7" si="0">ROUNDUP(L13+L54+L103+L127+L108,0)</f>
        <v>5233917</v>
      </c>
      <c r="M7" s="70">
        <f t="shared" si="0"/>
        <v>436160</v>
      </c>
      <c r="N7" s="70">
        <f t="shared" si="0"/>
        <v>65702</v>
      </c>
      <c r="O7" s="70">
        <f t="shared" si="0"/>
        <v>190588</v>
      </c>
      <c r="P7" s="70">
        <f t="shared" si="0"/>
        <v>186505</v>
      </c>
      <c r="Q7" s="70">
        <f t="shared" si="0"/>
        <v>4083</v>
      </c>
      <c r="R7" s="70"/>
      <c r="S7" s="71"/>
    </row>
    <row r="8" spans="1:19" s="41" customFormat="1" ht="15.75" x14ac:dyDescent="0.25">
      <c r="A8" s="33"/>
      <c r="B8" s="34" t="s">
        <v>7</v>
      </c>
      <c r="C8" s="35">
        <v>270075405</v>
      </c>
      <c r="D8" s="34" t="s">
        <v>24</v>
      </c>
      <c r="E8" s="35">
        <v>12760000197</v>
      </c>
      <c r="F8" s="35" t="s">
        <v>25</v>
      </c>
      <c r="G8" s="35" t="s">
        <v>26</v>
      </c>
      <c r="H8" s="35">
        <v>270000004</v>
      </c>
      <c r="I8" s="34" t="s">
        <v>27</v>
      </c>
      <c r="J8" s="37">
        <v>44753</v>
      </c>
      <c r="K8" s="37">
        <v>44764</v>
      </c>
      <c r="L8" s="38">
        <v>47812.800000000003</v>
      </c>
      <c r="M8" s="38">
        <f>L8/12</f>
        <v>3984.4</v>
      </c>
      <c r="N8" s="38">
        <v>377.96679841897236</v>
      </c>
      <c r="O8" s="38">
        <f>L8/253*10</f>
        <v>1889.8339920948617</v>
      </c>
      <c r="P8" s="39">
        <f>O8</f>
        <v>1889.8339920948617</v>
      </c>
      <c r="Q8" s="73"/>
      <c r="R8" s="51"/>
      <c r="S8" s="33"/>
    </row>
    <row r="9" spans="1:19" s="41" customFormat="1" ht="15.75" x14ac:dyDescent="0.25">
      <c r="A9" s="33"/>
      <c r="B9" s="34" t="s">
        <v>7</v>
      </c>
      <c r="C9" s="35">
        <v>170000170</v>
      </c>
      <c r="D9" s="34" t="s">
        <v>28</v>
      </c>
      <c r="E9" s="35">
        <v>14230030829</v>
      </c>
      <c r="F9" s="35" t="s">
        <v>29</v>
      </c>
      <c r="G9" s="35" t="s">
        <v>30</v>
      </c>
      <c r="H9" s="35">
        <v>170075432</v>
      </c>
      <c r="I9" s="34" t="s">
        <v>31</v>
      </c>
      <c r="J9" s="37">
        <v>44746</v>
      </c>
      <c r="K9" s="37">
        <v>44750</v>
      </c>
      <c r="L9" s="38">
        <v>57822.12</v>
      </c>
      <c r="M9" s="38">
        <f>L9/12</f>
        <v>4818.51</v>
      </c>
      <c r="N9" s="38">
        <v>0</v>
      </c>
      <c r="O9" s="38">
        <f>L9/253*5</f>
        <v>1142.7296442687748</v>
      </c>
      <c r="P9" s="39">
        <f>O9</f>
        <v>1142.7296442687748</v>
      </c>
      <c r="Q9" s="73"/>
      <c r="R9" s="51"/>
      <c r="S9" s="33"/>
    </row>
    <row r="10" spans="1:19" s="41" customFormat="1" ht="15.75" x14ac:dyDescent="0.25">
      <c r="A10" s="33"/>
      <c r="B10" s="34" t="s">
        <v>7</v>
      </c>
      <c r="C10" s="35">
        <v>648500001</v>
      </c>
      <c r="D10" s="34" t="s">
        <v>32</v>
      </c>
      <c r="E10" s="35">
        <v>41190009326</v>
      </c>
      <c r="F10" s="35" t="s">
        <v>33</v>
      </c>
      <c r="G10" s="35" t="s">
        <v>34</v>
      </c>
      <c r="H10" s="35">
        <v>648500002</v>
      </c>
      <c r="I10" s="34" t="s">
        <v>35</v>
      </c>
      <c r="J10" s="37">
        <v>44746</v>
      </c>
      <c r="K10" s="37">
        <v>44750</v>
      </c>
      <c r="L10" s="38">
        <v>61784.399999999994</v>
      </c>
      <c r="M10" s="38">
        <f>L10/12</f>
        <v>5148.7</v>
      </c>
      <c r="N10" s="38">
        <v>0</v>
      </c>
      <c r="O10" s="38">
        <f>L10/253*5</f>
        <v>1221.0355731225295</v>
      </c>
      <c r="P10" s="39">
        <f>O10</f>
        <v>1221.0355731225295</v>
      </c>
      <c r="Q10" s="73"/>
      <c r="R10" s="51"/>
      <c r="S10" s="33"/>
    </row>
    <row r="11" spans="1:19" s="41" customFormat="1" ht="15.75" x14ac:dyDescent="0.25">
      <c r="A11" s="33"/>
      <c r="B11" s="34" t="s">
        <v>7</v>
      </c>
      <c r="C11" s="35">
        <v>270024101</v>
      </c>
      <c r="D11" s="34" t="s">
        <v>36</v>
      </c>
      <c r="E11" s="35">
        <v>82270047954</v>
      </c>
      <c r="F11" s="35" t="s">
        <v>37</v>
      </c>
      <c r="G11" s="35" t="s">
        <v>38</v>
      </c>
      <c r="H11" s="35">
        <v>270024101</v>
      </c>
      <c r="I11" s="34" t="s">
        <v>36</v>
      </c>
      <c r="J11" s="37">
        <v>44753</v>
      </c>
      <c r="K11" s="37">
        <v>44757</v>
      </c>
      <c r="L11" s="38">
        <v>47722.080000000002</v>
      </c>
      <c r="M11" s="38">
        <f>L11/12</f>
        <v>3976.84</v>
      </c>
      <c r="N11" s="38">
        <v>1697.6233992094863</v>
      </c>
      <c r="O11" s="38">
        <f>L11/253*5</f>
        <v>943.12411067193682</v>
      </c>
      <c r="P11" s="39">
        <f>O11</f>
        <v>943.12411067193682</v>
      </c>
      <c r="Q11" s="73"/>
      <c r="R11" s="51"/>
      <c r="S11" s="33"/>
    </row>
    <row r="12" spans="1:19" s="41" customFormat="1" ht="15.75" x14ac:dyDescent="0.25">
      <c r="A12" s="33"/>
      <c r="B12" s="34" t="s">
        <v>7</v>
      </c>
      <c r="C12" s="35">
        <v>270024101</v>
      </c>
      <c r="D12" s="34" t="s">
        <v>36</v>
      </c>
      <c r="E12" s="35">
        <v>86440004332</v>
      </c>
      <c r="F12" s="35" t="s">
        <v>39</v>
      </c>
      <c r="G12" s="35" t="s">
        <v>40</v>
      </c>
      <c r="H12" s="35">
        <v>270024101</v>
      </c>
      <c r="I12" s="34" t="s">
        <v>36</v>
      </c>
      <c r="J12" s="37">
        <v>44746</v>
      </c>
      <c r="K12" s="37">
        <v>44757</v>
      </c>
      <c r="L12" s="38">
        <v>42433.2</v>
      </c>
      <c r="M12" s="38">
        <f>L12/12</f>
        <v>3536.1</v>
      </c>
      <c r="N12" s="38">
        <v>0</v>
      </c>
      <c r="O12" s="38">
        <f>L12/253*10</f>
        <v>1677.201581027668</v>
      </c>
      <c r="P12" s="39">
        <f>O12</f>
        <v>1677.201581027668</v>
      </c>
      <c r="Q12" s="73"/>
      <c r="R12" s="51"/>
      <c r="S12" s="33"/>
    </row>
    <row r="13" spans="1:19" s="82" customFormat="1" x14ac:dyDescent="0.25">
      <c r="A13" s="74"/>
      <c r="B13" s="75" t="s">
        <v>13</v>
      </c>
      <c r="C13" s="76"/>
      <c r="D13" s="77"/>
      <c r="E13" s="76"/>
      <c r="F13" s="76"/>
      <c r="G13" s="76"/>
      <c r="H13" s="76"/>
      <c r="I13" s="77"/>
      <c r="J13" s="78"/>
      <c r="K13" s="79"/>
      <c r="L13" s="80">
        <f>SUM(L8:L12)</f>
        <v>257574.60000000003</v>
      </c>
      <c r="M13" s="80">
        <f t="shared" ref="M13:Q13" si="1">SUM(M8:M12)</f>
        <v>21464.55</v>
      </c>
      <c r="N13" s="80">
        <f t="shared" si="1"/>
        <v>2075.5901976284586</v>
      </c>
      <c r="O13" s="80">
        <f t="shared" si="1"/>
        <v>6873.9249011857719</v>
      </c>
      <c r="P13" s="80">
        <f t="shared" si="1"/>
        <v>6873.9249011857719</v>
      </c>
      <c r="Q13" s="80">
        <f t="shared" si="1"/>
        <v>0</v>
      </c>
      <c r="R13" s="81"/>
      <c r="S13" s="74"/>
    </row>
    <row r="14" spans="1:19" s="41" customFormat="1" ht="15.75" x14ac:dyDescent="0.25">
      <c r="A14" s="33"/>
      <c r="B14" s="34" t="s">
        <v>8</v>
      </c>
      <c r="C14" s="35">
        <v>601000011</v>
      </c>
      <c r="D14" s="34" t="s">
        <v>41</v>
      </c>
      <c r="E14" s="35">
        <v>10140008711</v>
      </c>
      <c r="F14" s="35" t="s">
        <v>42</v>
      </c>
      <c r="G14" s="35" t="s">
        <v>43</v>
      </c>
      <c r="H14" s="35">
        <v>601000021</v>
      </c>
      <c r="I14" s="34" t="s">
        <v>44</v>
      </c>
      <c r="J14" s="83" t="s">
        <v>45</v>
      </c>
      <c r="K14" s="83" t="s">
        <v>46</v>
      </c>
      <c r="L14" s="38">
        <v>54631.799999999996</v>
      </c>
      <c r="M14" s="38">
        <f t="shared" ref="M14:M53" si="2">L14/12</f>
        <v>4552.6499999999996</v>
      </c>
      <c r="N14" s="38">
        <v>0</v>
      </c>
      <c r="O14" s="38">
        <f>L14/253*10</f>
        <v>2159.359683794466</v>
      </c>
      <c r="P14" s="39">
        <f t="shared" ref="P14:P53" si="3">O14</f>
        <v>2159.359683794466</v>
      </c>
      <c r="Q14" s="73"/>
      <c r="R14" s="51"/>
      <c r="S14" s="33"/>
    </row>
    <row r="15" spans="1:19" s="41" customFormat="1" ht="15.75" x14ac:dyDescent="0.25">
      <c r="A15" s="33"/>
      <c r="B15" s="84" t="s">
        <v>8</v>
      </c>
      <c r="C15" s="35">
        <v>600200037</v>
      </c>
      <c r="D15" s="84" t="s">
        <v>47</v>
      </c>
      <c r="E15" s="35">
        <v>10650008805</v>
      </c>
      <c r="F15" s="35" t="s">
        <v>48</v>
      </c>
      <c r="G15" s="35" t="s">
        <v>49</v>
      </c>
      <c r="H15" s="35">
        <v>600200002</v>
      </c>
      <c r="I15" s="84" t="s">
        <v>50</v>
      </c>
      <c r="J15" s="83" t="s">
        <v>51</v>
      </c>
      <c r="K15" s="83" t="s">
        <v>46</v>
      </c>
      <c r="L15" s="38">
        <v>30688.68</v>
      </c>
      <c r="M15" s="38">
        <f t="shared" si="2"/>
        <v>2557.39</v>
      </c>
      <c r="N15" s="38">
        <v>0</v>
      </c>
      <c r="O15" s="38">
        <f>L15/253*7</f>
        <v>849.09391304347832</v>
      </c>
      <c r="P15" s="39">
        <f t="shared" si="3"/>
        <v>849.09391304347832</v>
      </c>
      <c r="Q15" s="73"/>
      <c r="R15" s="51"/>
      <c r="S15" s="33"/>
    </row>
    <row r="16" spans="1:19" s="41" customFormat="1" ht="15.75" x14ac:dyDescent="0.25">
      <c r="A16" s="33"/>
      <c r="B16" s="84" t="s">
        <v>8</v>
      </c>
      <c r="C16" s="35">
        <v>600200015</v>
      </c>
      <c r="D16" s="84" t="s">
        <v>52</v>
      </c>
      <c r="E16" s="35">
        <v>10740001841</v>
      </c>
      <c r="F16" s="35" t="s">
        <v>53</v>
      </c>
      <c r="G16" s="35" t="s">
        <v>54</v>
      </c>
      <c r="H16" s="35">
        <v>600200035</v>
      </c>
      <c r="I16" s="84" t="s">
        <v>55</v>
      </c>
      <c r="J16" s="83" t="s">
        <v>56</v>
      </c>
      <c r="K16" s="83" t="s">
        <v>46</v>
      </c>
      <c r="L16" s="38">
        <v>45441.72</v>
      </c>
      <c r="M16" s="38">
        <f t="shared" si="2"/>
        <v>3786.81</v>
      </c>
      <c r="N16" s="38">
        <v>0</v>
      </c>
      <c r="O16" s="38">
        <f>L16/253*5</f>
        <v>898.05770750988142</v>
      </c>
      <c r="P16" s="39">
        <f t="shared" si="3"/>
        <v>898.05770750988142</v>
      </c>
      <c r="Q16" s="73"/>
      <c r="R16" s="51"/>
      <c r="S16" s="33"/>
    </row>
    <row r="17" spans="1:19" s="41" customFormat="1" ht="15.75" x14ac:dyDescent="0.25">
      <c r="A17" s="33"/>
      <c r="B17" s="34" t="s">
        <v>8</v>
      </c>
      <c r="C17" s="35">
        <v>50075424</v>
      </c>
      <c r="D17" s="34" t="s">
        <v>57</v>
      </c>
      <c r="E17" s="35">
        <v>13270011105</v>
      </c>
      <c r="F17" s="85" t="s">
        <v>58</v>
      </c>
      <c r="G17" s="85" t="s">
        <v>59</v>
      </c>
      <c r="H17" s="35">
        <v>50075429</v>
      </c>
      <c r="I17" s="34" t="s">
        <v>60</v>
      </c>
      <c r="J17" s="83" t="s">
        <v>61</v>
      </c>
      <c r="K17" s="83" t="s">
        <v>62</v>
      </c>
      <c r="L17" s="38">
        <v>51869.88</v>
      </c>
      <c r="M17" s="38">
        <f t="shared" si="2"/>
        <v>4322.49</v>
      </c>
      <c r="N17" s="38">
        <v>820.08</v>
      </c>
      <c r="O17" s="38">
        <f>L17/253*6</f>
        <v>1230.1157312252963</v>
      </c>
      <c r="P17" s="39">
        <f t="shared" si="3"/>
        <v>1230.1157312252963</v>
      </c>
      <c r="Q17" s="73"/>
      <c r="R17" s="51"/>
      <c r="S17" s="33"/>
    </row>
    <row r="18" spans="1:19" s="41" customFormat="1" ht="15.75" x14ac:dyDescent="0.25">
      <c r="A18" s="33"/>
      <c r="B18" s="34" t="s">
        <v>8</v>
      </c>
      <c r="C18" s="35">
        <v>50077461</v>
      </c>
      <c r="D18" s="34" t="s">
        <v>63</v>
      </c>
      <c r="E18" s="35">
        <v>15730008392</v>
      </c>
      <c r="F18" s="35" t="s">
        <v>64</v>
      </c>
      <c r="G18" s="35" t="s">
        <v>65</v>
      </c>
      <c r="H18" s="35">
        <v>50077479</v>
      </c>
      <c r="I18" s="34" t="s">
        <v>66</v>
      </c>
      <c r="J18" s="37" t="s">
        <v>62</v>
      </c>
      <c r="K18" s="83" t="s">
        <v>46</v>
      </c>
      <c r="L18" s="38">
        <v>36665.040000000001</v>
      </c>
      <c r="M18" s="38">
        <f t="shared" si="2"/>
        <v>3055.42</v>
      </c>
      <c r="N18" s="38">
        <v>0</v>
      </c>
      <c r="O18" s="38">
        <f>L18/253*16</f>
        <v>2318.7377075098816</v>
      </c>
      <c r="P18" s="39">
        <f t="shared" si="3"/>
        <v>2318.7377075098816</v>
      </c>
      <c r="Q18" s="73"/>
      <c r="R18" s="51"/>
      <c r="S18" s="33"/>
    </row>
    <row r="19" spans="1:19" s="41" customFormat="1" ht="15.75" x14ac:dyDescent="0.25">
      <c r="A19" s="33"/>
      <c r="B19" s="34" t="s">
        <v>8</v>
      </c>
      <c r="C19" s="35">
        <v>210075425</v>
      </c>
      <c r="D19" s="34" t="s">
        <v>67</v>
      </c>
      <c r="E19" s="35">
        <v>21290005145</v>
      </c>
      <c r="F19" s="35" t="s">
        <v>68</v>
      </c>
      <c r="G19" s="35" t="s">
        <v>69</v>
      </c>
      <c r="H19" s="35">
        <v>210075421</v>
      </c>
      <c r="I19" s="34" t="s">
        <v>70</v>
      </c>
      <c r="J19" s="37" t="s">
        <v>71</v>
      </c>
      <c r="K19" s="83" t="s">
        <v>72</v>
      </c>
      <c r="L19" s="38">
        <v>29063.040000000001</v>
      </c>
      <c r="M19" s="38">
        <f t="shared" si="2"/>
        <v>2421.92</v>
      </c>
      <c r="N19" s="38">
        <v>0</v>
      </c>
      <c r="O19" s="38">
        <f>L19/253*20</f>
        <v>2297.4735177865614</v>
      </c>
      <c r="P19" s="39">
        <f t="shared" si="3"/>
        <v>2297.4735177865614</v>
      </c>
      <c r="Q19" s="73"/>
      <c r="R19" s="51"/>
      <c r="S19" s="33"/>
    </row>
    <row r="20" spans="1:19" s="41" customFormat="1" ht="15.75" x14ac:dyDescent="0.25">
      <c r="A20" s="33"/>
      <c r="B20" s="34" t="s">
        <v>8</v>
      </c>
      <c r="C20" s="35">
        <v>600200035</v>
      </c>
      <c r="D20" s="34" t="s">
        <v>55</v>
      </c>
      <c r="E20" s="35">
        <v>22970038197</v>
      </c>
      <c r="F20" s="35" t="s">
        <v>73</v>
      </c>
      <c r="G20" s="35" t="s">
        <v>74</v>
      </c>
      <c r="H20" s="35">
        <v>600200015</v>
      </c>
      <c r="I20" s="34" t="s">
        <v>52</v>
      </c>
      <c r="J20" s="37" t="s">
        <v>71</v>
      </c>
      <c r="K20" s="83" t="s">
        <v>45</v>
      </c>
      <c r="L20" s="38">
        <v>32176.080000000002</v>
      </c>
      <c r="M20" s="38">
        <f t="shared" si="2"/>
        <v>2681.34</v>
      </c>
      <c r="N20" s="38">
        <v>0</v>
      </c>
      <c r="O20" s="38">
        <f>L20/253*11</f>
        <v>1398.96</v>
      </c>
      <c r="P20" s="39">
        <f t="shared" si="3"/>
        <v>1398.96</v>
      </c>
      <c r="Q20" s="73"/>
      <c r="R20" s="51"/>
      <c r="S20" s="33"/>
    </row>
    <row r="21" spans="1:19" s="41" customFormat="1" ht="15.75" x14ac:dyDescent="0.25">
      <c r="A21" s="33"/>
      <c r="B21" s="34" t="s">
        <v>8</v>
      </c>
      <c r="C21" s="35">
        <v>600200016</v>
      </c>
      <c r="D21" s="34" t="s">
        <v>75</v>
      </c>
      <c r="E21" s="35">
        <v>23110010213</v>
      </c>
      <c r="F21" s="35" t="s">
        <v>76</v>
      </c>
      <c r="G21" s="35" t="s">
        <v>77</v>
      </c>
      <c r="H21" s="35">
        <v>600200003</v>
      </c>
      <c r="I21" s="34" t="s">
        <v>78</v>
      </c>
      <c r="J21" s="83" t="s">
        <v>61</v>
      </c>
      <c r="K21" s="83" t="s">
        <v>61</v>
      </c>
      <c r="L21" s="38">
        <v>61040.160000000003</v>
      </c>
      <c r="M21" s="38">
        <f t="shared" si="2"/>
        <v>5086.68</v>
      </c>
      <c r="N21" s="38">
        <v>5086.6809090909092</v>
      </c>
      <c r="O21" s="38">
        <v>0</v>
      </c>
      <c r="P21" s="39">
        <f t="shared" si="3"/>
        <v>0</v>
      </c>
      <c r="Q21" s="73"/>
      <c r="R21" s="51" t="s">
        <v>807</v>
      </c>
      <c r="S21" s="33"/>
    </row>
    <row r="22" spans="1:19" s="41" customFormat="1" ht="15.75" x14ac:dyDescent="0.25">
      <c r="A22" s="33"/>
      <c r="B22" s="34" t="s">
        <v>8</v>
      </c>
      <c r="C22" s="35">
        <v>760200005</v>
      </c>
      <c r="D22" s="34" t="s">
        <v>79</v>
      </c>
      <c r="E22" s="35">
        <v>24210000071</v>
      </c>
      <c r="F22" s="35" t="s">
        <v>80</v>
      </c>
      <c r="G22" s="35" t="s">
        <v>81</v>
      </c>
      <c r="H22" s="35">
        <v>760200013</v>
      </c>
      <c r="I22" s="34" t="s">
        <v>82</v>
      </c>
      <c r="J22" s="37" t="s">
        <v>71</v>
      </c>
      <c r="K22" s="83" t="s">
        <v>46</v>
      </c>
      <c r="L22" s="38">
        <v>44578.8</v>
      </c>
      <c r="M22" s="38">
        <f t="shared" si="2"/>
        <v>3714.9</v>
      </c>
      <c r="N22" s="38">
        <v>0</v>
      </c>
      <c r="O22" s="38">
        <f>L22/253*20</f>
        <v>3524.01581027668</v>
      </c>
      <c r="P22" s="39">
        <f t="shared" si="3"/>
        <v>3524.01581027668</v>
      </c>
      <c r="Q22" s="73"/>
      <c r="R22" s="51"/>
      <c r="S22" s="33"/>
    </row>
    <row r="23" spans="1:19" s="41" customFormat="1" ht="15.75" x14ac:dyDescent="0.25">
      <c r="A23" s="33"/>
      <c r="B23" s="34" t="s">
        <v>8</v>
      </c>
      <c r="C23" s="35">
        <v>210075422</v>
      </c>
      <c r="D23" s="34" t="s">
        <v>83</v>
      </c>
      <c r="E23" s="35">
        <v>29520001557</v>
      </c>
      <c r="F23" s="35" t="s">
        <v>84</v>
      </c>
      <c r="G23" s="35" t="s">
        <v>85</v>
      </c>
      <c r="H23" s="35">
        <v>210075410</v>
      </c>
      <c r="I23" s="34" t="s">
        <v>86</v>
      </c>
      <c r="J23" s="83" t="s">
        <v>45</v>
      </c>
      <c r="K23" s="37">
        <v>44773</v>
      </c>
      <c r="L23" s="38">
        <v>51365.279999999999</v>
      </c>
      <c r="M23" s="38">
        <f t="shared" si="2"/>
        <v>4280.4399999999996</v>
      </c>
      <c r="N23" s="38">
        <v>0</v>
      </c>
      <c r="O23" s="38">
        <f>L23/253*10</f>
        <v>2030.2482213438734</v>
      </c>
      <c r="P23" s="39">
        <f t="shared" si="3"/>
        <v>2030.2482213438734</v>
      </c>
      <c r="Q23" s="73"/>
      <c r="R23" s="51"/>
      <c r="S23" s="33"/>
    </row>
    <row r="24" spans="1:19" s="41" customFormat="1" ht="30" x14ac:dyDescent="0.25">
      <c r="A24" s="33"/>
      <c r="B24" s="34" t="s">
        <v>8</v>
      </c>
      <c r="C24" s="35">
        <v>50075410</v>
      </c>
      <c r="D24" s="34" t="s">
        <v>87</v>
      </c>
      <c r="E24" s="35">
        <v>32420002387</v>
      </c>
      <c r="F24" s="85" t="s">
        <v>88</v>
      </c>
      <c r="G24" s="85" t="s">
        <v>89</v>
      </c>
      <c r="H24" s="35">
        <v>50075430</v>
      </c>
      <c r="I24" s="34" t="s">
        <v>60</v>
      </c>
      <c r="J24" s="83" t="s">
        <v>90</v>
      </c>
      <c r="K24" s="83" t="s">
        <v>91</v>
      </c>
      <c r="L24" s="38">
        <v>51412.200000000004</v>
      </c>
      <c r="M24" s="38">
        <f t="shared" si="2"/>
        <v>4284.3500000000004</v>
      </c>
      <c r="N24" s="38">
        <v>812.84</v>
      </c>
      <c r="O24" s="38">
        <f>L24/253*11</f>
        <v>2235.3130434782611</v>
      </c>
      <c r="P24" s="39">
        <f t="shared" si="3"/>
        <v>2235.3130434782611</v>
      </c>
      <c r="Q24" s="73"/>
      <c r="R24" s="51"/>
      <c r="S24" s="33"/>
    </row>
    <row r="25" spans="1:19" s="41" customFormat="1" ht="25.5" x14ac:dyDescent="0.25">
      <c r="A25" s="33"/>
      <c r="B25" s="34" t="s">
        <v>8</v>
      </c>
      <c r="C25" s="35">
        <v>50075420</v>
      </c>
      <c r="D25" s="34" t="s">
        <v>92</v>
      </c>
      <c r="E25" s="35">
        <v>33990010032</v>
      </c>
      <c r="F25" s="35" t="s">
        <v>48</v>
      </c>
      <c r="G25" s="35" t="s">
        <v>93</v>
      </c>
      <c r="H25" s="35">
        <v>50075421</v>
      </c>
      <c r="I25" s="34" t="s">
        <v>94</v>
      </c>
      <c r="J25" s="37" t="s">
        <v>61</v>
      </c>
      <c r="K25" s="37" t="s">
        <v>95</v>
      </c>
      <c r="L25" s="38">
        <v>55497.120000000003</v>
      </c>
      <c r="M25" s="38">
        <f t="shared" si="2"/>
        <v>4624.76</v>
      </c>
      <c r="N25" s="38">
        <v>3290.3472332015813</v>
      </c>
      <c r="O25" s="38">
        <f>L25/253*16-2175.28</f>
        <v>1334.4192885375492</v>
      </c>
      <c r="P25" s="39">
        <f t="shared" si="3"/>
        <v>1334.4192885375492</v>
      </c>
      <c r="Q25" s="73"/>
      <c r="R25" s="51" t="s">
        <v>808</v>
      </c>
      <c r="S25" s="33"/>
    </row>
    <row r="26" spans="1:19" s="41" customFormat="1" ht="15.75" x14ac:dyDescent="0.25">
      <c r="A26" s="33"/>
      <c r="B26" s="34" t="s">
        <v>8</v>
      </c>
      <c r="C26" s="35">
        <v>600200002</v>
      </c>
      <c r="D26" s="34" t="s">
        <v>50</v>
      </c>
      <c r="E26" s="35">
        <v>42450006896</v>
      </c>
      <c r="F26" s="35" t="s">
        <v>48</v>
      </c>
      <c r="G26" s="35" t="s">
        <v>96</v>
      </c>
      <c r="H26" s="35">
        <v>600200002</v>
      </c>
      <c r="I26" s="34" t="s">
        <v>50</v>
      </c>
      <c r="J26" s="37" t="s">
        <v>71</v>
      </c>
      <c r="K26" s="83" t="s">
        <v>97</v>
      </c>
      <c r="L26" s="38">
        <v>70436.88</v>
      </c>
      <c r="M26" s="38">
        <f t="shared" si="2"/>
        <v>5869.7400000000007</v>
      </c>
      <c r="N26" s="38">
        <v>0</v>
      </c>
      <c r="O26" s="38">
        <f>L26/253*10</f>
        <v>2784.0664031620554</v>
      </c>
      <c r="P26" s="39">
        <f t="shared" si="3"/>
        <v>2784.0664031620554</v>
      </c>
      <c r="Q26" s="73"/>
      <c r="R26" s="51"/>
      <c r="S26" s="33"/>
    </row>
    <row r="27" spans="1:19" s="41" customFormat="1" ht="15.75" x14ac:dyDescent="0.25">
      <c r="A27" s="33"/>
      <c r="B27" s="34" t="s">
        <v>8</v>
      </c>
      <c r="C27" s="35">
        <v>600200003</v>
      </c>
      <c r="D27" s="34" t="s">
        <v>78</v>
      </c>
      <c r="E27" s="35">
        <v>49500003983</v>
      </c>
      <c r="F27" s="85" t="s">
        <v>98</v>
      </c>
      <c r="G27" s="85" t="s">
        <v>99</v>
      </c>
      <c r="H27" s="35">
        <v>600200016</v>
      </c>
      <c r="I27" s="34" t="s">
        <v>75</v>
      </c>
      <c r="J27" s="37" t="s">
        <v>45</v>
      </c>
      <c r="K27" s="83" t="s">
        <v>46</v>
      </c>
      <c r="L27" s="38">
        <v>62336.88</v>
      </c>
      <c r="M27" s="38">
        <f t="shared" si="2"/>
        <v>5194.74</v>
      </c>
      <c r="N27" s="38">
        <v>0</v>
      </c>
      <c r="O27" s="38">
        <f>L27/253*10</f>
        <v>2463.9083003952564</v>
      </c>
      <c r="P27" s="39">
        <f t="shared" si="3"/>
        <v>2463.9083003952564</v>
      </c>
      <c r="Q27" s="73"/>
      <c r="R27" s="51"/>
      <c r="S27" s="33"/>
    </row>
    <row r="28" spans="1:19" s="41" customFormat="1" ht="15.75" x14ac:dyDescent="0.25">
      <c r="A28" s="33"/>
      <c r="B28" s="34" t="s">
        <v>8</v>
      </c>
      <c r="C28" s="35">
        <v>210075403</v>
      </c>
      <c r="D28" s="34" t="s">
        <v>100</v>
      </c>
      <c r="E28" s="35">
        <v>49510005019</v>
      </c>
      <c r="F28" s="35" t="s">
        <v>101</v>
      </c>
      <c r="G28" s="35" t="s">
        <v>102</v>
      </c>
      <c r="H28" s="35">
        <v>210075408</v>
      </c>
      <c r="I28" s="34" t="s">
        <v>103</v>
      </c>
      <c r="J28" s="83" t="s">
        <v>56</v>
      </c>
      <c r="K28" s="83" t="s">
        <v>46</v>
      </c>
      <c r="L28" s="38">
        <v>59550.96</v>
      </c>
      <c r="M28" s="38">
        <f t="shared" si="2"/>
        <v>4962.58</v>
      </c>
      <c r="N28" s="38">
        <v>2353.79</v>
      </c>
      <c r="O28" s="38">
        <f>L28/253*5</f>
        <v>1176.8964426877469</v>
      </c>
      <c r="P28" s="39">
        <f t="shared" si="3"/>
        <v>1176.8964426877469</v>
      </c>
      <c r="Q28" s="73"/>
      <c r="R28" s="51"/>
      <c r="S28" s="33"/>
    </row>
    <row r="29" spans="1:19" s="41" customFormat="1" ht="15.75" x14ac:dyDescent="0.25">
      <c r="A29" s="33"/>
      <c r="B29" s="84" t="s">
        <v>8</v>
      </c>
      <c r="C29" s="35">
        <v>50077461</v>
      </c>
      <c r="D29" s="84" t="s">
        <v>104</v>
      </c>
      <c r="E29" s="35">
        <v>60310011392</v>
      </c>
      <c r="F29" s="35" t="s">
        <v>105</v>
      </c>
      <c r="G29" s="35" t="s">
        <v>106</v>
      </c>
      <c r="H29" s="35">
        <v>600200012</v>
      </c>
      <c r="I29" s="84" t="s">
        <v>107</v>
      </c>
      <c r="J29" s="83" t="s">
        <v>56</v>
      </c>
      <c r="K29" s="83" t="s">
        <v>46</v>
      </c>
      <c r="L29" s="38">
        <v>40986.959999999999</v>
      </c>
      <c r="M29" s="38">
        <f t="shared" si="2"/>
        <v>3415.58</v>
      </c>
      <c r="N29" s="38">
        <v>0</v>
      </c>
      <c r="O29" s="38">
        <f>L29/253*5</f>
        <v>810.01897233201578</v>
      </c>
      <c r="P29" s="39">
        <f t="shared" si="3"/>
        <v>810.01897233201578</v>
      </c>
      <c r="Q29" s="73"/>
      <c r="R29" s="51"/>
      <c r="S29" s="33"/>
    </row>
    <row r="30" spans="1:19" s="41" customFormat="1" ht="15.75" x14ac:dyDescent="0.25">
      <c r="A30" s="33"/>
      <c r="B30" s="34" t="s">
        <v>8</v>
      </c>
      <c r="C30" s="35">
        <v>680200012</v>
      </c>
      <c r="D30" s="34" t="s">
        <v>108</v>
      </c>
      <c r="E30" s="35">
        <v>65380010860</v>
      </c>
      <c r="F30" s="35" t="s">
        <v>109</v>
      </c>
      <c r="G30" s="35" t="s">
        <v>110</v>
      </c>
      <c r="H30" s="35">
        <v>680200013</v>
      </c>
      <c r="I30" s="34" t="s">
        <v>111</v>
      </c>
      <c r="J30" s="37" t="s">
        <v>112</v>
      </c>
      <c r="K30" s="83" t="s">
        <v>113</v>
      </c>
      <c r="L30" s="38">
        <v>44924.76</v>
      </c>
      <c r="M30" s="38">
        <f t="shared" si="2"/>
        <v>3743.73</v>
      </c>
      <c r="N30" s="38">
        <v>0</v>
      </c>
      <c r="O30" s="38">
        <f>L30/253*11</f>
        <v>1953.2504347826086</v>
      </c>
      <c r="P30" s="39">
        <f t="shared" si="3"/>
        <v>1953.2504347826086</v>
      </c>
      <c r="Q30" s="73"/>
      <c r="R30" s="51"/>
      <c r="S30" s="33"/>
    </row>
    <row r="31" spans="1:19" s="41" customFormat="1" ht="15.75" x14ac:dyDescent="0.25">
      <c r="A31" s="33"/>
      <c r="B31" s="34" t="s">
        <v>8</v>
      </c>
      <c r="C31" s="35">
        <v>210075411</v>
      </c>
      <c r="D31" s="34" t="s">
        <v>114</v>
      </c>
      <c r="E31" s="35">
        <v>65640039480</v>
      </c>
      <c r="F31" s="35" t="s">
        <v>115</v>
      </c>
      <c r="G31" s="35" t="s">
        <v>116</v>
      </c>
      <c r="H31" s="35">
        <v>210075407</v>
      </c>
      <c r="I31" s="34" t="s">
        <v>117</v>
      </c>
      <c r="J31" s="37" t="s">
        <v>118</v>
      </c>
      <c r="K31" s="83" t="s">
        <v>95</v>
      </c>
      <c r="L31" s="38">
        <v>50740.319999999992</v>
      </c>
      <c r="M31" s="38">
        <f t="shared" si="2"/>
        <v>4228.3599999999997</v>
      </c>
      <c r="N31" s="38">
        <v>0</v>
      </c>
      <c r="O31" s="38">
        <f>L31/253*10</f>
        <v>2005.5462450592881</v>
      </c>
      <c r="P31" s="39">
        <f t="shared" si="3"/>
        <v>2005.5462450592881</v>
      </c>
      <c r="Q31" s="73"/>
      <c r="R31" s="51"/>
      <c r="S31" s="33"/>
    </row>
    <row r="32" spans="1:19" s="41" customFormat="1" ht="15.75" x14ac:dyDescent="0.25">
      <c r="A32" s="33"/>
      <c r="B32" s="34" t="s">
        <v>8</v>
      </c>
      <c r="C32" s="35">
        <v>210075424</v>
      </c>
      <c r="D32" s="34" t="s">
        <v>119</v>
      </c>
      <c r="E32" s="35">
        <v>67430000638</v>
      </c>
      <c r="F32" s="35" t="s">
        <v>120</v>
      </c>
      <c r="G32" s="35" t="s">
        <v>121</v>
      </c>
      <c r="H32" s="35">
        <v>210075414</v>
      </c>
      <c r="I32" s="34" t="s">
        <v>122</v>
      </c>
      <c r="J32" s="37" t="s">
        <v>123</v>
      </c>
      <c r="K32" s="83" t="s">
        <v>72</v>
      </c>
      <c r="L32" s="38">
        <v>34546.559999999998</v>
      </c>
      <c r="M32" s="38">
        <f t="shared" si="2"/>
        <v>2878.8799999999997</v>
      </c>
      <c r="N32" s="38">
        <v>0</v>
      </c>
      <c r="O32" s="38">
        <f>L32/253*10</f>
        <v>1365.4766798418971</v>
      </c>
      <c r="P32" s="39">
        <f t="shared" si="3"/>
        <v>1365.4766798418971</v>
      </c>
      <c r="Q32" s="73"/>
      <c r="R32" s="51"/>
      <c r="S32" s="33"/>
    </row>
    <row r="33" spans="1:19" s="41" customFormat="1" ht="15.75" x14ac:dyDescent="0.25">
      <c r="A33" s="33"/>
      <c r="B33" s="34" t="s">
        <v>8</v>
      </c>
      <c r="C33" s="35">
        <v>761200006</v>
      </c>
      <c r="D33" s="34" t="s">
        <v>124</v>
      </c>
      <c r="E33" s="35">
        <v>68120007905</v>
      </c>
      <c r="F33" s="35" t="s">
        <v>125</v>
      </c>
      <c r="G33" s="35" t="s">
        <v>126</v>
      </c>
      <c r="H33" s="35">
        <v>761200005</v>
      </c>
      <c r="I33" s="34" t="s">
        <v>127</v>
      </c>
      <c r="J33" s="37" t="s">
        <v>71</v>
      </c>
      <c r="K33" s="83" t="s">
        <v>46</v>
      </c>
      <c r="L33" s="38">
        <v>44953.440000000002</v>
      </c>
      <c r="M33" s="38">
        <f t="shared" si="2"/>
        <v>3746.1200000000003</v>
      </c>
      <c r="N33" s="38">
        <v>0</v>
      </c>
      <c r="O33" s="38">
        <f>L33/253*20</f>
        <v>3553.6316205533599</v>
      </c>
      <c r="P33" s="39">
        <f t="shared" si="3"/>
        <v>3553.6316205533599</v>
      </c>
      <c r="Q33" s="73"/>
      <c r="R33" s="51"/>
      <c r="S33" s="33"/>
    </row>
    <row r="34" spans="1:19" s="41" customFormat="1" ht="15.75" x14ac:dyDescent="0.25">
      <c r="A34" s="33"/>
      <c r="B34" s="34" t="s">
        <v>8</v>
      </c>
      <c r="C34" s="35">
        <v>601000006</v>
      </c>
      <c r="D34" s="34" t="s">
        <v>128</v>
      </c>
      <c r="E34" s="35">
        <v>70290003865</v>
      </c>
      <c r="F34" s="35" t="s">
        <v>129</v>
      </c>
      <c r="G34" s="35" t="s">
        <v>130</v>
      </c>
      <c r="H34" s="35">
        <v>601000007</v>
      </c>
      <c r="I34" s="34" t="s">
        <v>131</v>
      </c>
      <c r="J34" s="37" t="s">
        <v>56</v>
      </c>
      <c r="K34" s="83" t="s">
        <v>46</v>
      </c>
      <c r="L34" s="38">
        <v>21525.96</v>
      </c>
      <c r="M34" s="38">
        <f t="shared" si="2"/>
        <v>1793.83</v>
      </c>
      <c r="N34" s="38">
        <v>0</v>
      </c>
      <c r="O34" s="38">
        <f>L34/253*5</f>
        <v>425.41422924901184</v>
      </c>
      <c r="P34" s="39">
        <f t="shared" si="3"/>
        <v>425.41422924901184</v>
      </c>
      <c r="Q34" s="73"/>
      <c r="R34" s="51"/>
      <c r="S34" s="33"/>
    </row>
    <row r="35" spans="1:19" s="41" customFormat="1" ht="15.75" x14ac:dyDescent="0.25">
      <c r="A35" s="33"/>
      <c r="B35" s="34" t="s">
        <v>8</v>
      </c>
      <c r="C35" s="35">
        <v>600200012</v>
      </c>
      <c r="D35" s="34" t="s">
        <v>107</v>
      </c>
      <c r="E35" s="35">
        <v>70390010564</v>
      </c>
      <c r="F35" s="85" t="s">
        <v>132</v>
      </c>
      <c r="G35" s="85" t="s">
        <v>133</v>
      </c>
      <c r="H35" s="35">
        <v>600200014</v>
      </c>
      <c r="I35" s="34" t="s">
        <v>104</v>
      </c>
      <c r="J35" s="37" t="s">
        <v>118</v>
      </c>
      <c r="K35" s="37" t="s">
        <v>95</v>
      </c>
      <c r="L35" s="38">
        <v>35437.56</v>
      </c>
      <c r="M35" s="38">
        <f t="shared" si="2"/>
        <v>2953.1299999999997</v>
      </c>
      <c r="N35" s="38">
        <v>0</v>
      </c>
      <c r="O35" s="38">
        <f>L35/253*10</f>
        <v>1400.6940711462451</v>
      </c>
      <c r="P35" s="39">
        <f t="shared" si="3"/>
        <v>1400.6940711462451</v>
      </c>
      <c r="Q35" s="73"/>
      <c r="R35" s="51"/>
      <c r="S35" s="33"/>
    </row>
    <row r="36" spans="1:19" s="41" customFormat="1" ht="30" x14ac:dyDescent="0.25">
      <c r="A36" s="33"/>
      <c r="B36" s="34" t="s">
        <v>8</v>
      </c>
      <c r="C36" s="35">
        <v>681800002</v>
      </c>
      <c r="D36" s="34" t="s">
        <v>134</v>
      </c>
      <c r="E36" s="35">
        <v>70820003749</v>
      </c>
      <c r="F36" s="85" t="s">
        <v>115</v>
      </c>
      <c r="G36" s="85" t="s">
        <v>135</v>
      </c>
      <c r="H36" s="35">
        <v>680200037</v>
      </c>
      <c r="I36" s="34" t="s">
        <v>136</v>
      </c>
      <c r="J36" s="37" t="s">
        <v>137</v>
      </c>
      <c r="K36" s="37" t="s">
        <v>138</v>
      </c>
      <c r="L36" s="38">
        <v>62410.44</v>
      </c>
      <c r="M36" s="38">
        <f t="shared" si="2"/>
        <v>5200.87</v>
      </c>
      <c r="N36" s="38">
        <v>0</v>
      </c>
      <c r="O36" s="38">
        <f>L36/253*6</f>
        <v>1480.0894861660079</v>
      </c>
      <c r="P36" s="39">
        <f t="shared" si="3"/>
        <v>1480.0894861660079</v>
      </c>
      <c r="Q36" s="73"/>
      <c r="R36" s="51"/>
      <c r="S36" s="33"/>
    </row>
    <row r="37" spans="1:19" s="41" customFormat="1" ht="15.75" x14ac:dyDescent="0.25">
      <c r="A37" s="33"/>
      <c r="B37" s="34" t="s">
        <v>8</v>
      </c>
      <c r="C37" s="35">
        <v>440800008</v>
      </c>
      <c r="D37" s="34" t="s">
        <v>139</v>
      </c>
      <c r="E37" s="35">
        <v>70940000502</v>
      </c>
      <c r="F37" s="35" t="s">
        <v>140</v>
      </c>
      <c r="G37" s="35" t="s">
        <v>141</v>
      </c>
      <c r="H37" s="35">
        <v>440800003</v>
      </c>
      <c r="I37" s="34" t="s">
        <v>142</v>
      </c>
      <c r="J37" s="83" t="s">
        <v>61</v>
      </c>
      <c r="K37" s="83" t="s">
        <v>61</v>
      </c>
      <c r="L37" s="38">
        <v>85470.24</v>
      </c>
      <c r="M37" s="38">
        <f t="shared" si="2"/>
        <v>7122.52</v>
      </c>
      <c r="N37" s="38">
        <v>2364.79</v>
      </c>
      <c r="O37" s="38">
        <f>L37/253*1</f>
        <v>337.82703557312254</v>
      </c>
      <c r="P37" s="39">
        <f t="shared" si="3"/>
        <v>337.82703557312254</v>
      </c>
      <c r="Q37" s="73"/>
      <c r="R37" s="51"/>
      <c r="S37" s="33"/>
    </row>
    <row r="38" spans="1:19" s="41" customFormat="1" ht="15.75" x14ac:dyDescent="0.25">
      <c r="A38" s="33"/>
      <c r="B38" s="34" t="s">
        <v>8</v>
      </c>
      <c r="C38" s="35">
        <v>210075402</v>
      </c>
      <c r="D38" s="34" t="s">
        <v>143</v>
      </c>
      <c r="E38" s="35">
        <v>75730000504</v>
      </c>
      <c r="F38" s="85" t="s">
        <v>144</v>
      </c>
      <c r="G38" s="85" t="s">
        <v>145</v>
      </c>
      <c r="H38" s="35">
        <v>210075404</v>
      </c>
      <c r="I38" s="34" t="s">
        <v>146</v>
      </c>
      <c r="J38" s="37" t="s">
        <v>61</v>
      </c>
      <c r="K38" s="37" t="s">
        <v>97</v>
      </c>
      <c r="L38" s="38">
        <v>55983.12</v>
      </c>
      <c r="M38" s="38">
        <f t="shared" si="2"/>
        <v>4665.26</v>
      </c>
      <c r="N38" s="38">
        <v>0</v>
      </c>
      <c r="O38" s="38">
        <f>L38/253*11</f>
        <v>2434.048695652174</v>
      </c>
      <c r="P38" s="39">
        <f t="shared" si="3"/>
        <v>2434.048695652174</v>
      </c>
      <c r="Q38" s="73"/>
      <c r="R38" s="51"/>
      <c r="S38" s="33"/>
    </row>
    <row r="39" spans="1:19" s="41" customFormat="1" ht="15.75" x14ac:dyDescent="0.25">
      <c r="A39" s="33"/>
      <c r="B39" s="34" t="s">
        <v>8</v>
      </c>
      <c r="C39" s="35">
        <v>50000134</v>
      </c>
      <c r="D39" s="34" t="s">
        <v>147</v>
      </c>
      <c r="E39" s="86">
        <v>77560039391</v>
      </c>
      <c r="F39" s="86" t="s">
        <v>148</v>
      </c>
      <c r="G39" s="86" t="s">
        <v>149</v>
      </c>
      <c r="H39" s="86">
        <v>50075405</v>
      </c>
      <c r="I39" s="87" t="s">
        <v>150</v>
      </c>
      <c r="J39" s="88" t="s">
        <v>61</v>
      </c>
      <c r="K39" s="88" t="s">
        <v>151</v>
      </c>
      <c r="L39" s="89">
        <v>92569.200000000012</v>
      </c>
      <c r="M39" s="89">
        <f t="shared" si="2"/>
        <v>7714.1000000000013</v>
      </c>
      <c r="N39" s="89">
        <v>4390.63</v>
      </c>
      <c r="O39" s="89">
        <f>L39/253*1</f>
        <v>365.88616600790516</v>
      </c>
      <c r="P39" s="90">
        <f t="shared" si="3"/>
        <v>365.88616600790516</v>
      </c>
      <c r="Q39" s="73"/>
      <c r="R39" s="51"/>
      <c r="S39" s="33"/>
    </row>
    <row r="40" spans="1:19" s="41" customFormat="1" ht="15.75" x14ac:dyDescent="0.25">
      <c r="A40" s="33"/>
      <c r="B40" s="34" t="s">
        <v>8</v>
      </c>
      <c r="C40" s="35">
        <v>210075407</v>
      </c>
      <c r="D40" s="34" t="s">
        <v>117</v>
      </c>
      <c r="E40" s="86">
        <v>81490008372</v>
      </c>
      <c r="F40" s="86" t="s">
        <v>152</v>
      </c>
      <c r="G40" s="86" t="s">
        <v>153</v>
      </c>
      <c r="H40" s="86">
        <v>210075411</v>
      </c>
      <c r="I40" s="87" t="s">
        <v>114</v>
      </c>
      <c r="J40" s="88" t="s">
        <v>61</v>
      </c>
      <c r="K40" s="88" t="s">
        <v>62</v>
      </c>
      <c r="L40" s="89">
        <v>67656</v>
      </c>
      <c r="M40" s="89">
        <f t="shared" si="2"/>
        <v>5638</v>
      </c>
      <c r="N40" s="89">
        <v>1069.6600000000001</v>
      </c>
      <c r="O40" s="89">
        <f>L40/253*6</f>
        <v>1604.4901185770752</v>
      </c>
      <c r="P40" s="90">
        <f t="shared" si="3"/>
        <v>1604.4901185770752</v>
      </c>
      <c r="Q40" s="73"/>
      <c r="R40" s="51"/>
      <c r="S40" s="33"/>
    </row>
    <row r="41" spans="1:19" s="41" customFormat="1" ht="15.75" x14ac:dyDescent="0.25">
      <c r="A41" s="33"/>
      <c r="B41" s="84" t="s">
        <v>8</v>
      </c>
      <c r="C41" s="35">
        <v>760200022</v>
      </c>
      <c r="D41" s="84" t="s">
        <v>154</v>
      </c>
      <c r="E41" s="86">
        <v>84500009936</v>
      </c>
      <c r="F41" s="86" t="s">
        <v>152</v>
      </c>
      <c r="G41" s="86" t="s">
        <v>155</v>
      </c>
      <c r="H41" s="86">
        <v>760200006</v>
      </c>
      <c r="I41" s="91" t="s">
        <v>156</v>
      </c>
      <c r="J41" s="88" t="s">
        <v>56</v>
      </c>
      <c r="K41" s="88" t="s">
        <v>46</v>
      </c>
      <c r="L41" s="219">
        <v>53885.520000000004</v>
      </c>
      <c r="M41" s="219">
        <f t="shared" si="2"/>
        <v>4490.46</v>
      </c>
      <c r="N41" s="219">
        <v>0</v>
      </c>
      <c r="O41" s="89">
        <f>L41/253*5/2</f>
        <v>532.46561264822139</v>
      </c>
      <c r="P41" s="90">
        <f t="shared" si="3"/>
        <v>532.46561264822139</v>
      </c>
      <c r="Q41" s="73"/>
      <c r="R41" s="51"/>
      <c r="S41" s="33"/>
    </row>
    <row r="42" spans="1:19" s="41" customFormat="1" ht="15.75" x14ac:dyDescent="0.25">
      <c r="A42" s="33"/>
      <c r="B42" s="84" t="s">
        <v>8</v>
      </c>
      <c r="C42" s="35">
        <v>760200022</v>
      </c>
      <c r="D42" s="84" t="s">
        <v>154</v>
      </c>
      <c r="E42" s="86">
        <v>84500009936</v>
      </c>
      <c r="F42" s="86" t="s">
        <v>152</v>
      </c>
      <c r="G42" s="86" t="s">
        <v>155</v>
      </c>
      <c r="H42" s="86">
        <v>760200023</v>
      </c>
      <c r="I42" s="91" t="s">
        <v>157</v>
      </c>
      <c r="J42" s="88" t="s">
        <v>56</v>
      </c>
      <c r="K42" s="88" t="s">
        <v>46</v>
      </c>
      <c r="L42" s="220"/>
      <c r="M42" s="220"/>
      <c r="N42" s="220"/>
      <c r="O42" s="89">
        <f>L41/253*5/2</f>
        <v>532.46561264822139</v>
      </c>
      <c r="P42" s="90">
        <f t="shared" si="3"/>
        <v>532.46561264822139</v>
      </c>
      <c r="Q42" s="73"/>
      <c r="R42" s="51"/>
      <c r="S42" s="33"/>
    </row>
    <row r="43" spans="1:19" s="41" customFormat="1" ht="25.5" x14ac:dyDescent="0.25">
      <c r="A43" s="33"/>
      <c r="B43" s="34" t="s">
        <v>8</v>
      </c>
      <c r="C43" s="1">
        <v>210075408</v>
      </c>
      <c r="D43" s="92" t="s">
        <v>103</v>
      </c>
      <c r="E43" s="86">
        <v>84640010474</v>
      </c>
      <c r="F43" s="86" t="s">
        <v>84</v>
      </c>
      <c r="G43" s="86" t="s">
        <v>158</v>
      </c>
      <c r="H43" s="86">
        <v>210075403</v>
      </c>
      <c r="I43" s="87" t="s">
        <v>100</v>
      </c>
      <c r="J43" s="93" t="s">
        <v>61</v>
      </c>
      <c r="K43" s="93" t="s">
        <v>51</v>
      </c>
      <c r="L43" s="89">
        <v>41077.56</v>
      </c>
      <c r="M43" s="89">
        <f t="shared" si="2"/>
        <v>3423.1299999999997</v>
      </c>
      <c r="N43" s="89">
        <v>1136.53</v>
      </c>
      <c r="O43" s="89">
        <f>L43/253*15-148.83</f>
        <v>2286.5984584980238</v>
      </c>
      <c r="P43" s="90">
        <f t="shared" si="3"/>
        <v>2286.5984584980238</v>
      </c>
      <c r="Q43" s="73"/>
      <c r="R43" s="51" t="s">
        <v>808</v>
      </c>
      <c r="S43" s="33"/>
    </row>
    <row r="44" spans="1:19" s="41" customFormat="1" ht="25.5" x14ac:dyDescent="0.25">
      <c r="A44" s="33"/>
      <c r="B44" s="34" t="s">
        <v>8</v>
      </c>
      <c r="C44" s="94">
        <v>50000009</v>
      </c>
      <c r="D44" s="34" t="s">
        <v>159</v>
      </c>
      <c r="E44" s="86">
        <v>85910003207</v>
      </c>
      <c r="F44" s="86" t="s">
        <v>160</v>
      </c>
      <c r="G44" s="86" t="s">
        <v>161</v>
      </c>
      <c r="H44" s="86">
        <v>50000158</v>
      </c>
      <c r="I44" s="87" t="s">
        <v>162</v>
      </c>
      <c r="J44" s="88" t="s">
        <v>61</v>
      </c>
      <c r="K44" s="88" t="s">
        <v>62</v>
      </c>
      <c r="L44" s="219">
        <v>59513.64</v>
      </c>
      <c r="M44" s="219">
        <f t="shared" si="2"/>
        <v>4959.47</v>
      </c>
      <c r="N44" s="219">
        <v>4469.4077865612653</v>
      </c>
      <c r="O44" s="89">
        <f>L44/253*6-(921.32+(30.629*6))</f>
        <v>306.29667193675891</v>
      </c>
      <c r="P44" s="90">
        <f t="shared" si="3"/>
        <v>306.29667193675891</v>
      </c>
      <c r="Q44" s="95"/>
      <c r="R44" s="51" t="s">
        <v>808</v>
      </c>
      <c r="S44" s="33"/>
    </row>
    <row r="45" spans="1:19" s="41" customFormat="1" ht="25.5" x14ac:dyDescent="0.25">
      <c r="A45" s="33"/>
      <c r="B45" s="34" t="s">
        <v>8</v>
      </c>
      <c r="C45" s="94">
        <v>50000009</v>
      </c>
      <c r="D45" s="34" t="s">
        <v>159</v>
      </c>
      <c r="E45" s="86">
        <v>85910003207</v>
      </c>
      <c r="F45" s="86" t="s">
        <v>160</v>
      </c>
      <c r="G45" s="86" t="s">
        <v>161</v>
      </c>
      <c r="H45" s="86">
        <v>50075403</v>
      </c>
      <c r="I45" s="87" t="s">
        <v>163</v>
      </c>
      <c r="J45" s="88" t="s">
        <v>118</v>
      </c>
      <c r="K45" s="88" t="s">
        <v>95</v>
      </c>
      <c r="L45" s="220"/>
      <c r="M45" s="220"/>
      <c r="N45" s="220"/>
      <c r="O45" s="89">
        <f>L44/253*10-(1862.25+(30.629*10))</f>
        <v>183.7777865612652</v>
      </c>
      <c r="P45" s="90">
        <f t="shared" si="3"/>
        <v>183.7777865612652</v>
      </c>
      <c r="Q45" s="95"/>
      <c r="R45" s="51" t="s">
        <v>808</v>
      </c>
      <c r="S45" s="33"/>
    </row>
    <row r="46" spans="1:19" s="41" customFormat="1" ht="15.75" x14ac:dyDescent="0.25">
      <c r="A46" s="33"/>
      <c r="B46" s="34" t="s">
        <v>8</v>
      </c>
      <c r="C46" s="35">
        <v>601000007</v>
      </c>
      <c r="D46" s="34" t="s">
        <v>131</v>
      </c>
      <c r="E46" s="86">
        <v>89970001843</v>
      </c>
      <c r="F46" s="86" t="s">
        <v>164</v>
      </c>
      <c r="G46" s="86" t="s">
        <v>165</v>
      </c>
      <c r="H46" s="86">
        <v>601000006</v>
      </c>
      <c r="I46" s="87" t="s">
        <v>128</v>
      </c>
      <c r="J46" s="93">
        <v>44743</v>
      </c>
      <c r="K46" s="88" t="s">
        <v>95</v>
      </c>
      <c r="L46" s="89">
        <v>30759.48</v>
      </c>
      <c r="M46" s="89">
        <f t="shared" si="2"/>
        <v>2563.29</v>
      </c>
      <c r="N46" s="89">
        <v>486.32</v>
      </c>
      <c r="O46" s="89">
        <f>L46/253*16</f>
        <v>1945.2635573122529</v>
      </c>
      <c r="P46" s="90">
        <f t="shared" si="3"/>
        <v>1945.2635573122529</v>
      </c>
      <c r="Q46" s="95"/>
      <c r="R46" s="96"/>
      <c r="S46" s="33"/>
    </row>
    <row r="47" spans="1:19" s="41" customFormat="1" ht="15.75" x14ac:dyDescent="0.25">
      <c r="A47" s="33"/>
      <c r="B47" s="34" t="s">
        <v>8</v>
      </c>
      <c r="C47" s="35">
        <v>50075419</v>
      </c>
      <c r="D47" s="34" t="s">
        <v>166</v>
      </c>
      <c r="E47" s="86">
        <v>90290008283</v>
      </c>
      <c r="F47" s="86" t="s">
        <v>29</v>
      </c>
      <c r="G47" s="86" t="s">
        <v>167</v>
      </c>
      <c r="H47" s="86">
        <v>50075421</v>
      </c>
      <c r="I47" s="87" t="s">
        <v>94</v>
      </c>
      <c r="J47" s="93" t="s">
        <v>71</v>
      </c>
      <c r="K47" s="93" t="s">
        <v>95</v>
      </c>
      <c r="L47" s="219">
        <v>49395.96</v>
      </c>
      <c r="M47" s="219">
        <f t="shared" si="2"/>
        <v>4116.33</v>
      </c>
      <c r="N47" s="219">
        <v>0</v>
      </c>
      <c r="O47" s="89">
        <f>L47/253*15</f>
        <v>2928.6142292490117</v>
      </c>
      <c r="P47" s="90">
        <f t="shared" si="3"/>
        <v>2928.6142292490117</v>
      </c>
      <c r="Q47" s="95"/>
      <c r="R47" s="51"/>
      <c r="S47" s="33"/>
    </row>
    <row r="48" spans="1:19" s="41" customFormat="1" ht="15.75" x14ac:dyDescent="0.25">
      <c r="A48" s="33"/>
      <c r="B48" s="34" t="s">
        <v>8</v>
      </c>
      <c r="C48" s="35">
        <v>50075419</v>
      </c>
      <c r="D48" s="34" t="s">
        <v>166</v>
      </c>
      <c r="E48" s="86">
        <v>90290008283</v>
      </c>
      <c r="F48" s="86" t="s">
        <v>29</v>
      </c>
      <c r="G48" s="86" t="s">
        <v>167</v>
      </c>
      <c r="H48" s="86">
        <v>50075420</v>
      </c>
      <c r="I48" s="87" t="s">
        <v>92</v>
      </c>
      <c r="J48" s="93" t="s">
        <v>56</v>
      </c>
      <c r="K48" s="93" t="s">
        <v>72</v>
      </c>
      <c r="L48" s="220"/>
      <c r="M48" s="220"/>
      <c r="N48" s="220"/>
      <c r="O48" s="89">
        <f>L47/253*5</f>
        <v>976.2047430830039</v>
      </c>
      <c r="P48" s="90">
        <f t="shared" si="3"/>
        <v>976.2047430830039</v>
      </c>
      <c r="Q48" s="95"/>
      <c r="R48" s="51"/>
      <c r="S48" s="33"/>
    </row>
    <row r="49" spans="1:19" s="41" customFormat="1" ht="15.75" x14ac:dyDescent="0.25">
      <c r="A49" s="33"/>
      <c r="B49" s="34" t="s">
        <v>8</v>
      </c>
      <c r="C49" s="35">
        <v>50075437</v>
      </c>
      <c r="D49" s="34" t="s">
        <v>168</v>
      </c>
      <c r="E49" s="86">
        <v>91530010836</v>
      </c>
      <c r="F49" s="86" t="s">
        <v>169</v>
      </c>
      <c r="G49" s="86" t="s">
        <v>170</v>
      </c>
      <c r="H49" s="86">
        <v>50000140</v>
      </c>
      <c r="I49" s="87" t="s">
        <v>171</v>
      </c>
      <c r="J49" s="88" t="s">
        <v>118</v>
      </c>
      <c r="K49" s="88" t="s">
        <v>95</v>
      </c>
      <c r="L49" s="89">
        <v>66314.16</v>
      </c>
      <c r="M49" s="89">
        <f t="shared" si="2"/>
        <v>5526.18</v>
      </c>
      <c r="N49" s="89">
        <v>0</v>
      </c>
      <c r="O49" s="89">
        <f>L49/253*9</f>
        <v>2359.001739130435</v>
      </c>
      <c r="P49" s="90">
        <f t="shared" si="3"/>
        <v>2359.001739130435</v>
      </c>
      <c r="Q49" s="95"/>
      <c r="R49" s="51"/>
      <c r="S49" s="33"/>
    </row>
    <row r="50" spans="1:19" s="41" customFormat="1" ht="15.75" x14ac:dyDescent="0.25">
      <c r="A50" s="33"/>
      <c r="B50" s="84" t="s">
        <v>8</v>
      </c>
      <c r="C50" s="35">
        <v>680200037</v>
      </c>
      <c r="D50" s="84" t="s">
        <v>136</v>
      </c>
      <c r="E50" s="86">
        <v>93970005024</v>
      </c>
      <c r="F50" s="86" t="s">
        <v>172</v>
      </c>
      <c r="G50" s="86" t="s">
        <v>173</v>
      </c>
      <c r="H50" s="86">
        <v>681800002</v>
      </c>
      <c r="I50" s="91" t="s">
        <v>134</v>
      </c>
      <c r="J50" s="88" t="s">
        <v>174</v>
      </c>
      <c r="K50" s="88" t="s">
        <v>46</v>
      </c>
      <c r="L50" s="89">
        <v>37723.440000000002</v>
      </c>
      <c r="M50" s="89">
        <f t="shared" si="2"/>
        <v>3143.6200000000003</v>
      </c>
      <c r="N50" s="89">
        <v>0</v>
      </c>
      <c r="O50" s="89">
        <f>L50/253*4</f>
        <v>596.41802371541507</v>
      </c>
      <c r="P50" s="90">
        <f t="shared" si="3"/>
        <v>596.41802371541507</v>
      </c>
      <c r="Q50" s="95"/>
      <c r="R50" s="51"/>
      <c r="S50" s="33"/>
    </row>
    <row r="51" spans="1:19" s="41" customFormat="1" ht="15.75" x14ac:dyDescent="0.25">
      <c r="A51" s="33"/>
      <c r="B51" s="34" t="s">
        <v>8</v>
      </c>
      <c r="C51" s="1">
        <v>50075429</v>
      </c>
      <c r="D51" s="92" t="s">
        <v>60</v>
      </c>
      <c r="E51" s="97">
        <v>95650002359</v>
      </c>
      <c r="F51" s="86" t="s">
        <v>175</v>
      </c>
      <c r="G51" s="86" t="s">
        <v>176</v>
      </c>
      <c r="H51" s="86">
        <v>50075424</v>
      </c>
      <c r="I51" s="87" t="s">
        <v>57</v>
      </c>
      <c r="J51" s="93" t="s">
        <v>118</v>
      </c>
      <c r="K51" s="93" t="s">
        <v>95</v>
      </c>
      <c r="L51" s="89">
        <v>76954.200000000012</v>
      </c>
      <c r="M51" s="89">
        <f t="shared" si="2"/>
        <v>6412.8500000000013</v>
      </c>
      <c r="N51" s="89">
        <v>3041.67</v>
      </c>
      <c r="O51" s="89">
        <f>L51/253*9</f>
        <v>2737.5011857707518</v>
      </c>
      <c r="P51" s="90">
        <f t="shared" si="3"/>
        <v>2737.5011857707518</v>
      </c>
      <c r="Q51" s="73"/>
      <c r="R51" s="51"/>
      <c r="S51" s="33"/>
    </row>
    <row r="52" spans="1:19" s="41" customFormat="1" ht="15.75" x14ac:dyDescent="0.25">
      <c r="A52" s="33"/>
      <c r="B52" s="34" t="s">
        <v>8</v>
      </c>
      <c r="C52" s="35">
        <v>600200002</v>
      </c>
      <c r="D52" s="34" t="s">
        <v>177</v>
      </c>
      <c r="E52" s="35">
        <v>97340051437</v>
      </c>
      <c r="F52" s="35" t="s">
        <v>178</v>
      </c>
      <c r="G52" s="35" t="s">
        <v>179</v>
      </c>
      <c r="H52" s="35">
        <v>600200002</v>
      </c>
      <c r="I52" s="34" t="s">
        <v>177</v>
      </c>
      <c r="J52" s="83" t="s">
        <v>45</v>
      </c>
      <c r="K52" s="83" t="s">
        <v>46</v>
      </c>
      <c r="L52" s="38">
        <v>51751.56</v>
      </c>
      <c r="M52" s="38">
        <f t="shared" si="2"/>
        <v>4312.63</v>
      </c>
      <c r="N52" s="38">
        <v>0</v>
      </c>
      <c r="O52" s="38">
        <f>L52/253*10</f>
        <v>2045.5162055335968</v>
      </c>
      <c r="P52" s="39">
        <f t="shared" si="3"/>
        <v>2045.5162055335968</v>
      </c>
      <c r="Q52" s="73"/>
      <c r="R52" s="51"/>
      <c r="S52" s="33"/>
    </row>
    <row r="53" spans="1:19" s="41" customFormat="1" ht="15.75" x14ac:dyDescent="0.25">
      <c r="A53" s="33"/>
      <c r="B53" s="34" t="s">
        <v>8</v>
      </c>
      <c r="C53" s="35">
        <v>440200008</v>
      </c>
      <c r="D53" s="34" t="s">
        <v>180</v>
      </c>
      <c r="E53" s="35">
        <v>98430009696</v>
      </c>
      <c r="F53" s="85" t="s">
        <v>181</v>
      </c>
      <c r="G53" s="85" t="s">
        <v>182</v>
      </c>
      <c r="H53" s="35">
        <v>440200009</v>
      </c>
      <c r="I53" s="34" t="s">
        <v>183</v>
      </c>
      <c r="J53" s="37" t="s">
        <v>71</v>
      </c>
      <c r="K53" s="37" t="s">
        <v>97</v>
      </c>
      <c r="L53" s="38">
        <v>50303.759999999995</v>
      </c>
      <c r="M53" s="38">
        <f t="shared" si="2"/>
        <v>4191.9799999999996</v>
      </c>
      <c r="N53" s="38">
        <v>0</v>
      </c>
      <c r="O53" s="38">
        <f>L53/253*10</f>
        <v>1988.2909090909088</v>
      </c>
      <c r="P53" s="39">
        <f t="shared" si="3"/>
        <v>1988.2909090909088</v>
      </c>
      <c r="Q53" s="73"/>
      <c r="R53" s="51"/>
      <c r="S53" s="33"/>
    </row>
    <row r="54" spans="1:19" s="41" customFormat="1" x14ac:dyDescent="0.25">
      <c r="A54" s="33"/>
      <c r="B54" s="98" t="s">
        <v>14</v>
      </c>
      <c r="C54" s="99"/>
      <c r="D54" s="98"/>
      <c r="E54" s="99"/>
      <c r="F54" s="99"/>
      <c r="G54" s="99"/>
      <c r="H54" s="99"/>
      <c r="I54" s="98"/>
      <c r="J54" s="100"/>
      <c r="K54" s="100"/>
      <c r="L54" s="101">
        <f t="shared" ref="L54:Q54" si="4">SUM(L14:L53)</f>
        <v>1891638.3599999996</v>
      </c>
      <c r="M54" s="101">
        <f t="shared" si="4"/>
        <v>157636.53000000003</v>
      </c>
      <c r="N54" s="101">
        <f t="shared" si="4"/>
        <v>29322.745928853758</v>
      </c>
      <c r="O54" s="101">
        <f t="shared" si="4"/>
        <v>63855.454260869563</v>
      </c>
      <c r="P54" s="101">
        <f t="shared" si="4"/>
        <v>63855.454260869563</v>
      </c>
      <c r="Q54" s="101">
        <f t="shared" si="4"/>
        <v>0</v>
      </c>
      <c r="R54" s="81"/>
      <c r="S54" s="33"/>
    </row>
    <row r="55" spans="1:19" s="41" customFormat="1" ht="15.75" x14ac:dyDescent="0.25">
      <c r="A55" s="33"/>
      <c r="B55" s="34" t="s">
        <v>6</v>
      </c>
      <c r="C55" s="35">
        <v>10001593</v>
      </c>
      <c r="D55" s="34" t="s">
        <v>184</v>
      </c>
      <c r="E55" s="35">
        <v>10100005317</v>
      </c>
      <c r="F55" s="35" t="s">
        <v>185</v>
      </c>
      <c r="G55" s="35" t="s">
        <v>186</v>
      </c>
      <c r="H55" s="35">
        <v>19475430</v>
      </c>
      <c r="I55" s="34" t="s">
        <v>187</v>
      </c>
      <c r="J55" s="37">
        <v>44743</v>
      </c>
      <c r="K55" s="37">
        <v>44743</v>
      </c>
      <c r="L55" s="38">
        <v>36047.760000000002</v>
      </c>
      <c r="M55" s="38">
        <f t="shared" ref="M55:M102" si="5">L55/12</f>
        <v>3003.98</v>
      </c>
      <c r="N55" s="38">
        <v>1994.7363241106718</v>
      </c>
      <c r="O55" s="38">
        <f>L55/253*1</f>
        <v>142.48126482213439</v>
      </c>
      <c r="P55" s="39">
        <f t="shared" ref="P55:P86" si="6">O55</f>
        <v>142.48126482213439</v>
      </c>
      <c r="Q55" s="73"/>
      <c r="R55" s="51"/>
      <c r="S55" s="33"/>
    </row>
    <row r="56" spans="1:19" s="41" customFormat="1" ht="15.75" x14ac:dyDescent="0.25">
      <c r="A56" s="33"/>
      <c r="B56" s="34" t="s">
        <v>6</v>
      </c>
      <c r="C56" s="1">
        <v>10001348</v>
      </c>
      <c r="D56" s="92" t="s">
        <v>188</v>
      </c>
      <c r="E56" s="35">
        <v>10110004752</v>
      </c>
      <c r="F56" s="35" t="s">
        <v>189</v>
      </c>
      <c r="G56" s="35" t="s">
        <v>190</v>
      </c>
      <c r="H56" s="1">
        <v>10001348</v>
      </c>
      <c r="I56" s="92" t="s">
        <v>188</v>
      </c>
      <c r="J56" s="37">
        <v>44743</v>
      </c>
      <c r="K56" s="37">
        <v>44764</v>
      </c>
      <c r="L56" s="38">
        <v>32868.120000000003</v>
      </c>
      <c r="M56" s="38">
        <f t="shared" si="5"/>
        <v>2739.01</v>
      </c>
      <c r="N56" s="38">
        <v>0</v>
      </c>
      <c r="O56" s="38">
        <f>L56/253*16</f>
        <v>2078.6162845849803</v>
      </c>
      <c r="P56" s="39">
        <f t="shared" si="6"/>
        <v>2078.6162845849803</v>
      </c>
      <c r="Q56" s="73"/>
      <c r="R56" s="51"/>
      <c r="S56" s="33"/>
    </row>
    <row r="57" spans="1:19" s="41" customFormat="1" ht="15.75" x14ac:dyDescent="0.25">
      <c r="A57" s="33"/>
      <c r="B57" s="34" t="s">
        <v>6</v>
      </c>
      <c r="C57" s="35">
        <v>10001418</v>
      </c>
      <c r="D57" s="34" t="s">
        <v>191</v>
      </c>
      <c r="E57" s="35">
        <v>10350005674</v>
      </c>
      <c r="F57" s="35" t="s">
        <v>192</v>
      </c>
      <c r="G57" s="35" t="s">
        <v>193</v>
      </c>
      <c r="H57" s="35">
        <v>19475401</v>
      </c>
      <c r="I57" s="34" t="s">
        <v>194</v>
      </c>
      <c r="J57" s="37">
        <v>44753</v>
      </c>
      <c r="K57" s="37">
        <v>44771</v>
      </c>
      <c r="L57" s="38">
        <v>45840.12</v>
      </c>
      <c r="M57" s="38">
        <f t="shared" si="5"/>
        <v>3820.01</v>
      </c>
      <c r="N57" s="38">
        <v>0</v>
      </c>
      <c r="O57" s="38">
        <f>L57/253*15</f>
        <v>2717.7936758893284</v>
      </c>
      <c r="P57" s="39">
        <f t="shared" si="6"/>
        <v>2717.7936758893284</v>
      </c>
      <c r="Q57" s="73"/>
      <c r="R57" s="51"/>
      <c r="S57" s="33"/>
    </row>
    <row r="58" spans="1:19" s="41" customFormat="1" ht="15.75" x14ac:dyDescent="0.25">
      <c r="A58" s="33"/>
      <c r="B58" s="34" t="s">
        <v>6</v>
      </c>
      <c r="C58" s="1">
        <v>10064111</v>
      </c>
      <c r="D58" s="92" t="s">
        <v>195</v>
      </c>
      <c r="E58" s="35">
        <v>10520010895</v>
      </c>
      <c r="F58" s="35" t="s">
        <v>196</v>
      </c>
      <c r="G58" s="35" t="s">
        <v>40</v>
      </c>
      <c r="H58" s="35">
        <v>10000346</v>
      </c>
      <c r="I58" s="34" t="s">
        <v>197</v>
      </c>
      <c r="J58" s="37">
        <v>44746</v>
      </c>
      <c r="K58" s="37">
        <v>44759</v>
      </c>
      <c r="L58" s="38">
        <v>41711.879999999997</v>
      </c>
      <c r="M58" s="38">
        <f t="shared" si="5"/>
        <v>3475.99</v>
      </c>
      <c r="N58" s="38">
        <v>0</v>
      </c>
      <c r="O58" s="38">
        <f>L58/253*10</f>
        <v>1648.6909090909089</v>
      </c>
      <c r="P58" s="39">
        <f t="shared" si="6"/>
        <v>1648.6909090909089</v>
      </c>
      <c r="Q58" s="73"/>
      <c r="R58" s="51"/>
      <c r="S58" s="33"/>
    </row>
    <row r="59" spans="1:19" s="41" customFormat="1" ht="15.75" x14ac:dyDescent="0.25">
      <c r="A59" s="33"/>
      <c r="B59" s="34" t="s">
        <v>6</v>
      </c>
      <c r="C59" s="35">
        <v>10000071</v>
      </c>
      <c r="D59" s="34" t="s">
        <v>198</v>
      </c>
      <c r="E59" s="35">
        <v>10600008587</v>
      </c>
      <c r="F59" s="35" t="s">
        <v>199</v>
      </c>
      <c r="G59" s="35" t="s">
        <v>200</v>
      </c>
      <c r="H59" s="35">
        <v>10000072</v>
      </c>
      <c r="I59" s="34" t="s">
        <v>201</v>
      </c>
      <c r="J59" s="37">
        <v>44760</v>
      </c>
      <c r="K59" s="37">
        <v>44773</v>
      </c>
      <c r="L59" s="38">
        <v>65039.040000000001</v>
      </c>
      <c r="M59" s="38">
        <f t="shared" si="5"/>
        <v>5419.92</v>
      </c>
      <c r="N59" s="38">
        <v>2570.71</v>
      </c>
      <c r="O59" s="38">
        <f>L59/253*10</f>
        <v>2570.7130434782607</v>
      </c>
      <c r="P59" s="39">
        <f t="shared" si="6"/>
        <v>2570.7130434782607</v>
      </c>
      <c r="Q59" s="73"/>
      <c r="R59" s="51"/>
      <c r="S59" s="33"/>
    </row>
    <row r="60" spans="1:19" s="41" customFormat="1" ht="30" x14ac:dyDescent="0.25">
      <c r="A60" s="33"/>
      <c r="B60" s="34" t="s">
        <v>6</v>
      </c>
      <c r="C60" s="1">
        <v>19375435</v>
      </c>
      <c r="D60" s="92" t="s">
        <v>202</v>
      </c>
      <c r="E60" s="1">
        <v>11250005409</v>
      </c>
      <c r="F60" s="35" t="s">
        <v>203</v>
      </c>
      <c r="G60" s="35" t="s">
        <v>204</v>
      </c>
      <c r="H60" s="1">
        <v>19375422</v>
      </c>
      <c r="I60" s="92" t="s">
        <v>205</v>
      </c>
      <c r="J60" s="37" t="s">
        <v>206</v>
      </c>
      <c r="K60" s="37" t="s">
        <v>207</v>
      </c>
      <c r="L60" s="38">
        <v>55163.28</v>
      </c>
      <c r="M60" s="38">
        <f t="shared" si="5"/>
        <v>4596.9399999999996</v>
      </c>
      <c r="N60" s="38">
        <v>0</v>
      </c>
      <c r="O60" s="38">
        <f>L60/253*7</f>
        <v>1526.2567588932807</v>
      </c>
      <c r="P60" s="39">
        <f t="shared" si="6"/>
        <v>1526.2567588932807</v>
      </c>
      <c r="Q60" s="73"/>
      <c r="R60" s="51"/>
      <c r="S60" s="33"/>
    </row>
    <row r="61" spans="1:19" s="41" customFormat="1" ht="15.75" x14ac:dyDescent="0.25">
      <c r="A61" s="33"/>
      <c r="B61" s="34" t="s">
        <v>6</v>
      </c>
      <c r="C61" s="1">
        <v>10001784</v>
      </c>
      <c r="D61" s="92" t="s">
        <v>208</v>
      </c>
      <c r="E61" s="1">
        <v>12610045220</v>
      </c>
      <c r="F61" s="35" t="s">
        <v>209</v>
      </c>
      <c r="G61" s="35" t="s">
        <v>210</v>
      </c>
      <c r="H61" s="36">
        <v>19575410</v>
      </c>
      <c r="I61" s="102" t="s">
        <v>211</v>
      </c>
      <c r="J61" s="37">
        <v>44753</v>
      </c>
      <c r="K61" s="37">
        <v>44764</v>
      </c>
      <c r="L61" s="38">
        <v>37807.919999999998</v>
      </c>
      <c r="M61" s="38">
        <f t="shared" si="5"/>
        <v>3150.66</v>
      </c>
      <c r="N61" s="38">
        <v>1643.8252569169961</v>
      </c>
      <c r="O61" s="38">
        <f>L61/253*10</f>
        <v>1494.3841897233201</v>
      </c>
      <c r="P61" s="39">
        <f t="shared" si="6"/>
        <v>1494.3841897233201</v>
      </c>
      <c r="Q61" s="73"/>
      <c r="R61" s="51"/>
      <c r="S61" s="33"/>
    </row>
    <row r="62" spans="1:19" s="41" customFormat="1" ht="15.75" x14ac:dyDescent="0.25">
      <c r="A62" s="33"/>
      <c r="B62" s="34" t="s">
        <v>6</v>
      </c>
      <c r="C62" s="35">
        <v>10054109</v>
      </c>
      <c r="D62" s="34" t="s">
        <v>212</v>
      </c>
      <c r="E62" s="35">
        <v>12630004633</v>
      </c>
      <c r="F62" s="35" t="s">
        <v>213</v>
      </c>
      <c r="G62" s="35" t="s">
        <v>214</v>
      </c>
      <c r="H62" s="35">
        <v>10054109</v>
      </c>
      <c r="I62" s="34" t="s">
        <v>212</v>
      </c>
      <c r="J62" s="37">
        <v>44743</v>
      </c>
      <c r="K62" s="37">
        <v>44745</v>
      </c>
      <c r="L62" s="38">
        <v>40249.800000000003</v>
      </c>
      <c r="M62" s="38">
        <f t="shared" si="5"/>
        <v>3354.15</v>
      </c>
      <c r="N62" s="38">
        <v>636.36</v>
      </c>
      <c r="O62" s="38">
        <f>L62/253*1</f>
        <v>159.09011857707512</v>
      </c>
      <c r="P62" s="39">
        <f t="shared" si="6"/>
        <v>159.09011857707512</v>
      </c>
      <c r="Q62" s="73"/>
      <c r="R62" s="51"/>
      <c r="S62" s="33"/>
    </row>
    <row r="63" spans="1:19" s="41" customFormat="1" ht="15.75" x14ac:dyDescent="0.25">
      <c r="A63" s="33"/>
      <c r="B63" s="34" t="s">
        <v>6</v>
      </c>
      <c r="C63" s="1">
        <v>804477406</v>
      </c>
      <c r="D63" s="92" t="s">
        <v>215</v>
      </c>
      <c r="E63" s="35">
        <v>12990003920</v>
      </c>
      <c r="F63" s="35" t="s">
        <v>216</v>
      </c>
      <c r="G63" s="35" t="s">
        <v>217</v>
      </c>
      <c r="H63" s="35">
        <v>805200002</v>
      </c>
      <c r="I63" s="34" t="s">
        <v>218</v>
      </c>
      <c r="J63" s="37">
        <v>44743</v>
      </c>
      <c r="K63" s="37">
        <v>44750</v>
      </c>
      <c r="L63" s="38">
        <v>50326.559999999998</v>
      </c>
      <c r="M63" s="38">
        <f t="shared" si="5"/>
        <v>4193.88</v>
      </c>
      <c r="N63" s="38">
        <v>795.68</v>
      </c>
      <c r="O63" s="38">
        <f>L63/253*6</f>
        <v>1193.5152569169961</v>
      </c>
      <c r="P63" s="39">
        <f t="shared" si="6"/>
        <v>1193.5152569169961</v>
      </c>
      <c r="Q63" s="73"/>
      <c r="R63" s="51"/>
      <c r="S63" s="33"/>
    </row>
    <row r="64" spans="1:19" s="41" customFormat="1" ht="15.75" x14ac:dyDescent="0.25">
      <c r="A64" s="33"/>
      <c r="B64" s="34" t="s">
        <v>6</v>
      </c>
      <c r="C64" s="35">
        <v>10001476</v>
      </c>
      <c r="D64" s="34" t="s">
        <v>219</v>
      </c>
      <c r="E64" s="35">
        <v>13420038924</v>
      </c>
      <c r="F64" s="35" t="s">
        <v>220</v>
      </c>
      <c r="G64" s="35" t="s">
        <v>221</v>
      </c>
      <c r="H64" s="35">
        <v>10001826</v>
      </c>
      <c r="I64" s="34" t="s">
        <v>222</v>
      </c>
      <c r="J64" s="83" t="s">
        <v>61</v>
      </c>
      <c r="K64" s="37">
        <v>44743</v>
      </c>
      <c r="L64" s="38">
        <v>50790.96</v>
      </c>
      <c r="M64" s="38">
        <f t="shared" si="5"/>
        <v>4232.58</v>
      </c>
      <c r="N64" s="38">
        <v>803.02</v>
      </c>
      <c r="O64" s="38">
        <f>L64/253*1</f>
        <v>200.75478260869565</v>
      </c>
      <c r="P64" s="39">
        <f t="shared" si="6"/>
        <v>200.75478260869565</v>
      </c>
      <c r="Q64" s="73"/>
      <c r="R64" s="51"/>
      <c r="S64" s="33"/>
    </row>
    <row r="65" spans="1:19" s="41" customFormat="1" ht="15.75" x14ac:dyDescent="0.25">
      <c r="A65" s="33"/>
      <c r="B65" s="34" t="s">
        <v>6</v>
      </c>
      <c r="C65" s="35">
        <v>10065405</v>
      </c>
      <c r="D65" s="34" t="s">
        <v>223</v>
      </c>
      <c r="E65" s="35">
        <v>18190039733</v>
      </c>
      <c r="F65" s="35" t="s">
        <v>224</v>
      </c>
      <c r="G65" s="35" t="s">
        <v>225</v>
      </c>
      <c r="H65" s="35">
        <v>10001462</v>
      </c>
      <c r="I65" s="34" t="s">
        <v>226</v>
      </c>
      <c r="J65" s="37">
        <v>44743</v>
      </c>
      <c r="K65" s="37">
        <v>44764</v>
      </c>
      <c r="L65" s="38">
        <v>4673.91</v>
      </c>
      <c r="M65" s="38">
        <f t="shared" si="5"/>
        <v>389.49250000000001</v>
      </c>
      <c r="N65" s="38">
        <v>73.900000000000006</v>
      </c>
      <c r="O65" s="38">
        <f>L65/253*16</f>
        <v>295.58324110671936</v>
      </c>
      <c r="P65" s="39">
        <f t="shared" si="6"/>
        <v>295.58324110671936</v>
      </c>
      <c r="Q65" s="73"/>
      <c r="R65" s="51"/>
      <c r="S65" s="33"/>
    </row>
    <row r="66" spans="1:19" s="41" customFormat="1" ht="15.75" x14ac:dyDescent="0.25">
      <c r="A66" s="33"/>
      <c r="B66" s="34" t="s">
        <v>6</v>
      </c>
      <c r="C66" s="1">
        <v>10000962</v>
      </c>
      <c r="D66" s="92" t="s">
        <v>227</v>
      </c>
      <c r="E66" s="1">
        <v>19370000727</v>
      </c>
      <c r="F66" s="35" t="s">
        <v>228</v>
      </c>
      <c r="G66" s="35" t="s">
        <v>229</v>
      </c>
      <c r="H66" s="1">
        <v>10001158</v>
      </c>
      <c r="I66" s="92" t="s">
        <v>230</v>
      </c>
      <c r="J66" s="37">
        <v>44760</v>
      </c>
      <c r="K66" s="37">
        <v>44771</v>
      </c>
      <c r="L66" s="38">
        <v>48933.479999999996</v>
      </c>
      <c r="M66" s="38">
        <f t="shared" si="5"/>
        <v>4077.7899999999995</v>
      </c>
      <c r="N66" s="38">
        <v>0</v>
      </c>
      <c r="O66" s="38">
        <f>L66/253*10</f>
        <v>1934.1296442687747</v>
      </c>
      <c r="P66" s="39">
        <f t="shared" si="6"/>
        <v>1934.1296442687747</v>
      </c>
      <c r="Q66" s="73"/>
      <c r="R66" s="51"/>
      <c r="S66" s="33"/>
    </row>
    <row r="67" spans="1:19" s="41" customFormat="1" ht="15.75" x14ac:dyDescent="0.25">
      <c r="A67" s="33"/>
      <c r="B67" s="34" t="s">
        <v>6</v>
      </c>
      <c r="C67" s="35">
        <v>10000539</v>
      </c>
      <c r="D67" s="34" t="s">
        <v>231</v>
      </c>
      <c r="E67" s="35">
        <v>25100004470</v>
      </c>
      <c r="F67" s="35" t="s">
        <v>58</v>
      </c>
      <c r="G67" s="35" t="s">
        <v>232</v>
      </c>
      <c r="H67" s="35">
        <v>19477435</v>
      </c>
      <c r="I67" s="34" t="s">
        <v>233</v>
      </c>
      <c r="J67" s="37" t="s">
        <v>45</v>
      </c>
      <c r="K67" s="83" t="s">
        <v>46</v>
      </c>
      <c r="L67" s="38">
        <v>44901</v>
      </c>
      <c r="M67" s="38">
        <f t="shared" si="5"/>
        <v>3741.75</v>
      </c>
      <c r="N67" s="38">
        <v>0</v>
      </c>
      <c r="O67" s="38">
        <f>L67/253*10</f>
        <v>1774.7430830039525</v>
      </c>
      <c r="P67" s="39">
        <f t="shared" si="6"/>
        <v>1774.7430830039525</v>
      </c>
      <c r="Q67" s="73"/>
      <c r="R67" s="51"/>
      <c r="S67" s="33"/>
    </row>
    <row r="68" spans="1:19" s="41" customFormat="1" ht="30" x14ac:dyDescent="0.25">
      <c r="A68" s="33"/>
      <c r="B68" s="34" t="s">
        <v>6</v>
      </c>
      <c r="C68" s="35">
        <v>19575410</v>
      </c>
      <c r="D68" s="34" t="s">
        <v>234</v>
      </c>
      <c r="E68" s="35">
        <v>25160011427</v>
      </c>
      <c r="F68" s="35" t="s">
        <v>235</v>
      </c>
      <c r="G68" s="35" t="s">
        <v>236</v>
      </c>
      <c r="H68" s="35">
        <v>10001784</v>
      </c>
      <c r="I68" s="34" t="s">
        <v>208</v>
      </c>
      <c r="J68" s="37" t="s">
        <v>237</v>
      </c>
      <c r="K68" s="37" t="s">
        <v>238</v>
      </c>
      <c r="L68" s="38">
        <v>50808.72</v>
      </c>
      <c r="M68" s="38">
        <f t="shared" si="5"/>
        <v>4234.0600000000004</v>
      </c>
      <c r="N68" s="38">
        <v>3213.1948616600794</v>
      </c>
      <c r="O68" s="38">
        <f>L68/253*6-184.09</f>
        <v>1020.859881422925</v>
      </c>
      <c r="P68" s="39">
        <f t="shared" si="6"/>
        <v>1020.859881422925</v>
      </c>
      <c r="Q68" s="73"/>
      <c r="R68" s="51" t="s">
        <v>808</v>
      </c>
      <c r="S68" s="33"/>
    </row>
    <row r="69" spans="1:19" s="41" customFormat="1" ht="15.75" x14ac:dyDescent="0.25">
      <c r="A69" s="33"/>
      <c r="B69" s="34" t="s">
        <v>6</v>
      </c>
      <c r="C69" s="1">
        <v>10001826</v>
      </c>
      <c r="D69" s="92" t="s">
        <v>239</v>
      </c>
      <c r="E69" s="1">
        <v>27190043408</v>
      </c>
      <c r="F69" s="35" t="s">
        <v>240</v>
      </c>
      <c r="G69" s="35" t="s">
        <v>241</v>
      </c>
      <c r="H69" s="1">
        <v>10001476</v>
      </c>
      <c r="I69" s="92" t="s">
        <v>242</v>
      </c>
      <c r="J69" s="37">
        <v>44755</v>
      </c>
      <c r="K69" s="37">
        <v>44768</v>
      </c>
      <c r="L69" s="38">
        <v>44523.600000000006</v>
      </c>
      <c r="M69" s="38">
        <f t="shared" si="5"/>
        <v>3710.3000000000006</v>
      </c>
      <c r="N69" s="38">
        <v>0</v>
      </c>
      <c r="O69" s="38">
        <f>L69/253*10</f>
        <v>1759.826086956522</v>
      </c>
      <c r="P69" s="39">
        <f t="shared" si="6"/>
        <v>1759.826086956522</v>
      </c>
      <c r="Q69" s="73"/>
      <c r="R69" s="51"/>
      <c r="S69" s="33"/>
    </row>
    <row r="70" spans="1:19" s="41" customFormat="1" ht="15.75" x14ac:dyDescent="0.25">
      <c r="A70" s="33"/>
      <c r="B70" s="34" t="s">
        <v>6</v>
      </c>
      <c r="C70" s="1">
        <v>10000459</v>
      </c>
      <c r="D70" s="92" t="s">
        <v>243</v>
      </c>
      <c r="E70" s="1">
        <v>28430005283</v>
      </c>
      <c r="F70" s="35" t="s">
        <v>240</v>
      </c>
      <c r="G70" s="35" t="s">
        <v>244</v>
      </c>
      <c r="H70" s="1">
        <v>19375425</v>
      </c>
      <c r="I70" s="92" t="s">
        <v>245</v>
      </c>
      <c r="J70" s="37">
        <v>44743</v>
      </c>
      <c r="K70" s="37">
        <v>44754</v>
      </c>
      <c r="L70" s="38">
        <v>36997.919999999998</v>
      </c>
      <c r="M70" s="38">
        <f t="shared" si="5"/>
        <v>3083.16</v>
      </c>
      <c r="N70" s="38">
        <v>1023.66</v>
      </c>
      <c r="O70" s="38">
        <f>L70/253*8</f>
        <v>1169.8947035573121</v>
      </c>
      <c r="P70" s="39">
        <f t="shared" si="6"/>
        <v>1169.8947035573121</v>
      </c>
      <c r="Q70" s="73"/>
      <c r="R70" s="51"/>
      <c r="S70" s="33"/>
    </row>
    <row r="71" spans="1:19" s="41" customFormat="1" ht="15.75" x14ac:dyDescent="0.25">
      <c r="A71" s="33"/>
      <c r="B71" s="34" t="s">
        <v>6</v>
      </c>
      <c r="C71" s="1">
        <v>10000550</v>
      </c>
      <c r="D71" s="92" t="s">
        <v>246</v>
      </c>
      <c r="E71" s="1">
        <v>31420035080</v>
      </c>
      <c r="F71" s="35" t="s">
        <v>247</v>
      </c>
      <c r="G71" s="35" t="s">
        <v>248</v>
      </c>
      <c r="H71" s="1">
        <v>10000549</v>
      </c>
      <c r="I71" s="92" t="s">
        <v>249</v>
      </c>
      <c r="J71" s="37">
        <v>44753</v>
      </c>
      <c r="K71" s="37">
        <v>44771</v>
      </c>
      <c r="L71" s="38">
        <v>49454.64</v>
      </c>
      <c r="M71" s="38">
        <f t="shared" si="5"/>
        <v>4121.22</v>
      </c>
      <c r="N71" s="38">
        <v>0</v>
      </c>
      <c r="O71" s="38">
        <f>L71/253*15</f>
        <v>2932.0932806324108</v>
      </c>
      <c r="P71" s="39">
        <f t="shared" si="6"/>
        <v>2932.0932806324108</v>
      </c>
      <c r="Q71" s="73"/>
      <c r="R71" s="51"/>
      <c r="S71" s="33"/>
    </row>
    <row r="72" spans="1:19" s="41" customFormat="1" ht="15.75" x14ac:dyDescent="0.25">
      <c r="A72" s="33"/>
      <c r="B72" s="34" t="s">
        <v>6</v>
      </c>
      <c r="C72" s="1">
        <v>19575431</v>
      </c>
      <c r="D72" s="92" t="s">
        <v>250</v>
      </c>
      <c r="E72" s="1">
        <v>31760008535</v>
      </c>
      <c r="F72" s="35" t="s">
        <v>216</v>
      </c>
      <c r="G72" s="35" t="s">
        <v>251</v>
      </c>
      <c r="H72" s="1">
        <v>10075413</v>
      </c>
      <c r="I72" s="92" t="s">
        <v>252</v>
      </c>
      <c r="J72" s="37">
        <v>44746</v>
      </c>
      <c r="K72" s="37">
        <v>44764</v>
      </c>
      <c r="L72" s="38">
        <v>41780.639999999999</v>
      </c>
      <c r="M72" s="38">
        <f t="shared" si="5"/>
        <v>3481.72</v>
      </c>
      <c r="N72" s="38">
        <v>0</v>
      </c>
      <c r="O72" s="38">
        <f>L72/253*15</f>
        <v>2477.1130434782608</v>
      </c>
      <c r="P72" s="39">
        <f t="shared" si="6"/>
        <v>2477.1130434782608</v>
      </c>
      <c r="Q72" s="73"/>
      <c r="R72" s="51"/>
      <c r="S72" s="33"/>
    </row>
    <row r="73" spans="1:19" s="41" customFormat="1" ht="15.75" x14ac:dyDescent="0.25">
      <c r="A73" s="33"/>
      <c r="B73" s="34" t="s">
        <v>6</v>
      </c>
      <c r="C73" s="35">
        <v>19475438</v>
      </c>
      <c r="D73" s="34" t="s">
        <v>253</v>
      </c>
      <c r="E73" s="35">
        <v>34590001642</v>
      </c>
      <c r="F73" s="35" t="s">
        <v>240</v>
      </c>
      <c r="G73" s="35" t="s">
        <v>254</v>
      </c>
      <c r="H73" s="35">
        <v>10001228</v>
      </c>
      <c r="I73" s="34" t="s">
        <v>255</v>
      </c>
      <c r="J73" s="37">
        <v>44767</v>
      </c>
      <c r="K73" s="37">
        <v>44773</v>
      </c>
      <c r="L73" s="38">
        <v>48813.24</v>
      </c>
      <c r="M73" s="38">
        <f t="shared" si="5"/>
        <v>4067.77</v>
      </c>
      <c r="N73" s="38">
        <v>578.80999999999995</v>
      </c>
      <c r="O73" s="38">
        <f>L73/253*5</f>
        <v>964.6885375494071</v>
      </c>
      <c r="P73" s="39">
        <f t="shared" si="6"/>
        <v>964.6885375494071</v>
      </c>
      <c r="Q73" s="73"/>
      <c r="R73" s="51"/>
      <c r="S73" s="33"/>
    </row>
    <row r="74" spans="1:19" s="41" customFormat="1" ht="25.5" x14ac:dyDescent="0.25">
      <c r="A74" s="33"/>
      <c r="B74" s="34" t="s">
        <v>6</v>
      </c>
      <c r="C74" s="35">
        <v>10077445</v>
      </c>
      <c r="D74" s="34" t="s">
        <v>256</v>
      </c>
      <c r="E74" s="35">
        <v>37260006591</v>
      </c>
      <c r="F74" s="35" t="s">
        <v>257</v>
      </c>
      <c r="G74" s="35" t="s">
        <v>258</v>
      </c>
      <c r="H74" s="35">
        <v>19375403</v>
      </c>
      <c r="I74" s="34" t="s">
        <v>259</v>
      </c>
      <c r="J74" s="37">
        <v>44743</v>
      </c>
      <c r="K74" s="37">
        <v>44771</v>
      </c>
      <c r="L74" s="38">
        <v>29545.68</v>
      </c>
      <c r="M74" s="38">
        <f t="shared" si="5"/>
        <v>2462.14</v>
      </c>
      <c r="N74" s="38">
        <v>467.13</v>
      </c>
      <c r="O74" s="38">
        <f>L74/253*21-457.39</f>
        <v>1995.0182213438734</v>
      </c>
      <c r="P74" s="39">
        <f t="shared" si="6"/>
        <v>1995.0182213438734</v>
      </c>
      <c r="Q74" s="73"/>
      <c r="R74" s="51" t="s">
        <v>808</v>
      </c>
      <c r="S74" s="33"/>
    </row>
    <row r="75" spans="1:19" s="41" customFormat="1" ht="15.75" x14ac:dyDescent="0.25">
      <c r="A75" s="33"/>
      <c r="B75" s="34" t="s">
        <v>6</v>
      </c>
      <c r="C75" s="1">
        <v>10001228</v>
      </c>
      <c r="D75" s="92" t="s">
        <v>255</v>
      </c>
      <c r="E75" s="35">
        <v>37900008908</v>
      </c>
      <c r="F75" s="35" t="s">
        <v>260</v>
      </c>
      <c r="G75" s="35" t="s">
        <v>261</v>
      </c>
      <c r="H75" s="35">
        <v>19475438</v>
      </c>
      <c r="I75" s="34" t="s">
        <v>253</v>
      </c>
      <c r="J75" s="37">
        <v>44743</v>
      </c>
      <c r="K75" s="37">
        <v>44744</v>
      </c>
      <c r="L75" s="38">
        <v>51169.319999999992</v>
      </c>
      <c r="M75" s="38">
        <f t="shared" si="5"/>
        <v>4264.1099999999997</v>
      </c>
      <c r="N75" s="38">
        <v>2831.5011067193673</v>
      </c>
      <c r="O75" s="38">
        <f>L75/253*1</f>
        <v>202.25027667984187</v>
      </c>
      <c r="P75" s="39">
        <f t="shared" si="6"/>
        <v>202.25027667984187</v>
      </c>
      <c r="Q75" s="73"/>
      <c r="R75" s="51"/>
      <c r="S75" s="33"/>
    </row>
    <row r="76" spans="1:19" s="41" customFormat="1" ht="15.75" x14ac:dyDescent="0.25">
      <c r="A76" s="33"/>
      <c r="B76" s="34" t="s">
        <v>6</v>
      </c>
      <c r="C76" s="1">
        <v>10001933</v>
      </c>
      <c r="D76" s="92" t="s">
        <v>262</v>
      </c>
      <c r="E76" s="1">
        <v>38330002666</v>
      </c>
      <c r="F76" s="35" t="s">
        <v>263</v>
      </c>
      <c r="G76" s="35" t="s">
        <v>264</v>
      </c>
      <c r="H76" s="1">
        <v>10001933</v>
      </c>
      <c r="I76" s="92" t="s">
        <v>262</v>
      </c>
      <c r="J76" s="37">
        <v>44760</v>
      </c>
      <c r="K76" s="37">
        <v>44764</v>
      </c>
      <c r="L76" s="38">
        <v>58487.28</v>
      </c>
      <c r="M76" s="38">
        <f t="shared" si="5"/>
        <v>4873.9399999999996</v>
      </c>
      <c r="N76" s="38">
        <v>0</v>
      </c>
      <c r="O76" s="38">
        <f>L76/253*5</f>
        <v>1155.8750988142292</v>
      </c>
      <c r="P76" s="39">
        <f t="shared" si="6"/>
        <v>1155.8750988142292</v>
      </c>
      <c r="Q76" s="73"/>
      <c r="R76" s="51"/>
      <c r="S76" s="33"/>
    </row>
    <row r="77" spans="1:19" s="41" customFormat="1" ht="15.75" x14ac:dyDescent="0.25">
      <c r="A77" s="33"/>
      <c r="B77" s="34" t="s">
        <v>6</v>
      </c>
      <c r="C77" s="35">
        <v>10000364</v>
      </c>
      <c r="D77" s="34" t="s">
        <v>265</v>
      </c>
      <c r="E77" s="35">
        <v>38400005483</v>
      </c>
      <c r="F77" s="35" t="s">
        <v>48</v>
      </c>
      <c r="G77" s="35" t="s">
        <v>266</v>
      </c>
      <c r="H77" s="35">
        <v>19375431</v>
      </c>
      <c r="I77" s="34" t="s">
        <v>267</v>
      </c>
      <c r="J77" s="37">
        <v>44768</v>
      </c>
      <c r="K77" s="37">
        <v>44771</v>
      </c>
      <c r="L77" s="38">
        <v>44691.12</v>
      </c>
      <c r="M77" s="38">
        <f t="shared" si="5"/>
        <v>3724.26</v>
      </c>
      <c r="N77" s="38">
        <v>0</v>
      </c>
      <c r="O77" s="38">
        <f>L77/253*4</f>
        <v>706.57897233201584</v>
      </c>
      <c r="P77" s="39">
        <f t="shared" si="6"/>
        <v>706.57897233201584</v>
      </c>
      <c r="Q77" s="73"/>
      <c r="R77" s="51"/>
      <c r="S77" s="33"/>
    </row>
    <row r="78" spans="1:19" s="41" customFormat="1" ht="15.75" x14ac:dyDescent="0.25">
      <c r="A78" s="33"/>
      <c r="B78" s="34" t="s">
        <v>6</v>
      </c>
      <c r="C78" s="35">
        <v>10001248</v>
      </c>
      <c r="D78" s="34" t="s">
        <v>268</v>
      </c>
      <c r="E78" s="35">
        <v>43800012144</v>
      </c>
      <c r="F78" s="35" t="s">
        <v>196</v>
      </c>
      <c r="G78" s="35" t="s">
        <v>269</v>
      </c>
      <c r="H78" s="35">
        <v>10001535</v>
      </c>
      <c r="I78" s="34" t="s">
        <v>270</v>
      </c>
      <c r="J78" s="37">
        <v>44743</v>
      </c>
      <c r="K78" s="37" t="s">
        <v>112</v>
      </c>
      <c r="L78" s="38">
        <v>23890.079999999998</v>
      </c>
      <c r="M78" s="38">
        <f t="shared" si="5"/>
        <v>1990.84</v>
      </c>
      <c r="N78" s="38">
        <v>660.99</v>
      </c>
      <c r="O78" s="38">
        <f>L78/253*3</f>
        <v>283.28158102766798</v>
      </c>
      <c r="P78" s="39">
        <f t="shared" si="6"/>
        <v>283.28158102766798</v>
      </c>
      <c r="Q78" s="73"/>
      <c r="R78" s="96"/>
      <c r="S78" s="33"/>
    </row>
    <row r="79" spans="1:19" s="41" customFormat="1" ht="15.75" x14ac:dyDescent="0.25">
      <c r="A79" s="33"/>
      <c r="B79" s="34" t="s">
        <v>6</v>
      </c>
      <c r="C79" s="35">
        <v>19375425</v>
      </c>
      <c r="D79" s="34" t="s">
        <v>271</v>
      </c>
      <c r="E79" s="35">
        <v>48270010211</v>
      </c>
      <c r="F79" s="35" t="s">
        <v>272</v>
      </c>
      <c r="G79" s="35" t="s">
        <v>273</v>
      </c>
      <c r="H79" s="35">
        <v>10000459</v>
      </c>
      <c r="I79" s="34" t="s">
        <v>274</v>
      </c>
      <c r="J79" s="37">
        <v>44760</v>
      </c>
      <c r="K79" s="83" t="s">
        <v>46</v>
      </c>
      <c r="L79" s="38">
        <v>51511.08</v>
      </c>
      <c r="M79" s="38">
        <f t="shared" si="5"/>
        <v>4292.59</v>
      </c>
      <c r="N79" s="38">
        <v>0</v>
      </c>
      <c r="O79" s="38">
        <f>L79/253*10</f>
        <v>2036.0110671936761</v>
      </c>
      <c r="P79" s="39">
        <f t="shared" si="6"/>
        <v>2036.0110671936761</v>
      </c>
      <c r="Q79" s="73"/>
      <c r="R79" s="51"/>
      <c r="S79" s="33"/>
    </row>
    <row r="80" spans="1:19" s="41" customFormat="1" ht="15.75" x14ac:dyDescent="0.25">
      <c r="A80" s="33"/>
      <c r="B80" s="34" t="s">
        <v>6</v>
      </c>
      <c r="C80" s="35">
        <v>10000549</v>
      </c>
      <c r="D80" s="34" t="s">
        <v>275</v>
      </c>
      <c r="E80" s="35">
        <v>50060008759</v>
      </c>
      <c r="F80" s="35" t="s">
        <v>276</v>
      </c>
      <c r="G80" s="35" t="s">
        <v>277</v>
      </c>
      <c r="H80" s="35">
        <v>10000550</v>
      </c>
      <c r="I80" s="34" t="s">
        <v>278</v>
      </c>
      <c r="J80" s="37">
        <v>44743</v>
      </c>
      <c r="K80" s="37" t="s">
        <v>62</v>
      </c>
      <c r="L80" s="38">
        <v>39648.120000000003</v>
      </c>
      <c r="M80" s="38">
        <f t="shared" si="5"/>
        <v>3304.01</v>
      </c>
      <c r="N80" s="38">
        <v>626.85</v>
      </c>
      <c r="O80" s="38">
        <f>L80/253*6</f>
        <v>940.27162055335975</v>
      </c>
      <c r="P80" s="39">
        <f t="shared" si="6"/>
        <v>940.27162055335975</v>
      </c>
      <c r="Q80" s="73"/>
      <c r="R80" s="51"/>
      <c r="S80" s="33"/>
    </row>
    <row r="81" spans="1:19" s="41" customFormat="1" ht="15.75" x14ac:dyDescent="0.25">
      <c r="A81" s="33"/>
      <c r="B81" s="34" t="s">
        <v>6</v>
      </c>
      <c r="C81" s="35">
        <v>10054109</v>
      </c>
      <c r="D81" s="34" t="s">
        <v>212</v>
      </c>
      <c r="E81" s="35">
        <v>51700009046</v>
      </c>
      <c r="F81" s="35" t="s">
        <v>279</v>
      </c>
      <c r="G81" s="35" t="s">
        <v>280</v>
      </c>
      <c r="H81" s="35">
        <v>10054109</v>
      </c>
      <c r="I81" s="34" t="s">
        <v>212</v>
      </c>
      <c r="J81" s="37">
        <v>44743</v>
      </c>
      <c r="K81" s="37">
        <v>44745</v>
      </c>
      <c r="L81" s="38">
        <v>37564.44</v>
      </c>
      <c r="M81" s="38">
        <f t="shared" si="5"/>
        <v>3130.3700000000003</v>
      </c>
      <c r="N81" s="38">
        <v>1781.71023715415</v>
      </c>
      <c r="O81" s="38">
        <f>L81/253*1</f>
        <v>148.47604743083005</v>
      </c>
      <c r="P81" s="39">
        <f t="shared" si="6"/>
        <v>148.47604743083005</v>
      </c>
      <c r="Q81" s="73"/>
      <c r="R81" s="51"/>
      <c r="S81" s="33"/>
    </row>
    <row r="82" spans="1:19" s="41" customFormat="1" ht="15.75" x14ac:dyDescent="0.25">
      <c r="A82" s="33"/>
      <c r="B82" s="34" t="s">
        <v>6</v>
      </c>
      <c r="C82" s="1">
        <v>19675405</v>
      </c>
      <c r="D82" s="92" t="s">
        <v>281</v>
      </c>
      <c r="E82" s="1">
        <v>52690006762</v>
      </c>
      <c r="F82" s="35" t="s">
        <v>282</v>
      </c>
      <c r="G82" s="35" t="s">
        <v>283</v>
      </c>
      <c r="H82" s="1">
        <v>10000130</v>
      </c>
      <c r="I82" s="92" t="s">
        <v>284</v>
      </c>
      <c r="J82" s="37">
        <v>44760</v>
      </c>
      <c r="K82" s="37">
        <v>44773</v>
      </c>
      <c r="L82" s="38">
        <v>51789.96</v>
      </c>
      <c r="M82" s="38">
        <f t="shared" si="5"/>
        <v>4315.83</v>
      </c>
      <c r="N82" s="38">
        <v>0</v>
      </c>
      <c r="O82" s="38">
        <f>L82/253*10</f>
        <v>2047.0339920948616</v>
      </c>
      <c r="P82" s="39">
        <f t="shared" si="6"/>
        <v>2047.0339920948616</v>
      </c>
      <c r="Q82" s="73"/>
      <c r="R82" s="51"/>
      <c r="S82" s="33"/>
    </row>
    <row r="83" spans="1:19" s="41" customFormat="1" ht="15.75" x14ac:dyDescent="0.25">
      <c r="A83" s="33"/>
      <c r="B83" s="34" t="s">
        <v>6</v>
      </c>
      <c r="C83" s="35">
        <v>19275430</v>
      </c>
      <c r="D83" s="34" t="s">
        <v>285</v>
      </c>
      <c r="E83" s="35">
        <v>53950010347</v>
      </c>
      <c r="F83" s="35" t="s">
        <v>286</v>
      </c>
      <c r="G83" s="35" t="s">
        <v>287</v>
      </c>
      <c r="H83" s="35">
        <v>19275429</v>
      </c>
      <c r="I83" s="34" t="s">
        <v>288</v>
      </c>
      <c r="J83" s="37">
        <v>44760</v>
      </c>
      <c r="K83" s="37">
        <v>44773</v>
      </c>
      <c r="L83" s="38">
        <v>62036.639999999999</v>
      </c>
      <c r="M83" s="38">
        <f t="shared" si="5"/>
        <v>5169.72</v>
      </c>
      <c r="N83" s="38">
        <v>0</v>
      </c>
      <c r="O83" s="38">
        <f>L83/253*10</f>
        <v>2452.0411067193672</v>
      </c>
      <c r="P83" s="39">
        <f t="shared" si="6"/>
        <v>2452.0411067193672</v>
      </c>
      <c r="Q83" s="73"/>
      <c r="R83" s="51"/>
      <c r="S83" s="33"/>
    </row>
    <row r="84" spans="1:19" s="41" customFormat="1" ht="15.75" x14ac:dyDescent="0.25">
      <c r="A84" s="33"/>
      <c r="B84" s="34" t="s">
        <v>6</v>
      </c>
      <c r="C84" s="35">
        <v>10000348</v>
      </c>
      <c r="D84" s="34" t="s">
        <v>289</v>
      </c>
      <c r="E84" s="35">
        <v>55200005087</v>
      </c>
      <c r="F84" s="35" t="s">
        <v>290</v>
      </c>
      <c r="G84" s="35" t="s">
        <v>291</v>
      </c>
      <c r="H84" s="35">
        <v>10000346</v>
      </c>
      <c r="I84" s="34" t="s">
        <v>197</v>
      </c>
      <c r="J84" s="37">
        <v>44767</v>
      </c>
      <c r="K84" s="37">
        <v>44773</v>
      </c>
      <c r="L84" s="38">
        <v>44637.36</v>
      </c>
      <c r="M84" s="38">
        <f t="shared" si="5"/>
        <v>3719.78</v>
      </c>
      <c r="N84" s="38">
        <v>0</v>
      </c>
      <c r="O84" s="38">
        <f>L84/253*5</f>
        <v>882.1612648221344</v>
      </c>
      <c r="P84" s="39">
        <f t="shared" si="6"/>
        <v>882.1612648221344</v>
      </c>
      <c r="Q84" s="73"/>
      <c r="R84" s="51"/>
      <c r="S84" s="33"/>
    </row>
    <row r="85" spans="1:19" s="41" customFormat="1" ht="15.75" x14ac:dyDescent="0.25">
      <c r="A85" s="33"/>
      <c r="B85" s="34" t="s">
        <v>6</v>
      </c>
      <c r="C85" s="35">
        <v>10020301</v>
      </c>
      <c r="D85" s="34" t="s">
        <v>292</v>
      </c>
      <c r="E85" s="35">
        <v>58500009877</v>
      </c>
      <c r="F85" s="35" t="s">
        <v>293</v>
      </c>
      <c r="G85" s="35" t="s">
        <v>294</v>
      </c>
      <c r="H85" s="35">
        <v>10020301</v>
      </c>
      <c r="I85" s="34" t="s">
        <v>292</v>
      </c>
      <c r="J85" s="37">
        <v>44743</v>
      </c>
      <c r="K85" s="37">
        <v>44747</v>
      </c>
      <c r="L85" s="38">
        <v>32597.760000000002</v>
      </c>
      <c r="M85" s="38">
        <f t="shared" si="5"/>
        <v>2716.48</v>
      </c>
      <c r="N85" s="38">
        <v>2190.36</v>
      </c>
      <c r="O85" s="38">
        <f>L85/253*3</f>
        <v>386.5347035573123</v>
      </c>
      <c r="P85" s="39">
        <f t="shared" si="6"/>
        <v>386.5347035573123</v>
      </c>
      <c r="Q85" s="73"/>
      <c r="R85" s="51"/>
      <c r="S85" s="33"/>
    </row>
    <row r="86" spans="1:19" s="41" customFormat="1" ht="15.75" x14ac:dyDescent="0.25">
      <c r="A86" s="33"/>
      <c r="B86" s="34" t="s">
        <v>6</v>
      </c>
      <c r="C86" s="1">
        <v>10054211</v>
      </c>
      <c r="D86" s="92" t="s">
        <v>295</v>
      </c>
      <c r="E86" s="1">
        <v>58830030637</v>
      </c>
      <c r="F86" s="35" t="s">
        <v>296</v>
      </c>
      <c r="G86" s="35" t="s">
        <v>116</v>
      </c>
      <c r="H86" s="1">
        <v>10054211</v>
      </c>
      <c r="I86" s="92" t="s">
        <v>295</v>
      </c>
      <c r="J86" s="37">
        <v>44746</v>
      </c>
      <c r="K86" s="37">
        <v>44773</v>
      </c>
      <c r="L86" s="38">
        <v>41303.040000000001</v>
      </c>
      <c r="M86" s="38">
        <f t="shared" si="5"/>
        <v>3441.92</v>
      </c>
      <c r="N86" s="38">
        <v>0</v>
      </c>
      <c r="O86" s="38">
        <f>L86/253*20</f>
        <v>3265.0624505928854</v>
      </c>
      <c r="P86" s="39">
        <f t="shared" si="6"/>
        <v>3265.0624505928854</v>
      </c>
      <c r="Q86" s="73"/>
      <c r="R86" s="51"/>
      <c r="S86" s="33"/>
    </row>
    <row r="87" spans="1:19" s="41" customFormat="1" ht="30" x14ac:dyDescent="0.25">
      <c r="A87" s="33"/>
      <c r="B87" s="34" t="s">
        <v>6</v>
      </c>
      <c r="C87" s="35">
        <v>809635210</v>
      </c>
      <c r="D87" s="43" t="s">
        <v>297</v>
      </c>
      <c r="E87" s="36">
        <v>59100006406</v>
      </c>
      <c r="F87" s="44" t="s">
        <v>298</v>
      </c>
      <c r="G87" s="44" t="s">
        <v>299</v>
      </c>
      <c r="H87" s="35">
        <v>809635210</v>
      </c>
      <c r="I87" s="43" t="s">
        <v>297</v>
      </c>
      <c r="J87" s="37" t="s">
        <v>300</v>
      </c>
      <c r="K87" s="37" t="s">
        <v>91</v>
      </c>
      <c r="L87" s="38">
        <v>49734.720000000001</v>
      </c>
      <c r="M87" s="38">
        <f t="shared" si="5"/>
        <v>4144.5600000000004</v>
      </c>
      <c r="N87" s="38">
        <v>982.89960474308305</v>
      </c>
      <c r="O87" s="38">
        <f>L87/253*15</f>
        <v>2948.6988142292489</v>
      </c>
      <c r="P87" s="39"/>
      <c r="Q87" s="40">
        <f>O87</f>
        <v>2948.6988142292489</v>
      </c>
      <c r="R87" s="51"/>
      <c r="S87" s="33"/>
    </row>
    <row r="88" spans="1:19" s="41" customFormat="1" ht="15.75" x14ac:dyDescent="0.25">
      <c r="A88" s="33"/>
      <c r="B88" s="34" t="s">
        <v>6</v>
      </c>
      <c r="C88" s="35">
        <v>10001535</v>
      </c>
      <c r="D88" s="34" t="s">
        <v>301</v>
      </c>
      <c r="E88" s="35">
        <v>60920045374</v>
      </c>
      <c r="F88" s="35" t="s">
        <v>302</v>
      </c>
      <c r="G88" s="35" t="s">
        <v>303</v>
      </c>
      <c r="H88" s="35">
        <v>19575414</v>
      </c>
      <c r="I88" s="34" t="s">
        <v>304</v>
      </c>
      <c r="J88" s="37">
        <v>44760</v>
      </c>
      <c r="K88" s="37">
        <v>44773</v>
      </c>
      <c r="L88" s="38">
        <v>43336.68</v>
      </c>
      <c r="M88" s="38">
        <f t="shared" si="5"/>
        <v>3611.39</v>
      </c>
      <c r="N88" s="38">
        <v>0</v>
      </c>
      <c r="O88" s="38">
        <f>L88/253*10</f>
        <v>1712.9122529644269</v>
      </c>
      <c r="P88" s="39">
        <f>O88</f>
        <v>1712.9122529644269</v>
      </c>
      <c r="Q88" s="73"/>
      <c r="R88" s="51"/>
      <c r="S88" s="33"/>
    </row>
    <row r="89" spans="1:19" s="41" customFormat="1" ht="15.75" x14ac:dyDescent="0.25">
      <c r="A89" s="33"/>
      <c r="B89" s="34" t="s">
        <v>6</v>
      </c>
      <c r="C89" s="35">
        <v>19375412</v>
      </c>
      <c r="D89" s="34" t="s">
        <v>305</v>
      </c>
      <c r="E89" s="35">
        <v>61140000559</v>
      </c>
      <c r="F89" s="35" t="s">
        <v>306</v>
      </c>
      <c r="G89" s="35" t="s">
        <v>307</v>
      </c>
      <c r="H89" s="35">
        <v>19375420</v>
      </c>
      <c r="I89" s="34" t="s">
        <v>308</v>
      </c>
      <c r="J89" s="37">
        <v>44761</v>
      </c>
      <c r="K89" s="37">
        <v>44769</v>
      </c>
      <c r="L89" s="38">
        <v>44157.120000000003</v>
      </c>
      <c r="M89" s="38">
        <f t="shared" si="5"/>
        <v>3679.76</v>
      </c>
      <c r="N89" s="38">
        <v>1396.2725691699607</v>
      </c>
      <c r="O89" s="38">
        <f>L89/253*7</f>
        <v>1221.7384980237157</v>
      </c>
      <c r="P89" s="39">
        <f>O89</f>
        <v>1221.7384980237157</v>
      </c>
      <c r="Q89" s="73"/>
      <c r="R89" s="51"/>
      <c r="S89" s="33"/>
    </row>
    <row r="90" spans="1:19" s="41" customFormat="1" ht="15.75" x14ac:dyDescent="0.25">
      <c r="A90" s="33"/>
      <c r="B90" s="34" t="s">
        <v>6</v>
      </c>
      <c r="C90" s="35">
        <v>809277401</v>
      </c>
      <c r="D90" s="34" t="s">
        <v>309</v>
      </c>
      <c r="E90" s="35">
        <v>62170000254</v>
      </c>
      <c r="F90" s="35" t="s">
        <v>310</v>
      </c>
      <c r="G90" s="35" t="s">
        <v>311</v>
      </c>
      <c r="H90" s="35">
        <v>801400004</v>
      </c>
      <c r="I90" s="34" t="s">
        <v>312</v>
      </c>
      <c r="J90" s="83" t="s">
        <v>61</v>
      </c>
      <c r="K90" s="37">
        <v>44750</v>
      </c>
      <c r="L90" s="38">
        <v>15748.920000000002</v>
      </c>
      <c r="M90" s="38">
        <f t="shared" si="5"/>
        <v>1312.41</v>
      </c>
      <c r="N90" s="38">
        <v>248.99</v>
      </c>
      <c r="O90" s="38">
        <f>L90/253*6</f>
        <v>373.49217391304353</v>
      </c>
      <c r="P90" s="39">
        <f>O90</f>
        <v>373.49217391304353</v>
      </c>
      <c r="Q90" s="73"/>
      <c r="R90" s="96"/>
      <c r="S90" s="33"/>
    </row>
    <row r="91" spans="1:19" s="41" customFormat="1" ht="15.75" x14ac:dyDescent="0.25">
      <c r="A91" s="33"/>
      <c r="B91" s="34" t="s">
        <v>6</v>
      </c>
      <c r="C91" s="35">
        <v>10001535</v>
      </c>
      <c r="D91" s="34" t="s">
        <v>301</v>
      </c>
      <c r="E91" s="35">
        <v>63600003797</v>
      </c>
      <c r="F91" s="35" t="s">
        <v>313</v>
      </c>
      <c r="G91" s="35" t="s">
        <v>314</v>
      </c>
      <c r="H91" s="35">
        <v>10001535</v>
      </c>
      <c r="I91" s="34" t="s">
        <v>301</v>
      </c>
      <c r="J91" s="37">
        <v>44746</v>
      </c>
      <c r="K91" s="37">
        <v>44773</v>
      </c>
      <c r="L91" s="38">
        <v>43112.76</v>
      </c>
      <c r="M91" s="38">
        <f t="shared" si="5"/>
        <v>3592.73</v>
      </c>
      <c r="N91" s="38">
        <v>0</v>
      </c>
      <c r="O91" s="38">
        <f>L91/253*20</f>
        <v>3408.1233201581026</v>
      </c>
      <c r="P91" s="39">
        <f>O91</f>
        <v>3408.1233201581026</v>
      </c>
      <c r="Q91" s="73"/>
      <c r="R91" s="51"/>
      <c r="S91" s="33"/>
    </row>
    <row r="92" spans="1:19" s="41" customFormat="1" ht="15.75" x14ac:dyDescent="0.25">
      <c r="A92" s="33"/>
      <c r="B92" s="34" t="s">
        <v>6</v>
      </c>
      <c r="C92" s="35">
        <v>19275408</v>
      </c>
      <c r="D92" s="34" t="s">
        <v>315</v>
      </c>
      <c r="E92" s="35">
        <v>68490003274</v>
      </c>
      <c r="F92" s="35" t="s">
        <v>48</v>
      </c>
      <c r="G92" s="44" t="s">
        <v>316</v>
      </c>
      <c r="H92" s="35">
        <v>19275437</v>
      </c>
      <c r="I92" s="34" t="s">
        <v>317</v>
      </c>
      <c r="J92" s="37">
        <v>44743</v>
      </c>
      <c r="K92" s="37">
        <v>44743</v>
      </c>
      <c r="L92" s="38">
        <v>74133</v>
      </c>
      <c r="M92" s="38">
        <f t="shared" si="5"/>
        <v>6177.75</v>
      </c>
      <c r="N92" s="38">
        <v>1172.06</v>
      </c>
      <c r="O92" s="38">
        <f>L92/253*1</f>
        <v>293.01581027667982</v>
      </c>
      <c r="P92" s="39">
        <f>O92</f>
        <v>293.01581027667982</v>
      </c>
      <c r="Q92" s="73"/>
      <c r="R92" s="51"/>
      <c r="S92" s="33"/>
    </row>
    <row r="93" spans="1:19" s="42" customFormat="1" ht="30" x14ac:dyDescent="0.25">
      <c r="B93" s="43" t="s">
        <v>6</v>
      </c>
      <c r="C93" s="44">
        <v>809635210</v>
      </c>
      <c r="D93" s="43" t="s">
        <v>297</v>
      </c>
      <c r="E93" s="44">
        <v>70830049106</v>
      </c>
      <c r="F93" s="44" t="s">
        <v>318</v>
      </c>
      <c r="G93" s="44" t="s">
        <v>319</v>
      </c>
      <c r="H93" s="44">
        <v>809635210</v>
      </c>
      <c r="I93" s="43" t="s">
        <v>297</v>
      </c>
      <c r="J93" s="9" t="s">
        <v>320</v>
      </c>
      <c r="K93" s="9" t="s">
        <v>321</v>
      </c>
      <c r="L93" s="40">
        <v>19131.72</v>
      </c>
      <c r="M93" s="40">
        <f t="shared" si="5"/>
        <v>1594.3100000000002</v>
      </c>
      <c r="N93" s="40">
        <v>0</v>
      </c>
      <c r="O93" s="40">
        <f>L93/253*15</f>
        <v>1134.2916996047431</v>
      </c>
      <c r="P93" s="45"/>
      <c r="Q93" s="40">
        <f>O93</f>
        <v>1134.2916996047431</v>
      </c>
      <c r="R93" s="51" t="s">
        <v>809</v>
      </c>
    </row>
    <row r="94" spans="1:19" s="41" customFormat="1" ht="25.5" x14ac:dyDescent="0.25">
      <c r="A94" s="33"/>
      <c r="B94" s="34" t="s">
        <v>6</v>
      </c>
      <c r="C94" s="35">
        <v>19377412</v>
      </c>
      <c r="D94" s="34" t="s">
        <v>322</v>
      </c>
      <c r="E94" s="35">
        <v>71510005041</v>
      </c>
      <c r="F94" s="35" t="s">
        <v>29</v>
      </c>
      <c r="G94" s="35" t="s">
        <v>323</v>
      </c>
      <c r="H94" s="35">
        <v>19375420</v>
      </c>
      <c r="I94" s="34" t="s">
        <v>308</v>
      </c>
      <c r="J94" s="37">
        <v>44760</v>
      </c>
      <c r="K94" s="37">
        <v>44771</v>
      </c>
      <c r="L94" s="38">
        <v>39561.479999999996</v>
      </c>
      <c r="M94" s="38">
        <f t="shared" si="5"/>
        <v>3296.7899999999995</v>
      </c>
      <c r="N94" s="38">
        <v>2032.8</v>
      </c>
      <c r="O94" s="38">
        <f>(L94/253*10*2-1863.4)/2</f>
        <v>631.99486166007887</v>
      </c>
      <c r="P94" s="39">
        <f t="shared" ref="P94:P102" si="7">O94</f>
        <v>631.99486166007887</v>
      </c>
      <c r="Q94" s="73"/>
      <c r="R94" s="51" t="s">
        <v>808</v>
      </c>
      <c r="S94" s="33"/>
    </row>
    <row r="95" spans="1:19" s="41" customFormat="1" ht="25.5" x14ac:dyDescent="0.25">
      <c r="A95" s="33"/>
      <c r="B95" s="34" t="s">
        <v>6</v>
      </c>
      <c r="C95" s="35">
        <v>19275411</v>
      </c>
      <c r="D95" s="34" t="s">
        <v>324</v>
      </c>
      <c r="E95" s="35">
        <v>73610008983</v>
      </c>
      <c r="F95" s="35" t="s">
        <v>39</v>
      </c>
      <c r="G95" s="35" t="s">
        <v>325</v>
      </c>
      <c r="H95" s="35">
        <v>10000141</v>
      </c>
      <c r="I95" s="34" t="s">
        <v>326</v>
      </c>
      <c r="J95" s="37">
        <v>44743</v>
      </c>
      <c r="K95" s="37">
        <v>44760</v>
      </c>
      <c r="L95" s="38">
        <v>48689.399999999994</v>
      </c>
      <c r="M95" s="38">
        <f t="shared" si="5"/>
        <v>4057.4499999999994</v>
      </c>
      <c r="N95" s="38">
        <v>2694.28</v>
      </c>
      <c r="O95" s="38">
        <f>L95/253*12-946.2</f>
        <v>1363.1786561264819</v>
      </c>
      <c r="P95" s="39">
        <f t="shared" si="7"/>
        <v>1363.1786561264819</v>
      </c>
      <c r="Q95" s="73"/>
      <c r="R95" s="51" t="s">
        <v>808</v>
      </c>
      <c r="S95" s="33"/>
    </row>
    <row r="96" spans="1:19" s="41" customFormat="1" ht="15.75" x14ac:dyDescent="0.25">
      <c r="A96" s="33"/>
      <c r="B96" s="34" t="s">
        <v>6</v>
      </c>
      <c r="C96" s="35">
        <v>10000389</v>
      </c>
      <c r="D96" s="34" t="s">
        <v>327</v>
      </c>
      <c r="E96" s="35">
        <v>79770002888</v>
      </c>
      <c r="F96" s="35" t="s">
        <v>260</v>
      </c>
      <c r="G96" s="35" t="s">
        <v>328</v>
      </c>
      <c r="H96" s="35">
        <v>10000244</v>
      </c>
      <c r="I96" s="34" t="s">
        <v>329</v>
      </c>
      <c r="J96" s="37" t="s">
        <v>45</v>
      </c>
      <c r="K96" s="83" t="s">
        <v>46</v>
      </c>
      <c r="L96" s="38">
        <v>51335.88</v>
      </c>
      <c r="M96" s="38">
        <f t="shared" si="5"/>
        <v>4277.99</v>
      </c>
      <c r="N96" s="38">
        <v>0</v>
      </c>
      <c r="O96" s="38">
        <f>L96/253*10</f>
        <v>2029.0861660079051</v>
      </c>
      <c r="P96" s="39">
        <f t="shared" si="7"/>
        <v>2029.0861660079051</v>
      </c>
      <c r="Q96" s="73"/>
      <c r="R96" s="51"/>
      <c r="S96" s="33"/>
    </row>
    <row r="97" spans="1:19" s="41" customFormat="1" ht="15.75" x14ac:dyDescent="0.25">
      <c r="A97" s="33"/>
      <c r="B97" s="34" t="s">
        <v>6</v>
      </c>
      <c r="C97" s="1">
        <v>10001731</v>
      </c>
      <c r="D97" s="92" t="s">
        <v>330</v>
      </c>
      <c r="E97" s="1">
        <v>80230007021</v>
      </c>
      <c r="F97" s="35" t="s">
        <v>331</v>
      </c>
      <c r="G97" s="35" t="s">
        <v>332</v>
      </c>
      <c r="H97" s="1">
        <v>10064103</v>
      </c>
      <c r="I97" s="92" t="s">
        <v>333</v>
      </c>
      <c r="J97" s="37">
        <v>44743</v>
      </c>
      <c r="K97" s="37">
        <v>44771</v>
      </c>
      <c r="L97" s="38">
        <v>47161.32</v>
      </c>
      <c r="M97" s="38">
        <f t="shared" si="5"/>
        <v>3930.11</v>
      </c>
      <c r="N97" s="38">
        <v>0</v>
      </c>
      <c r="O97" s="38">
        <f>L97/253*21</f>
        <v>3914.5759683794467</v>
      </c>
      <c r="P97" s="39">
        <f t="shared" si="7"/>
        <v>3914.5759683794467</v>
      </c>
      <c r="Q97" s="73"/>
      <c r="R97" s="103"/>
      <c r="S97" s="33"/>
    </row>
    <row r="98" spans="1:19" s="41" customFormat="1" ht="15.75" x14ac:dyDescent="0.25">
      <c r="A98" s="33"/>
      <c r="B98" s="34" t="s">
        <v>6</v>
      </c>
      <c r="C98" s="35">
        <v>10001499</v>
      </c>
      <c r="D98" s="34" t="s">
        <v>334</v>
      </c>
      <c r="E98" s="35">
        <v>81150005111</v>
      </c>
      <c r="F98" s="35" t="s">
        <v>283</v>
      </c>
      <c r="G98" s="35" t="s">
        <v>335</v>
      </c>
      <c r="H98" s="35">
        <v>10077454</v>
      </c>
      <c r="I98" s="34" t="s">
        <v>336</v>
      </c>
      <c r="J98" s="37">
        <v>44746</v>
      </c>
      <c r="K98" s="37">
        <v>44757</v>
      </c>
      <c r="L98" s="38">
        <v>62826</v>
      </c>
      <c r="M98" s="38">
        <f t="shared" si="5"/>
        <v>5235.5</v>
      </c>
      <c r="N98" s="38">
        <v>0</v>
      </c>
      <c r="O98" s="38">
        <f>L98/253*10</f>
        <v>2483.2411067193675</v>
      </c>
      <c r="P98" s="39">
        <f t="shared" si="7"/>
        <v>2483.2411067193675</v>
      </c>
      <c r="Q98" s="73"/>
      <c r="R98" s="51"/>
      <c r="S98" s="33"/>
    </row>
    <row r="99" spans="1:19" s="41" customFormat="1" ht="15.75" x14ac:dyDescent="0.25">
      <c r="A99" s="33"/>
      <c r="B99" s="34" t="s">
        <v>6</v>
      </c>
      <c r="C99" s="1">
        <v>10075416</v>
      </c>
      <c r="D99" s="92" t="s">
        <v>337</v>
      </c>
      <c r="E99" s="35">
        <v>82870003619</v>
      </c>
      <c r="F99" s="35" t="s">
        <v>338</v>
      </c>
      <c r="G99" s="35" t="s">
        <v>339</v>
      </c>
      <c r="H99" s="1">
        <v>19175427</v>
      </c>
      <c r="I99" s="92" t="s">
        <v>340</v>
      </c>
      <c r="J99" s="37">
        <v>44748</v>
      </c>
      <c r="K99" s="37">
        <v>44757</v>
      </c>
      <c r="L99" s="38">
        <v>43922.520000000004</v>
      </c>
      <c r="M99" s="38">
        <f t="shared" si="5"/>
        <v>3660.2100000000005</v>
      </c>
      <c r="N99" s="38">
        <v>1388.85</v>
      </c>
      <c r="O99" s="38">
        <f>L99/253*8</f>
        <v>1388.8543873517788</v>
      </c>
      <c r="P99" s="39">
        <f t="shared" si="7"/>
        <v>1388.8543873517788</v>
      </c>
      <c r="Q99" s="73"/>
      <c r="R99" s="51"/>
      <c r="S99" s="33"/>
    </row>
    <row r="100" spans="1:19" s="41" customFormat="1" ht="15.75" x14ac:dyDescent="0.25">
      <c r="A100" s="33"/>
      <c r="B100" s="34" t="s">
        <v>6</v>
      </c>
      <c r="C100" s="1">
        <v>19575416</v>
      </c>
      <c r="D100" s="92" t="s">
        <v>341</v>
      </c>
      <c r="E100" s="1">
        <v>84550006719</v>
      </c>
      <c r="F100" s="35" t="s">
        <v>342</v>
      </c>
      <c r="G100" s="35" t="s">
        <v>343</v>
      </c>
      <c r="H100" s="1">
        <v>19575414</v>
      </c>
      <c r="I100" s="92" t="s">
        <v>304</v>
      </c>
      <c r="J100" s="37">
        <v>44753</v>
      </c>
      <c r="K100" s="37">
        <v>44764</v>
      </c>
      <c r="L100" s="38">
        <v>56634.600000000006</v>
      </c>
      <c r="M100" s="38">
        <f t="shared" si="5"/>
        <v>4719.55</v>
      </c>
      <c r="N100" s="38">
        <v>0</v>
      </c>
      <c r="O100" s="38">
        <f>L100/253*10</f>
        <v>2238.521739130435</v>
      </c>
      <c r="P100" s="39">
        <f t="shared" si="7"/>
        <v>2238.521739130435</v>
      </c>
      <c r="Q100" s="73"/>
      <c r="R100" s="51"/>
      <c r="S100" s="33"/>
    </row>
    <row r="101" spans="1:19" s="41" customFormat="1" ht="15.75" x14ac:dyDescent="0.25">
      <c r="A101" s="33"/>
      <c r="B101" s="34" t="s">
        <v>6</v>
      </c>
      <c r="C101" s="35">
        <v>801200012</v>
      </c>
      <c r="D101" s="34" t="s">
        <v>344</v>
      </c>
      <c r="E101" s="35">
        <v>85940004554</v>
      </c>
      <c r="F101" s="35" t="s">
        <v>192</v>
      </c>
      <c r="G101" s="35" t="s">
        <v>345</v>
      </c>
      <c r="H101" s="35">
        <v>801200011</v>
      </c>
      <c r="I101" s="34" t="s">
        <v>346</v>
      </c>
      <c r="J101" s="83" t="s">
        <v>118</v>
      </c>
      <c r="K101" s="83" t="s">
        <v>46</v>
      </c>
      <c r="L101" s="38">
        <v>34976.159999999996</v>
      </c>
      <c r="M101" s="38">
        <f t="shared" si="5"/>
        <v>2914.68</v>
      </c>
      <c r="N101" s="38">
        <v>0</v>
      </c>
      <c r="O101" s="38">
        <f>L101/253*15</f>
        <v>2073.6853754940707</v>
      </c>
      <c r="P101" s="39">
        <f t="shared" si="7"/>
        <v>2073.6853754940707</v>
      </c>
      <c r="Q101" s="73"/>
      <c r="R101" s="51"/>
      <c r="S101" s="33"/>
    </row>
    <row r="102" spans="1:19" s="41" customFormat="1" ht="15.75" x14ac:dyDescent="0.25">
      <c r="A102" s="33"/>
      <c r="B102" s="34" t="s">
        <v>6</v>
      </c>
      <c r="C102" s="35">
        <v>10001070</v>
      </c>
      <c r="D102" s="34" t="s">
        <v>347</v>
      </c>
      <c r="E102" s="35">
        <v>87740012349</v>
      </c>
      <c r="F102" s="35" t="s">
        <v>348</v>
      </c>
      <c r="G102" s="35" t="s">
        <v>349</v>
      </c>
      <c r="H102" s="35">
        <v>19475419</v>
      </c>
      <c r="I102" s="34" t="s">
        <v>350</v>
      </c>
      <c r="J102" s="37">
        <v>44746</v>
      </c>
      <c r="K102" s="37">
        <v>44771</v>
      </c>
      <c r="L102" s="38">
        <v>30290.52</v>
      </c>
      <c r="M102" s="38">
        <f t="shared" si="5"/>
        <v>2524.21</v>
      </c>
      <c r="N102" s="38">
        <v>0</v>
      </c>
      <c r="O102" s="38">
        <f>L102/253*10</f>
        <v>1197.2537549407114</v>
      </c>
      <c r="P102" s="39">
        <f t="shared" si="7"/>
        <v>1197.2537549407114</v>
      </c>
      <c r="Q102" s="73"/>
      <c r="R102" s="51"/>
      <c r="S102" s="33"/>
    </row>
    <row r="103" spans="1:19" s="41" customFormat="1" x14ac:dyDescent="0.25">
      <c r="A103" s="33"/>
      <c r="B103" s="98" t="s">
        <v>15</v>
      </c>
      <c r="C103" s="99"/>
      <c r="D103" s="98"/>
      <c r="E103" s="99"/>
      <c r="F103" s="99"/>
      <c r="G103" s="99"/>
      <c r="H103" s="99"/>
      <c r="I103" s="98"/>
      <c r="J103" s="100"/>
      <c r="K103" s="104"/>
      <c r="L103" s="101">
        <f t="shared" ref="L103:Q103" si="8">SUM(L55:L102)</f>
        <v>2100357.2699999996</v>
      </c>
      <c r="M103" s="101">
        <f t="shared" si="8"/>
        <v>175029.77249999993</v>
      </c>
      <c r="N103" s="101">
        <f t="shared" si="8"/>
        <v>31808.589960474306</v>
      </c>
      <c r="O103" s="101">
        <f t="shared" si="8"/>
        <v>72974.488774703554</v>
      </c>
      <c r="P103" s="101">
        <f t="shared" si="8"/>
        <v>68891.498260869572</v>
      </c>
      <c r="Q103" s="101">
        <f t="shared" si="8"/>
        <v>4082.9905138339918</v>
      </c>
      <c r="R103" s="105"/>
      <c r="S103" s="33"/>
    </row>
    <row r="104" spans="1:19" s="41" customFormat="1" ht="25.5" x14ac:dyDescent="0.25">
      <c r="A104" s="33"/>
      <c r="B104" s="34" t="s">
        <v>9</v>
      </c>
      <c r="C104" s="35">
        <v>360200010</v>
      </c>
      <c r="D104" s="34" t="s">
        <v>351</v>
      </c>
      <c r="E104" s="35">
        <v>12440011122</v>
      </c>
      <c r="F104" s="35" t="s">
        <v>352</v>
      </c>
      <c r="G104" s="35" t="s">
        <v>353</v>
      </c>
      <c r="H104" s="35">
        <v>360200065</v>
      </c>
      <c r="I104" s="34" t="s">
        <v>354</v>
      </c>
      <c r="J104" s="37">
        <v>44753</v>
      </c>
      <c r="K104" s="37">
        <v>44771</v>
      </c>
      <c r="L104" s="38">
        <v>58909.799999999996</v>
      </c>
      <c r="M104" s="38">
        <f>L104/12</f>
        <v>4909.1499999999996</v>
      </c>
      <c r="N104" s="38">
        <v>1629.9154150197628</v>
      </c>
      <c r="O104" s="38">
        <f>ROUND(L104/253*15,2)-213.45</f>
        <v>3279.23</v>
      </c>
      <c r="P104" s="39">
        <f>O104</f>
        <v>3279.23</v>
      </c>
      <c r="Q104" s="73"/>
      <c r="R104" s="51" t="s">
        <v>808</v>
      </c>
      <c r="S104" s="33"/>
    </row>
    <row r="105" spans="1:19" s="41" customFormat="1" ht="15.75" x14ac:dyDescent="0.25">
      <c r="A105" s="33"/>
      <c r="B105" s="34" t="s">
        <v>9</v>
      </c>
      <c r="C105" s="35">
        <v>941600015</v>
      </c>
      <c r="D105" s="34" t="s">
        <v>355</v>
      </c>
      <c r="E105" s="35">
        <v>34920005413</v>
      </c>
      <c r="F105" s="35" t="s">
        <v>247</v>
      </c>
      <c r="G105" s="35" t="s">
        <v>356</v>
      </c>
      <c r="H105" s="35">
        <v>941600018</v>
      </c>
      <c r="I105" s="34" t="s">
        <v>357</v>
      </c>
      <c r="J105" s="37">
        <v>44746</v>
      </c>
      <c r="K105" s="37">
        <v>44771</v>
      </c>
      <c r="L105" s="38">
        <v>49422.240000000005</v>
      </c>
      <c r="M105" s="38">
        <f>L105/12</f>
        <v>4118.5200000000004</v>
      </c>
      <c r="N105" s="38">
        <v>0</v>
      </c>
      <c r="O105" s="38">
        <f>L105/253*20</f>
        <v>3906.8964426877478</v>
      </c>
      <c r="P105" s="39">
        <f>O105</f>
        <v>3906.8964426877478</v>
      </c>
      <c r="Q105" s="73"/>
      <c r="R105" s="51"/>
      <c r="S105" s="33"/>
    </row>
    <row r="106" spans="1:19" s="41" customFormat="1" ht="15.75" x14ac:dyDescent="0.25">
      <c r="A106" s="33"/>
      <c r="B106" s="84" t="s">
        <v>9</v>
      </c>
      <c r="C106" s="35">
        <v>250000108</v>
      </c>
      <c r="D106" s="84" t="s">
        <v>358</v>
      </c>
      <c r="E106" s="35">
        <v>34470037479</v>
      </c>
      <c r="F106" s="35" t="s">
        <v>115</v>
      </c>
      <c r="G106" s="35" t="s">
        <v>314</v>
      </c>
      <c r="H106" s="35">
        <v>250000104</v>
      </c>
      <c r="I106" s="34" t="s">
        <v>359</v>
      </c>
      <c r="J106" s="37">
        <v>44743</v>
      </c>
      <c r="K106" s="37">
        <v>44760</v>
      </c>
      <c r="L106" s="38">
        <v>52163.759999999995</v>
      </c>
      <c r="M106" s="38">
        <f>L106/12</f>
        <v>4346.9799999999996</v>
      </c>
      <c r="N106" s="38">
        <v>0</v>
      </c>
      <c r="O106" s="38">
        <f>L106/253*12</f>
        <v>2474.1704347826085</v>
      </c>
      <c r="P106" s="39">
        <f>O106</f>
        <v>2474.1704347826085</v>
      </c>
      <c r="Q106" s="73"/>
      <c r="R106" s="51"/>
      <c r="S106" s="33"/>
    </row>
    <row r="107" spans="1:19" s="41" customFormat="1" ht="15.75" x14ac:dyDescent="0.25">
      <c r="A107" s="33"/>
      <c r="B107" s="34" t="s">
        <v>9</v>
      </c>
      <c r="C107" s="35">
        <v>500200028</v>
      </c>
      <c r="D107" s="34" t="s">
        <v>360</v>
      </c>
      <c r="E107" s="35">
        <v>98040011244</v>
      </c>
      <c r="F107" s="35" t="s">
        <v>361</v>
      </c>
      <c r="G107" s="35" t="s">
        <v>362</v>
      </c>
      <c r="H107" s="35">
        <v>500200039</v>
      </c>
      <c r="I107" s="34" t="s">
        <v>363</v>
      </c>
      <c r="J107" s="37">
        <v>44760</v>
      </c>
      <c r="K107" s="37">
        <v>44764</v>
      </c>
      <c r="L107" s="38">
        <v>49810.080000000002</v>
      </c>
      <c r="M107" s="38">
        <f>L107/12</f>
        <v>4150.84</v>
      </c>
      <c r="N107" s="38">
        <v>0</v>
      </c>
      <c r="O107" s="38">
        <f>L107/253*5</f>
        <v>984.38893280632419</v>
      </c>
      <c r="P107" s="39">
        <f>O107</f>
        <v>984.38893280632419</v>
      </c>
      <c r="Q107" s="73"/>
      <c r="R107" s="51"/>
      <c r="S107" s="33"/>
    </row>
    <row r="108" spans="1:19" s="41" customFormat="1" x14ac:dyDescent="0.25">
      <c r="A108" s="33"/>
      <c r="B108" s="98" t="s">
        <v>16</v>
      </c>
      <c r="C108" s="99"/>
      <c r="D108" s="98"/>
      <c r="E108" s="99"/>
      <c r="F108" s="99"/>
      <c r="G108" s="99"/>
      <c r="H108" s="99"/>
      <c r="I108" s="98"/>
      <c r="J108" s="100"/>
      <c r="K108" s="100"/>
      <c r="L108" s="101">
        <f>SUM(L104:L107)</f>
        <v>210305.88</v>
      </c>
      <c r="M108" s="101">
        <f t="shared" ref="M108:Q108" si="9">SUM(M104:M107)</f>
        <v>17525.489999999998</v>
      </c>
      <c r="N108" s="101">
        <f t="shared" si="9"/>
        <v>1629.9154150197628</v>
      </c>
      <c r="O108" s="101">
        <f t="shared" si="9"/>
        <v>10644.685810276682</v>
      </c>
      <c r="P108" s="101">
        <f t="shared" si="9"/>
        <v>10644.685810276682</v>
      </c>
      <c r="Q108" s="101">
        <f t="shared" si="9"/>
        <v>0</v>
      </c>
      <c r="R108" s="105"/>
      <c r="S108" s="33"/>
    </row>
    <row r="109" spans="1:19" s="41" customFormat="1" ht="15.75" x14ac:dyDescent="0.25">
      <c r="A109" s="33"/>
      <c r="B109" s="84" t="s">
        <v>10</v>
      </c>
      <c r="C109" s="35">
        <v>320200008</v>
      </c>
      <c r="D109" s="34" t="s">
        <v>364</v>
      </c>
      <c r="E109" s="35">
        <v>10430006304</v>
      </c>
      <c r="F109" s="35" t="s">
        <v>365</v>
      </c>
      <c r="G109" s="35" t="s">
        <v>366</v>
      </c>
      <c r="H109" s="35">
        <v>320200007</v>
      </c>
      <c r="I109" s="84" t="s">
        <v>367</v>
      </c>
      <c r="J109" s="37">
        <v>44746</v>
      </c>
      <c r="K109" s="37">
        <v>44757</v>
      </c>
      <c r="L109" s="38">
        <v>54689.16</v>
      </c>
      <c r="M109" s="38">
        <f>L109/12</f>
        <v>4557.43</v>
      </c>
      <c r="N109" s="38">
        <v>0</v>
      </c>
      <c r="O109" s="38">
        <f>L109/253*10</f>
        <v>2161.6268774703558</v>
      </c>
      <c r="P109" s="39">
        <f t="shared" ref="P109:P126" si="10">O109</f>
        <v>2161.6268774703558</v>
      </c>
      <c r="Q109" s="73"/>
      <c r="R109" s="51"/>
      <c r="S109" s="33"/>
    </row>
    <row r="110" spans="1:19" s="41" customFormat="1" ht="30" x14ac:dyDescent="0.25">
      <c r="A110" s="33"/>
      <c r="B110" s="34" t="s">
        <v>10</v>
      </c>
      <c r="C110" s="35">
        <v>90075416</v>
      </c>
      <c r="D110" s="34" t="s">
        <v>368</v>
      </c>
      <c r="E110" s="35">
        <v>10530000982</v>
      </c>
      <c r="F110" s="35" t="s">
        <v>369</v>
      </c>
      <c r="G110" s="35" t="s">
        <v>370</v>
      </c>
      <c r="H110" s="35">
        <v>90000021</v>
      </c>
      <c r="I110" s="84" t="s">
        <v>371</v>
      </c>
      <c r="J110" s="37" t="s">
        <v>372</v>
      </c>
      <c r="K110" s="37" t="s">
        <v>373</v>
      </c>
      <c r="L110" s="38">
        <v>56644.08</v>
      </c>
      <c r="M110" s="38">
        <f>L110/12</f>
        <v>4720.34</v>
      </c>
      <c r="N110" s="38">
        <v>0</v>
      </c>
      <c r="O110" s="38">
        <f>L110/253*15</f>
        <v>3358.3446640316206</v>
      </c>
      <c r="P110" s="39">
        <f t="shared" si="10"/>
        <v>3358.3446640316206</v>
      </c>
      <c r="Q110" s="73"/>
      <c r="R110" s="51" t="s">
        <v>823</v>
      </c>
      <c r="S110" s="33"/>
    </row>
    <row r="111" spans="1:19" s="41" customFormat="1" ht="15.75" x14ac:dyDescent="0.25">
      <c r="A111" s="33"/>
      <c r="B111" s="84" t="s">
        <v>10</v>
      </c>
      <c r="C111" s="35">
        <v>741400002</v>
      </c>
      <c r="D111" s="34" t="s">
        <v>374</v>
      </c>
      <c r="E111" s="35">
        <v>10580007426</v>
      </c>
      <c r="F111" s="86" t="s">
        <v>375</v>
      </c>
      <c r="G111" s="86" t="s">
        <v>376</v>
      </c>
      <c r="H111" s="86">
        <v>741400028</v>
      </c>
      <c r="I111" s="91" t="s">
        <v>377</v>
      </c>
      <c r="J111" s="93">
        <v>44753</v>
      </c>
      <c r="K111" s="93">
        <v>44764</v>
      </c>
      <c r="L111" s="219">
        <v>52530.12</v>
      </c>
      <c r="M111" s="219">
        <f t="shared" ref="M111:M126" si="11">L111/12</f>
        <v>4377.51</v>
      </c>
      <c r="N111" s="219">
        <v>0</v>
      </c>
      <c r="O111" s="89">
        <f>L111/253*10</f>
        <v>2076.2893280632411</v>
      </c>
      <c r="P111" s="90">
        <f t="shared" si="10"/>
        <v>2076.2893280632411</v>
      </c>
      <c r="Q111" s="73"/>
      <c r="R111" s="51"/>
      <c r="S111" s="33"/>
    </row>
    <row r="112" spans="1:19" s="41" customFormat="1" ht="15.75" x14ac:dyDescent="0.25">
      <c r="A112" s="33"/>
      <c r="B112" s="84" t="s">
        <v>10</v>
      </c>
      <c r="C112" s="35">
        <v>741400002</v>
      </c>
      <c r="D112" s="34" t="s">
        <v>374</v>
      </c>
      <c r="E112" s="35">
        <v>10580007426</v>
      </c>
      <c r="F112" s="86" t="s">
        <v>375</v>
      </c>
      <c r="G112" s="86" t="s">
        <v>376</v>
      </c>
      <c r="H112" s="86">
        <v>741400010</v>
      </c>
      <c r="I112" s="91" t="s">
        <v>378</v>
      </c>
      <c r="J112" s="93">
        <v>44767</v>
      </c>
      <c r="K112" s="93">
        <v>44773</v>
      </c>
      <c r="L112" s="220"/>
      <c r="M112" s="220"/>
      <c r="N112" s="220"/>
      <c r="O112" s="89">
        <f>L111/253*5</f>
        <v>1038.1446640316206</v>
      </c>
      <c r="P112" s="90">
        <f t="shared" si="10"/>
        <v>1038.1446640316206</v>
      </c>
      <c r="Q112" s="73"/>
      <c r="R112" s="51"/>
      <c r="S112" s="33"/>
    </row>
    <row r="113" spans="1:19" s="41" customFormat="1" ht="15.75" x14ac:dyDescent="0.25">
      <c r="A113" s="33"/>
      <c r="B113" s="34" t="s">
        <v>10</v>
      </c>
      <c r="C113" s="35">
        <v>110000007</v>
      </c>
      <c r="D113" s="34" t="s">
        <v>379</v>
      </c>
      <c r="E113" s="35">
        <v>17320001485</v>
      </c>
      <c r="F113" s="86" t="s">
        <v>181</v>
      </c>
      <c r="G113" s="86" t="s">
        <v>380</v>
      </c>
      <c r="H113" s="86">
        <v>110000004</v>
      </c>
      <c r="I113" s="87" t="s">
        <v>381</v>
      </c>
      <c r="J113" s="93">
        <v>44746</v>
      </c>
      <c r="K113" s="93">
        <v>44771</v>
      </c>
      <c r="L113" s="89">
        <v>54008.160000000003</v>
      </c>
      <c r="M113" s="89">
        <f t="shared" si="11"/>
        <v>4500.68</v>
      </c>
      <c r="N113" s="89">
        <v>0</v>
      </c>
      <c r="O113" s="89">
        <f>L113/253*20</f>
        <v>4269.4197628458496</v>
      </c>
      <c r="P113" s="90">
        <f t="shared" si="10"/>
        <v>4269.4197628458496</v>
      </c>
      <c r="Q113" s="73"/>
      <c r="R113" s="51"/>
      <c r="S113" s="33"/>
    </row>
    <row r="114" spans="1:19" s="41" customFormat="1" ht="15.75" x14ac:dyDescent="0.25">
      <c r="A114" s="33"/>
      <c r="B114" s="34" t="s">
        <v>10</v>
      </c>
      <c r="C114" s="35">
        <v>460200049</v>
      </c>
      <c r="D114" s="34" t="s">
        <v>382</v>
      </c>
      <c r="E114" s="35">
        <v>19490006691</v>
      </c>
      <c r="F114" s="86" t="s">
        <v>352</v>
      </c>
      <c r="G114" s="86" t="s">
        <v>264</v>
      </c>
      <c r="H114" s="86">
        <v>460200048</v>
      </c>
      <c r="I114" s="87" t="s">
        <v>383</v>
      </c>
      <c r="J114" s="93">
        <v>44746</v>
      </c>
      <c r="K114" s="93">
        <v>44773</v>
      </c>
      <c r="L114" s="89">
        <v>46333.2</v>
      </c>
      <c r="M114" s="89">
        <f t="shared" si="11"/>
        <v>3861.1</v>
      </c>
      <c r="N114" s="89">
        <v>0</v>
      </c>
      <c r="O114" s="89">
        <f>L114/253*20</f>
        <v>3662.7035573122525</v>
      </c>
      <c r="P114" s="90">
        <f t="shared" si="10"/>
        <v>3662.7035573122525</v>
      </c>
      <c r="Q114" s="73"/>
      <c r="R114" s="51"/>
      <c r="S114" s="33"/>
    </row>
    <row r="115" spans="1:19" s="41" customFormat="1" ht="15.75" x14ac:dyDescent="0.25">
      <c r="A115" s="33"/>
      <c r="B115" s="34" t="s">
        <v>10</v>
      </c>
      <c r="C115" s="35">
        <v>400200010</v>
      </c>
      <c r="D115" s="34" t="s">
        <v>384</v>
      </c>
      <c r="E115" s="35">
        <v>26710000157</v>
      </c>
      <c r="F115" s="86" t="s">
        <v>240</v>
      </c>
      <c r="G115" s="86" t="s">
        <v>385</v>
      </c>
      <c r="H115" s="86">
        <v>400200013</v>
      </c>
      <c r="I115" s="87" t="s">
        <v>386</v>
      </c>
      <c r="J115" s="93">
        <v>44753</v>
      </c>
      <c r="K115" s="93">
        <v>44766</v>
      </c>
      <c r="L115" s="89">
        <v>59019.360000000001</v>
      </c>
      <c r="M115" s="89">
        <f t="shared" si="11"/>
        <v>4918.28</v>
      </c>
      <c r="N115" s="89">
        <v>0</v>
      </c>
      <c r="O115" s="89">
        <f>L115/253*10</f>
        <v>2332.7810276679843</v>
      </c>
      <c r="P115" s="90">
        <f t="shared" si="10"/>
        <v>2332.7810276679843</v>
      </c>
      <c r="Q115" s="73"/>
      <c r="R115" s="51"/>
      <c r="S115" s="33"/>
    </row>
    <row r="116" spans="1:19" s="41" customFormat="1" ht="15.75" x14ac:dyDescent="0.25">
      <c r="A116" s="33"/>
      <c r="B116" s="34" t="s">
        <v>10</v>
      </c>
      <c r="C116" s="1">
        <v>110000006</v>
      </c>
      <c r="D116" s="92" t="s">
        <v>387</v>
      </c>
      <c r="E116" s="1">
        <v>27830010948</v>
      </c>
      <c r="F116" s="97" t="s">
        <v>388</v>
      </c>
      <c r="G116" s="97" t="s">
        <v>389</v>
      </c>
      <c r="H116" s="86">
        <v>110000001</v>
      </c>
      <c r="I116" s="87" t="s">
        <v>390</v>
      </c>
      <c r="J116" s="93">
        <v>44746</v>
      </c>
      <c r="K116" s="93">
        <v>44757</v>
      </c>
      <c r="L116" s="89">
        <v>41110.199999999997</v>
      </c>
      <c r="M116" s="89">
        <f t="shared" si="11"/>
        <v>3425.85</v>
      </c>
      <c r="N116" s="89">
        <v>0</v>
      </c>
      <c r="O116" s="89">
        <f>L116/253*10</f>
        <v>1624.9090909090908</v>
      </c>
      <c r="P116" s="90">
        <f t="shared" si="10"/>
        <v>1624.9090909090908</v>
      </c>
      <c r="Q116" s="73"/>
      <c r="R116" s="51"/>
      <c r="S116" s="33"/>
    </row>
    <row r="117" spans="1:19" s="41" customFormat="1" ht="15.75" x14ac:dyDescent="0.25">
      <c r="A117" s="33"/>
      <c r="B117" s="84" t="s">
        <v>10</v>
      </c>
      <c r="C117" s="35">
        <v>741400010</v>
      </c>
      <c r="D117" s="34" t="s">
        <v>378</v>
      </c>
      <c r="E117" s="35">
        <v>28880008366</v>
      </c>
      <c r="F117" s="86" t="s">
        <v>391</v>
      </c>
      <c r="G117" s="86" t="s">
        <v>392</v>
      </c>
      <c r="H117" s="86">
        <v>741400002</v>
      </c>
      <c r="I117" s="91" t="s">
        <v>374</v>
      </c>
      <c r="J117" s="93">
        <v>44743</v>
      </c>
      <c r="K117" s="93">
        <v>44750</v>
      </c>
      <c r="L117" s="219">
        <v>22091.64</v>
      </c>
      <c r="M117" s="219">
        <f t="shared" si="11"/>
        <v>1840.97</v>
      </c>
      <c r="N117" s="219">
        <v>349.27</v>
      </c>
      <c r="O117" s="89">
        <f>L117/253*6</f>
        <v>523.9124110671936</v>
      </c>
      <c r="P117" s="90">
        <f t="shared" si="10"/>
        <v>523.9124110671936</v>
      </c>
      <c r="Q117" s="73"/>
      <c r="R117" s="51"/>
      <c r="S117" s="33"/>
    </row>
    <row r="118" spans="1:19" s="41" customFormat="1" ht="15.75" x14ac:dyDescent="0.25">
      <c r="A118" s="33"/>
      <c r="B118" s="84" t="s">
        <v>10</v>
      </c>
      <c r="C118" s="35">
        <v>741400010</v>
      </c>
      <c r="D118" s="34" t="s">
        <v>378</v>
      </c>
      <c r="E118" s="35">
        <v>28880008366</v>
      </c>
      <c r="F118" s="86" t="s">
        <v>391</v>
      </c>
      <c r="G118" s="86" t="s">
        <v>392</v>
      </c>
      <c r="H118" s="86">
        <v>741400028</v>
      </c>
      <c r="I118" s="91" t="s">
        <v>377</v>
      </c>
      <c r="J118" s="93">
        <v>44753</v>
      </c>
      <c r="K118" s="93">
        <v>44764</v>
      </c>
      <c r="L118" s="220"/>
      <c r="M118" s="220"/>
      <c r="N118" s="220"/>
      <c r="O118" s="89">
        <f>L117/253*10</f>
        <v>873.18735177865608</v>
      </c>
      <c r="P118" s="90">
        <f t="shared" si="10"/>
        <v>873.18735177865608</v>
      </c>
      <c r="Q118" s="73"/>
      <c r="R118" s="51"/>
      <c r="S118" s="33"/>
    </row>
    <row r="119" spans="1:19" s="41" customFormat="1" ht="15.75" x14ac:dyDescent="0.25">
      <c r="A119" s="33"/>
      <c r="B119" s="34" t="s">
        <v>10</v>
      </c>
      <c r="C119" s="35">
        <v>110000059</v>
      </c>
      <c r="D119" s="34" t="s">
        <v>393</v>
      </c>
      <c r="E119" s="35">
        <v>33590001587</v>
      </c>
      <c r="F119" s="86" t="s">
        <v>279</v>
      </c>
      <c r="G119" s="86" t="s">
        <v>394</v>
      </c>
      <c r="H119" s="86">
        <v>110000022</v>
      </c>
      <c r="I119" s="87" t="s">
        <v>395</v>
      </c>
      <c r="J119" s="93">
        <v>44760</v>
      </c>
      <c r="K119" s="93">
        <v>44764</v>
      </c>
      <c r="L119" s="89">
        <v>47038.080000000002</v>
      </c>
      <c r="M119" s="89">
        <f t="shared" si="11"/>
        <v>3919.84</v>
      </c>
      <c r="N119" s="89">
        <v>0</v>
      </c>
      <c r="O119" s="89">
        <f>L119/253*5</f>
        <v>929.60632411067195</v>
      </c>
      <c r="P119" s="90">
        <f t="shared" si="10"/>
        <v>929.60632411067195</v>
      </c>
      <c r="Q119" s="73"/>
      <c r="R119" s="51"/>
      <c r="S119" s="33"/>
    </row>
    <row r="120" spans="1:19" s="41" customFormat="1" ht="15.75" x14ac:dyDescent="0.25">
      <c r="A120" s="33"/>
      <c r="B120" s="34" t="s">
        <v>10</v>
      </c>
      <c r="C120" s="35">
        <v>90000004</v>
      </c>
      <c r="D120" s="34" t="s">
        <v>396</v>
      </c>
      <c r="E120" s="35">
        <v>35330008180</v>
      </c>
      <c r="F120" s="86" t="s">
        <v>276</v>
      </c>
      <c r="G120" s="86" t="s">
        <v>397</v>
      </c>
      <c r="H120" s="86">
        <v>90075404</v>
      </c>
      <c r="I120" s="87" t="s">
        <v>398</v>
      </c>
      <c r="J120" s="93">
        <v>44743</v>
      </c>
      <c r="K120" s="93">
        <v>44764</v>
      </c>
      <c r="L120" s="89">
        <v>54163.44</v>
      </c>
      <c r="M120" s="89">
        <f t="shared" si="11"/>
        <v>4513.62</v>
      </c>
      <c r="N120" s="89">
        <v>0</v>
      </c>
      <c r="O120" s="89">
        <f>L120/253*16</f>
        <v>3425.3558893280633</v>
      </c>
      <c r="P120" s="90">
        <f t="shared" si="10"/>
        <v>3425.3558893280633</v>
      </c>
      <c r="Q120" s="73"/>
      <c r="R120" s="51"/>
      <c r="S120" s="33"/>
    </row>
    <row r="121" spans="1:19" s="41" customFormat="1" ht="15.75" x14ac:dyDescent="0.25">
      <c r="A121" s="33"/>
      <c r="B121" s="34" t="s">
        <v>10</v>
      </c>
      <c r="C121" s="1">
        <v>110000001</v>
      </c>
      <c r="D121" s="92" t="s">
        <v>390</v>
      </c>
      <c r="E121" s="1">
        <v>37460002245</v>
      </c>
      <c r="F121" s="97" t="s">
        <v>399</v>
      </c>
      <c r="G121" s="97" t="s">
        <v>400</v>
      </c>
      <c r="H121" s="86">
        <v>110000006</v>
      </c>
      <c r="I121" s="87" t="s">
        <v>387</v>
      </c>
      <c r="J121" s="93">
        <v>44760</v>
      </c>
      <c r="K121" s="93">
        <v>44773</v>
      </c>
      <c r="L121" s="89">
        <v>44281.08</v>
      </c>
      <c r="M121" s="89">
        <f t="shared" si="11"/>
        <v>3690.09</v>
      </c>
      <c r="N121" s="89">
        <v>0</v>
      </c>
      <c r="O121" s="89">
        <f>L121/253*10</f>
        <v>1750.2403162055336</v>
      </c>
      <c r="P121" s="90">
        <f t="shared" si="10"/>
        <v>1750.2403162055336</v>
      </c>
      <c r="Q121" s="73"/>
      <c r="R121" s="51"/>
      <c r="S121" s="33"/>
    </row>
    <row r="122" spans="1:19" s="41" customFormat="1" ht="15.75" x14ac:dyDescent="0.25">
      <c r="A122" s="33"/>
      <c r="B122" s="34" t="s">
        <v>10</v>
      </c>
      <c r="C122" s="35">
        <v>460200010</v>
      </c>
      <c r="D122" s="34" t="s">
        <v>401</v>
      </c>
      <c r="E122" s="35">
        <v>45810000774</v>
      </c>
      <c r="F122" s="86" t="s">
        <v>399</v>
      </c>
      <c r="G122" s="86" t="s">
        <v>402</v>
      </c>
      <c r="H122" s="86">
        <v>460200011</v>
      </c>
      <c r="I122" s="87" t="s">
        <v>403</v>
      </c>
      <c r="J122" s="93">
        <v>44767</v>
      </c>
      <c r="K122" s="93">
        <v>44773</v>
      </c>
      <c r="L122" s="89">
        <v>47879.28</v>
      </c>
      <c r="M122" s="89">
        <f t="shared" si="11"/>
        <v>3989.94</v>
      </c>
      <c r="N122" s="89">
        <v>0</v>
      </c>
      <c r="O122" s="89">
        <f>L122/253*5</f>
        <v>946.2308300395257</v>
      </c>
      <c r="P122" s="90">
        <f t="shared" si="10"/>
        <v>946.2308300395257</v>
      </c>
      <c r="Q122" s="73"/>
      <c r="R122" s="51"/>
      <c r="S122" s="33"/>
    </row>
    <row r="123" spans="1:19" s="41" customFormat="1" ht="15.75" x14ac:dyDescent="0.25">
      <c r="A123" s="33"/>
      <c r="B123" s="84" t="s">
        <v>10</v>
      </c>
      <c r="C123" s="35">
        <v>320200007</v>
      </c>
      <c r="D123" s="34" t="s">
        <v>367</v>
      </c>
      <c r="E123" s="35">
        <v>58010009852</v>
      </c>
      <c r="F123" s="86" t="s">
        <v>404</v>
      </c>
      <c r="G123" s="86" t="s">
        <v>405</v>
      </c>
      <c r="H123" s="86">
        <v>320200008</v>
      </c>
      <c r="I123" s="91" t="s">
        <v>364</v>
      </c>
      <c r="J123" s="93">
        <v>44760</v>
      </c>
      <c r="K123" s="93">
        <v>44771</v>
      </c>
      <c r="L123" s="89">
        <v>55034.520000000004</v>
      </c>
      <c r="M123" s="89">
        <f t="shared" si="11"/>
        <v>4586.21</v>
      </c>
      <c r="N123" s="89">
        <v>0</v>
      </c>
      <c r="O123" s="89">
        <f>L123/253*10</f>
        <v>2175.2774703557311</v>
      </c>
      <c r="P123" s="90">
        <f t="shared" si="10"/>
        <v>2175.2774703557311</v>
      </c>
      <c r="Q123" s="73"/>
      <c r="R123" s="51"/>
      <c r="S123" s="33"/>
    </row>
    <row r="124" spans="1:19" s="41" customFormat="1" ht="15.75" x14ac:dyDescent="0.25">
      <c r="A124" s="33"/>
      <c r="B124" s="34" t="s">
        <v>10</v>
      </c>
      <c r="C124" s="35">
        <v>320200005</v>
      </c>
      <c r="D124" s="34" t="s">
        <v>406</v>
      </c>
      <c r="E124" s="35">
        <v>70240005233</v>
      </c>
      <c r="F124" s="35" t="s">
        <v>164</v>
      </c>
      <c r="G124" s="35" t="s">
        <v>407</v>
      </c>
      <c r="H124" s="35">
        <v>320200006</v>
      </c>
      <c r="I124" s="34" t="s">
        <v>408</v>
      </c>
      <c r="J124" s="37">
        <v>44767</v>
      </c>
      <c r="K124" s="37">
        <v>44773</v>
      </c>
      <c r="L124" s="38">
        <v>59926.799999999996</v>
      </c>
      <c r="M124" s="38">
        <f t="shared" si="11"/>
        <v>4993.8999999999996</v>
      </c>
      <c r="N124" s="38">
        <v>0</v>
      </c>
      <c r="O124" s="38">
        <f>L124/253*5</f>
        <v>1184.3241106719368</v>
      </c>
      <c r="P124" s="39">
        <f t="shared" si="10"/>
        <v>1184.3241106719368</v>
      </c>
      <c r="Q124" s="73"/>
      <c r="R124" s="51"/>
      <c r="S124" s="33"/>
    </row>
    <row r="125" spans="1:19" s="41" customFormat="1" ht="15.75" x14ac:dyDescent="0.25">
      <c r="A125" s="33"/>
      <c r="B125" s="34" t="s">
        <v>10</v>
      </c>
      <c r="C125" s="35">
        <v>90000006</v>
      </c>
      <c r="D125" s="34" t="s">
        <v>409</v>
      </c>
      <c r="E125" s="35">
        <v>88320010903</v>
      </c>
      <c r="F125" s="35" t="s">
        <v>410</v>
      </c>
      <c r="G125" s="35" t="s">
        <v>411</v>
      </c>
      <c r="H125" s="35">
        <v>90000108</v>
      </c>
      <c r="I125" s="34" t="s">
        <v>412</v>
      </c>
      <c r="J125" s="37">
        <v>44753</v>
      </c>
      <c r="K125" s="37">
        <v>44766</v>
      </c>
      <c r="L125" s="38">
        <v>46708.56</v>
      </c>
      <c r="M125" s="38">
        <f t="shared" si="11"/>
        <v>3892.3799999999997</v>
      </c>
      <c r="N125" s="38">
        <v>0</v>
      </c>
      <c r="O125" s="38">
        <f>L125/253*10</f>
        <v>1846.1881422924901</v>
      </c>
      <c r="P125" s="39">
        <f t="shared" si="10"/>
        <v>1846.1881422924901</v>
      </c>
      <c r="Q125" s="73"/>
      <c r="R125" s="51"/>
      <c r="S125" s="33"/>
    </row>
    <row r="126" spans="1:19" s="41" customFormat="1" ht="15.75" x14ac:dyDescent="0.25">
      <c r="A126" s="33"/>
      <c r="B126" s="34" t="s">
        <v>10</v>
      </c>
      <c r="C126" s="35">
        <v>110000021</v>
      </c>
      <c r="D126" s="34" t="s">
        <v>413</v>
      </c>
      <c r="E126" s="35">
        <v>99420004756</v>
      </c>
      <c r="F126" s="35" t="s">
        <v>331</v>
      </c>
      <c r="G126" s="35" t="s">
        <v>414</v>
      </c>
      <c r="H126" s="35">
        <v>110000022</v>
      </c>
      <c r="I126" s="34" t="s">
        <v>395</v>
      </c>
      <c r="J126" s="37">
        <v>44743</v>
      </c>
      <c r="K126" s="37">
        <v>44764</v>
      </c>
      <c r="L126" s="38">
        <v>32582.28</v>
      </c>
      <c r="M126" s="38">
        <f t="shared" si="11"/>
        <v>2715.19</v>
      </c>
      <c r="N126" s="38">
        <v>515.13</v>
      </c>
      <c r="O126" s="38">
        <f>L126/253*16</f>
        <v>2060.5394466403163</v>
      </c>
      <c r="P126" s="39">
        <f t="shared" si="10"/>
        <v>2060.5394466403163</v>
      </c>
      <c r="Q126" s="73"/>
      <c r="R126" s="51"/>
      <c r="S126" s="33"/>
    </row>
    <row r="127" spans="1:19" s="41" customFormat="1" x14ac:dyDescent="0.25">
      <c r="A127" s="33"/>
      <c r="B127" s="106" t="s">
        <v>17</v>
      </c>
      <c r="C127" s="107"/>
      <c r="D127" s="108"/>
      <c r="E127" s="107"/>
      <c r="F127" s="107"/>
      <c r="G127" s="109"/>
      <c r="H127" s="107"/>
      <c r="I127" s="108"/>
      <c r="J127" s="109"/>
      <c r="K127" s="109"/>
      <c r="L127" s="110">
        <f>SUM(L109:L126)</f>
        <v>774039.9600000002</v>
      </c>
      <c r="M127" s="110">
        <f>SUM(M109:M126)</f>
        <v>64503.330000000009</v>
      </c>
      <c r="N127" s="101">
        <f t="shared" ref="N127:Q127" si="12">SUM(N109:N126)</f>
        <v>864.4</v>
      </c>
      <c r="O127" s="101">
        <f t="shared" si="12"/>
        <v>36239.08126482214</v>
      </c>
      <c r="P127" s="101">
        <f t="shared" si="12"/>
        <v>36239.08126482214</v>
      </c>
      <c r="Q127" s="101">
        <f t="shared" si="12"/>
        <v>0</v>
      </c>
      <c r="R127" s="111"/>
      <c r="S127" s="33"/>
    </row>
    <row r="128" spans="1:19" x14ac:dyDescent="0.25">
      <c r="A128" s="57"/>
      <c r="B128" s="57"/>
      <c r="C128" s="112"/>
      <c r="D128" s="57"/>
      <c r="E128" s="113"/>
      <c r="F128" s="113"/>
      <c r="G128" s="113"/>
      <c r="H128" s="112"/>
      <c r="I128" s="57"/>
      <c r="J128" s="114"/>
      <c r="K128" s="114"/>
      <c r="L128" s="115"/>
      <c r="M128" s="115"/>
      <c r="N128" s="115"/>
      <c r="O128" s="115"/>
      <c r="P128" s="65"/>
      <c r="Q128" s="65"/>
      <c r="R128" s="116"/>
      <c r="S128" s="57"/>
    </row>
    <row r="129" spans="1:19" x14ac:dyDescent="0.25">
      <c r="A129" s="57"/>
      <c r="B129" s="57"/>
      <c r="C129" s="112"/>
      <c r="D129" s="57"/>
      <c r="E129" s="113"/>
      <c r="F129" s="113"/>
      <c r="G129" s="113"/>
      <c r="H129" s="112"/>
      <c r="I129" s="57"/>
      <c r="J129" s="114"/>
      <c r="K129" s="114"/>
      <c r="L129" s="115"/>
      <c r="M129" s="115"/>
      <c r="N129" s="115"/>
      <c r="O129" s="115"/>
      <c r="P129" s="65"/>
      <c r="Q129" s="65"/>
      <c r="R129" s="116"/>
      <c r="S129" s="57"/>
    </row>
    <row r="130" spans="1:19" x14ac:dyDescent="0.25">
      <c r="A130" s="57"/>
      <c r="B130" s="57"/>
      <c r="C130" s="112"/>
      <c r="D130" s="57"/>
      <c r="E130" s="113"/>
      <c r="F130" s="113"/>
      <c r="G130" s="113"/>
      <c r="H130" s="112"/>
      <c r="I130" s="57"/>
      <c r="J130" s="114"/>
      <c r="K130" s="114"/>
      <c r="L130" s="115"/>
      <c r="M130" s="115"/>
      <c r="N130" s="115"/>
      <c r="O130" s="115"/>
      <c r="P130" s="65"/>
      <c r="Q130" s="65"/>
      <c r="R130" s="116"/>
      <c r="S130" s="57"/>
    </row>
    <row r="162" spans="1:13" x14ac:dyDescent="0.25">
      <c r="A162" s="57"/>
      <c r="B162" s="57"/>
      <c r="C162" s="112"/>
      <c r="D162" s="57"/>
      <c r="E162" s="113"/>
      <c r="F162" s="113"/>
      <c r="G162" s="113"/>
      <c r="H162" s="112"/>
      <c r="I162" s="57"/>
      <c r="J162" s="114"/>
      <c r="K162" s="114"/>
      <c r="L162" s="115"/>
      <c r="M162" s="115"/>
    </row>
    <row r="163" spans="1:13" x14ac:dyDescent="0.25">
      <c r="A163" s="57"/>
      <c r="B163" s="57"/>
      <c r="C163" s="112"/>
      <c r="D163" s="57"/>
      <c r="E163" s="113"/>
      <c r="F163" s="113"/>
      <c r="G163" s="113"/>
      <c r="H163" s="112"/>
      <c r="I163" s="57"/>
      <c r="J163" s="114"/>
      <c r="K163" s="114"/>
      <c r="L163" s="115"/>
      <c r="M163" s="115"/>
    </row>
    <row r="164" spans="1:13" x14ac:dyDescent="0.25">
      <c r="A164" s="57"/>
      <c r="B164" s="57"/>
      <c r="C164" s="112"/>
      <c r="D164" s="57"/>
      <c r="E164" s="113"/>
      <c r="F164" s="113"/>
      <c r="G164" s="113"/>
      <c r="H164" s="112"/>
      <c r="I164" s="57"/>
      <c r="J164" s="114"/>
      <c r="K164" s="114"/>
      <c r="L164" s="115"/>
      <c r="M164" s="115"/>
    </row>
    <row r="165" spans="1:13" x14ac:dyDescent="0.25">
      <c r="A165" s="57"/>
      <c r="B165" s="57"/>
      <c r="C165" s="112"/>
      <c r="D165" s="57"/>
      <c r="E165" s="113"/>
      <c r="F165" s="113"/>
      <c r="G165" s="113"/>
      <c r="H165" s="112"/>
      <c r="I165" s="57"/>
      <c r="J165" s="114"/>
      <c r="K165" s="114"/>
      <c r="L165" s="115"/>
      <c r="M165" s="115"/>
    </row>
    <row r="166" spans="1:13" x14ac:dyDescent="0.25">
      <c r="A166" s="57"/>
      <c r="B166" s="57"/>
      <c r="C166" s="112"/>
      <c r="D166" s="57"/>
      <c r="E166" s="113"/>
      <c r="F166" s="113"/>
      <c r="G166" s="113"/>
      <c r="H166" s="112"/>
      <c r="I166" s="57"/>
      <c r="J166" s="114"/>
      <c r="K166" s="114"/>
      <c r="L166" s="115"/>
      <c r="M166" s="115"/>
    </row>
    <row r="167" spans="1:13" x14ac:dyDescent="0.25">
      <c r="A167" s="57"/>
      <c r="B167" s="57"/>
      <c r="C167" s="112"/>
      <c r="D167" s="57"/>
      <c r="E167" s="113"/>
      <c r="F167" s="113"/>
      <c r="G167" s="113"/>
      <c r="H167" s="112"/>
      <c r="I167" s="57"/>
      <c r="J167" s="114"/>
      <c r="K167" s="114"/>
      <c r="L167" s="115"/>
      <c r="M167" s="115"/>
    </row>
  </sheetData>
  <mergeCells count="20">
    <mergeCell ref="L117:L118"/>
    <mergeCell ref="M117:M118"/>
    <mergeCell ref="N117:N118"/>
    <mergeCell ref="L47:L48"/>
    <mergeCell ref="M47:M48"/>
    <mergeCell ref="N47:N48"/>
    <mergeCell ref="L111:L112"/>
    <mergeCell ref="M111:M112"/>
    <mergeCell ref="N111:N112"/>
    <mergeCell ref="L44:L45"/>
    <mergeCell ref="M44:M45"/>
    <mergeCell ref="N44:N45"/>
    <mergeCell ref="L41:L42"/>
    <mergeCell ref="M41:M42"/>
    <mergeCell ref="N41:N42"/>
    <mergeCell ref="M1:R1"/>
    <mergeCell ref="B2:R2"/>
    <mergeCell ref="B4:R4"/>
    <mergeCell ref="B7:K7"/>
    <mergeCell ref="P5:Q5"/>
  </mergeCells>
  <conditionalFormatting sqref="E9">
    <cfRule type="duplicateValues" dxfId="14" priority="7"/>
  </conditionalFormatting>
  <conditionalFormatting sqref="E9">
    <cfRule type="duplicateValues" dxfId="13" priority="8"/>
  </conditionalFormatting>
  <conditionalFormatting sqref="E82 E85">
    <cfRule type="duplicateValues" dxfId="12" priority="6"/>
  </conditionalFormatting>
  <conditionalFormatting sqref="E89">
    <cfRule type="duplicateValues" dxfId="11" priority="5"/>
  </conditionalFormatting>
  <conditionalFormatting sqref="E107:E108">
    <cfRule type="duplicateValues" dxfId="10" priority="3"/>
  </conditionalFormatting>
  <conditionalFormatting sqref="E107:E108">
    <cfRule type="duplicateValues" dxfId="9" priority="4"/>
  </conditionalFormatting>
  <conditionalFormatting sqref="E109">
    <cfRule type="duplicateValues" dxfId="8" priority="1"/>
  </conditionalFormatting>
  <conditionalFormatting sqref="E109">
    <cfRule type="duplicateValues" dxfId="7" priority="2"/>
  </conditionalFormatting>
  <dataValidations count="1">
    <dataValidation type="date" showInputMessage="1" showErrorMessage="1" sqref="J70:J72" xr:uid="{7FE743E1-53CD-46E1-8837-3290DA36D4D2}">
      <formula1>43831</formula1>
      <formula2>45657</formula2>
    </dataValidation>
  </dataValidations>
  <pageMargins left="0.17" right="0.17" top="0.17" bottom="0.19"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DDAB7-E1F6-4134-BE1C-6300636C2BD1}">
  <dimension ref="B1:S153"/>
  <sheetViews>
    <sheetView zoomScale="80" zoomScaleNormal="80" workbookViewId="0">
      <pane ySplit="7" topLeftCell="A8" activePane="bottomLeft" state="frozen"/>
      <selection pane="bottomLeft" activeCell="P7" sqref="P7"/>
    </sheetView>
  </sheetViews>
  <sheetFormatPr defaultRowHeight="15" x14ac:dyDescent="0.25"/>
  <cols>
    <col min="1" max="1" width="4.7109375" style="119" customWidth="1"/>
    <col min="2" max="2" width="20.42578125" style="119" customWidth="1"/>
    <col min="3" max="3" width="19.5703125" style="120" customWidth="1"/>
    <col min="4" max="4" width="47.28515625" style="119" customWidth="1"/>
    <col min="5" max="5" width="19.140625" style="121" customWidth="1"/>
    <col min="6" max="6" width="16.5703125" style="121" bestFit="1" customWidth="1"/>
    <col min="7" max="7" width="19.85546875" style="121" bestFit="1" customWidth="1"/>
    <col min="8" max="8" width="15" style="121" customWidth="1"/>
    <col min="9" max="9" width="43.42578125" style="119" customWidth="1"/>
    <col min="10" max="10" width="13.85546875" style="122" customWidth="1"/>
    <col min="11" max="11" width="12.28515625" style="122" customWidth="1"/>
    <col min="12" max="12" width="20.5703125" style="123" customWidth="1"/>
    <col min="13" max="13" width="21" style="123" customWidth="1"/>
    <col min="14" max="14" width="13.7109375" style="123" customWidth="1"/>
    <col min="15" max="16" width="13" style="123" customWidth="1"/>
    <col min="17" max="17" width="13.7109375" style="154" customWidth="1"/>
    <col min="18" max="18" width="11.42578125" style="154" customWidth="1"/>
    <col min="19" max="19" width="112.42578125" style="155" customWidth="1"/>
    <col min="20" max="16384" width="9.140625" style="119"/>
  </cols>
  <sheetData>
    <row r="1" spans="2:19" ht="20.25" customHeight="1" x14ac:dyDescent="0.25">
      <c r="P1" s="221" t="s">
        <v>803</v>
      </c>
      <c r="Q1" s="221"/>
      <c r="R1" s="221"/>
      <c r="S1" s="221"/>
    </row>
    <row r="2" spans="2:19" ht="18.75" x14ac:dyDescent="0.25">
      <c r="B2" s="222" t="s">
        <v>415</v>
      </c>
      <c r="C2" s="222"/>
      <c r="D2" s="222"/>
      <c r="E2" s="222"/>
      <c r="F2" s="222"/>
      <c r="G2" s="222"/>
      <c r="H2" s="222"/>
      <c r="I2" s="222"/>
      <c r="J2" s="222"/>
      <c r="K2" s="222"/>
      <c r="L2" s="222"/>
      <c r="M2" s="222"/>
      <c r="N2" s="222"/>
      <c r="O2" s="222"/>
      <c r="P2" s="222"/>
      <c r="Q2" s="222"/>
      <c r="R2" s="222"/>
      <c r="S2" s="222"/>
    </row>
    <row r="3" spans="2:19" ht="9" customHeight="1" x14ac:dyDescent="0.25">
      <c r="B3" s="196"/>
      <c r="C3" s="196"/>
      <c r="D3" s="196"/>
      <c r="E3" s="196"/>
      <c r="F3" s="196"/>
      <c r="G3" s="196"/>
      <c r="H3" s="196"/>
      <c r="I3" s="196"/>
      <c r="J3" s="196"/>
      <c r="K3" s="196"/>
      <c r="L3" s="196"/>
      <c r="M3" s="196"/>
      <c r="N3" s="196"/>
      <c r="O3" s="196"/>
      <c r="P3" s="196"/>
      <c r="Q3" s="196"/>
      <c r="R3" s="196"/>
      <c r="S3" s="196"/>
    </row>
    <row r="4" spans="2:19" ht="33" customHeight="1" x14ac:dyDescent="0.25">
      <c r="B4" s="216" t="s">
        <v>805</v>
      </c>
      <c r="C4" s="216"/>
      <c r="D4" s="216"/>
      <c r="E4" s="216"/>
      <c r="F4" s="216"/>
      <c r="G4" s="216"/>
      <c r="H4" s="216"/>
      <c r="I4" s="216"/>
      <c r="J4" s="216"/>
      <c r="K4" s="216"/>
      <c r="L4" s="216"/>
      <c r="M4" s="216"/>
      <c r="N4" s="216"/>
      <c r="O4" s="216"/>
      <c r="P4" s="216"/>
      <c r="Q4" s="216"/>
      <c r="R4" s="216"/>
      <c r="S4" s="216"/>
    </row>
    <row r="5" spans="2:19" s="66" customFormat="1" ht="12.75" x14ac:dyDescent="0.2">
      <c r="B5" s="67"/>
      <c r="C5" s="67"/>
      <c r="D5" s="67"/>
      <c r="E5" s="67"/>
      <c r="F5" s="67"/>
      <c r="G5" s="67"/>
      <c r="H5" s="67"/>
      <c r="I5" s="67"/>
      <c r="J5" s="67"/>
      <c r="K5" s="67"/>
      <c r="L5" s="68"/>
      <c r="M5" s="68"/>
      <c r="N5" s="68"/>
      <c r="O5" s="68"/>
      <c r="P5" s="68"/>
      <c r="Q5" s="223" t="s">
        <v>806</v>
      </c>
      <c r="R5" s="223"/>
      <c r="S5" s="67"/>
    </row>
    <row r="6" spans="2:19" ht="79.5" customHeight="1" x14ac:dyDescent="0.25">
      <c r="B6" s="124" t="s">
        <v>5</v>
      </c>
      <c r="C6" s="124" t="s">
        <v>0</v>
      </c>
      <c r="D6" s="124" t="s">
        <v>18</v>
      </c>
      <c r="E6" s="124" t="s">
        <v>4</v>
      </c>
      <c r="F6" s="124" t="s">
        <v>19</v>
      </c>
      <c r="G6" s="124" t="s">
        <v>20</v>
      </c>
      <c r="H6" s="124" t="s">
        <v>1</v>
      </c>
      <c r="I6" s="124" t="s">
        <v>21</v>
      </c>
      <c r="J6" s="124" t="s">
        <v>2</v>
      </c>
      <c r="K6" s="124" t="s">
        <v>3</v>
      </c>
      <c r="L6" s="125" t="s">
        <v>844</v>
      </c>
      <c r="M6" s="125" t="s">
        <v>845</v>
      </c>
      <c r="N6" s="125" t="s">
        <v>848</v>
      </c>
      <c r="O6" s="125" t="s">
        <v>416</v>
      </c>
      <c r="P6" s="125" t="s">
        <v>849</v>
      </c>
      <c r="Q6" s="3" t="s">
        <v>22</v>
      </c>
      <c r="R6" s="3" t="s">
        <v>23</v>
      </c>
      <c r="S6" s="124" t="s">
        <v>12</v>
      </c>
    </row>
    <row r="7" spans="2:19" s="127" customFormat="1" ht="15.75" x14ac:dyDescent="0.25">
      <c r="B7" s="224" t="s">
        <v>11</v>
      </c>
      <c r="C7" s="224"/>
      <c r="D7" s="224"/>
      <c r="E7" s="224"/>
      <c r="F7" s="224"/>
      <c r="G7" s="224"/>
      <c r="H7" s="224"/>
      <c r="I7" s="224"/>
      <c r="J7" s="224"/>
      <c r="K7" s="224"/>
      <c r="L7" s="125">
        <f>ROUNDUP(L22+L49+L129+L120+L153,0)</f>
        <v>6667340</v>
      </c>
      <c r="M7" s="125">
        <f>ROUNDUP(M22+M49+M129+M120+M153,0)</f>
        <v>555612</v>
      </c>
      <c r="N7" s="125">
        <f>ROUNDUP(N22+N49+N129+N120+N153,0)</f>
        <v>97118</v>
      </c>
      <c r="O7" s="125">
        <f>ROUNDUP(O22+O49+O129+O120+O153,0)</f>
        <v>1407</v>
      </c>
      <c r="P7" s="125">
        <f>ROUNDUP(P22+P49+P129+P120+P153,0)</f>
        <v>262296</v>
      </c>
      <c r="Q7" s="125">
        <f>Q22+Q49+Q129+Q120+Q153</f>
        <v>257411.30999999994</v>
      </c>
      <c r="R7" s="125">
        <f>ROUNDUP(R22+R49+R129+R120+R153,0)</f>
        <v>4885</v>
      </c>
      <c r="S7" s="126"/>
    </row>
    <row r="8" spans="2:19" s="132" customFormat="1" ht="12.75" x14ac:dyDescent="0.2">
      <c r="B8" s="128" t="s">
        <v>7</v>
      </c>
      <c r="C8" s="7">
        <v>170000170</v>
      </c>
      <c r="D8" s="128" t="s">
        <v>28</v>
      </c>
      <c r="E8" s="7">
        <v>14230030829</v>
      </c>
      <c r="F8" s="7" t="s">
        <v>29</v>
      </c>
      <c r="G8" s="7" t="s">
        <v>30</v>
      </c>
      <c r="H8" s="7">
        <v>170075432</v>
      </c>
      <c r="I8" s="128" t="s">
        <v>31</v>
      </c>
      <c r="J8" s="6">
        <v>44774</v>
      </c>
      <c r="K8" s="6">
        <v>44785</v>
      </c>
      <c r="L8" s="129">
        <v>57822.12</v>
      </c>
      <c r="M8" s="129">
        <f t="shared" ref="M8:M20" si="0">L8/12</f>
        <v>4818.51</v>
      </c>
      <c r="N8" s="129">
        <v>1142.7296442687748</v>
      </c>
      <c r="O8" s="129">
        <v>10</v>
      </c>
      <c r="P8" s="129">
        <f>ROUND(L8/253*O8,2)</f>
        <v>2285.46</v>
      </c>
      <c r="Q8" s="130">
        <f>P8</f>
        <v>2285.46</v>
      </c>
      <c r="R8" s="130"/>
      <c r="S8" s="131"/>
    </row>
    <row r="9" spans="2:19" s="132" customFormat="1" ht="12.75" x14ac:dyDescent="0.2">
      <c r="B9" s="128" t="s">
        <v>7</v>
      </c>
      <c r="C9" s="7">
        <v>170075437</v>
      </c>
      <c r="D9" s="128" t="s">
        <v>417</v>
      </c>
      <c r="E9" s="7">
        <v>96420010971</v>
      </c>
      <c r="F9" s="7" t="s">
        <v>352</v>
      </c>
      <c r="G9" s="7" t="s">
        <v>418</v>
      </c>
      <c r="H9" s="7">
        <v>170000190</v>
      </c>
      <c r="I9" s="128" t="s">
        <v>419</v>
      </c>
      <c r="J9" s="6">
        <v>44788</v>
      </c>
      <c r="K9" s="6">
        <v>44801</v>
      </c>
      <c r="L9" s="129">
        <v>48833.399999999994</v>
      </c>
      <c r="M9" s="129">
        <f t="shared" si="0"/>
        <v>4069.4499999999994</v>
      </c>
      <c r="N9" s="129">
        <v>0</v>
      </c>
      <c r="O9" s="129">
        <v>10</v>
      </c>
      <c r="P9" s="129">
        <f>ROUND(L9/253*O9,2)</f>
        <v>1930.17</v>
      </c>
      <c r="Q9" s="130">
        <f t="shared" ref="Q9:Q72" si="1">P9</f>
        <v>1930.17</v>
      </c>
      <c r="R9" s="130"/>
      <c r="S9" s="131"/>
    </row>
    <row r="10" spans="2:19" s="132" customFormat="1" ht="12.75" x14ac:dyDescent="0.2">
      <c r="B10" s="128" t="s">
        <v>7</v>
      </c>
      <c r="C10" s="7">
        <v>270024101</v>
      </c>
      <c r="D10" s="128" t="s">
        <v>36</v>
      </c>
      <c r="E10" s="7">
        <v>27400037519</v>
      </c>
      <c r="F10" s="7" t="s">
        <v>276</v>
      </c>
      <c r="G10" s="7" t="s">
        <v>420</v>
      </c>
      <c r="H10" s="7">
        <v>270024101</v>
      </c>
      <c r="I10" s="128" t="s">
        <v>36</v>
      </c>
      <c r="J10" s="6">
        <v>44776</v>
      </c>
      <c r="K10" s="6">
        <v>44785</v>
      </c>
      <c r="L10" s="129">
        <v>40375.56</v>
      </c>
      <c r="M10" s="129">
        <f t="shared" si="0"/>
        <v>3364.6299999999997</v>
      </c>
      <c r="N10" s="129">
        <v>1436.2847430830038</v>
      </c>
      <c r="O10" s="129">
        <v>8</v>
      </c>
      <c r="P10" s="129">
        <f>ROUND(L10/253*O10,2)</f>
        <v>1276.7</v>
      </c>
      <c r="Q10" s="130">
        <f t="shared" si="1"/>
        <v>1276.7</v>
      </c>
      <c r="R10" s="130"/>
      <c r="S10" s="131"/>
    </row>
    <row r="11" spans="2:19" s="132" customFormat="1" ht="12.75" x14ac:dyDescent="0.2">
      <c r="B11" s="128" t="s">
        <v>7</v>
      </c>
      <c r="C11" s="7">
        <v>270024101</v>
      </c>
      <c r="D11" s="128" t="s">
        <v>36</v>
      </c>
      <c r="E11" s="7">
        <v>34740009101</v>
      </c>
      <c r="F11" s="7" t="s">
        <v>421</v>
      </c>
      <c r="G11" s="7" t="s">
        <v>422</v>
      </c>
      <c r="H11" s="7">
        <v>270024101</v>
      </c>
      <c r="I11" s="128" t="s">
        <v>36</v>
      </c>
      <c r="J11" s="6">
        <v>44788</v>
      </c>
      <c r="K11" s="6">
        <v>44804</v>
      </c>
      <c r="L11" s="129">
        <v>46980.12</v>
      </c>
      <c r="M11" s="129">
        <f t="shared" si="0"/>
        <v>3915.01</v>
      </c>
      <c r="N11" s="129">
        <v>1299.8452173913045</v>
      </c>
      <c r="O11" s="129">
        <v>13</v>
      </c>
      <c r="P11" s="129">
        <f>ROUND(L11/253*O11,2)</f>
        <v>2414</v>
      </c>
      <c r="Q11" s="130">
        <f t="shared" si="1"/>
        <v>2414</v>
      </c>
      <c r="R11" s="130"/>
      <c r="S11" s="131"/>
    </row>
    <row r="12" spans="2:19" s="132" customFormat="1" ht="12.75" x14ac:dyDescent="0.2">
      <c r="B12" s="128" t="s">
        <v>7</v>
      </c>
      <c r="C12" s="7">
        <v>270024101</v>
      </c>
      <c r="D12" s="128" t="s">
        <v>36</v>
      </c>
      <c r="E12" s="7">
        <v>76740048914</v>
      </c>
      <c r="F12" s="7" t="s">
        <v>29</v>
      </c>
      <c r="G12" s="7" t="s">
        <v>423</v>
      </c>
      <c r="H12" s="7">
        <v>270024101</v>
      </c>
      <c r="I12" s="128" t="s">
        <v>36</v>
      </c>
      <c r="J12" s="6">
        <v>44791</v>
      </c>
      <c r="K12" s="6">
        <v>44803</v>
      </c>
      <c r="L12" s="129">
        <v>48718.68</v>
      </c>
      <c r="M12" s="129">
        <f t="shared" si="0"/>
        <v>4059.89</v>
      </c>
      <c r="N12" s="129">
        <v>1347.9476679841898</v>
      </c>
      <c r="O12" s="129">
        <v>9</v>
      </c>
      <c r="P12" s="129">
        <f>ROUND(L12/253*O12,2)</f>
        <v>1733.08</v>
      </c>
      <c r="Q12" s="130">
        <f t="shared" si="1"/>
        <v>1733.08</v>
      </c>
      <c r="R12" s="130"/>
      <c r="S12" s="131"/>
    </row>
    <row r="13" spans="2:19" s="132" customFormat="1" ht="12.75" x14ac:dyDescent="0.2">
      <c r="B13" s="128" t="s">
        <v>7</v>
      </c>
      <c r="C13" s="7">
        <v>270024101</v>
      </c>
      <c r="D13" s="128" t="s">
        <v>36</v>
      </c>
      <c r="E13" s="7">
        <v>86440004332</v>
      </c>
      <c r="F13" s="7" t="s">
        <v>172</v>
      </c>
      <c r="G13" s="7" t="s">
        <v>40</v>
      </c>
      <c r="H13" s="7">
        <v>270024101</v>
      </c>
      <c r="I13" s="128" t="s">
        <v>36</v>
      </c>
      <c r="J13" s="6">
        <v>44774</v>
      </c>
      <c r="K13" s="6">
        <v>44792</v>
      </c>
      <c r="L13" s="129">
        <v>42433.2</v>
      </c>
      <c r="M13" s="129">
        <f t="shared" si="0"/>
        <v>3536.1</v>
      </c>
      <c r="N13" s="129">
        <v>1677.201581027668</v>
      </c>
      <c r="O13" s="129">
        <v>15</v>
      </c>
      <c r="P13" s="129">
        <f>ROUND(L13/253*O13,2)-656.9</f>
        <v>1858.9</v>
      </c>
      <c r="Q13" s="130">
        <f t="shared" si="1"/>
        <v>1858.9</v>
      </c>
      <c r="R13" s="130"/>
      <c r="S13" s="133" t="s">
        <v>820</v>
      </c>
    </row>
    <row r="14" spans="2:19" s="132" customFormat="1" ht="12.75" x14ac:dyDescent="0.2">
      <c r="B14" s="128" t="s">
        <v>7</v>
      </c>
      <c r="C14" s="7">
        <v>270064101</v>
      </c>
      <c r="D14" s="128" t="s">
        <v>424</v>
      </c>
      <c r="E14" s="7">
        <v>40940004507</v>
      </c>
      <c r="F14" s="7" t="s">
        <v>425</v>
      </c>
      <c r="G14" s="7" t="s">
        <v>426</v>
      </c>
      <c r="H14" s="7">
        <v>270064101</v>
      </c>
      <c r="I14" s="128" t="s">
        <v>424</v>
      </c>
      <c r="J14" s="6">
        <v>44774</v>
      </c>
      <c r="K14" s="6">
        <v>44783</v>
      </c>
      <c r="L14" s="129">
        <v>26254.68</v>
      </c>
      <c r="M14" s="129">
        <f t="shared" si="0"/>
        <v>2187.89</v>
      </c>
      <c r="N14" s="129">
        <v>0</v>
      </c>
      <c r="O14" s="129">
        <v>10</v>
      </c>
      <c r="P14" s="129">
        <f>ROUND(L14/253*O14,2)</f>
        <v>1037.73</v>
      </c>
      <c r="Q14" s="130">
        <f t="shared" si="1"/>
        <v>1037.73</v>
      </c>
      <c r="R14" s="130"/>
      <c r="S14" s="131"/>
    </row>
    <row r="15" spans="2:19" s="132" customFormat="1" ht="12.75" x14ac:dyDescent="0.2">
      <c r="B15" s="128" t="s">
        <v>7</v>
      </c>
      <c r="C15" s="7">
        <v>270075401</v>
      </c>
      <c r="D15" s="128" t="s">
        <v>427</v>
      </c>
      <c r="E15" s="7">
        <v>21640005676</v>
      </c>
      <c r="F15" s="7" t="s">
        <v>428</v>
      </c>
      <c r="G15" s="7" t="s">
        <v>429</v>
      </c>
      <c r="H15" s="7">
        <v>270075402</v>
      </c>
      <c r="I15" s="134" t="s">
        <v>430</v>
      </c>
      <c r="J15" s="6">
        <v>44774</v>
      </c>
      <c r="K15" s="6">
        <v>44804</v>
      </c>
      <c r="L15" s="129">
        <v>48035.76</v>
      </c>
      <c r="M15" s="129">
        <f t="shared" si="0"/>
        <v>4002.98</v>
      </c>
      <c r="N15" s="129">
        <v>0</v>
      </c>
      <c r="O15" s="129">
        <v>23</v>
      </c>
      <c r="P15" s="129">
        <f>ROUND(L15/253*O15,2)-363.91</f>
        <v>4002.9800000000005</v>
      </c>
      <c r="Q15" s="130">
        <f t="shared" si="1"/>
        <v>4002.9800000000005</v>
      </c>
      <c r="R15" s="130"/>
      <c r="S15" s="133" t="s">
        <v>820</v>
      </c>
    </row>
    <row r="16" spans="2:19" s="132" customFormat="1" ht="12.75" x14ac:dyDescent="0.2">
      <c r="B16" s="128" t="s">
        <v>7</v>
      </c>
      <c r="C16" s="7">
        <v>620200004</v>
      </c>
      <c r="D16" s="128" t="s">
        <v>431</v>
      </c>
      <c r="E16" s="7">
        <v>48890002501</v>
      </c>
      <c r="F16" s="7" t="s">
        <v>432</v>
      </c>
      <c r="G16" s="7" t="s">
        <v>433</v>
      </c>
      <c r="H16" s="7">
        <v>620200003</v>
      </c>
      <c r="I16" s="128" t="s">
        <v>434</v>
      </c>
      <c r="J16" s="6">
        <v>44781</v>
      </c>
      <c r="K16" s="6">
        <v>44792</v>
      </c>
      <c r="L16" s="129">
        <v>40605.600000000006</v>
      </c>
      <c r="M16" s="129">
        <f t="shared" si="0"/>
        <v>3383.8000000000006</v>
      </c>
      <c r="N16" s="129">
        <v>0</v>
      </c>
      <c r="O16" s="129">
        <v>10</v>
      </c>
      <c r="P16" s="129">
        <f>ROUND(L16/253*O16,2)</f>
        <v>1604.96</v>
      </c>
      <c r="Q16" s="130">
        <f t="shared" si="1"/>
        <v>1604.96</v>
      </c>
      <c r="R16" s="130"/>
      <c r="S16" s="131"/>
    </row>
    <row r="17" spans="2:19" s="132" customFormat="1" ht="12.75" x14ac:dyDescent="0.2">
      <c r="B17" s="128" t="s">
        <v>7</v>
      </c>
      <c r="C17" s="7">
        <v>620200013</v>
      </c>
      <c r="D17" s="128" t="s">
        <v>435</v>
      </c>
      <c r="E17" s="7">
        <v>78960001276</v>
      </c>
      <c r="F17" s="7" t="s">
        <v>436</v>
      </c>
      <c r="G17" s="7" t="s">
        <v>437</v>
      </c>
      <c r="H17" s="7">
        <v>620200002</v>
      </c>
      <c r="I17" s="128" t="s">
        <v>438</v>
      </c>
      <c r="J17" s="6">
        <v>44774</v>
      </c>
      <c r="K17" s="6">
        <v>44794</v>
      </c>
      <c r="L17" s="129">
        <v>50861.759999999995</v>
      </c>
      <c r="M17" s="129">
        <f t="shared" si="0"/>
        <v>4238.4799999999996</v>
      </c>
      <c r="N17" s="129">
        <v>0</v>
      </c>
      <c r="O17" s="129">
        <v>15</v>
      </c>
      <c r="P17" s="129">
        <f>ROUND(L17/253*O17,2)</f>
        <v>3015.52</v>
      </c>
      <c r="Q17" s="130">
        <f t="shared" si="1"/>
        <v>3015.52</v>
      </c>
      <c r="R17" s="130"/>
      <c r="S17" s="131"/>
    </row>
    <row r="18" spans="2:19" s="132" customFormat="1" ht="12.75" x14ac:dyDescent="0.2">
      <c r="B18" s="128" t="s">
        <v>7</v>
      </c>
      <c r="C18" s="7">
        <v>620200040</v>
      </c>
      <c r="D18" s="128" t="s">
        <v>439</v>
      </c>
      <c r="E18" s="7">
        <v>44490009814</v>
      </c>
      <c r="F18" s="7" t="s">
        <v>440</v>
      </c>
      <c r="G18" s="7" t="s">
        <v>441</v>
      </c>
      <c r="H18" s="7">
        <v>620200015</v>
      </c>
      <c r="I18" s="128" t="s">
        <v>442</v>
      </c>
      <c r="J18" s="6">
        <v>44781</v>
      </c>
      <c r="K18" s="6">
        <v>44794</v>
      </c>
      <c r="L18" s="129">
        <v>42532.08</v>
      </c>
      <c r="M18" s="129">
        <f t="shared" si="0"/>
        <v>3544.34</v>
      </c>
      <c r="N18" s="129">
        <v>2017.3318577075097</v>
      </c>
      <c r="O18" s="129">
        <v>10</v>
      </c>
      <c r="P18" s="129">
        <f>ROUND(L18/253*O18,2)-154.1</f>
        <v>1527.01</v>
      </c>
      <c r="Q18" s="130">
        <f t="shared" si="1"/>
        <v>1527.01</v>
      </c>
      <c r="R18" s="130"/>
      <c r="S18" s="133" t="s">
        <v>820</v>
      </c>
    </row>
    <row r="19" spans="2:19" s="132" customFormat="1" ht="12.75" x14ac:dyDescent="0.2">
      <c r="B19" s="128" t="s">
        <v>7</v>
      </c>
      <c r="C19" s="7">
        <v>620200049</v>
      </c>
      <c r="D19" s="128" t="s">
        <v>443</v>
      </c>
      <c r="E19" s="7">
        <v>10720000233</v>
      </c>
      <c r="F19" s="7" t="s">
        <v>444</v>
      </c>
      <c r="G19" s="7" t="s">
        <v>445</v>
      </c>
      <c r="H19" s="7">
        <v>620200025</v>
      </c>
      <c r="I19" s="128" t="s">
        <v>446</v>
      </c>
      <c r="J19" s="6">
        <v>44774</v>
      </c>
      <c r="K19" s="6">
        <v>44785</v>
      </c>
      <c r="L19" s="129">
        <v>72298.680000000008</v>
      </c>
      <c r="M19" s="129">
        <f t="shared" si="0"/>
        <v>6024.89</v>
      </c>
      <c r="N19" s="129">
        <v>0</v>
      </c>
      <c r="O19" s="129">
        <v>10</v>
      </c>
      <c r="P19" s="129">
        <f>ROUND(L19/253*O19,2)</f>
        <v>2857.66</v>
      </c>
      <c r="Q19" s="130">
        <f t="shared" si="1"/>
        <v>2857.66</v>
      </c>
      <c r="R19" s="130"/>
      <c r="S19" s="131"/>
    </row>
    <row r="20" spans="2:19" s="132" customFormat="1" ht="12.75" x14ac:dyDescent="0.2">
      <c r="B20" s="128" t="s">
        <v>7</v>
      </c>
      <c r="C20" s="7">
        <v>640600003</v>
      </c>
      <c r="D20" s="128" t="s">
        <v>447</v>
      </c>
      <c r="E20" s="7">
        <v>15330007466</v>
      </c>
      <c r="F20" s="7" t="s">
        <v>448</v>
      </c>
      <c r="G20" s="7" t="s">
        <v>449</v>
      </c>
      <c r="H20" s="7">
        <v>640600004</v>
      </c>
      <c r="I20" s="128" t="s">
        <v>450</v>
      </c>
      <c r="J20" s="6">
        <v>44788</v>
      </c>
      <c r="K20" s="6">
        <v>44796</v>
      </c>
      <c r="L20" s="129">
        <v>32011.68</v>
      </c>
      <c r="M20" s="129">
        <f t="shared" si="0"/>
        <v>2667.64</v>
      </c>
      <c r="N20" s="129">
        <v>0</v>
      </c>
      <c r="O20" s="129">
        <v>7</v>
      </c>
      <c r="P20" s="129">
        <f>ROUND(L20/253*O20,2)</f>
        <v>885.7</v>
      </c>
      <c r="Q20" s="130">
        <f t="shared" si="1"/>
        <v>885.7</v>
      </c>
      <c r="R20" s="130"/>
      <c r="S20" s="131"/>
    </row>
    <row r="21" spans="2:19" s="132" customFormat="1" ht="12.75" x14ac:dyDescent="0.2">
      <c r="B21" s="128" t="s">
        <v>7</v>
      </c>
      <c r="C21" s="7">
        <v>641000014</v>
      </c>
      <c r="D21" s="128" t="s">
        <v>451</v>
      </c>
      <c r="E21" s="7">
        <v>89440054895</v>
      </c>
      <c r="F21" s="7" t="s">
        <v>452</v>
      </c>
      <c r="G21" s="7" t="s">
        <v>453</v>
      </c>
      <c r="H21" s="7">
        <v>641000014</v>
      </c>
      <c r="I21" s="128" t="s">
        <v>451</v>
      </c>
      <c r="J21" s="6">
        <v>44795</v>
      </c>
      <c r="K21" s="6">
        <v>44804</v>
      </c>
      <c r="L21" s="129">
        <v>25941.96</v>
      </c>
      <c r="M21" s="129">
        <f>L21/12</f>
        <v>2161.83</v>
      </c>
      <c r="N21" s="129">
        <v>0</v>
      </c>
      <c r="O21" s="129">
        <v>8</v>
      </c>
      <c r="P21" s="129">
        <f>ROUND(L21/253*O21,2)</f>
        <v>820.3</v>
      </c>
      <c r="Q21" s="130">
        <f t="shared" si="1"/>
        <v>820.3</v>
      </c>
      <c r="R21" s="130"/>
      <c r="S21" s="131"/>
    </row>
    <row r="22" spans="2:19" x14ac:dyDescent="0.25">
      <c r="B22" s="106" t="s">
        <v>13</v>
      </c>
      <c r="C22" s="107"/>
      <c r="D22" s="106"/>
      <c r="E22" s="107"/>
      <c r="F22" s="107"/>
      <c r="G22" s="107"/>
      <c r="H22" s="107"/>
      <c r="I22" s="106"/>
      <c r="J22" s="135"/>
      <c r="K22" s="135"/>
      <c r="L22" s="110">
        <f t="shared" ref="L22:R22" si="2">SUM(L8:L21)</f>
        <v>623705.28</v>
      </c>
      <c r="M22" s="110">
        <f t="shared" si="2"/>
        <v>51975.439999999988</v>
      </c>
      <c r="N22" s="110">
        <f t="shared" si="2"/>
        <v>8921.3407114624497</v>
      </c>
      <c r="O22" s="110">
        <f t="shared" si="2"/>
        <v>158</v>
      </c>
      <c r="P22" s="110">
        <f t="shared" si="2"/>
        <v>27250.17</v>
      </c>
      <c r="Q22" s="110">
        <f t="shared" si="2"/>
        <v>27250.17</v>
      </c>
      <c r="R22" s="110">
        <f t="shared" si="2"/>
        <v>0</v>
      </c>
      <c r="S22" s="136"/>
    </row>
    <row r="23" spans="2:19" x14ac:dyDescent="0.25">
      <c r="B23" s="128" t="s">
        <v>8</v>
      </c>
      <c r="C23" s="7">
        <v>601000011</v>
      </c>
      <c r="D23" s="128" t="s">
        <v>41</v>
      </c>
      <c r="E23" s="7">
        <v>10140008711</v>
      </c>
      <c r="F23" s="7" t="s">
        <v>42</v>
      </c>
      <c r="G23" s="7" t="s">
        <v>43</v>
      </c>
      <c r="H23" s="7">
        <v>601000021</v>
      </c>
      <c r="I23" s="128" t="s">
        <v>44</v>
      </c>
      <c r="J23" s="6">
        <v>44774</v>
      </c>
      <c r="K23" s="6">
        <v>44787</v>
      </c>
      <c r="L23" s="129">
        <v>54631.799999999996</v>
      </c>
      <c r="M23" s="129">
        <f t="shared" ref="M23:M48" si="3">L23/12</f>
        <v>4552.6499999999996</v>
      </c>
      <c r="N23" s="129">
        <v>2159.359683794466</v>
      </c>
      <c r="O23" s="129">
        <v>10</v>
      </c>
      <c r="P23" s="129">
        <f>ROUND(L23/253*O23,2)</f>
        <v>2159.36</v>
      </c>
      <c r="Q23" s="130">
        <f t="shared" si="1"/>
        <v>2159.36</v>
      </c>
      <c r="R23" s="130"/>
      <c r="S23" s="131"/>
    </row>
    <row r="24" spans="2:19" x14ac:dyDescent="0.25">
      <c r="B24" s="128" t="s">
        <v>8</v>
      </c>
      <c r="C24" s="7">
        <v>600200037</v>
      </c>
      <c r="D24" s="128" t="s">
        <v>47</v>
      </c>
      <c r="E24" s="7">
        <v>10650008805</v>
      </c>
      <c r="F24" s="7" t="s">
        <v>48</v>
      </c>
      <c r="G24" s="7" t="s">
        <v>49</v>
      </c>
      <c r="H24" s="7">
        <v>600200002</v>
      </c>
      <c r="I24" s="128" t="s">
        <v>50</v>
      </c>
      <c r="J24" s="6">
        <v>44774</v>
      </c>
      <c r="K24" s="6">
        <v>44778</v>
      </c>
      <c r="L24" s="129">
        <v>30688.68</v>
      </c>
      <c r="M24" s="129">
        <f t="shared" si="3"/>
        <v>2557.39</v>
      </c>
      <c r="N24" s="129">
        <v>849.09391304347832</v>
      </c>
      <c r="O24" s="129">
        <v>5</v>
      </c>
      <c r="P24" s="129">
        <f>ROUND(L24/253*O24,2)</f>
        <v>606.5</v>
      </c>
      <c r="Q24" s="130">
        <f t="shared" si="1"/>
        <v>606.5</v>
      </c>
      <c r="R24" s="130"/>
      <c r="S24" s="131"/>
    </row>
    <row r="25" spans="2:19" x14ac:dyDescent="0.25">
      <c r="B25" s="128" t="s">
        <v>8</v>
      </c>
      <c r="C25" s="7">
        <v>600200015</v>
      </c>
      <c r="D25" s="128" t="s">
        <v>52</v>
      </c>
      <c r="E25" s="7">
        <v>10740001841</v>
      </c>
      <c r="F25" s="7" t="s">
        <v>53</v>
      </c>
      <c r="G25" s="7" t="s">
        <v>54</v>
      </c>
      <c r="H25" s="7">
        <v>600200035</v>
      </c>
      <c r="I25" s="128" t="s">
        <v>55</v>
      </c>
      <c r="J25" s="6">
        <v>44774</v>
      </c>
      <c r="K25" s="6">
        <v>44801</v>
      </c>
      <c r="L25" s="129">
        <v>45441.72</v>
      </c>
      <c r="M25" s="129">
        <f t="shared" si="3"/>
        <v>3786.81</v>
      </c>
      <c r="N25" s="129">
        <v>898.05770750988142</v>
      </c>
      <c r="O25" s="129">
        <v>20</v>
      </c>
      <c r="P25" s="129">
        <f>ROUND(L25/253*O25,2)-703.48</f>
        <v>2888.75</v>
      </c>
      <c r="Q25" s="130">
        <f t="shared" si="1"/>
        <v>2888.75</v>
      </c>
      <c r="R25" s="130"/>
      <c r="S25" s="133" t="s">
        <v>820</v>
      </c>
    </row>
    <row r="26" spans="2:19" x14ac:dyDescent="0.25">
      <c r="B26" s="128" t="s">
        <v>8</v>
      </c>
      <c r="C26" s="7">
        <v>50075405</v>
      </c>
      <c r="D26" s="128" t="s">
        <v>150</v>
      </c>
      <c r="E26" s="7">
        <v>18970011275</v>
      </c>
      <c r="F26" s="7" t="s">
        <v>228</v>
      </c>
      <c r="G26" s="7" t="s">
        <v>454</v>
      </c>
      <c r="H26" s="7">
        <v>50000134</v>
      </c>
      <c r="I26" s="128" t="s">
        <v>147</v>
      </c>
      <c r="J26" s="6">
        <v>44781</v>
      </c>
      <c r="K26" s="6">
        <v>44795</v>
      </c>
      <c r="L26" s="129">
        <v>59118</v>
      </c>
      <c r="M26" s="129">
        <f t="shared" si="3"/>
        <v>4926.5</v>
      </c>
      <c r="N26" s="129">
        <v>0</v>
      </c>
      <c r="O26" s="129">
        <v>11</v>
      </c>
      <c r="P26" s="129">
        <f t="shared" ref="P26:P35" si="4">ROUND(L26/253*O26,2)</f>
        <v>2570.35</v>
      </c>
      <c r="Q26" s="130">
        <f t="shared" si="1"/>
        <v>2570.35</v>
      </c>
      <c r="R26" s="130"/>
      <c r="S26" s="131"/>
    </row>
    <row r="27" spans="2:19" x14ac:dyDescent="0.25">
      <c r="B27" s="128" t="s">
        <v>8</v>
      </c>
      <c r="C27" s="7">
        <v>50077479</v>
      </c>
      <c r="D27" s="128" t="s">
        <v>66</v>
      </c>
      <c r="E27" s="7">
        <v>19660010816</v>
      </c>
      <c r="F27" s="7" t="s">
        <v>455</v>
      </c>
      <c r="G27" s="7" t="s">
        <v>456</v>
      </c>
      <c r="H27" s="7">
        <v>50077461</v>
      </c>
      <c r="I27" s="128" t="s">
        <v>63</v>
      </c>
      <c r="J27" s="6">
        <v>44774</v>
      </c>
      <c r="K27" s="6">
        <v>44799</v>
      </c>
      <c r="L27" s="129">
        <v>28681.56</v>
      </c>
      <c r="M27" s="129">
        <f t="shared" si="3"/>
        <v>2390.13</v>
      </c>
      <c r="N27" s="129">
        <v>0</v>
      </c>
      <c r="O27" s="129">
        <v>20</v>
      </c>
      <c r="P27" s="129">
        <f t="shared" si="4"/>
        <v>2267.3200000000002</v>
      </c>
      <c r="Q27" s="130">
        <f t="shared" si="1"/>
        <v>2267.3200000000002</v>
      </c>
      <c r="R27" s="130"/>
      <c r="S27" s="131"/>
    </row>
    <row r="28" spans="2:19" x14ac:dyDescent="0.25">
      <c r="B28" s="128" t="s">
        <v>8</v>
      </c>
      <c r="C28" s="7">
        <v>761200005</v>
      </c>
      <c r="D28" s="128" t="s">
        <v>127</v>
      </c>
      <c r="E28" s="7">
        <v>24110001560</v>
      </c>
      <c r="F28" s="7" t="s">
        <v>192</v>
      </c>
      <c r="G28" s="7" t="s">
        <v>457</v>
      </c>
      <c r="H28" s="7">
        <v>761200006</v>
      </c>
      <c r="I28" s="128" t="s">
        <v>124</v>
      </c>
      <c r="J28" s="6">
        <v>44774</v>
      </c>
      <c r="K28" s="6">
        <v>44801</v>
      </c>
      <c r="L28" s="129">
        <v>48917.520000000004</v>
      </c>
      <c r="M28" s="129">
        <f t="shared" si="3"/>
        <v>4076.4600000000005</v>
      </c>
      <c r="N28" s="129">
        <v>0</v>
      </c>
      <c r="O28" s="129">
        <v>20</v>
      </c>
      <c r="P28" s="129">
        <f t="shared" si="4"/>
        <v>3867</v>
      </c>
      <c r="Q28" s="130">
        <f t="shared" si="1"/>
        <v>3867</v>
      </c>
      <c r="R28" s="130"/>
      <c r="S28" s="131"/>
    </row>
    <row r="29" spans="2:19" x14ac:dyDescent="0.25">
      <c r="B29" s="128" t="s">
        <v>8</v>
      </c>
      <c r="C29" s="7">
        <v>210075422</v>
      </c>
      <c r="D29" s="128" t="s">
        <v>83</v>
      </c>
      <c r="E29" s="7">
        <v>29520001557</v>
      </c>
      <c r="F29" s="7" t="s">
        <v>84</v>
      </c>
      <c r="G29" s="7" t="s">
        <v>85</v>
      </c>
      <c r="H29" s="7">
        <v>210075410</v>
      </c>
      <c r="I29" s="128" t="s">
        <v>86</v>
      </c>
      <c r="J29" s="6">
        <v>44774</v>
      </c>
      <c r="K29" s="6">
        <v>44787</v>
      </c>
      <c r="L29" s="129">
        <v>51365.279999999999</v>
      </c>
      <c r="M29" s="129">
        <f t="shared" si="3"/>
        <v>4280.4399999999996</v>
      </c>
      <c r="N29" s="129">
        <v>2030.2482213438734</v>
      </c>
      <c r="O29" s="129">
        <v>10</v>
      </c>
      <c r="P29" s="129">
        <f t="shared" si="4"/>
        <v>2030.25</v>
      </c>
      <c r="Q29" s="130">
        <f t="shared" si="1"/>
        <v>2030.25</v>
      </c>
      <c r="R29" s="130"/>
      <c r="S29" s="131"/>
    </row>
    <row r="30" spans="2:19" x14ac:dyDescent="0.25">
      <c r="B30" s="128" t="s">
        <v>8</v>
      </c>
      <c r="C30" s="7">
        <v>50075423</v>
      </c>
      <c r="D30" s="128" t="s">
        <v>458</v>
      </c>
      <c r="E30" s="7">
        <v>31130007089</v>
      </c>
      <c r="F30" s="7" t="s">
        <v>260</v>
      </c>
      <c r="G30" s="7" t="s">
        <v>459</v>
      </c>
      <c r="H30" s="7">
        <v>50075420</v>
      </c>
      <c r="I30" s="128" t="s">
        <v>92</v>
      </c>
      <c r="J30" s="6">
        <v>44795</v>
      </c>
      <c r="K30" s="6">
        <v>44804</v>
      </c>
      <c r="L30" s="129">
        <v>45484.68</v>
      </c>
      <c r="M30" s="129">
        <f t="shared" si="3"/>
        <v>3790.39</v>
      </c>
      <c r="N30" s="129">
        <v>0</v>
      </c>
      <c r="O30" s="129">
        <v>8</v>
      </c>
      <c r="P30" s="129">
        <f t="shared" si="4"/>
        <v>1438.25</v>
      </c>
      <c r="Q30" s="130">
        <f t="shared" si="1"/>
        <v>1438.25</v>
      </c>
      <c r="R30" s="130"/>
      <c r="S30" s="131"/>
    </row>
    <row r="31" spans="2:19" x14ac:dyDescent="0.25">
      <c r="B31" s="128" t="s">
        <v>8</v>
      </c>
      <c r="C31" s="7">
        <v>50075410</v>
      </c>
      <c r="D31" s="128" t="s">
        <v>87</v>
      </c>
      <c r="E31" s="7">
        <v>32420002387</v>
      </c>
      <c r="F31" s="7" t="s">
        <v>88</v>
      </c>
      <c r="G31" s="7" t="s">
        <v>89</v>
      </c>
      <c r="H31" s="7">
        <v>50075430</v>
      </c>
      <c r="I31" s="128" t="s">
        <v>60</v>
      </c>
      <c r="J31" s="6">
        <v>44774</v>
      </c>
      <c r="K31" s="6">
        <v>44780</v>
      </c>
      <c r="L31" s="129">
        <v>51412.200000000004</v>
      </c>
      <c r="M31" s="129">
        <f t="shared" si="3"/>
        <v>4284.3500000000004</v>
      </c>
      <c r="N31" s="129">
        <v>3048.1530434782612</v>
      </c>
      <c r="O31" s="129">
        <v>5</v>
      </c>
      <c r="P31" s="129">
        <f t="shared" si="4"/>
        <v>1016.05</v>
      </c>
      <c r="Q31" s="130">
        <f t="shared" si="1"/>
        <v>1016.05</v>
      </c>
      <c r="R31" s="130"/>
      <c r="S31" s="131"/>
    </row>
    <row r="32" spans="2:19" x14ac:dyDescent="0.25">
      <c r="B32" s="128" t="s">
        <v>8</v>
      </c>
      <c r="C32" s="7">
        <v>440800002</v>
      </c>
      <c r="D32" s="128" t="s">
        <v>460</v>
      </c>
      <c r="E32" s="7">
        <v>35050005611</v>
      </c>
      <c r="F32" s="7" t="s">
        <v>461</v>
      </c>
      <c r="G32" s="7" t="s">
        <v>462</v>
      </c>
      <c r="H32" s="7">
        <v>440800003</v>
      </c>
      <c r="I32" s="128" t="s">
        <v>142</v>
      </c>
      <c r="J32" s="6">
        <v>44777</v>
      </c>
      <c r="K32" s="6">
        <v>44804</v>
      </c>
      <c r="L32" s="129">
        <v>42739.56</v>
      </c>
      <c r="M32" s="129">
        <f t="shared" si="3"/>
        <v>3561.6299999999997</v>
      </c>
      <c r="N32" s="129">
        <v>0</v>
      </c>
      <c r="O32" s="129">
        <v>20</v>
      </c>
      <c r="P32" s="129">
        <f t="shared" si="4"/>
        <v>3378.62</v>
      </c>
      <c r="Q32" s="130">
        <f t="shared" si="1"/>
        <v>3378.62</v>
      </c>
      <c r="R32" s="130"/>
      <c r="S32" s="131"/>
    </row>
    <row r="33" spans="2:19" x14ac:dyDescent="0.25">
      <c r="B33" s="128" t="s">
        <v>8</v>
      </c>
      <c r="C33" s="7">
        <v>600200003</v>
      </c>
      <c r="D33" s="128" t="s">
        <v>78</v>
      </c>
      <c r="E33" s="7">
        <v>49500003983</v>
      </c>
      <c r="F33" s="7" t="s">
        <v>98</v>
      </c>
      <c r="G33" s="7" t="s">
        <v>99</v>
      </c>
      <c r="H33" s="7">
        <v>600200016</v>
      </c>
      <c r="I33" s="128" t="s">
        <v>75</v>
      </c>
      <c r="J33" s="6">
        <v>44774</v>
      </c>
      <c r="K33" s="6">
        <v>44785</v>
      </c>
      <c r="L33" s="129">
        <v>62336.88</v>
      </c>
      <c r="M33" s="129">
        <f t="shared" si="3"/>
        <v>5194.74</v>
      </c>
      <c r="N33" s="129">
        <v>2463.9083003952564</v>
      </c>
      <c r="O33" s="129">
        <v>10</v>
      </c>
      <c r="P33" s="129">
        <f t="shared" si="4"/>
        <v>2463.91</v>
      </c>
      <c r="Q33" s="130">
        <f t="shared" si="1"/>
        <v>2463.91</v>
      </c>
      <c r="R33" s="130"/>
      <c r="S33" s="131"/>
    </row>
    <row r="34" spans="2:19" x14ac:dyDescent="0.25">
      <c r="B34" s="137" t="s">
        <v>8</v>
      </c>
      <c r="C34" s="138">
        <v>210075403</v>
      </c>
      <c r="D34" s="137" t="s">
        <v>100</v>
      </c>
      <c r="E34" s="138">
        <v>49510005019</v>
      </c>
      <c r="F34" s="138" t="s">
        <v>101</v>
      </c>
      <c r="G34" s="138" t="s">
        <v>102</v>
      </c>
      <c r="H34" s="138">
        <v>210075408</v>
      </c>
      <c r="I34" s="137" t="s">
        <v>103</v>
      </c>
      <c r="J34" s="139">
        <v>44774</v>
      </c>
      <c r="K34" s="139">
        <v>44780</v>
      </c>
      <c r="L34" s="46">
        <v>59550.96</v>
      </c>
      <c r="M34" s="46">
        <f t="shared" si="3"/>
        <v>4962.58</v>
      </c>
      <c r="N34" s="46">
        <v>3530.6864426877469</v>
      </c>
      <c r="O34" s="46">
        <v>5</v>
      </c>
      <c r="P34" s="46">
        <f t="shared" si="4"/>
        <v>1176.9000000000001</v>
      </c>
      <c r="Q34" s="47">
        <f t="shared" si="1"/>
        <v>1176.9000000000001</v>
      </c>
      <c r="R34" s="130"/>
      <c r="S34" s="131"/>
    </row>
    <row r="35" spans="2:19" ht="25.5" x14ac:dyDescent="0.25">
      <c r="B35" s="137" t="s">
        <v>8</v>
      </c>
      <c r="C35" s="138">
        <v>761200023</v>
      </c>
      <c r="D35" s="137" t="s">
        <v>463</v>
      </c>
      <c r="E35" s="138">
        <v>55240008773</v>
      </c>
      <c r="F35" s="138" t="s">
        <v>302</v>
      </c>
      <c r="G35" s="138" t="s">
        <v>464</v>
      </c>
      <c r="H35" s="138">
        <v>761200010</v>
      </c>
      <c r="I35" s="137" t="s">
        <v>465</v>
      </c>
      <c r="J35" s="139" t="s">
        <v>466</v>
      </c>
      <c r="K35" s="139" t="s">
        <v>467</v>
      </c>
      <c r="L35" s="46">
        <v>74324.040000000008</v>
      </c>
      <c r="M35" s="46">
        <f t="shared" si="3"/>
        <v>6193.670000000001</v>
      </c>
      <c r="N35" s="46">
        <v>0</v>
      </c>
      <c r="O35" s="46">
        <v>10</v>
      </c>
      <c r="P35" s="46">
        <f t="shared" si="4"/>
        <v>2937.71</v>
      </c>
      <c r="Q35" s="47">
        <f t="shared" si="1"/>
        <v>2937.71</v>
      </c>
      <c r="R35" s="130"/>
      <c r="S35" s="131" t="s">
        <v>468</v>
      </c>
    </row>
    <row r="36" spans="2:19" x14ac:dyDescent="0.25">
      <c r="B36" s="137" t="s">
        <v>8</v>
      </c>
      <c r="C36" s="138">
        <v>50077461</v>
      </c>
      <c r="D36" s="137" t="s">
        <v>104</v>
      </c>
      <c r="E36" s="138">
        <v>60310011392</v>
      </c>
      <c r="F36" s="138" t="s">
        <v>105</v>
      </c>
      <c r="G36" s="138" t="s">
        <v>106</v>
      </c>
      <c r="H36" s="138">
        <v>600200012</v>
      </c>
      <c r="I36" s="137" t="s">
        <v>107</v>
      </c>
      <c r="J36" s="139">
        <v>44774</v>
      </c>
      <c r="K36" s="139">
        <v>44794</v>
      </c>
      <c r="L36" s="229">
        <v>40986.959999999999</v>
      </c>
      <c r="M36" s="229">
        <f t="shared" si="3"/>
        <v>3415.58</v>
      </c>
      <c r="N36" s="229">
        <v>810.01897233201578</v>
      </c>
      <c r="O36" s="46">
        <v>15</v>
      </c>
      <c r="P36" s="46">
        <f>ROUND((L36/253*O36)-(634.51/20*O36),2)</f>
        <v>1954.17</v>
      </c>
      <c r="Q36" s="47">
        <f t="shared" si="1"/>
        <v>1954.17</v>
      </c>
      <c r="R36" s="130"/>
      <c r="S36" s="133" t="s">
        <v>820</v>
      </c>
    </row>
    <row r="37" spans="2:19" x14ac:dyDescent="0.25">
      <c r="B37" s="137" t="s">
        <v>8</v>
      </c>
      <c r="C37" s="138">
        <v>50077461</v>
      </c>
      <c r="D37" s="137" t="s">
        <v>104</v>
      </c>
      <c r="E37" s="138">
        <v>60310011392</v>
      </c>
      <c r="F37" s="138" t="s">
        <v>105</v>
      </c>
      <c r="G37" s="138" t="s">
        <v>106</v>
      </c>
      <c r="H37" s="138">
        <v>600200016</v>
      </c>
      <c r="I37" s="137" t="s">
        <v>75</v>
      </c>
      <c r="J37" s="139">
        <v>44795</v>
      </c>
      <c r="K37" s="139">
        <v>44801</v>
      </c>
      <c r="L37" s="230"/>
      <c r="M37" s="230"/>
      <c r="N37" s="230"/>
      <c r="O37" s="46">
        <v>5</v>
      </c>
      <c r="P37" s="46">
        <f>ROUND((L36/253*O37)-(634.51/20*O37),2)</f>
        <v>651.39</v>
      </c>
      <c r="Q37" s="47">
        <f t="shared" si="1"/>
        <v>651.39</v>
      </c>
      <c r="R37" s="130"/>
      <c r="S37" s="133" t="s">
        <v>820</v>
      </c>
    </row>
    <row r="38" spans="2:19" x14ac:dyDescent="0.25">
      <c r="B38" s="137" t="s">
        <v>8</v>
      </c>
      <c r="C38" s="138">
        <v>440200001</v>
      </c>
      <c r="D38" s="137" t="s">
        <v>469</v>
      </c>
      <c r="E38" s="138">
        <v>62910005438</v>
      </c>
      <c r="F38" s="138" t="s">
        <v>470</v>
      </c>
      <c r="G38" s="138" t="s">
        <v>471</v>
      </c>
      <c r="H38" s="138">
        <v>50075428</v>
      </c>
      <c r="I38" s="137" t="s">
        <v>472</v>
      </c>
      <c r="J38" s="139">
        <v>44774</v>
      </c>
      <c r="K38" s="139">
        <v>44792</v>
      </c>
      <c r="L38" s="46">
        <v>43874.28</v>
      </c>
      <c r="M38" s="46">
        <f t="shared" si="3"/>
        <v>3656.19</v>
      </c>
      <c r="N38" s="46">
        <v>0</v>
      </c>
      <c r="O38" s="46">
        <v>15</v>
      </c>
      <c r="P38" s="46">
        <f>ROUND(L38/253*O38,2)</f>
        <v>2601.2399999999998</v>
      </c>
      <c r="Q38" s="47">
        <f t="shared" si="1"/>
        <v>2601.2399999999998</v>
      </c>
      <c r="R38" s="130"/>
      <c r="S38" s="131"/>
    </row>
    <row r="39" spans="2:19" x14ac:dyDescent="0.25">
      <c r="B39" s="137" t="s">
        <v>8</v>
      </c>
      <c r="C39" s="138">
        <v>601000006</v>
      </c>
      <c r="D39" s="137" t="s">
        <v>128</v>
      </c>
      <c r="E39" s="138">
        <v>70290003865</v>
      </c>
      <c r="F39" s="138" t="s">
        <v>129</v>
      </c>
      <c r="G39" s="138" t="s">
        <v>130</v>
      </c>
      <c r="H39" s="138">
        <v>601000007</v>
      </c>
      <c r="I39" s="137" t="s">
        <v>131</v>
      </c>
      <c r="J39" s="139">
        <v>44774</v>
      </c>
      <c r="K39" s="139">
        <v>44799</v>
      </c>
      <c r="L39" s="46">
        <v>21525.96</v>
      </c>
      <c r="M39" s="46">
        <f t="shared" si="3"/>
        <v>1793.83</v>
      </c>
      <c r="N39" s="46">
        <v>425.41422924901184</v>
      </c>
      <c r="O39" s="46">
        <v>20</v>
      </c>
      <c r="P39" s="46">
        <f>ROUND(L39/253*O39,2)-333.24</f>
        <v>1368.42</v>
      </c>
      <c r="Q39" s="47">
        <f t="shared" si="1"/>
        <v>1368.42</v>
      </c>
      <c r="R39" s="130"/>
      <c r="S39" s="133" t="s">
        <v>820</v>
      </c>
    </row>
    <row r="40" spans="2:19" x14ac:dyDescent="0.25">
      <c r="B40" s="137" t="s">
        <v>8</v>
      </c>
      <c r="C40" s="138">
        <v>50000159</v>
      </c>
      <c r="D40" s="137" t="s">
        <v>473</v>
      </c>
      <c r="E40" s="138">
        <v>71990050634</v>
      </c>
      <c r="F40" s="138" t="s">
        <v>152</v>
      </c>
      <c r="G40" s="138" t="s">
        <v>474</v>
      </c>
      <c r="H40" s="138">
        <v>50000159</v>
      </c>
      <c r="I40" s="137" t="s">
        <v>473</v>
      </c>
      <c r="J40" s="139">
        <v>44795</v>
      </c>
      <c r="K40" s="139">
        <v>44799</v>
      </c>
      <c r="L40" s="46">
        <v>36106.32</v>
      </c>
      <c r="M40" s="46">
        <f t="shared" si="3"/>
        <v>3008.86</v>
      </c>
      <c r="N40" s="46">
        <v>1427.13</v>
      </c>
      <c r="O40" s="46">
        <v>5</v>
      </c>
      <c r="P40" s="46">
        <f>ROUND(L40/253*O40,2)</f>
        <v>713.56</v>
      </c>
      <c r="Q40" s="47">
        <f t="shared" si="1"/>
        <v>713.56</v>
      </c>
      <c r="R40" s="130"/>
      <c r="S40" s="131"/>
    </row>
    <row r="41" spans="2:19" x14ac:dyDescent="0.25">
      <c r="B41" s="137" t="s">
        <v>8</v>
      </c>
      <c r="C41" s="138">
        <v>760200011</v>
      </c>
      <c r="D41" s="137" t="s">
        <v>475</v>
      </c>
      <c r="E41" s="138">
        <v>72690006799</v>
      </c>
      <c r="F41" s="138" t="s">
        <v>64</v>
      </c>
      <c r="G41" s="138" t="s">
        <v>476</v>
      </c>
      <c r="H41" s="138">
        <v>760200006</v>
      </c>
      <c r="I41" s="137" t="s">
        <v>156</v>
      </c>
      <c r="J41" s="139">
        <v>44785</v>
      </c>
      <c r="K41" s="139">
        <v>44799</v>
      </c>
      <c r="L41" s="46">
        <v>50405.88</v>
      </c>
      <c r="M41" s="46">
        <f t="shared" si="3"/>
        <v>4200.49</v>
      </c>
      <c r="N41" s="46">
        <v>0</v>
      </c>
      <c r="O41" s="46">
        <v>11</v>
      </c>
      <c r="P41" s="46">
        <f>ROUND(L41/253*O41,2)</f>
        <v>2191.56</v>
      </c>
      <c r="Q41" s="47">
        <f t="shared" si="1"/>
        <v>2191.56</v>
      </c>
      <c r="R41" s="130"/>
      <c r="S41" s="131"/>
    </row>
    <row r="42" spans="2:19" ht="25.5" customHeight="1" x14ac:dyDescent="0.25">
      <c r="B42" s="137" t="s">
        <v>8</v>
      </c>
      <c r="C42" s="138">
        <v>760200022</v>
      </c>
      <c r="D42" s="137" t="s">
        <v>154</v>
      </c>
      <c r="E42" s="138">
        <v>84500009936</v>
      </c>
      <c r="F42" s="138" t="s">
        <v>152</v>
      </c>
      <c r="G42" s="138" t="s">
        <v>155</v>
      </c>
      <c r="H42" s="138">
        <v>760200006</v>
      </c>
      <c r="I42" s="137" t="s">
        <v>156</v>
      </c>
      <c r="J42" s="139">
        <v>44774</v>
      </c>
      <c r="K42" s="139">
        <v>44794</v>
      </c>
      <c r="L42" s="231">
        <v>53885.520000000004</v>
      </c>
      <c r="M42" s="232">
        <f t="shared" si="3"/>
        <v>4490.46</v>
      </c>
      <c r="N42" s="231">
        <v>1064.9312252964428</v>
      </c>
      <c r="O42" s="229">
        <v>15</v>
      </c>
      <c r="P42" s="229">
        <f>ROUND((L42/253*O42)-(2964.06/30*O42),2)</f>
        <v>1712.76</v>
      </c>
      <c r="Q42" s="229">
        <f t="shared" si="1"/>
        <v>1712.76</v>
      </c>
      <c r="R42" s="227"/>
      <c r="S42" s="225" t="s">
        <v>842</v>
      </c>
    </row>
    <row r="43" spans="2:19" ht="25.5" customHeight="1" x14ac:dyDescent="0.25">
      <c r="B43" s="137" t="s">
        <v>8</v>
      </c>
      <c r="C43" s="138">
        <v>760200022</v>
      </c>
      <c r="D43" s="137" t="s">
        <v>154</v>
      </c>
      <c r="E43" s="138">
        <v>84500009936</v>
      </c>
      <c r="F43" s="138" t="s">
        <v>152</v>
      </c>
      <c r="G43" s="138" t="s">
        <v>155</v>
      </c>
      <c r="H43" s="138">
        <v>760200023</v>
      </c>
      <c r="I43" s="137" t="s">
        <v>157</v>
      </c>
      <c r="J43" s="139">
        <v>44774</v>
      </c>
      <c r="K43" s="139">
        <v>44794</v>
      </c>
      <c r="L43" s="231"/>
      <c r="M43" s="232"/>
      <c r="N43" s="231"/>
      <c r="O43" s="230"/>
      <c r="P43" s="230"/>
      <c r="Q43" s="230"/>
      <c r="R43" s="228"/>
      <c r="S43" s="226"/>
    </row>
    <row r="44" spans="2:19" x14ac:dyDescent="0.25">
      <c r="B44" s="137" t="s">
        <v>8</v>
      </c>
      <c r="C44" s="138">
        <v>760200013</v>
      </c>
      <c r="D44" s="137" t="s">
        <v>82</v>
      </c>
      <c r="E44" s="138">
        <v>90470001840</v>
      </c>
      <c r="F44" s="138" t="s">
        <v>477</v>
      </c>
      <c r="G44" s="138" t="s">
        <v>478</v>
      </c>
      <c r="H44" s="138">
        <v>760200005</v>
      </c>
      <c r="I44" s="137" t="s">
        <v>79</v>
      </c>
      <c r="J44" s="139">
        <v>44774</v>
      </c>
      <c r="K44" s="139">
        <v>44799</v>
      </c>
      <c r="L44" s="46">
        <v>51190.680000000008</v>
      </c>
      <c r="M44" s="46">
        <f t="shared" si="3"/>
        <v>4265.8900000000003</v>
      </c>
      <c r="N44" s="46">
        <v>0</v>
      </c>
      <c r="O44" s="46">
        <v>20</v>
      </c>
      <c r="P44" s="46">
        <f>ROUND(L44/253*O44,2)</f>
        <v>4046.69</v>
      </c>
      <c r="Q44" s="47">
        <f t="shared" si="1"/>
        <v>4046.69</v>
      </c>
      <c r="R44" s="130"/>
      <c r="S44" s="131"/>
    </row>
    <row r="45" spans="2:19" x14ac:dyDescent="0.25">
      <c r="B45" s="137" t="s">
        <v>8</v>
      </c>
      <c r="C45" s="138">
        <v>210075414</v>
      </c>
      <c r="D45" s="137" t="s">
        <v>122</v>
      </c>
      <c r="E45" s="138">
        <v>92900006340</v>
      </c>
      <c r="F45" s="138" t="s">
        <v>479</v>
      </c>
      <c r="G45" s="138" t="s">
        <v>480</v>
      </c>
      <c r="H45" s="138">
        <v>210075424</v>
      </c>
      <c r="I45" s="137" t="s">
        <v>119</v>
      </c>
      <c r="J45" s="139">
        <v>44795</v>
      </c>
      <c r="K45" s="139">
        <v>44804</v>
      </c>
      <c r="L45" s="46">
        <v>36179.520000000004</v>
      </c>
      <c r="M45" s="46">
        <f t="shared" si="3"/>
        <v>3014.9600000000005</v>
      </c>
      <c r="N45" s="46">
        <v>858.01233201581044</v>
      </c>
      <c r="O45" s="46">
        <v>8</v>
      </c>
      <c r="P45" s="46">
        <f>ROUND(L45/253*O45,2)</f>
        <v>1144.02</v>
      </c>
      <c r="Q45" s="47">
        <f t="shared" si="1"/>
        <v>1144.02</v>
      </c>
      <c r="R45" s="130"/>
      <c r="S45" s="131"/>
    </row>
    <row r="46" spans="2:19" x14ac:dyDescent="0.25">
      <c r="B46" s="137" t="s">
        <v>8</v>
      </c>
      <c r="C46" s="138">
        <v>680200037</v>
      </c>
      <c r="D46" s="137" t="s">
        <v>136</v>
      </c>
      <c r="E46" s="138">
        <v>93970005024</v>
      </c>
      <c r="F46" s="138" t="s">
        <v>172</v>
      </c>
      <c r="G46" s="138" t="s">
        <v>173</v>
      </c>
      <c r="H46" s="138">
        <v>681800002</v>
      </c>
      <c r="I46" s="137" t="s">
        <v>134</v>
      </c>
      <c r="J46" s="139">
        <v>44774</v>
      </c>
      <c r="K46" s="139">
        <v>44781</v>
      </c>
      <c r="L46" s="46">
        <v>37723.440000000002</v>
      </c>
      <c r="M46" s="46">
        <f t="shared" si="3"/>
        <v>3143.6200000000003</v>
      </c>
      <c r="N46" s="46">
        <v>596.41802371541507</v>
      </c>
      <c r="O46" s="46">
        <v>6</v>
      </c>
      <c r="P46" s="46">
        <f>ROUND(L46/253*O46,2)</f>
        <v>894.63</v>
      </c>
      <c r="Q46" s="47">
        <f t="shared" si="1"/>
        <v>894.63</v>
      </c>
      <c r="R46" s="130"/>
      <c r="S46" s="131"/>
    </row>
    <row r="47" spans="2:19" x14ac:dyDescent="0.25">
      <c r="B47" s="128" t="s">
        <v>8</v>
      </c>
      <c r="C47" s="7">
        <v>600200002</v>
      </c>
      <c r="D47" s="128" t="s">
        <v>177</v>
      </c>
      <c r="E47" s="7">
        <v>97340051437</v>
      </c>
      <c r="F47" s="7" t="s">
        <v>178</v>
      </c>
      <c r="G47" s="7" t="s">
        <v>179</v>
      </c>
      <c r="H47" s="140">
        <v>600200002</v>
      </c>
      <c r="I47" s="128" t="s">
        <v>177</v>
      </c>
      <c r="J47" s="6">
        <v>44774</v>
      </c>
      <c r="K47" s="6">
        <v>44780</v>
      </c>
      <c r="L47" s="129">
        <v>51751.56</v>
      </c>
      <c r="M47" s="129">
        <f t="shared" si="3"/>
        <v>4312.63</v>
      </c>
      <c r="N47" s="129">
        <v>2045.5162055335968</v>
      </c>
      <c r="O47" s="129">
        <v>5</v>
      </c>
      <c r="P47" s="129">
        <f>ROUND(L47/253*O47,2)</f>
        <v>1022.76</v>
      </c>
      <c r="Q47" s="130">
        <f t="shared" si="1"/>
        <v>1022.76</v>
      </c>
      <c r="R47" s="130"/>
      <c r="S47" s="131"/>
    </row>
    <row r="48" spans="2:19" x14ac:dyDescent="0.25">
      <c r="B48" s="128" t="s">
        <v>8</v>
      </c>
      <c r="C48" s="7">
        <v>601000009</v>
      </c>
      <c r="D48" s="128" t="s">
        <v>481</v>
      </c>
      <c r="E48" s="7">
        <v>99390011046</v>
      </c>
      <c r="F48" s="7" t="s">
        <v>482</v>
      </c>
      <c r="G48" s="7" t="s">
        <v>483</v>
      </c>
      <c r="H48" s="7">
        <v>601000011</v>
      </c>
      <c r="I48" s="128" t="s">
        <v>41</v>
      </c>
      <c r="J48" s="6">
        <v>44788</v>
      </c>
      <c r="K48" s="6">
        <v>44804</v>
      </c>
      <c r="L48" s="129">
        <v>42765.24</v>
      </c>
      <c r="M48" s="129">
        <f t="shared" si="3"/>
        <v>3563.77</v>
      </c>
      <c r="N48" s="129">
        <v>0</v>
      </c>
      <c r="O48" s="129">
        <v>13</v>
      </c>
      <c r="P48" s="129">
        <f>ROUND(L48/253*O48,2)</f>
        <v>2197.42</v>
      </c>
      <c r="Q48" s="130">
        <f t="shared" si="1"/>
        <v>2197.42</v>
      </c>
      <c r="R48" s="130"/>
      <c r="S48" s="131"/>
    </row>
    <row r="49" spans="2:19" x14ac:dyDescent="0.25">
      <c r="B49" s="106" t="s">
        <v>14</v>
      </c>
      <c r="C49" s="107"/>
      <c r="D49" s="106"/>
      <c r="E49" s="107"/>
      <c r="F49" s="107"/>
      <c r="G49" s="107"/>
      <c r="H49" s="107"/>
      <c r="I49" s="106"/>
      <c r="J49" s="135"/>
      <c r="K49" s="135"/>
      <c r="L49" s="110">
        <f>SUM(L23:L48)</f>
        <v>1121088.2400000002</v>
      </c>
      <c r="M49" s="110">
        <f t="shared" ref="M49:O49" si="5">SUM(M23:M48)</f>
        <v>93424.020000000019</v>
      </c>
      <c r="N49" s="110">
        <f t="shared" si="5"/>
        <v>22206.948300395256</v>
      </c>
      <c r="O49" s="110">
        <f t="shared" si="5"/>
        <v>292</v>
      </c>
      <c r="P49" s="110">
        <f>SUM(P23:P48)</f>
        <v>49299.589999999989</v>
      </c>
      <c r="Q49" s="110">
        <f>SUM(Q23:Q48)</f>
        <v>49299.589999999989</v>
      </c>
      <c r="R49" s="110">
        <f>SUM(R23:R48)</f>
        <v>0</v>
      </c>
      <c r="S49" s="141"/>
    </row>
    <row r="50" spans="2:19" x14ac:dyDescent="0.25">
      <c r="B50" s="128" t="s">
        <v>6</v>
      </c>
      <c r="C50" s="7">
        <v>19277411</v>
      </c>
      <c r="D50" s="128" t="s">
        <v>484</v>
      </c>
      <c r="E50" s="7">
        <v>10070009325</v>
      </c>
      <c r="F50" s="7" t="s">
        <v>485</v>
      </c>
      <c r="G50" s="7" t="s">
        <v>486</v>
      </c>
      <c r="H50" s="142">
        <v>19277408</v>
      </c>
      <c r="I50" s="143" t="s">
        <v>487</v>
      </c>
      <c r="J50" s="6">
        <v>44777</v>
      </c>
      <c r="K50" s="6">
        <v>44790</v>
      </c>
      <c r="L50" s="129">
        <v>35638.92</v>
      </c>
      <c r="M50" s="129">
        <f t="shared" ref="M50:M113" si="6">L50/12</f>
        <v>2969.91</v>
      </c>
      <c r="N50" s="129">
        <v>0</v>
      </c>
      <c r="O50" s="129">
        <v>10</v>
      </c>
      <c r="P50" s="129">
        <f>ROUND(L50/253*O50,2)</f>
        <v>1408.65</v>
      </c>
      <c r="Q50" s="130">
        <f t="shared" si="1"/>
        <v>1408.65</v>
      </c>
      <c r="R50" s="130"/>
      <c r="S50" s="131"/>
    </row>
    <row r="51" spans="2:19" x14ac:dyDescent="0.25">
      <c r="B51" s="128" t="s">
        <v>6</v>
      </c>
      <c r="C51" s="7">
        <v>10001593</v>
      </c>
      <c r="D51" s="128" t="s">
        <v>488</v>
      </c>
      <c r="E51" s="7">
        <v>10100005317</v>
      </c>
      <c r="F51" s="7" t="s">
        <v>185</v>
      </c>
      <c r="G51" s="7" t="s">
        <v>186</v>
      </c>
      <c r="H51" s="142">
        <v>19475430</v>
      </c>
      <c r="I51" s="143" t="s">
        <v>489</v>
      </c>
      <c r="J51" s="6">
        <v>44781</v>
      </c>
      <c r="K51" s="6">
        <v>44785</v>
      </c>
      <c r="L51" s="129">
        <v>36047.760000000002</v>
      </c>
      <c r="M51" s="129">
        <f t="shared" si="6"/>
        <v>3003.98</v>
      </c>
      <c r="N51" s="129">
        <v>2137.2175889328064</v>
      </c>
      <c r="O51" s="129">
        <v>5</v>
      </c>
      <c r="P51" s="129">
        <f>ROUND(L51/253*O51,2)</f>
        <v>712.41</v>
      </c>
      <c r="Q51" s="130">
        <f t="shared" si="1"/>
        <v>712.41</v>
      </c>
      <c r="R51" s="130"/>
      <c r="S51" s="131"/>
    </row>
    <row r="52" spans="2:19" x14ac:dyDescent="0.25">
      <c r="B52" s="128" t="s">
        <v>6</v>
      </c>
      <c r="C52" s="8">
        <v>10020301</v>
      </c>
      <c r="D52" s="144" t="s">
        <v>292</v>
      </c>
      <c r="E52" s="8">
        <v>10130005340</v>
      </c>
      <c r="F52" s="7" t="s">
        <v>338</v>
      </c>
      <c r="G52" s="7" t="s">
        <v>490</v>
      </c>
      <c r="H52" s="7">
        <v>10020301</v>
      </c>
      <c r="I52" s="128" t="s">
        <v>292</v>
      </c>
      <c r="J52" s="6">
        <v>44781</v>
      </c>
      <c r="K52" s="6">
        <v>44787</v>
      </c>
      <c r="L52" s="129">
        <v>33322.080000000002</v>
      </c>
      <c r="M52" s="129">
        <f t="shared" si="6"/>
        <v>2776.84</v>
      </c>
      <c r="N52" s="129">
        <v>1053.6626086956521</v>
      </c>
      <c r="O52" s="129">
        <v>5</v>
      </c>
      <c r="P52" s="129">
        <f>ROUND(L52/253*O52,2)</f>
        <v>658.54</v>
      </c>
      <c r="Q52" s="130">
        <f t="shared" si="1"/>
        <v>658.54</v>
      </c>
      <c r="R52" s="130"/>
      <c r="S52" s="131"/>
    </row>
    <row r="53" spans="2:19" x14ac:dyDescent="0.25">
      <c r="B53" s="128" t="s">
        <v>6</v>
      </c>
      <c r="C53" s="7">
        <v>801600079</v>
      </c>
      <c r="D53" s="128" t="s">
        <v>491</v>
      </c>
      <c r="E53" s="7">
        <v>10610042452</v>
      </c>
      <c r="F53" s="7" t="s">
        <v>399</v>
      </c>
      <c r="G53" s="7" t="s">
        <v>492</v>
      </c>
      <c r="H53" s="7">
        <v>801600074</v>
      </c>
      <c r="I53" s="128" t="s">
        <v>493</v>
      </c>
      <c r="J53" s="6">
        <v>44781</v>
      </c>
      <c r="K53" s="6">
        <v>44792</v>
      </c>
      <c r="L53" s="129">
        <v>51375.240000000005</v>
      </c>
      <c r="M53" s="129">
        <f t="shared" si="6"/>
        <v>4281.2700000000004</v>
      </c>
      <c r="N53" s="129">
        <v>3452.0909486166011</v>
      </c>
      <c r="O53" s="129">
        <v>10</v>
      </c>
      <c r="P53" s="129">
        <f>ROUND(L53/253*O53,2)-1201.46</f>
        <v>829.18000000000006</v>
      </c>
      <c r="Q53" s="130">
        <f t="shared" si="1"/>
        <v>829.18000000000006</v>
      </c>
      <c r="R53" s="130"/>
      <c r="S53" s="133" t="s">
        <v>820</v>
      </c>
    </row>
    <row r="54" spans="2:19" ht="51" x14ac:dyDescent="0.25">
      <c r="B54" s="128" t="s">
        <v>6</v>
      </c>
      <c r="C54" s="8">
        <v>19375435</v>
      </c>
      <c r="D54" s="144" t="s">
        <v>202</v>
      </c>
      <c r="E54" s="7">
        <v>11250005409</v>
      </c>
      <c r="F54" s="7" t="s">
        <v>203</v>
      </c>
      <c r="G54" s="7" t="s">
        <v>204</v>
      </c>
      <c r="H54" s="8">
        <v>19375422</v>
      </c>
      <c r="I54" s="144" t="s">
        <v>205</v>
      </c>
      <c r="J54" s="6" t="s">
        <v>494</v>
      </c>
      <c r="K54" s="6" t="s">
        <v>495</v>
      </c>
      <c r="L54" s="129">
        <v>55163.28</v>
      </c>
      <c r="M54" s="129">
        <f t="shared" si="6"/>
        <v>4596.9399999999996</v>
      </c>
      <c r="N54" s="129">
        <v>1526.2567588932807</v>
      </c>
      <c r="O54" s="129">
        <v>10</v>
      </c>
      <c r="P54" s="129">
        <f t="shared" ref="P54:P85" si="7">ROUND(L54/253*O54,2)</f>
        <v>2180.37</v>
      </c>
      <c r="Q54" s="130">
        <f t="shared" si="1"/>
        <v>2180.37</v>
      </c>
      <c r="R54" s="130"/>
      <c r="S54" s="131"/>
    </row>
    <row r="55" spans="2:19" x14ac:dyDescent="0.25">
      <c r="B55" s="128" t="s">
        <v>6</v>
      </c>
      <c r="C55" s="7">
        <v>19275437</v>
      </c>
      <c r="D55" s="128" t="s">
        <v>317</v>
      </c>
      <c r="E55" s="7">
        <v>12200005244</v>
      </c>
      <c r="F55" s="7" t="s">
        <v>115</v>
      </c>
      <c r="G55" s="7" t="s">
        <v>496</v>
      </c>
      <c r="H55" s="7">
        <v>19275408</v>
      </c>
      <c r="I55" s="128" t="s">
        <v>315</v>
      </c>
      <c r="J55" s="6">
        <v>44795</v>
      </c>
      <c r="K55" s="6">
        <v>44804</v>
      </c>
      <c r="L55" s="129">
        <v>61334.28</v>
      </c>
      <c r="M55" s="129">
        <f t="shared" si="6"/>
        <v>5111.1899999999996</v>
      </c>
      <c r="N55" s="129">
        <v>0</v>
      </c>
      <c r="O55" s="129">
        <v>8</v>
      </c>
      <c r="P55" s="129">
        <f t="shared" si="7"/>
        <v>1939.42</v>
      </c>
      <c r="Q55" s="130">
        <f t="shared" si="1"/>
        <v>1939.42</v>
      </c>
      <c r="R55" s="130"/>
      <c r="S55" s="131"/>
    </row>
    <row r="56" spans="2:19" x14ac:dyDescent="0.25">
      <c r="B56" s="128" t="s">
        <v>6</v>
      </c>
      <c r="C56" s="7">
        <v>10054211</v>
      </c>
      <c r="D56" s="128" t="s">
        <v>295</v>
      </c>
      <c r="E56" s="7">
        <v>12470044545</v>
      </c>
      <c r="F56" s="7" t="s">
        <v>164</v>
      </c>
      <c r="G56" s="7" t="s">
        <v>497</v>
      </c>
      <c r="H56" s="142">
        <v>10054211</v>
      </c>
      <c r="I56" s="143" t="s">
        <v>295</v>
      </c>
      <c r="J56" s="6">
        <v>44774</v>
      </c>
      <c r="K56" s="6">
        <v>44801</v>
      </c>
      <c r="L56" s="129">
        <v>33914.399999999994</v>
      </c>
      <c r="M56" s="129">
        <f t="shared" si="6"/>
        <v>2826.1999999999994</v>
      </c>
      <c r="N56" s="129">
        <v>0</v>
      </c>
      <c r="O56" s="129">
        <v>20</v>
      </c>
      <c r="P56" s="129">
        <f t="shared" si="7"/>
        <v>2680.98</v>
      </c>
      <c r="Q56" s="130">
        <f t="shared" si="1"/>
        <v>2680.98</v>
      </c>
      <c r="R56" s="130"/>
      <c r="S56" s="131"/>
    </row>
    <row r="57" spans="2:19" x14ac:dyDescent="0.25">
      <c r="B57" s="128" t="s">
        <v>6</v>
      </c>
      <c r="C57" s="8">
        <v>19375403</v>
      </c>
      <c r="D57" s="144" t="s">
        <v>259</v>
      </c>
      <c r="E57" s="8">
        <v>12730006362</v>
      </c>
      <c r="F57" s="7" t="s">
        <v>498</v>
      </c>
      <c r="G57" s="7" t="s">
        <v>499</v>
      </c>
      <c r="H57" s="7">
        <v>10064111</v>
      </c>
      <c r="I57" s="128" t="s">
        <v>195</v>
      </c>
      <c r="J57" s="6">
        <v>44774</v>
      </c>
      <c r="K57" s="6">
        <v>44799</v>
      </c>
      <c r="L57" s="129">
        <v>32376.600000000002</v>
      </c>
      <c r="M57" s="129">
        <f t="shared" si="6"/>
        <v>2698.05</v>
      </c>
      <c r="N57" s="129">
        <v>0</v>
      </c>
      <c r="O57" s="129">
        <v>20</v>
      </c>
      <c r="P57" s="129">
        <f t="shared" si="7"/>
        <v>2559.42</v>
      </c>
      <c r="Q57" s="130">
        <f t="shared" si="1"/>
        <v>2559.42</v>
      </c>
      <c r="R57" s="130"/>
      <c r="S57" s="131"/>
    </row>
    <row r="58" spans="2:19" x14ac:dyDescent="0.25">
      <c r="B58" s="128" t="s">
        <v>6</v>
      </c>
      <c r="C58" s="7">
        <v>804477406</v>
      </c>
      <c r="D58" s="128" t="s">
        <v>215</v>
      </c>
      <c r="E58" s="7">
        <v>12990003920</v>
      </c>
      <c r="F58" s="7" t="s">
        <v>216</v>
      </c>
      <c r="G58" s="7" t="s">
        <v>217</v>
      </c>
      <c r="H58" s="7">
        <v>805200002</v>
      </c>
      <c r="I58" s="128" t="s">
        <v>218</v>
      </c>
      <c r="J58" s="6">
        <v>44795</v>
      </c>
      <c r="K58" s="6">
        <v>44804</v>
      </c>
      <c r="L58" s="129">
        <v>50326.559999999998</v>
      </c>
      <c r="M58" s="129">
        <f t="shared" si="6"/>
        <v>4193.88</v>
      </c>
      <c r="N58" s="129">
        <v>1989.1952569169962</v>
      </c>
      <c r="O58" s="129">
        <v>8</v>
      </c>
      <c r="P58" s="129">
        <f t="shared" si="7"/>
        <v>1591.35</v>
      </c>
      <c r="Q58" s="130">
        <f t="shared" si="1"/>
        <v>1591.35</v>
      </c>
      <c r="R58" s="130"/>
      <c r="S58" s="131"/>
    </row>
    <row r="59" spans="2:19" x14ac:dyDescent="0.25">
      <c r="B59" s="128" t="s">
        <v>6</v>
      </c>
      <c r="C59" s="7">
        <v>10001476</v>
      </c>
      <c r="D59" s="128" t="s">
        <v>219</v>
      </c>
      <c r="E59" s="7">
        <v>13420038924</v>
      </c>
      <c r="F59" s="7" t="s">
        <v>220</v>
      </c>
      <c r="G59" s="7" t="s">
        <v>221</v>
      </c>
      <c r="H59" s="7">
        <v>10001826</v>
      </c>
      <c r="I59" s="128" t="s">
        <v>222</v>
      </c>
      <c r="J59" s="6">
        <v>44774</v>
      </c>
      <c r="K59" s="6">
        <v>44792</v>
      </c>
      <c r="L59" s="129">
        <v>50790.96</v>
      </c>
      <c r="M59" s="129">
        <f t="shared" si="6"/>
        <v>4232.58</v>
      </c>
      <c r="N59" s="129">
        <v>1003.7747826086957</v>
      </c>
      <c r="O59" s="129">
        <v>15</v>
      </c>
      <c r="P59" s="129">
        <f t="shared" si="7"/>
        <v>3011.32</v>
      </c>
      <c r="Q59" s="130">
        <f t="shared" si="1"/>
        <v>3011.32</v>
      </c>
      <c r="R59" s="130"/>
      <c r="S59" s="131"/>
    </row>
    <row r="60" spans="2:19" x14ac:dyDescent="0.25">
      <c r="B60" s="128" t="s">
        <v>6</v>
      </c>
      <c r="C60" s="7">
        <v>10000266</v>
      </c>
      <c r="D60" s="128" t="s">
        <v>500</v>
      </c>
      <c r="E60" s="7">
        <v>15250006447</v>
      </c>
      <c r="F60" s="7" t="s">
        <v>501</v>
      </c>
      <c r="G60" s="7" t="s">
        <v>502</v>
      </c>
      <c r="H60" s="142">
        <v>19675406</v>
      </c>
      <c r="I60" s="143" t="s">
        <v>503</v>
      </c>
      <c r="J60" s="6">
        <v>44774</v>
      </c>
      <c r="K60" s="6">
        <v>44785</v>
      </c>
      <c r="L60" s="129">
        <v>56046</v>
      </c>
      <c r="M60" s="129">
        <f t="shared" si="6"/>
        <v>4670.5</v>
      </c>
      <c r="N60" s="129">
        <v>0</v>
      </c>
      <c r="O60" s="129">
        <v>10</v>
      </c>
      <c r="P60" s="129">
        <f t="shared" si="7"/>
        <v>2215.2600000000002</v>
      </c>
      <c r="Q60" s="130">
        <f t="shared" si="1"/>
        <v>2215.2600000000002</v>
      </c>
      <c r="R60" s="130"/>
      <c r="S60" s="131"/>
    </row>
    <row r="61" spans="2:19" x14ac:dyDescent="0.25">
      <c r="B61" s="128" t="s">
        <v>6</v>
      </c>
      <c r="C61" s="7">
        <v>19375404</v>
      </c>
      <c r="D61" s="128" t="s">
        <v>504</v>
      </c>
      <c r="E61" s="7">
        <v>15270003362</v>
      </c>
      <c r="F61" s="7" t="s">
        <v>505</v>
      </c>
      <c r="G61" s="7" t="s">
        <v>506</v>
      </c>
      <c r="H61" s="7">
        <v>19375405</v>
      </c>
      <c r="I61" s="128" t="s">
        <v>507</v>
      </c>
      <c r="J61" s="6">
        <v>44802</v>
      </c>
      <c r="K61" s="6">
        <v>44804</v>
      </c>
      <c r="L61" s="129">
        <v>39266.159999999996</v>
      </c>
      <c r="M61" s="129">
        <f t="shared" si="6"/>
        <v>3272.18</v>
      </c>
      <c r="N61" s="129">
        <v>0</v>
      </c>
      <c r="O61" s="129">
        <v>3</v>
      </c>
      <c r="P61" s="129">
        <f t="shared" si="7"/>
        <v>465.61</v>
      </c>
      <c r="Q61" s="130">
        <f t="shared" si="1"/>
        <v>465.61</v>
      </c>
      <c r="R61" s="130"/>
      <c r="S61" s="131"/>
    </row>
    <row r="62" spans="2:19" x14ac:dyDescent="0.25">
      <c r="B62" s="128" t="s">
        <v>6</v>
      </c>
      <c r="C62" s="8">
        <v>10020301</v>
      </c>
      <c r="D62" s="144" t="s">
        <v>292</v>
      </c>
      <c r="E62" s="7">
        <v>16540054543</v>
      </c>
      <c r="F62" s="7" t="s">
        <v>164</v>
      </c>
      <c r="G62" s="7" t="s">
        <v>508</v>
      </c>
      <c r="H62" s="7">
        <v>10020301</v>
      </c>
      <c r="I62" s="128" t="s">
        <v>292</v>
      </c>
      <c r="J62" s="6">
        <v>44774</v>
      </c>
      <c r="K62" s="6">
        <v>44776</v>
      </c>
      <c r="L62" s="129">
        <v>38538.720000000001</v>
      </c>
      <c r="M62" s="129">
        <f t="shared" si="6"/>
        <v>3211.56</v>
      </c>
      <c r="N62" s="129">
        <v>304.65391304347827</v>
      </c>
      <c r="O62" s="129">
        <v>3</v>
      </c>
      <c r="P62" s="129">
        <f t="shared" si="7"/>
        <v>456.98</v>
      </c>
      <c r="Q62" s="130">
        <f t="shared" si="1"/>
        <v>456.98</v>
      </c>
      <c r="R62" s="130"/>
      <c r="S62" s="131"/>
    </row>
    <row r="63" spans="2:19" x14ac:dyDescent="0.25">
      <c r="B63" s="128" t="s">
        <v>6</v>
      </c>
      <c r="C63" s="7">
        <v>801000021</v>
      </c>
      <c r="D63" s="128" t="s">
        <v>509</v>
      </c>
      <c r="E63" s="7">
        <v>19270002541</v>
      </c>
      <c r="F63" s="7" t="s">
        <v>510</v>
      </c>
      <c r="G63" s="7" t="s">
        <v>511</v>
      </c>
      <c r="H63" s="140">
        <v>801000014</v>
      </c>
      <c r="I63" s="128" t="s">
        <v>512</v>
      </c>
      <c r="J63" s="6">
        <v>44797</v>
      </c>
      <c r="K63" s="6">
        <v>44804</v>
      </c>
      <c r="L63" s="129">
        <v>46266.720000000001</v>
      </c>
      <c r="M63" s="129">
        <f t="shared" si="6"/>
        <v>3855.56</v>
      </c>
      <c r="N63" s="129">
        <v>2377.3441106719365</v>
      </c>
      <c r="O63" s="129">
        <v>6</v>
      </c>
      <c r="P63" s="129">
        <f t="shared" si="7"/>
        <v>1097.23</v>
      </c>
      <c r="Q63" s="130">
        <f t="shared" si="1"/>
        <v>1097.23</v>
      </c>
      <c r="R63" s="130"/>
      <c r="S63" s="131"/>
    </row>
    <row r="64" spans="2:19" x14ac:dyDescent="0.25">
      <c r="B64" s="128" t="s">
        <v>6</v>
      </c>
      <c r="C64" s="7">
        <v>19575419</v>
      </c>
      <c r="D64" s="128" t="s">
        <v>513</v>
      </c>
      <c r="E64" s="7">
        <v>21660000398</v>
      </c>
      <c r="F64" s="7" t="s">
        <v>514</v>
      </c>
      <c r="G64" s="7" t="s">
        <v>515</v>
      </c>
      <c r="H64" s="7">
        <v>10001488</v>
      </c>
      <c r="I64" s="128" t="s">
        <v>516</v>
      </c>
      <c r="J64" s="6">
        <v>44781</v>
      </c>
      <c r="K64" s="6">
        <v>44792</v>
      </c>
      <c r="L64" s="129">
        <v>51478.680000000008</v>
      </c>
      <c r="M64" s="129">
        <f t="shared" si="6"/>
        <v>4289.8900000000003</v>
      </c>
      <c r="N64" s="129">
        <v>0</v>
      </c>
      <c r="O64" s="129">
        <v>10</v>
      </c>
      <c r="P64" s="129">
        <f t="shared" si="7"/>
        <v>2034.73</v>
      </c>
      <c r="Q64" s="130">
        <f t="shared" si="1"/>
        <v>2034.73</v>
      </c>
      <c r="R64" s="130"/>
      <c r="S64" s="131"/>
    </row>
    <row r="65" spans="2:19" x14ac:dyDescent="0.25">
      <c r="B65" s="128" t="s">
        <v>6</v>
      </c>
      <c r="C65" s="7">
        <v>19175427</v>
      </c>
      <c r="D65" s="128" t="s">
        <v>517</v>
      </c>
      <c r="E65" s="7">
        <v>21810002222</v>
      </c>
      <c r="F65" s="7" t="s">
        <v>518</v>
      </c>
      <c r="G65" s="7" t="s">
        <v>519</v>
      </c>
      <c r="H65" s="7">
        <v>10064103</v>
      </c>
      <c r="I65" s="128" t="s">
        <v>520</v>
      </c>
      <c r="J65" s="6">
        <v>44782</v>
      </c>
      <c r="K65" s="6">
        <v>44792</v>
      </c>
      <c r="L65" s="129">
        <v>57820.92</v>
      </c>
      <c r="M65" s="129">
        <f t="shared" si="6"/>
        <v>4818.41</v>
      </c>
      <c r="N65" s="129">
        <v>0</v>
      </c>
      <c r="O65" s="129">
        <v>9</v>
      </c>
      <c r="P65" s="129">
        <f t="shared" si="7"/>
        <v>2056.87</v>
      </c>
      <c r="Q65" s="130">
        <f t="shared" si="1"/>
        <v>2056.87</v>
      </c>
      <c r="R65" s="130"/>
      <c r="S65" s="131"/>
    </row>
    <row r="66" spans="2:19" ht="25.5" x14ac:dyDescent="0.25">
      <c r="B66" s="128" t="s">
        <v>6</v>
      </c>
      <c r="C66" s="7">
        <v>10000023</v>
      </c>
      <c r="D66" s="128" t="s">
        <v>521</v>
      </c>
      <c r="E66" s="7">
        <v>22860012335</v>
      </c>
      <c r="F66" s="7" t="s">
        <v>522</v>
      </c>
      <c r="G66" s="7" t="s">
        <v>523</v>
      </c>
      <c r="H66" s="145">
        <v>10000243</v>
      </c>
      <c r="I66" s="146" t="s">
        <v>524</v>
      </c>
      <c r="J66" s="6" t="s">
        <v>525</v>
      </c>
      <c r="K66" s="6" t="s">
        <v>526</v>
      </c>
      <c r="L66" s="129">
        <v>92953.919999999998</v>
      </c>
      <c r="M66" s="129">
        <f t="shared" si="6"/>
        <v>7746.16</v>
      </c>
      <c r="N66" s="129">
        <v>0</v>
      </c>
      <c r="O66" s="129">
        <v>8</v>
      </c>
      <c r="P66" s="129">
        <f t="shared" si="7"/>
        <v>2939.25</v>
      </c>
      <c r="Q66" s="130">
        <f t="shared" si="1"/>
        <v>2939.25</v>
      </c>
      <c r="R66" s="130"/>
      <c r="S66" s="131"/>
    </row>
    <row r="67" spans="2:19" x14ac:dyDescent="0.25">
      <c r="B67" s="128" t="s">
        <v>6</v>
      </c>
      <c r="C67" s="7">
        <v>10000360</v>
      </c>
      <c r="D67" s="128" t="s">
        <v>527</v>
      </c>
      <c r="E67" s="7">
        <v>23230012151</v>
      </c>
      <c r="F67" s="7" t="s">
        <v>528</v>
      </c>
      <c r="G67" s="7" t="s">
        <v>529</v>
      </c>
      <c r="H67" s="7">
        <v>19475413</v>
      </c>
      <c r="I67" s="128" t="s">
        <v>530</v>
      </c>
      <c r="J67" s="6">
        <v>44781</v>
      </c>
      <c r="K67" s="6">
        <v>44792</v>
      </c>
      <c r="L67" s="129">
        <v>46744.2</v>
      </c>
      <c r="M67" s="129">
        <f t="shared" si="6"/>
        <v>3895.35</v>
      </c>
      <c r="N67" s="129">
        <v>0</v>
      </c>
      <c r="O67" s="129">
        <v>10</v>
      </c>
      <c r="P67" s="129">
        <f t="shared" si="7"/>
        <v>1847.6</v>
      </c>
      <c r="Q67" s="130">
        <f t="shared" si="1"/>
        <v>1847.6</v>
      </c>
      <c r="R67" s="130"/>
      <c r="S67" s="131"/>
    </row>
    <row r="68" spans="2:19" x14ac:dyDescent="0.25">
      <c r="B68" s="128" t="s">
        <v>6</v>
      </c>
      <c r="C68" s="7">
        <v>10064103</v>
      </c>
      <c r="D68" s="128" t="s">
        <v>520</v>
      </c>
      <c r="E68" s="7">
        <v>24420045446</v>
      </c>
      <c r="F68" s="7" t="s">
        <v>185</v>
      </c>
      <c r="G68" s="7" t="s">
        <v>531</v>
      </c>
      <c r="H68" s="145">
        <v>10064103</v>
      </c>
      <c r="I68" s="147" t="s">
        <v>520</v>
      </c>
      <c r="J68" s="6">
        <v>44795</v>
      </c>
      <c r="K68" s="6">
        <v>44799</v>
      </c>
      <c r="L68" s="129">
        <v>40089.360000000001</v>
      </c>
      <c r="M68" s="129">
        <f t="shared" si="6"/>
        <v>3340.78</v>
      </c>
      <c r="N68" s="129">
        <v>1901.4716205533596</v>
      </c>
      <c r="O68" s="129">
        <v>5</v>
      </c>
      <c r="P68" s="129">
        <f t="shared" si="7"/>
        <v>792.28</v>
      </c>
      <c r="Q68" s="130">
        <f t="shared" si="1"/>
        <v>792.28</v>
      </c>
      <c r="R68" s="130"/>
      <c r="S68" s="131"/>
    </row>
    <row r="69" spans="2:19" x14ac:dyDescent="0.25">
      <c r="B69" s="128" t="s">
        <v>6</v>
      </c>
      <c r="C69" s="7">
        <v>10000539</v>
      </c>
      <c r="D69" s="128" t="s">
        <v>231</v>
      </c>
      <c r="E69" s="7">
        <v>25100004470</v>
      </c>
      <c r="F69" s="7" t="s">
        <v>58</v>
      </c>
      <c r="G69" s="7" t="s">
        <v>232</v>
      </c>
      <c r="H69" s="7">
        <v>10065214</v>
      </c>
      <c r="I69" s="128" t="s">
        <v>532</v>
      </c>
      <c r="J69" s="6">
        <v>44774</v>
      </c>
      <c r="K69" s="6">
        <v>44785</v>
      </c>
      <c r="L69" s="129">
        <v>44901</v>
      </c>
      <c r="M69" s="129">
        <f t="shared" si="6"/>
        <v>3741.75</v>
      </c>
      <c r="N69" s="129">
        <v>1774.7430830039525</v>
      </c>
      <c r="O69" s="129">
        <v>10</v>
      </c>
      <c r="P69" s="129">
        <f t="shared" si="7"/>
        <v>1774.74</v>
      </c>
      <c r="Q69" s="130">
        <f t="shared" si="1"/>
        <v>1774.74</v>
      </c>
      <c r="R69" s="130"/>
      <c r="S69" s="131"/>
    </row>
    <row r="70" spans="2:19" ht="25.5" x14ac:dyDescent="0.25">
      <c r="B70" s="128" t="s">
        <v>6</v>
      </c>
      <c r="C70" s="7">
        <v>19475413</v>
      </c>
      <c r="D70" s="128" t="s">
        <v>533</v>
      </c>
      <c r="E70" s="7">
        <v>25810009624</v>
      </c>
      <c r="F70" s="7" t="s">
        <v>192</v>
      </c>
      <c r="G70" s="7" t="s">
        <v>534</v>
      </c>
      <c r="H70" s="7">
        <v>10000360</v>
      </c>
      <c r="I70" s="128" t="s">
        <v>535</v>
      </c>
      <c r="J70" s="6" t="s">
        <v>536</v>
      </c>
      <c r="K70" s="6" t="s">
        <v>526</v>
      </c>
      <c r="L70" s="129">
        <v>32925.840000000004</v>
      </c>
      <c r="M70" s="129">
        <f t="shared" si="6"/>
        <v>2743.82</v>
      </c>
      <c r="N70" s="129">
        <v>0</v>
      </c>
      <c r="O70" s="129">
        <v>8</v>
      </c>
      <c r="P70" s="129">
        <f t="shared" si="7"/>
        <v>1041.1300000000001</v>
      </c>
      <c r="Q70" s="130">
        <f t="shared" si="1"/>
        <v>1041.1300000000001</v>
      </c>
      <c r="R70" s="130"/>
      <c r="S70" s="131"/>
    </row>
    <row r="71" spans="2:19" x14ac:dyDescent="0.25">
      <c r="B71" s="128" t="s">
        <v>6</v>
      </c>
      <c r="C71" s="8">
        <v>10000459</v>
      </c>
      <c r="D71" s="144" t="s">
        <v>243</v>
      </c>
      <c r="E71" s="8">
        <v>28430005283</v>
      </c>
      <c r="F71" s="7" t="s">
        <v>240</v>
      </c>
      <c r="G71" s="7" t="s">
        <v>244</v>
      </c>
      <c r="H71" s="7">
        <v>19375425</v>
      </c>
      <c r="I71" s="128" t="s">
        <v>245</v>
      </c>
      <c r="J71" s="6">
        <v>44788</v>
      </c>
      <c r="K71" s="6">
        <v>44792</v>
      </c>
      <c r="L71" s="129">
        <v>36997.919999999998</v>
      </c>
      <c r="M71" s="129">
        <f t="shared" si="6"/>
        <v>3083.16</v>
      </c>
      <c r="N71" s="129">
        <v>2193.5547035573122</v>
      </c>
      <c r="O71" s="129">
        <v>5</v>
      </c>
      <c r="P71" s="129">
        <f t="shared" si="7"/>
        <v>731.18</v>
      </c>
      <c r="Q71" s="130">
        <f t="shared" si="1"/>
        <v>731.18</v>
      </c>
      <c r="R71" s="130"/>
      <c r="S71" s="131"/>
    </row>
    <row r="72" spans="2:19" x14ac:dyDescent="0.25">
      <c r="B72" s="128" t="s">
        <v>6</v>
      </c>
      <c r="C72" s="7">
        <v>19575431</v>
      </c>
      <c r="D72" s="128" t="s">
        <v>537</v>
      </c>
      <c r="E72" s="7">
        <v>31760008535</v>
      </c>
      <c r="F72" s="7" t="s">
        <v>216</v>
      </c>
      <c r="G72" s="7" t="s">
        <v>251</v>
      </c>
      <c r="H72" s="7">
        <v>10075413</v>
      </c>
      <c r="I72" s="128" t="s">
        <v>538</v>
      </c>
      <c r="J72" s="6">
        <v>44802</v>
      </c>
      <c r="K72" s="6">
        <v>44804</v>
      </c>
      <c r="L72" s="129">
        <v>41780.639999999999</v>
      </c>
      <c r="M72" s="129">
        <f t="shared" si="6"/>
        <v>3481.72</v>
      </c>
      <c r="N72" s="129">
        <v>2477.1130434782608</v>
      </c>
      <c r="O72" s="129">
        <v>3</v>
      </c>
      <c r="P72" s="129">
        <f t="shared" si="7"/>
        <v>495.42</v>
      </c>
      <c r="Q72" s="130">
        <f t="shared" si="1"/>
        <v>495.42</v>
      </c>
      <c r="R72" s="130"/>
      <c r="S72" s="131"/>
    </row>
    <row r="73" spans="2:19" x14ac:dyDescent="0.25">
      <c r="B73" s="128" t="s">
        <v>6</v>
      </c>
      <c r="C73" s="7">
        <v>10000170</v>
      </c>
      <c r="D73" s="128" t="s">
        <v>539</v>
      </c>
      <c r="E73" s="7">
        <v>32810030654</v>
      </c>
      <c r="F73" s="7" t="s">
        <v>410</v>
      </c>
      <c r="G73" s="7" t="s">
        <v>540</v>
      </c>
      <c r="H73" s="142">
        <v>10000505</v>
      </c>
      <c r="I73" s="143" t="s">
        <v>541</v>
      </c>
      <c r="J73" s="6">
        <v>44781</v>
      </c>
      <c r="K73" s="6">
        <v>44804</v>
      </c>
      <c r="L73" s="129">
        <v>55893.72</v>
      </c>
      <c r="M73" s="129">
        <f t="shared" si="6"/>
        <v>4657.8100000000004</v>
      </c>
      <c r="N73" s="129">
        <v>0</v>
      </c>
      <c r="O73" s="129">
        <v>18</v>
      </c>
      <c r="P73" s="129">
        <f t="shared" si="7"/>
        <v>3976.63</v>
      </c>
      <c r="Q73" s="130">
        <f t="shared" ref="Q73:Q136" si="8">P73</f>
        <v>3976.63</v>
      </c>
      <c r="R73" s="130"/>
      <c r="S73" s="131"/>
    </row>
    <row r="74" spans="2:19" x14ac:dyDescent="0.25">
      <c r="B74" s="128" t="s">
        <v>6</v>
      </c>
      <c r="C74" s="7">
        <v>19475438</v>
      </c>
      <c r="D74" s="128" t="s">
        <v>253</v>
      </c>
      <c r="E74" s="7">
        <v>34590001642</v>
      </c>
      <c r="F74" s="7" t="s">
        <v>240</v>
      </c>
      <c r="G74" s="7" t="s">
        <v>254</v>
      </c>
      <c r="H74" s="7">
        <v>10001228</v>
      </c>
      <c r="I74" s="128" t="s">
        <v>255</v>
      </c>
      <c r="J74" s="6">
        <v>44774</v>
      </c>
      <c r="K74" s="6">
        <v>44785</v>
      </c>
      <c r="L74" s="129">
        <v>48813.24</v>
      </c>
      <c r="M74" s="129">
        <f t="shared" si="6"/>
        <v>4067.77</v>
      </c>
      <c r="N74" s="129">
        <v>1543.498537549407</v>
      </c>
      <c r="O74" s="129">
        <v>10</v>
      </c>
      <c r="P74" s="129">
        <f t="shared" si="7"/>
        <v>1929.38</v>
      </c>
      <c r="Q74" s="130">
        <f t="shared" si="8"/>
        <v>1929.38</v>
      </c>
      <c r="R74" s="130"/>
      <c r="S74" s="131"/>
    </row>
    <row r="75" spans="2:19" x14ac:dyDescent="0.25">
      <c r="B75" s="128" t="s">
        <v>6</v>
      </c>
      <c r="C75" s="7">
        <v>10000364</v>
      </c>
      <c r="D75" s="128" t="s">
        <v>265</v>
      </c>
      <c r="E75" s="7">
        <v>38400005483</v>
      </c>
      <c r="F75" s="7" t="s">
        <v>48</v>
      </c>
      <c r="G75" s="7" t="s">
        <v>266</v>
      </c>
      <c r="H75" s="7">
        <v>19375431</v>
      </c>
      <c r="I75" s="128" t="s">
        <v>267</v>
      </c>
      <c r="J75" s="6">
        <v>44774</v>
      </c>
      <c r="K75" s="6">
        <v>44789</v>
      </c>
      <c r="L75" s="129">
        <v>44691.12</v>
      </c>
      <c r="M75" s="129">
        <f t="shared" si="6"/>
        <v>3724.26</v>
      </c>
      <c r="N75" s="129">
        <v>706.57897233201584</v>
      </c>
      <c r="O75" s="129">
        <v>12</v>
      </c>
      <c r="P75" s="129">
        <f t="shared" si="7"/>
        <v>2119.7399999999998</v>
      </c>
      <c r="Q75" s="130">
        <f t="shared" si="8"/>
        <v>2119.7399999999998</v>
      </c>
      <c r="R75" s="130"/>
      <c r="S75" s="131"/>
    </row>
    <row r="76" spans="2:19" x14ac:dyDescent="0.25">
      <c r="B76" s="128" t="s">
        <v>6</v>
      </c>
      <c r="C76" s="7">
        <v>10001379</v>
      </c>
      <c r="D76" s="128" t="s">
        <v>542</v>
      </c>
      <c r="E76" s="7">
        <v>40330009356</v>
      </c>
      <c r="F76" s="7" t="s">
        <v>444</v>
      </c>
      <c r="G76" s="7" t="s">
        <v>543</v>
      </c>
      <c r="H76" s="145">
        <v>10001379</v>
      </c>
      <c r="I76" s="146" t="s">
        <v>542</v>
      </c>
      <c r="J76" s="6">
        <v>44795</v>
      </c>
      <c r="K76" s="6">
        <v>44804</v>
      </c>
      <c r="L76" s="129">
        <v>37089.120000000003</v>
      </c>
      <c r="M76" s="129">
        <f t="shared" si="6"/>
        <v>3090.76</v>
      </c>
      <c r="N76" s="129">
        <v>0</v>
      </c>
      <c r="O76" s="129">
        <v>8</v>
      </c>
      <c r="P76" s="129">
        <f t="shared" si="7"/>
        <v>1172.78</v>
      </c>
      <c r="Q76" s="130">
        <f t="shared" si="8"/>
        <v>1172.78</v>
      </c>
      <c r="R76" s="130"/>
      <c r="S76" s="131"/>
    </row>
    <row r="77" spans="2:19" x14ac:dyDescent="0.25">
      <c r="B77" s="128" t="s">
        <v>6</v>
      </c>
      <c r="C77" s="8">
        <v>19375444</v>
      </c>
      <c r="D77" s="144" t="s">
        <v>544</v>
      </c>
      <c r="E77" s="8">
        <v>43510002422</v>
      </c>
      <c r="F77" s="7" t="s">
        <v>545</v>
      </c>
      <c r="G77" s="7" t="s">
        <v>546</v>
      </c>
      <c r="H77" s="142">
        <v>19377439</v>
      </c>
      <c r="I77" s="143" t="s">
        <v>547</v>
      </c>
      <c r="J77" s="6">
        <v>44774</v>
      </c>
      <c r="K77" s="6">
        <v>44788</v>
      </c>
      <c r="L77" s="129">
        <v>60429</v>
      </c>
      <c r="M77" s="129">
        <f t="shared" si="6"/>
        <v>5035.75</v>
      </c>
      <c r="N77" s="129">
        <v>0</v>
      </c>
      <c r="O77" s="129">
        <v>11</v>
      </c>
      <c r="P77" s="129">
        <f t="shared" si="7"/>
        <v>2627.35</v>
      </c>
      <c r="Q77" s="130">
        <f t="shared" si="8"/>
        <v>2627.35</v>
      </c>
      <c r="R77" s="130"/>
      <c r="S77" s="131"/>
    </row>
    <row r="78" spans="2:19" x14ac:dyDescent="0.25">
      <c r="B78" s="128" t="s">
        <v>6</v>
      </c>
      <c r="C78" s="7">
        <v>10000372</v>
      </c>
      <c r="D78" s="128" t="s">
        <v>548</v>
      </c>
      <c r="E78" s="8">
        <v>43810001041</v>
      </c>
      <c r="F78" s="7" t="s">
        <v>549</v>
      </c>
      <c r="G78" s="7" t="s">
        <v>550</v>
      </c>
      <c r="H78" s="142">
        <v>10075428</v>
      </c>
      <c r="I78" s="143" t="s">
        <v>551</v>
      </c>
      <c r="J78" s="6">
        <v>44781</v>
      </c>
      <c r="K78" s="6">
        <v>44799</v>
      </c>
      <c r="L78" s="129">
        <v>51789.96</v>
      </c>
      <c r="M78" s="129">
        <f t="shared" si="6"/>
        <v>4315.83</v>
      </c>
      <c r="N78" s="129">
        <v>0</v>
      </c>
      <c r="O78" s="129">
        <v>15</v>
      </c>
      <c r="P78" s="129">
        <f t="shared" si="7"/>
        <v>3070.55</v>
      </c>
      <c r="Q78" s="130">
        <f t="shared" si="8"/>
        <v>3070.55</v>
      </c>
      <c r="R78" s="130"/>
      <c r="S78" s="131"/>
    </row>
    <row r="79" spans="2:19" x14ac:dyDescent="0.25">
      <c r="B79" s="128" t="s">
        <v>6</v>
      </c>
      <c r="C79" s="7">
        <v>10001527</v>
      </c>
      <c r="D79" s="128" t="s">
        <v>552</v>
      </c>
      <c r="E79" s="7">
        <v>44970044300</v>
      </c>
      <c r="F79" s="7" t="s">
        <v>553</v>
      </c>
      <c r="G79" s="7" t="s">
        <v>554</v>
      </c>
      <c r="H79" s="7">
        <v>10001640</v>
      </c>
      <c r="I79" s="128" t="s">
        <v>555</v>
      </c>
      <c r="J79" s="6">
        <v>44774</v>
      </c>
      <c r="K79" s="6">
        <v>44778</v>
      </c>
      <c r="L79" s="129">
        <v>59066.04</v>
      </c>
      <c r="M79" s="129">
        <f t="shared" si="6"/>
        <v>4922.17</v>
      </c>
      <c r="N79" s="129">
        <v>0</v>
      </c>
      <c r="O79" s="129">
        <v>5</v>
      </c>
      <c r="P79" s="129">
        <f t="shared" si="7"/>
        <v>1167.31</v>
      </c>
      <c r="Q79" s="130">
        <f t="shared" si="8"/>
        <v>1167.31</v>
      </c>
      <c r="R79" s="130"/>
      <c r="S79" s="131"/>
    </row>
    <row r="80" spans="2:19" x14ac:dyDescent="0.25">
      <c r="B80" s="128" t="s">
        <v>6</v>
      </c>
      <c r="C80" s="8">
        <v>10000835</v>
      </c>
      <c r="D80" s="144" t="s">
        <v>556</v>
      </c>
      <c r="E80" s="8">
        <v>47380008050</v>
      </c>
      <c r="F80" s="7" t="s">
        <v>557</v>
      </c>
      <c r="G80" s="7" t="s">
        <v>558</v>
      </c>
      <c r="H80" s="7">
        <v>10000835</v>
      </c>
      <c r="I80" s="128" t="s">
        <v>556</v>
      </c>
      <c r="J80" s="6">
        <v>44774</v>
      </c>
      <c r="K80" s="6">
        <v>44785</v>
      </c>
      <c r="L80" s="129">
        <v>48486.479999999996</v>
      </c>
      <c r="M80" s="129">
        <f t="shared" si="6"/>
        <v>4040.5399999999995</v>
      </c>
      <c r="N80" s="129">
        <v>0</v>
      </c>
      <c r="O80" s="129">
        <v>10</v>
      </c>
      <c r="P80" s="129">
        <f t="shared" si="7"/>
        <v>1916.46</v>
      </c>
      <c r="Q80" s="130">
        <f t="shared" si="8"/>
        <v>1916.46</v>
      </c>
      <c r="R80" s="130"/>
      <c r="S80" s="131"/>
    </row>
    <row r="81" spans="2:19" ht="25.5" x14ac:dyDescent="0.25">
      <c r="B81" s="128" t="s">
        <v>6</v>
      </c>
      <c r="C81" s="7">
        <v>10000964</v>
      </c>
      <c r="D81" s="128" t="s">
        <v>559</v>
      </c>
      <c r="E81" s="7">
        <v>47400013313</v>
      </c>
      <c r="F81" s="7" t="s">
        <v>560</v>
      </c>
      <c r="G81" s="7" t="s">
        <v>561</v>
      </c>
      <c r="H81" s="7">
        <v>10001769</v>
      </c>
      <c r="I81" s="128" t="s">
        <v>562</v>
      </c>
      <c r="J81" s="6" t="s">
        <v>563</v>
      </c>
      <c r="K81" s="6" t="s">
        <v>564</v>
      </c>
      <c r="L81" s="129">
        <v>50826.96</v>
      </c>
      <c r="M81" s="129">
        <f t="shared" si="6"/>
        <v>4235.58</v>
      </c>
      <c r="N81" s="129">
        <v>0</v>
      </c>
      <c r="O81" s="129">
        <v>8</v>
      </c>
      <c r="P81" s="129">
        <f t="shared" si="7"/>
        <v>1607.18</v>
      </c>
      <c r="Q81" s="130">
        <f t="shared" si="8"/>
        <v>1607.18</v>
      </c>
      <c r="R81" s="130"/>
      <c r="S81" s="131"/>
    </row>
    <row r="82" spans="2:19" x14ac:dyDescent="0.25">
      <c r="B82" s="137" t="s">
        <v>6</v>
      </c>
      <c r="C82" s="138">
        <v>19375425</v>
      </c>
      <c r="D82" s="137" t="s">
        <v>271</v>
      </c>
      <c r="E82" s="138">
        <v>48270010211</v>
      </c>
      <c r="F82" s="138" t="s">
        <v>272</v>
      </c>
      <c r="G82" s="138" t="s">
        <v>273</v>
      </c>
      <c r="H82" s="138">
        <v>10000459</v>
      </c>
      <c r="I82" s="137" t="s">
        <v>274</v>
      </c>
      <c r="J82" s="139">
        <v>44774</v>
      </c>
      <c r="K82" s="139">
        <v>44780</v>
      </c>
      <c r="L82" s="46">
        <v>51511.08</v>
      </c>
      <c r="M82" s="46">
        <f t="shared" si="6"/>
        <v>4292.59</v>
      </c>
      <c r="N82" s="46">
        <v>2036.0110671936761</v>
      </c>
      <c r="O82" s="46">
        <v>5</v>
      </c>
      <c r="P82" s="46">
        <f t="shared" si="7"/>
        <v>1018.01</v>
      </c>
      <c r="Q82" s="47">
        <f t="shared" si="8"/>
        <v>1018.01</v>
      </c>
      <c r="R82" s="130"/>
      <c r="S82" s="131"/>
    </row>
    <row r="83" spans="2:19" x14ac:dyDescent="0.25">
      <c r="B83" s="137" t="s">
        <v>6</v>
      </c>
      <c r="C83" s="138">
        <v>19375433</v>
      </c>
      <c r="D83" s="137" t="s">
        <v>565</v>
      </c>
      <c r="E83" s="138">
        <v>48610001943</v>
      </c>
      <c r="F83" s="138" t="s">
        <v>455</v>
      </c>
      <c r="G83" s="138" t="s">
        <v>566</v>
      </c>
      <c r="H83" s="138">
        <v>19377425</v>
      </c>
      <c r="I83" s="137" t="s">
        <v>567</v>
      </c>
      <c r="J83" s="139">
        <v>44788</v>
      </c>
      <c r="K83" s="139">
        <v>44792</v>
      </c>
      <c r="L83" s="46">
        <v>60597.479999999996</v>
      </c>
      <c r="M83" s="46">
        <f t="shared" si="6"/>
        <v>5049.79</v>
      </c>
      <c r="N83" s="46">
        <v>0</v>
      </c>
      <c r="O83" s="46">
        <v>5</v>
      </c>
      <c r="P83" s="46">
        <f t="shared" si="7"/>
        <v>1197.58</v>
      </c>
      <c r="Q83" s="47">
        <f t="shared" si="8"/>
        <v>1197.58</v>
      </c>
      <c r="R83" s="130"/>
      <c r="S83" s="131"/>
    </row>
    <row r="84" spans="2:19" x14ac:dyDescent="0.25">
      <c r="B84" s="137" t="s">
        <v>6</v>
      </c>
      <c r="C84" s="138">
        <v>19275433</v>
      </c>
      <c r="D84" s="137" t="s">
        <v>568</v>
      </c>
      <c r="E84" s="138">
        <v>49590004369</v>
      </c>
      <c r="F84" s="138" t="s">
        <v>425</v>
      </c>
      <c r="G84" s="138" t="s">
        <v>569</v>
      </c>
      <c r="H84" s="138">
        <v>1000063</v>
      </c>
      <c r="I84" s="137" t="s">
        <v>570</v>
      </c>
      <c r="J84" s="139">
        <v>44781</v>
      </c>
      <c r="K84" s="139">
        <v>44792</v>
      </c>
      <c r="L84" s="46">
        <v>47243.040000000001</v>
      </c>
      <c r="M84" s="46">
        <f t="shared" si="6"/>
        <v>3936.92</v>
      </c>
      <c r="N84" s="46">
        <v>0</v>
      </c>
      <c r="O84" s="46">
        <v>10</v>
      </c>
      <c r="P84" s="46">
        <f t="shared" si="7"/>
        <v>1867.31</v>
      </c>
      <c r="Q84" s="47">
        <f t="shared" si="8"/>
        <v>1867.31</v>
      </c>
      <c r="R84" s="130"/>
      <c r="S84" s="131"/>
    </row>
    <row r="85" spans="2:19" x14ac:dyDescent="0.25">
      <c r="B85" s="137" t="s">
        <v>6</v>
      </c>
      <c r="C85" s="138">
        <v>19375446</v>
      </c>
      <c r="D85" s="137" t="s">
        <v>571</v>
      </c>
      <c r="E85" s="138">
        <v>49790006000</v>
      </c>
      <c r="F85" s="138" t="s">
        <v>572</v>
      </c>
      <c r="G85" s="138" t="s">
        <v>573</v>
      </c>
      <c r="H85" s="138">
        <v>19375433</v>
      </c>
      <c r="I85" s="137" t="s">
        <v>565</v>
      </c>
      <c r="J85" s="139">
        <v>44781</v>
      </c>
      <c r="K85" s="139">
        <v>44785</v>
      </c>
      <c r="L85" s="46">
        <v>35455.800000000003</v>
      </c>
      <c r="M85" s="46">
        <f t="shared" si="6"/>
        <v>2954.65</v>
      </c>
      <c r="N85" s="46">
        <v>1261.2735177865613</v>
      </c>
      <c r="O85" s="46">
        <v>5</v>
      </c>
      <c r="P85" s="46">
        <f t="shared" si="7"/>
        <v>700.71</v>
      </c>
      <c r="Q85" s="47">
        <f t="shared" si="8"/>
        <v>700.71</v>
      </c>
      <c r="R85" s="130"/>
      <c r="S85" s="131"/>
    </row>
    <row r="86" spans="2:19" x14ac:dyDescent="0.25">
      <c r="B86" s="137" t="s">
        <v>6</v>
      </c>
      <c r="C86" s="10">
        <v>19375446</v>
      </c>
      <c r="D86" s="148" t="s">
        <v>571</v>
      </c>
      <c r="E86" s="10">
        <v>49790006000</v>
      </c>
      <c r="F86" s="10" t="s">
        <v>572</v>
      </c>
      <c r="G86" s="10" t="s">
        <v>573</v>
      </c>
      <c r="H86" s="138">
        <v>10001504</v>
      </c>
      <c r="I86" s="137" t="s">
        <v>574</v>
      </c>
      <c r="J86" s="139">
        <v>44788</v>
      </c>
      <c r="K86" s="139">
        <v>44795</v>
      </c>
      <c r="L86" s="46">
        <v>35455.800000000003</v>
      </c>
      <c r="M86" s="46">
        <f t="shared" si="6"/>
        <v>2954.65</v>
      </c>
      <c r="N86" s="46">
        <v>1261.2735177865613</v>
      </c>
      <c r="O86" s="46">
        <v>6</v>
      </c>
      <c r="P86" s="46">
        <f t="shared" ref="P86:P115" si="9">ROUND(L86/253*O86,2)</f>
        <v>840.85</v>
      </c>
      <c r="Q86" s="47">
        <f t="shared" si="8"/>
        <v>840.85</v>
      </c>
      <c r="R86" s="130"/>
      <c r="S86" s="131"/>
    </row>
    <row r="87" spans="2:19" ht="25.5" x14ac:dyDescent="0.25">
      <c r="B87" s="137" t="s">
        <v>6</v>
      </c>
      <c r="C87" s="138">
        <v>10001158</v>
      </c>
      <c r="D87" s="137" t="s">
        <v>575</v>
      </c>
      <c r="E87" s="138">
        <v>50480000327</v>
      </c>
      <c r="F87" s="138" t="s">
        <v>576</v>
      </c>
      <c r="G87" s="138" t="s">
        <v>577</v>
      </c>
      <c r="H87" s="138">
        <v>10000962</v>
      </c>
      <c r="I87" s="137" t="s">
        <v>578</v>
      </c>
      <c r="J87" s="139" t="s">
        <v>525</v>
      </c>
      <c r="K87" s="139" t="s">
        <v>579</v>
      </c>
      <c r="L87" s="46">
        <v>49236.72</v>
      </c>
      <c r="M87" s="46">
        <f t="shared" si="6"/>
        <v>4103.0600000000004</v>
      </c>
      <c r="N87" s="46">
        <v>1946.1107905138342</v>
      </c>
      <c r="O87" s="46">
        <v>10</v>
      </c>
      <c r="P87" s="46">
        <f t="shared" si="9"/>
        <v>1946.12</v>
      </c>
      <c r="Q87" s="47">
        <f t="shared" si="8"/>
        <v>1946.12</v>
      </c>
      <c r="R87" s="130"/>
      <c r="S87" s="131"/>
    </row>
    <row r="88" spans="2:19" x14ac:dyDescent="0.25">
      <c r="B88" s="137" t="s">
        <v>6</v>
      </c>
      <c r="C88" s="10">
        <v>10001649</v>
      </c>
      <c r="D88" s="148" t="s">
        <v>580</v>
      </c>
      <c r="E88" s="10">
        <v>50600047409</v>
      </c>
      <c r="F88" s="138" t="s">
        <v>203</v>
      </c>
      <c r="G88" s="138" t="s">
        <v>581</v>
      </c>
      <c r="H88" s="10">
        <v>10001667</v>
      </c>
      <c r="I88" s="148" t="s">
        <v>582</v>
      </c>
      <c r="J88" s="139">
        <v>44774</v>
      </c>
      <c r="K88" s="139">
        <v>44787</v>
      </c>
      <c r="L88" s="46">
        <v>34629.24</v>
      </c>
      <c r="M88" s="46">
        <f t="shared" si="6"/>
        <v>2885.77</v>
      </c>
      <c r="N88" s="46">
        <v>0</v>
      </c>
      <c r="O88" s="46">
        <v>10</v>
      </c>
      <c r="P88" s="46">
        <f t="shared" si="9"/>
        <v>1368.74</v>
      </c>
      <c r="Q88" s="47">
        <f t="shared" si="8"/>
        <v>1368.74</v>
      </c>
      <c r="R88" s="130"/>
      <c r="S88" s="131"/>
    </row>
    <row r="89" spans="2:19" x14ac:dyDescent="0.25">
      <c r="B89" s="137" t="s">
        <v>6</v>
      </c>
      <c r="C89" s="138">
        <v>19675405</v>
      </c>
      <c r="D89" s="137" t="s">
        <v>583</v>
      </c>
      <c r="E89" s="138">
        <v>52690006762</v>
      </c>
      <c r="F89" s="138" t="s">
        <v>283</v>
      </c>
      <c r="G89" s="138" t="s">
        <v>282</v>
      </c>
      <c r="H89" s="149">
        <v>10000220</v>
      </c>
      <c r="I89" s="150" t="s">
        <v>584</v>
      </c>
      <c r="J89" s="139">
        <v>44774</v>
      </c>
      <c r="K89" s="139">
        <v>44780</v>
      </c>
      <c r="L89" s="46">
        <v>51789.96</v>
      </c>
      <c r="M89" s="46">
        <f t="shared" si="6"/>
        <v>4315.83</v>
      </c>
      <c r="N89" s="46">
        <v>2047.0339920948616</v>
      </c>
      <c r="O89" s="46">
        <v>5</v>
      </c>
      <c r="P89" s="46">
        <f t="shared" si="9"/>
        <v>1023.52</v>
      </c>
      <c r="Q89" s="47">
        <f t="shared" si="8"/>
        <v>1023.52</v>
      </c>
      <c r="R89" s="130"/>
      <c r="S89" s="131"/>
    </row>
    <row r="90" spans="2:19" ht="25.5" x14ac:dyDescent="0.25">
      <c r="B90" s="128" t="s">
        <v>6</v>
      </c>
      <c r="C90" s="7">
        <v>10075413</v>
      </c>
      <c r="D90" s="128" t="s">
        <v>252</v>
      </c>
      <c r="E90" s="7">
        <v>53010008079</v>
      </c>
      <c r="F90" s="7" t="s">
        <v>514</v>
      </c>
      <c r="G90" s="7" t="s">
        <v>585</v>
      </c>
      <c r="H90" s="142">
        <v>19575431</v>
      </c>
      <c r="I90" s="143" t="s">
        <v>250</v>
      </c>
      <c r="J90" s="6" t="s">
        <v>525</v>
      </c>
      <c r="K90" s="6" t="s">
        <v>586</v>
      </c>
      <c r="L90" s="129">
        <v>46114.8</v>
      </c>
      <c r="M90" s="129">
        <f t="shared" si="6"/>
        <v>3842.9</v>
      </c>
      <c r="N90" s="129">
        <v>0</v>
      </c>
      <c r="O90" s="129">
        <v>15</v>
      </c>
      <c r="P90" s="129">
        <f t="shared" si="9"/>
        <v>2734.08</v>
      </c>
      <c r="Q90" s="130">
        <f t="shared" si="8"/>
        <v>2734.08</v>
      </c>
      <c r="R90" s="130"/>
      <c r="S90" s="131"/>
    </row>
    <row r="91" spans="2:19" x14ac:dyDescent="0.25">
      <c r="B91" s="128" t="s">
        <v>6</v>
      </c>
      <c r="C91" s="8">
        <v>10000348</v>
      </c>
      <c r="D91" s="144" t="s">
        <v>289</v>
      </c>
      <c r="E91" s="7">
        <v>55200005087</v>
      </c>
      <c r="F91" s="7" t="s">
        <v>290</v>
      </c>
      <c r="G91" s="7" t="s">
        <v>291</v>
      </c>
      <c r="H91" s="7">
        <v>10000346</v>
      </c>
      <c r="I91" s="128" t="s">
        <v>197</v>
      </c>
      <c r="J91" s="6">
        <v>44774</v>
      </c>
      <c r="K91" s="6">
        <v>44778</v>
      </c>
      <c r="L91" s="129">
        <v>44637.36</v>
      </c>
      <c r="M91" s="129">
        <f t="shared" si="6"/>
        <v>3719.78</v>
      </c>
      <c r="N91" s="129">
        <v>882.1612648221344</v>
      </c>
      <c r="O91" s="129">
        <v>5</v>
      </c>
      <c r="P91" s="129">
        <f t="shared" si="9"/>
        <v>882.16</v>
      </c>
      <c r="Q91" s="130">
        <f t="shared" si="8"/>
        <v>882.16</v>
      </c>
      <c r="R91" s="130"/>
      <c r="S91" s="131"/>
    </row>
    <row r="92" spans="2:19" x14ac:dyDescent="0.25">
      <c r="B92" s="128" t="s">
        <v>6</v>
      </c>
      <c r="C92" s="7">
        <v>19275441</v>
      </c>
      <c r="D92" s="128" t="s">
        <v>587</v>
      </c>
      <c r="E92" s="7">
        <v>56630005304</v>
      </c>
      <c r="F92" s="7" t="s">
        <v>485</v>
      </c>
      <c r="G92" s="7" t="s">
        <v>588</v>
      </c>
      <c r="H92" s="7">
        <v>19275440</v>
      </c>
      <c r="I92" s="128" t="s">
        <v>589</v>
      </c>
      <c r="J92" s="6">
        <v>44774</v>
      </c>
      <c r="K92" s="6">
        <v>44801</v>
      </c>
      <c r="L92" s="129">
        <v>72713.040000000008</v>
      </c>
      <c r="M92" s="129">
        <f t="shared" si="6"/>
        <v>6059.420000000001</v>
      </c>
      <c r="N92" s="129">
        <v>0</v>
      </c>
      <c r="O92" s="129">
        <v>20</v>
      </c>
      <c r="P92" s="129">
        <f t="shared" si="9"/>
        <v>5748.07</v>
      </c>
      <c r="Q92" s="130">
        <f t="shared" si="8"/>
        <v>5748.07</v>
      </c>
      <c r="R92" s="130"/>
      <c r="S92" s="131"/>
    </row>
    <row r="93" spans="2:19" x14ac:dyDescent="0.25">
      <c r="B93" s="128" t="s">
        <v>6</v>
      </c>
      <c r="C93" s="7">
        <v>10000965</v>
      </c>
      <c r="D93" s="128" t="s">
        <v>590</v>
      </c>
      <c r="E93" s="7">
        <v>59080000937</v>
      </c>
      <c r="F93" s="7" t="s">
        <v>591</v>
      </c>
      <c r="G93" s="7" t="s">
        <v>592</v>
      </c>
      <c r="H93" s="145">
        <v>10000962</v>
      </c>
      <c r="I93" s="146" t="s">
        <v>578</v>
      </c>
      <c r="J93" s="6">
        <v>44781</v>
      </c>
      <c r="K93" s="6">
        <v>44785</v>
      </c>
      <c r="L93" s="129">
        <v>36201.24</v>
      </c>
      <c r="M93" s="129">
        <f t="shared" si="6"/>
        <v>3016.77</v>
      </c>
      <c r="N93" s="129">
        <v>1430.88</v>
      </c>
      <c r="O93" s="129">
        <v>5</v>
      </c>
      <c r="P93" s="129">
        <f t="shared" si="9"/>
        <v>715.44</v>
      </c>
      <c r="Q93" s="130">
        <f t="shared" si="8"/>
        <v>715.44</v>
      </c>
      <c r="R93" s="130"/>
      <c r="S93" s="131"/>
    </row>
    <row r="94" spans="2:19" x14ac:dyDescent="0.25">
      <c r="B94" s="128" t="s">
        <v>6</v>
      </c>
      <c r="C94" s="7">
        <v>10000346</v>
      </c>
      <c r="D94" s="128" t="s">
        <v>593</v>
      </c>
      <c r="E94" s="7">
        <v>59310008375</v>
      </c>
      <c r="F94" s="7" t="s">
        <v>594</v>
      </c>
      <c r="G94" s="7" t="s">
        <v>287</v>
      </c>
      <c r="H94" s="7">
        <v>10000348</v>
      </c>
      <c r="I94" s="128" t="s">
        <v>595</v>
      </c>
      <c r="J94" s="6">
        <v>44781</v>
      </c>
      <c r="K94" s="6">
        <v>44801</v>
      </c>
      <c r="L94" s="129">
        <v>47499.360000000001</v>
      </c>
      <c r="M94" s="129">
        <f t="shared" si="6"/>
        <v>3958.28</v>
      </c>
      <c r="N94" s="129">
        <v>938.72</v>
      </c>
      <c r="O94" s="129">
        <v>15</v>
      </c>
      <c r="P94" s="129">
        <f t="shared" si="9"/>
        <v>2816.17</v>
      </c>
      <c r="Q94" s="130">
        <f t="shared" si="8"/>
        <v>2816.17</v>
      </c>
      <c r="R94" s="130"/>
      <c r="S94" s="131"/>
    </row>
    <row r="95" spans="2:19" x14ac:dyDescent="0.25">
      <c r="B95" s="128" t="s">
        <v>6</v>
      </c>
      <c r="C95" s="7">
        <v>19375431</v>
      </c>
      <c r="D95" s="128" t="s">
        <v>596</v>
      </c>
      <c r="E95" s="7">
        <v>59790006138</v>
      </c>
      <c r="F95" s="7" t="s">
        <v>203</v>
      </c>
      <c r="G95" s="7" t="s">
        <v>597</v>
      </c>
      <c r="H95" s="142">
        <v>10000364</v>
      </c>
      <c r="I95" s="143" t="s">
        <v>598</v>
      </c>
      <c r="J95" s="6">
        <v>44796</v>
      </c>
      <c r="K95" s="6">
        <v>44799</v>
      </c>
      <c r="L95" s="129">
        <v>56428.92</v>
      </c>
      <c r="M95" s="129">
        <f t="shared" si="6"/>
        <v>4702.41</v>
      </c>
      <c r="N95" s="129">
        <v>0</v>
      </c>
      <c r="O95" s="129">
        <v>4</v>
      </c>
      <c r="P95" s="129">
        <f t="shared" si="9"/>
        <v>892.16</v>
      </c>
      <c r="Q95" s="130">
        <f t="shared" si="8"/>
        <v>892.16</v>
      </c>
      <c r="R95" s="130"/>
      <c r="S95" s="131"/>
    </row>
    <row r="96" spans="2:19" x14ac:dyDescent="0.25">
      <c r="B96" s="128" t="s">
        <v>6</v>
      </c>
      <c r="C96" s="8">
        <v>809635210</v>
      </c>
      <c r="D96" s="144" t="s">
        <v>297</v>
      </c>
      <c r="E96" s="8">
        <v>63350043772</v>
      </c>
      <c r="F96" s="7" t="s">
        <v>599</v>
      </c>
      <c r="G96" s="7" t="s">
        <v>600</v>
      </c>
      <c r="H96" s="7">
        <v>809635210</v>
      </c>
      <c r="I96" s="128" t="s">
        <v>297</v>
      </c>
      <c r="J96" s="6">
        <v>44788</v>
      </c>
      <c r="K96" s="6">
        <v>44804</v>
      </c>
      <c r="L96" s="129">
        <v>65307.240000000005</v>
      </c>
      <c r="M96" s="129">
        <f t="shared" si="6"/>
        <v>5442.27</v>
      </c>
      <c r="N96" s="129">
        <v>0</v>
      </c>
      <c r="O96" s="129">
        <v>13</v>
      </c>
      <c r="P96" s="129">
        <f t="shared" si="9"/>
        <v>3355.71</v>
      </c>
      <c r="Q96" s="130"/>
      <c r="R96" s="130">
        <f>P96</f>
        <v>3355.71</v>
      </c>
      <c r="S96" s="131"/>
    </row>
    <row r="97" spans="2:19" ht="25.5" x14ac:dyDescent="0.25">
      <c r="B97" s="128" t="s">
        <v>6</v>
      </c>
      <c r="C97" s="8">
        <v>801200043</v>
      </c>
      <c r="D97" s="144" t="s">
        <v>601</v>
      </c>
      <c r="E97" s="8">
        <v>65210044336</v>
      </c>
      <c r="F97" s="7" t="s">
        <v>602</v>
      </c>
      <c r="G97" s="7" t="s">
        <v>603</v>
      </c>
      <c r="H97" s="142">
        <v>801200043</v>
      </c>
      <c r="I97" s="143" t="s">
        <v>601</v>
      </c>
      <c r="J97" s="6" t="s">
        <v>604</v>
      </c>
      <c r="K97" s="6" t="s">
        <v>526</v>
      </c>
      <c r="L97" s="129">
        <v>44980.92</v>
      </c>
      <c r="M97" s="129">
        <f t="shared" si="6"/>
        <v>3748.41</v>
      </c>
      <c r="N97" s="129">
        <v>0</v>
      </c>
      <c r="O97" s="129">
        <v>13</v>
      </c>
      <c r="P97" s="129">
        <f t="shared" si="9"/>
        <v>2311.27</v>
      </c>
      <c r="Q97" s="130">
        <f t="shared" si="8"/>
        <v>2311.27</v>
      </c>
      <c r="R97" s="130"/>
      <c r="S97" s="131"/>
    </row>
    <row r="98" spans="2:19" x14ac:dyDescent="0.25">
      <c r="B98" s="128" t="s">
        <v>6</v>
      </c>
      <c r="C98" s="8">
        <v>19375420</v>
      </c>
      <c r="D98" s="144" t="s">
        <v>308</v>
      </c>
      <c r="E98" s="7">
        <v>65730007733</v>
      </c>
      <c r="F98" s="7" t="s">
        <v>505</v>
      </c>
      <c r="G98" s="8" t="s">
        <v>605</v>
      </c>
      <c r="H98" s="7">
        <v>10077467</v>
      </c>
      <c r="I98" s="151" t="s">
        <v>606</v>
      </c>
      <c r="J98" s="6">
        <v>44781</v>
      </c>
      <c r="K98" s="6">
        <v>44792</v>
      </c>
      <c r="L98" s="129">
        <v>35169</v>
      </c>
      <c r="M98" s="129">
        <f t="shared" si="6"/>
        <v>2930.75</v>
      </c>
      <c r="N98" s="129">
        <v>0</v>
      </c>
      <c r="O98" s="129">
        <v>10</v>
      </c>
      <c r="P98" s="129">
        <f t="shared" si="9"/>
        <v>1390.08</v>
      </c>
      <c r="Q98" s="130">
        <f t="shared" si="8"/>
        <v>1390.08</v>
      </c>
      <c r="R98" s="130"/>
      <c r="S98" s="131"/>
    </row>
    <row r="99" spans="2:19" x14ac:dyDescent="0.25">
      <c r="B99" s="128" t="s">
        <v>6</v>
      </c>
      <c r="C99" s="7">
        <v>10001804</v>
      </c>
      <c r="D99" s="128" t="s">
        <v>607</v>
      </c>
      <c r="E99" s="7">
        <v>66900046669</v>
      </c>
      <c r="F99" s="7" t="s">
        <v>608</v>
      </c>
      <c r="G99" s="7" t="s">
        <v>609</v>
      </c>
      <c r="H99" s="7">
        <v>10001805</v>
      </c>
      <c r="I99" s="128" t="s">
        <v>610</v>
      </c>
      <c r="J99" s="6">
        <v>44788</v>
      </c>
      <c r="K99" s="6">
        <v>44792</v>
      </c>
      <c r="L99" s="129">
        <v>35063.159999999996</v>
      </c>
      <c r="M99" s="129">
        <f t="shared" si="6"/>
        <v>2921.93</v>
      </c>
      <c r="N99" s="129">
        <v>0</v>
      </c>
      <c r="O99" s="129">
        <v>5</v>
      </c>
      <c r="P99" s="129">
        <f t="shared" si="9"/>
        <v>692.95</v>
      </c>
      <c r="Q99" s="130">
        <f t="shared" si="8"/>
        <v>692.95</v>
      </c>
      <c r="R99" s="130"/>
      <c r="S99" s="131"/>
    </row>
    <row r="100" spans="2:19" x14ac:dyDescent="0.25">
      <c r="B100" s="128" t="s">
        <v>6</v>
      </c>
      <c r="C100" s="7">
        <v>10000243</v>
      </c>
      <c r="D100" s="128" t="s">
        <v>524</v>
      </c>
      <c r="E100" s="7">
        <v>67640033121</v>
      </c>
      <c r="F100" s="7" t="s">
        <v>611</v>
      </c>
      <c r="G100" s="7" t="s">
        <v>612</v>
      </c>
      <c r="H100" s="145">
        <v>10000023</v>
      </c>
      <c r="I100" s="146" t="s">
        <v>521</v>
      </c>
      <c r="J100" s="6">
        <v>44781</v>
      </c>
      <c r="K100" s="6">
        <v>44799</v>
      </c>
      <c r="L100" s="129">
        <v>115436.76</v>
      </c>
      <c r="M100" s="129">
        <f t="shared" si="6"/>
        <v>9619.73</v>
      </c>
      <c r="N100" s="129">
        <v>0</v>
      </c>
      <c r="O100" s="129">
        <v>15</v>
      </c>
      <c r="P100" s="129">
        <f t="shared" si="9"/>
        <v>6844.08</v>
      </c>
      <c r="Q100" s="130">
        <f t="shared" si="8"/>
        <v>6844.08</v>
      </c>
      <c r="R100" s="130"/>
      <c r="S100" s="131"/>
    </row>
    <row r="101" spans="2:19" x14ac:dyDescent="0.25">
      <c r="B101" s="128" t="s">
        <v>6</v>
      </c>
      <c r="C101" s="8">
        <v>10000527</v>
      </c>
      <c r="D101" s="144" t="s">
        <v>613</v>
      </c>
      <c r="E101" s="7">
        <v>68240010221</v>
      </c>
      <c r="F101" s="7" t="s">
        <v>614</v>
      </c>
      <c r="G101" s="7" t="s">
        <v>615</v>
      </c>
      <c r="H101" s="7">
        <v>10000705</v>
      </c>
      <c r="I101" s="128" t="s">
        <v>616</v>
      </c>
      <c r="J101" s="6">
        <v>44795</v>
      </c>
      <c r="K101" s="6">
        <v>44804</v>
      </c>
      <c r="L101" s="129">
        <v>44311.56</v>
      </c>
      <c r="M101" s="129">
        <f t="shared" si="6"/>
        <v>3692.6299999999997</v>
      </c>
      <c r="N101" s="129">
        <v>0</v>
      </c>
      <c r="O101" s="129">
        <v>8</v>
      </c>
      <c r="P101" s="129">
        <f t="shared" si="9"/>
        <v>1401.16</v>
      </c>
      <c r="Q101" s="130">
        <f t="shared" si="8"/>
        <v>1401.16</v>
      </c>
      <c r="R101" s="130"/>
      <c r="S101" s="131"/>
    </row>
    <row r="102" spans="2:19" x14ac:dyDescent="0.25">
      <c r="B102" s="128" t="s">
        <v>6</v>
      </c>
      <c r="C102" s="7">
        <v>804900004</v>
      </c>
      <c r="D102" s="128" t="s">
        <v>617</v>
      </c>
      <c r="E102" s="7">
        <v>68930007783</v>
      </c>
      <c r="F102" s="7" t="s">
        <v>618</v>
      </c>
      <c r="G102" s="7" t="s">
        <v>619</v>
      </c>
      <c r="H102" s="7">
        <v>804900010</v>
      </c>
      <c r="I102" s="128" t="s">
        <v>620</v>
      </c>
      <c r="J102" s="6">
        <v>44795</v>
      </c>
      <c r="K102" s="6">
        <v>44804</v>
      </c>
      <c r="L102" s="129">
        <v>57541.08</v>
      </c>
      <c r="M102" s="129">
        <f t="shared" si="6"/>
        <v>4795.09</v>
      </c>
      <c r="N102" s="129">
        <v>0</v>
      </c>
      <c r="O102" s="129">
        <v>8</v>
      </c>
      <c r="P102" s="129">
        <f t="shared" si="9"/>
        <v>1819.48</v>
      </c>
      <c r="Q102" s="130">
        <f t="shared" si="8"/>
        <v>1819.48</v>
      </c>
      <c r="R102" s="130"/>
      <c r="S102" s="131"/>
    </row>
    <row r="103" spans="2:19" x14ac:dyDescent="0.25">
      <c r="B103" s="128" t="s">
        <v>6</v>
      </c>
      <c r="C103" s="7">
        <v>809635210</v>
      </c>
      <c r="D103" s="128" t="s">
        <v>297</v>
      </c>
      <c r="E103" s="7">
        <v>70830049106</v>
      </c>
      <c r="F103" s="7" t="s">
        <v>318</v>
      </c>
      <c r="G103" s="7" t="s">
        <v>319</v>
      </c>
      <c r="H103" s="7">
        <v>809635210</v>
      </c>
      <c r="I103" s="128" t="s">
        <v>297</v>
      </c>
      <c r="J103" s="6">
        <v>44792</v>
      </c>
      <c r="K103" s="6">
        <v>44798</v>
      </c>
      <c r="L103" s="129">
        <v>19131.72</v>
      </c>
      <c r="M103" s="129">
        <f t="shared" si="6"/>
        <v>1594.3100000000002</v>
      </c>
      <c r="N103" s="129">
        <v>1134.2916996047431</v>
      </c>
      <c r="O103" s="129">
        <v>5</v>
      </c>
      <c r="P103" s="129">
        <f t="shared" si="9"/>
        <v>378.1</v>
      </c>
      <c r="Q103" s="130"/>
      <c r="R103" s="130">
        <f>P103</f>
        <v>378.1</v>
      </c>
      <c r="S103" s="131"/>
    </row>
    <row r="104" spans="2:19" x14ac:dyDescent="0.25">
      <c r="B104" s="128" t="s">
        <v>6</v>
      </c>
      <c r="C104" s="8">
        <v>10000141</v>
      </c>
      <c r="D104" s="144" t="s">
        <v>326</v>
      </c>
      <c r="E104" s="7">
        <v>71310006736</v>
      </c>
      <c r="F104" s="7" t="s">
        <v>432</v>
      </c>
      <c r="G104" s="7" t="s">
        <v>621</v>
      </c>
      <c r="H104" s="7">
        <v>19275411</v>
      </c>
      <c r="I104" s="128" t="s">
        <v>324</v>
      </c>
      <c r="J104" s="6">
        <v>44774</v>
      </c>
      <c r="K104" s="6">
        <v>44785</v>
      </c>
      <c r="L104" s="129">
        <v>64867.319999999992</v>
      </c>
      <c r="M104" s="129">
        <f t="shared" si="6"/>
        <v>5405.61</v>
      </c>
      <c r="N104" s="129">
        <v>0</v>
      </c>
      <c r="O104" s="129">
        <v>10</v>
      </c>
      <c r="P104" s="129">
        <f t="shared" si="9"/>
        <v>2563.9299999999998</v>
      </c>
      <c r="Q104" s="130">
        <f t="shared" si="8"/>
        <v>2563.9299999999998</v>
      </c>
      <c r="R104" s="130"/>
      <c r="S104" s="131"/>
    </row>
    <row r="105" spans="2:19" x14ac:dyDescent="0.25">
      <c r="B105" s="128" t="s">
        <v>6</v>
      </c>
      <c r="C105" s="7">
        <v>10000347</v>
      </c>
      <c r="D105" s="128" t="s">
        <v>622</v>
      </c>
      <c r="E105" s="7">
        <v>71330003166</v>
      </c>
      <c r="F105" s="7" t="s">
        <v>189</v>
      </c>
      <c r="G105" s="7" t="s">
        <v>623</v>
      </c>
      <c r="H105" s="142">
        <v>10000414</v>
      </c>
      <c r="I105" s="143" t="s">
        <v>624</v>
      </c>
      <c r="J105" s="6">
        <v>44788</v>
      </c>
      <c r="K105" s="6">
        <v>44804</v>
      </c>
      <c r="L105" s="129">
        <v>56662.080000000002</v>
      </c>
      <c r="M105" s="129">
        <f t="shared" si="6"/>
        <v>4721.84</v>
      </c>
      <c r="N105" s="129">
        <v>1343.7647430830041</v>
      </c>
      <c r="O105" s="129">
        <v>13</v>
      </c>
      <c r="P105" s="129">
        <f t="shared" si="9"/>
        <v>2911.49</v>
      </c>
      <c r="Q105" s="130">
        <f t="shared" si="8"/>
        <v>2911.49</v>
      </c>
      <c r="R105" s="130"/>
      <c r="S105" s="131"/>
    </row>
    <row r="106" spans="2:19" x14ac:dyDescent="0.25">
      <c r="B106" s="128" t="s">
        <v>6</v>
      </c>
      <c r="C106" s="7">
        <v>10000876</v>
      </c>
      <c r="D106" s="128" t="s">
        <v>625</v>
      </c>
      <c r="E106" s="7">
        <v>75570031543</v>
      </c>
      <c r="F106" s="7" t="s">
        <v>455</v>
      </c>
      <c r="G106" s="7" t="s">
        <v>626</v>
      </c>
      <c r="H106" s="145">
        <v>10001351</v>
      </c>
      <c r="I106" s="146" t="s">
        <v>627</v>
      </c>
      <c r="J106" s="6">
        <v>44793</v>
      </c>
      <c r="K106" s="6">
        <v>44797</v>
      </c>
      <c r="L106" s="129">
        <v>41440.68</v>
      </c>
      <c r="M106" s="129">
        <f t="shared" si="6"/>
        <v>3453.39</v>
      </c>
      <c r="N106" s="129">
        <v>0</v>
      </c>
      <c r="O106" s="129">
        <v>3</v>
      </c>
      <c r="P106" s="129">
        <f t="shared" si="9"/>
        <v>491.39</v>
      </c>
      <c r="Q106" s="130">
        <f t="shared" si="8"/>
        <v>491.39</v>
      </c>
      <c r="R106" s="130"/>
      <c r="S106" s="131"/>
    </row>
    <row r="107" spans="2:19" x14ac:dyDescent="0.25">
      <c r="B107" s="128" t="s">
        <v>6</v>
      </c>
      <c r="C107" s="7">
        <v>19275429</v>
      </c>
      <c r="D107" s="128" t="s">
        <v>288</v>
      </c>
      <c r="E107" s="7">
        <v>76850007433</v>
      </c>
      <c r="F107" s="7" t="s">
        <v>557</v>
      </c>
      <c r="G107" s="7" t="s">
        <v>628</v>
      </c>
      <c r="H107" s="7">
        <v>19275430</v>
      </c>
      <c r="I107" s="128" t="s">
        <v>285</v>
      </c>
      <c r="J107" s="6">
        <v>44802</v>
      </c>
      <c r="K107" s="6">
        <v>44804</v>
      </c>
      <c r="L107" s="129">
        <v>57276.600000000006</v>
      </c>
      <c r="M107" s="129">
        <f t="shared" si="6"/>
        <v>4773.05</v>
      </c>
      <c r="N107" s="129">
        <v>0</v>
      </c>
      <c r="O107" s="129">
        <v>3</v>
      </c>
      <c r="P107" s="129">
        <f t="shared" si="9"/>
        <v>679.17</v>
      </c>
      <c r="Q107" s="130">
        <f t="shared" si="8"/>
        <v>679.17</v>
      </c>
      <c r="R107" s="130"/>
      <c r="S107" s="131"/>
    </row>
    <row r="108" spans="2:19" x14ac:dyDescent="0.25">
      <c r="B108" s="128" t="s">
        <v>6</v>
      </c>
      <c r="C108" s="7">
        <v>10001805</v>
      </c>
      <c r="D108" s="128" t="s">
        <v>610</v>
      </c>
      <c r="E108" s="7">
        <v>77520049939</v>
      </c>
      <c r="F108" s="7" t="s">
        <v>482</v>
      </c>
      <c r="G108" s="7" t="s">
        <v>629</v>
      </c>
      <c r="H108" s="7">
        <v>10001804</v>
      </c>
      <c r="I108" s="128" t="s">
        <v>630</v>
      </c>
      <c r="J108" s="6">
        <v>44774</v>
      </c>
      <c r="K108" s="6">
        <v>44778</v>
      </c>
      <c r="L108" s="129">
        <v>31076.760000000002</v>
      </c>
      <c r="M108" s="129">
        <f t="shared" si="6"/>
        <v>2589.73</v>
      </c>
      <c r="N108" s="129">
        <v>0</v>
      </c>
      <c r="O108" s="129">
        <v>5</v>
      </c>
      <c r="P108" s="129">
        <f t="shared" si="9"/>
        <v>614.16999999999996</v>
      </c>
      <c r="Q108" s="130">
        <f t="shared" si="8"/>
        <v>614.16999999999996</v>
      </c>
      <c r="R108" s="130"/>
      <c r="S108" s="131"/>
    </row>
    <row r="109" spans="2:19" x14ac:dyDescent="0.25">
      <c r="B109" s="128" t="s">
        <v>6</v>
      </c>
      <c r="C109" s="7">
        <v>10054109</v>
      </c>
      <c r="D109" s="128" t="s">
        <v>212</v>
      </c>
      <c r="E109" s="7">
        <v>78220049741</v>
      </c>
      <c r="F109" s="7" t="s">
        <v>631</v>
      </c>
      <c r="G109" s="7" t="s">
        <v>632</v>
      </c>
      <c r="H109" s="152">
        <v>10054109</v>
      </c>
      <c r="I109" s="134" t="s">
        <v>212</v>
      </c>
      <c r="J109" s="153">
        <v>44802</v>
      </c>
      <c r="K109" s="153">
        <v>44804</v>
      </c>
      <c r="L109" s="129">
        <v>30551.040000000001</v>
      </c>
      <c r="M109" s="129">
        <f t="shared" si="6"/>
        <v>2545.92</v>
      </c>
      <c r="N109" s="129">
        <v>0</v>
      </c>
      <c r="O109" s="129">
        <v>3</v>
      </c>
      <c r="P109" s="129">
        <f t="shared" si="9"/>
        <v>362.27</v>
      </c>
      <c r="Q109" s="130">
        <f t="shared" si="8"/>
        <v>362.27</v>
      </c>
      <c r="R109" s="130"/>
      <c r="S109" s="131"/>
    </row>
    <row r="110" spans="2:19" x14ac:dyDescent="0.25">
      <c r="B110" s="128" t="s">
        <v>6</v>
      </c>
      <c r="C110" s="7">
        <v>10000253</v>
      </c>
      <c r="D110" s="128" t="s">
        <v>633</v>
      </c>
      <c r="E110" s="7">
        <v>78770003208</v>
      </c>
      <c r="F110" s="7" t="s">
        <v>455</v>
      </c>
      <c r="G110" s="7" t="s">
        <v>204</v>
      </c>
      <c r="H110" s="7">
        <v>10000390</v>
      </c>
      <c r="I110" s="128" t="s">
        <v>634</v>
      </c>
      <c r="J110" s="6">
        <v>44774</v>
      </c>
      <c r="K110" s="6">
        <v>44794</v>
      </c>
      <c r="L110" s="129">
        <v>63980.639999999999</v>
      </c>
      <c r="M110" s="129">
        <f t="shared" si="6"/>
        <v>5331.72</v>
      </c>
      <c r="N110" s="129">
        <v>0</v>
      </c>
      <c r="O110" s="129">
        <v>15</v>
      </c>
      <c r="P110" s="129">
        <f t="shared" si="9"/>
        <v>3793.32</v>
      </c>
      <c r="Q110" s="130">
        <f t="shared" si="8"/>
        <v>3793.32</v>
      </c>
      <c r="R110" s="130"/>
      <c r="S110" s="131"/>
    </row>
    <row r="111" spans="2:19" x14ac:dyDescent="0.25">
      <c r="B111" s="128" t="s">
        <v>6</v>
      </c>
      <c r="C111" s="7">
        <v>10000061</v>
      </c>
      <c r="D111" s="128" t="s">
        <v>635</v>
      </c>
      <c r="E111" s="7">
        <v>78910006919</v>
      </c>
      <c r="F111" s="7" t="s">
        <v>636</v>
      </c>
      <c r="G111" s="7" t="s">
        <v>637</v>
      </c>
      <c r="H111" s="7">
        <v>10001691</v>
      </c>
      <c r="I111" s="128" t="s">
        <v>638</v>
      </c>
      <c r="J111" s="6">
        <v>44788</v>
      </c>
      <c r="K111" s="6">
        <v>44799</v>
      </c>
      <c r="L111" s="129">
        <v>29112.840000000004</v>
      </c>
      <c r="M111" s="129">
        <f t="shared" si="6"/>
        <v>2426.0700000000002</v>
      </c>
      <c r="N111" s="129">
        <v>0</v>
      </c>
      <c r="O111" s="129">
        <v>10</v>
      </c>
      <c r="P111" s="129">
        <f t="shared" si="9"/>
        <v>1150.71</v>
      </c>
      <c r="Q111" s="130"/>
      <c r="R111" s="130">
        <f>P111</f>
        <v>1150.71</v>
      </c>
      <c r="S111" s="131"/>
    </row>
    <row r="112" spans="2:19" x14ac:dyDescent="0.25">
      <c r="B112" s="128" t="s">
        <v>6</v>
      </c>
      <c r="C112" s="7">
        <v>10000389</v>
      </c>
      <c r="D112" s="128" t="s">
        <v>327</v>
      </c>
      <c r="E112" s="7">
        <v>79770002888</v>
      </c>
      <c r="F112" s="7" t="s">
        <v>260</v>
      </c>
      <c r="G112" s="7" t="s">
        <v>328</v>
      </c>
      <c r="H112" s="7">
        <v>10000244</v>
      </c>
      <c r="I112" s="128" t="s">
        <v>329</v>
      </c>
      <c r="J112" s="6">
        <v>44788</v>
      </c>
      <c r="K112" s="6">
        <v>44801</v>
      </c>
      <c r="L112" s="129">
        <v>51335.88</v>
      </c>
      <c r="M112" s="129">
        <f t="shared" si="6"/>
        <v>4277.99</v>
      </c>
      <c r="N112" s="129">
        <v>2029.0861660079051</v>
      </c>
      <c r="O112" s="129">
        <v>10</v>
      </c>
      <c r="P112" s="129">
        <f t="shared" si="9"/>
        <v>2029.09</v>
      </c>
      <c r="Q112" s="130">
        <f t="shared" si="8"/>
        <v>2029.09</v>
      </c>
      <c r="R112" s="130"/>
      <c r="S112" s="131"/>
    </row>
    <row r="113" spans="2:19" x14ac:dyDescent="0.25">
      <c r="B113" s="128" t="s">
        <v>6</v>
      </c>
      <c r="C113" s="7">
        <v>801200012</v>
      </c>
      <c r="D113" s="128" t="s">
        <v>344</v>
      </c>
      <c r="E113" s="7">
        <v>85940004554</v>
      </c>
      <c r="F113" s="7" t="s">
        <v>192</v>
      </c>
      <c r="G113" s="7" t="s">
        <v>345</v>
      </c>
      <c r="H113" s="7">
        <v>801200011</v>
      </c>
      <c r="I113" s="128" t="s">
        <v>346</v>
      </c>
      <c r="J113" s="6">
        <v>44774</v>
      </c>
      <c r="K113" s="6">
        <v>44778</v>
      </c>
      <c r="L113" s="129">
        <v>34976.159999999996</v>
      </c>
      <c r="M113" s="129">
        <f t="shared" si="6"/>
        <v>2914.68</v>
      </c>
      <c r="N113" s="129">
        <v>2073.6853754940707</v>
      </c>
      <c r="O113" s="129">
        <v>5</v>
      </c>
      <c r="P113" s="129">
        <f t="shared" si="9"/>
        <v>691.23</v>
      </c>
      <c r="Q113" s="130">
        <f t="shared" si="8"/>
        <v>691.23</v>
      </c>
      <c r="R113" s="130"/>
      <c r="S113" s="131"/>
    </row>
    <row r="114" spans="2:19" x14ac:dyDescent="0.25">
      <c r="B114" s="128" t="s">
        <v>6</v>
      </c>
      <c r="C114" s="7">
        <v>10000244</v>
      </c>
      <c r="D114" s="128" t="s">
        <v>329</v>
      </c>
      <c r="E114" s="7">
        <v>86070011281</v>
      </c>
      <c r="F114" s="7" t="s">
        <v>639</v>
      </c>
      <c r="G114" s="7" t="s">
        <v>640</v>
      </c>
      <c r="H114" s="7">
        <v>10000389</v>
      </c>
      <c r="I114" s="128" t="s">
        <v>327</v>
      </c>
      <c r="J114" s="6">
        <v>44774</v>
      </c>
      <c r="K114" s="6">
        <v>44785</v>
      </c>
      <c r="L114" s="129">
        <v>52450.799999999996</v>
      </c>
      <c r="M114" s="129">
        <f t="shared" ref="M114:M119" si="10">L114/12</f>
        <v>4370.8999999999996</v>
      </c>
      <c r="N114" s="129">
        <v>0</v>
      </c>
      <c r="O114" s="129">
        <v>10</v>
      </c>
      <c r="P114" s="129">
        <f t="shared" si="9"/>
        <v>2073.15</v>
      </c>
      <c r="Q114" s="130">
        <f t="shared" si="8"/>
        <v>2073.15</v>
      </c>
      <c r="R114" s="130"/>
      <c r="S114" s="131"/>
    </row>
    <row r="115" spans="2:19" x14ac:dyDescent="0.25">
      <c r="B115" s="128" t="s">
        <v>6</v>
      </c>
      <c r="C115" s="7">
        <v>130075413</v>
      </c>
      <c r="D115" s="128" t="s">
        <v>641</v>
      </c>
      <c r="E115" s="7">
        <v>87730003192</v>
      </c>
      <c r="F115" s="7" t="s">
        <v>452</v>
      </c>
      <c r="G115" s="7" t="s">
        <v>642</v>
      </c>
      <c r="H115" s="145">
        <v>130075415</v>
      </c>
      <c r="I115" s="146" t="s">
        <v>643</v>
      </c>
      <c r="J115" s="6">
        <v>44795</v>
      </c>
      <c r="K115" s="6">
        <v>44804</v>
      </c>
      <c r="L115" s="129">
        <v>55400.04</v>
      </c>
      <c r="M115" s="129">
        <f t="shared" si="10"/>
        <v>4616.67</v>
      </c>
      <c r="N115" s="129">
        <v>0</v>
      </c>
      <c r="O115" s="129">
        <v>8</v>
      </c>
      <c r="P115" s="129">
        <f t="shared" si="9"/>
        <v>1751.78</v>
      </c>
      <c r="Q115" s="130">
        <f t="shared" si="8"/>
        <v>1751.78</v>
      </c>
      <c r="R115" s="130"/>
      <c r="S115" s="131"/>
    </row>
    <row r="116" spans="2:19" x14ac:dyDescent="0.25">
      <c r="B116" s="128" t="s">
        <v>6</v>
      </c>
      <c r="C116" s="7">
        <v>19575402</v>
      </c>
      <c r="D116" s="128" t="s">
        <v>644</v>
      </c>
      <c r="E116" s="7">
        <v>91250007233</v>
      </c>
      <c r="F116" s="7" t="s">
        <v>240</v>
      </c>
      <c r="G116" s="7" t="s">
        <v>645</v>
      </c>
      <c r="H116" s="142">
        <v>10001899</v>
      </c>
      <c r="I116" s="143" t="s">
        <v>646</v>
      </c>
      <c r="J116" s="6">
        <v>44781</v>
      </c>
      <c r="K116" s="6">
        <v>44792</v>
      </c>
      <c r="L116" s="129">
        <v>43866.12</v>
      </c>
      <c r="M116" s="129">
        <f t="shared" si="10"/>
        <v>3655.51</v>
      </c>
      <c r="N116" s="129">
        <v>2427.37</v>
      </c>
      <c r="O116" s="129">
        <v>10</v>
      </c>
      <c r="P116" s="129">
        <f>ROUND(L116/253*O116,2)-505.7</f>
        <v>1228.1399999999999</v>
      </c>
      <c r="Q116" s="130">
        <f t="shared" si="8"/>
        <v>1228.1399999999999</v>
      </c>
      <c r="R116" s="130"/>
      <c r="S116" s="133" t="s">
        <v>820</v>
      </c>
    </row>
    <row r="117" spans="2:19" x14ac:dyDescent="0.25">
      <c r="B117" s="128" t="s">
        <v>6</v>
      </c>
      <c r="C117" s="7">
        <v>10075410</v>
      </c>
      <c r="D117" s="128" t="s">
        <v>647</v>
      </c>
      <c r="E117" s="7">
        <v>98660001429</v>
      </c>
      <c r="F117" s="7" t="s">
        <v>48</v>
      </c>
      <c r="G117" s="7" t="s">
        <v>648</v>
      </c>
      <c r="H117" s="7">
        <v>19377415</v>
      </c>
      <c r="I117" s="128" t="s">
        <v>649</v>
      </c>
      <c r="J117" s="6">
        <v>44774</v>
      </c>
      <c r="K117" s="6">
        <v>44804</v>
      </c>
      <c r="L117" s="129">
        <v>40968.120000000003</v>
      </c>
      <c r="M117" s="129">
        <f t="shared" si="10"/>
        <v>3414.01</v>
      </c>
      <c r="N117" s="129">
        <v>0</v>
      </c>
      <c r="O117" s="129">
        <v>23</v>
      </c>
      <c r="P117" s="129">
        <f>ROUND(L117/253*O117,2)-310.36</f>
        <v>3414.0099999999998</v>
      </c>
      <c r="Q117" s="130">
        <f t="shared" si="8"/>
        <v>3414.0099999999998</v>
      </c>
      <c r="R117" s="130"/>
      <c r="S117" s="133" t="s">
        <v>820</v>
      </c>
    </row>
    <row r="118" spans="2:19" ht="15.75" x14ac:dyDescent="0.25">
      <c r="B118" s="128" t="s">
        <v>6</v>
      </c>
      <c r="C118" s="7">
        <v>10001535</v>
      </c>
      <c r="D118" s="128" t="s">
        <v>270</v>
      </c>
      <c r="E118" s="7">
        <v>10310009381</v>
      </c>
      <c r="F118" s="7" t="s">
        <v>650</v>
      </c>
      <c r="G118" s="7" t="s">
        <v>651</v>
      </c>
      <c r="H118" s="7">
        <v>10001535</v>
      </c>
      <c r="I118" s="151" t="s">
        <v>270</v>
      </c>
      <c r="J118" s="6">
        <v>44802</v>
      </c>
      <c r="K118" s="6">
        <v>44804</v>
      </c>
      <c r="L118" s="129">
        <v>56060.639999999999</v>
      </c>
      <c r="M118" s="129">
        <f t="shared" si="10"/>
        <v>4671.72</v>
      </c>
      <c r="N118" s="129">
        <v>0</v>
      </c>
      <c r="O118" s="45">
        <v>3</v>
      </c>
      <c r="P118" s="129">
        <f>ROUND(L118/253*O118,2)</f>
        <v>664.75</v>
      </c>
      <c r="Q118" s="130">
        <f t="shared" si="8"/>
        <v>664.75</v>
      </c>
      <c r="R118" s="130"/>
      <c r="S118" s="131"/>
    </row>
    <row r="119" spans="2:19" x14ac:dyDescent="0.25">
      <c r="B119" s="128" t="s">
        <v>6</v>
      </c>
      <c r="C119" s="7">
        <v>10001535</v>
      </c>
      <c r="D119" s="128" t="s">
        <v>270</v>
      </c>
      <c r="E119" s="7">
        <v>84200054331</v>
      </c>
      <c r="F119" s="7" t="s">
        <v>652</v>
      </c>
      <c r="G119" s="7" t="s">
        <v>653</v>
      </c>
      <c r="H119" s="7">
        <v>10001535</v>
      </c>
      <c r="I119" s="151" t="s">
        <v>270</v>
      </c>
      <c r="J119" s="6">
        <v>44774</v>
      </c>
      <c r="K119" s="6">
        <v>44787</v>
      </c>
      <c r="L119" s="129">
        <v>16175.76</v>
      </c>
      <c r="M119" s="129">
        <f t="shared" si="10"/>
        <v>1347.98</v>
      </c>
      <c r="N119" s="129">
        <v>0</v>
      </c>
      <c r="O119" s="129">
        <v>10</v>
      </c>
      <c r="P119" s="129">
        <f>ROUND(L119/253*O119,2)</f>
        <v>639.36</v>
      </c>
      <c r="Q119" s="130">
        <f t="shared" si="8"/>
        <v>639.36</v>
      </c>
      <c r="R119" s="130"/>
      <c r="S119" s="131"/>
    </row>
    <row r="120" spans="2:19" x14ac:dyDescent="0.25">
      <c r="B120" s="106" t="s">
        <v>15</v>
      </c>
      <c r="C120" s="107"/>
      <c r="D120" s="106"/>
      <c r="E120" s="107"/>
      <c r="F120" s="107"/>
      <c r="G120" s="107"/>
      <c r="H120" s="107"/>
      <c r="I120" s="106"/>
      <c r="J120" s="135"/>
      <c r="K120" s="135"/>
      <c r="L120" s="110">
        <f t="shared" ref="L120:R120" si="11">SUM(L50:L119)</f>
        <v>3335842.5600000005</v>
      </c>
      <c r="M120" s="110">
        <f t="shared" si="11"/>
        <v>277986.87999999995</v>
      </c>
      <c r="N120" s="110">
        <f t="shared" si="11"/>
        <v>45252.818063241102</v>
      </c>
      <c r="O120" s="110">
        <f t="shared" si="11"/>
        <v>636</v>
      </c>
      <c r="P120" s="110">
        <f t="shared" si="11"/>
        <v>122109.01</v>
      </c>
      <c r="Q120" s="110">
        <f t="shared" si="11"/>
        <v>117224.48999999998</v>
      </c>
      <c r="R120" s="110">
        <f t="shared" si="11"/>
        <v>4884.5200000000004</v>
      </c>
      <c r="S120" s="136"/>
    </row>
    <row r="121" spans="2:19" x14ac:dyDescent="0.25">
      <c r="B121" s="128" t="s">
        <v>9</v>
      </c>
      <c r="C121" s="7">
        <v>941600018</v>
      </c>
      <c r="D121" s="128" t="s">
        <v>357</v>
      </c>
      <c r="E121" s="7">
        <v>11490002300</v>
      </c>
      <c r="F121" s="7" t="s">
        <v>654</v>
      </c>
      <c r="G121" s="7" t="s">
        <v>655</v>
      </c>
      <c r="H121" s="7">
        <v>941600015</v>
      </c>
      <c r="I121" s="128" t="s">
        <v>355</v>
      </c>
      <c r="J121" s="6">
        <v>44774</v>
      </c>
      <c r="K121" s="6">
        <v>44799</v>
      </c>
      <c r="L121" s="129">
        <v>66846.240000000005</v>
      </c>
      <c r="M121" s="129">
        <f t="shared" ref="M121:M128" si="12">L121/12</f>
        <v>5570.52</v>
      </c>
      <c r="N121" s="129">
        <v>0</v>
      </c>
      <c r="O121" s="129">
        <v>20</v>
      </c>
      <c r="P121" s="129">
        <f t="shared" ref="P121:P128" si="13">ROUND(L121/253*O121,2)</f>
        <v>5284.29</v>
      </c>
      <c r="Q121" s="130">
        <f t="shared" si="8"/>
        <v>5284.29</v>
      </c>
      <c r="R121" s="130"/>
      <c r="S121" s="131"/>
    </row>
    <row r="122" spans="2:19" x14ac:dyDescent="0.25">
      <c r="B122" s="128" t="s">
        <v>9</v>
      </c>
      <c r="C122" s="7">
        <v>660200017</v>
      </c>
      <c r="D122" s="128" t="s">
        <v>656</v>
      </c>
      <c r="E122" s="7">
        <v>15280009282</v>
      </c>
      <c r="F122" s="7" t="s">
        <v>101</v>
      </c>
      <c r="G122" s="7" t="s">
        <v>657</v>
      </c>
      <c r="H122" s="140">
        <v>660200036</v>
      </c>
      <c r="I122" s="128" t="s">
        <v>658</v>
      </c>
      <c r="J122" s="6">
        <v>44788</v>
      </c>
      <c r="K122" s="6">
        <v>44799</v>
      </c>
      <c r="L122" s="129">
        <v>85559.040000000008</v>
      </c>
      <c r="M122" s="129">
        <f t="shared" si="12"/>
        <v>7129.920000000001</v>
      </c>
      <c r="N122" s="129">
        <v>0</v>
      </c>
      <c r="O122" s="129">
        <v>10</v>
      </c>
      <c r="P122" s="129">
        <f t="shared" si="13"/>
        <v>3381.78</v>
      </c>
      <c r="Q122" s="130">
        <f t="shared" si="8"/>
        <v>3381.78</v>
      </c>
      <c r="R122" s="130"/>
      <c r="S122" s="131"/>
    </row>
    <row r="123" spans="2:19" x14ac:dyDescent="0.25">
      <c r="B123" s="128" t="s">
        <v>9</v>
      </c>
      <c r="C123" s="7">
        <v>360200060</v>
      </c>
      <c r="D123" s="128" t="s">
        <v>659</v>
      </c>
      <c r="E123" s="7">
        <v>39830048886</v>
      </c>
      <c r="F123" s="7" t="s">
        <v>660</v>
      </c>
      <c r="G123" s="7" t="s">
        <v>661</v>
      </c>
      <c r="H123" s="7">
        <v>360200018</v>
      </c>
      <c r="I123" s="128" t="s">
        <v>662</v>
      </c>
      <c r="J123" s="6">
        <v>44774</v>
      </c>
      <c r="K123" s="6">
        <v>44785</v>
      </c>
      <c r="L123" s="129">
        <v>51345.72</v>
      </c>
      <c r="M123" s="129">
        <f t="shared" si="12"/>
        <v>4278.8100000000004</v>
      </c>
      <c r="N123" s="129">
        <v>0</v>
      </c>
      <c r="O123" s="129">
        <v>10</v>
      </c>
      <c r="P123" s="129">
        <f t="shared" si="13"/>
        <v>2029.48</v>
      </c>
      <c r="Q123" s="130">
        <f t="shared" si="8"/>
        <v>2029.48</v>
      </c>
      <c r="R123" s="130"/>
      <c r="S123" s="131"/>
    </row>
    <row r="124" spans="2:19" x14ac:dyDescent="0.25">
      <c r="B124" s="128" t="s">
        <v>9</v>
      </c>
      <c r="C124" s="8">
        <v>427300005</v>
      </c>
      <c r="D124" s="144" t="s">
        <v>663</v>
      </c>
      <c r="E124" s="8">
        <v>63140005605</v>
      </c>
      <c r="F124" s="8" t="s">
        <v>240</v>
      </c>
      <c r="G124" s="8" t="s">
        <v>664</v>
      </c>
      <c r="H124" s="7">
        <v>427300003</v>
      </c>
      <c r="I124" s="128" t="s">
        <v>665</v>
      </c>
      <c r="J124" s="6">
        <v>44774</v>
      </c>
      <c r="K124" s="6">
        <v>44781</v>
      </c>
      <c r="L124" s="129">
        <v>46353.120000000003</v>
      </c>
      <c r="M124" s="129">
        <f t="shared" si="12"/>
        <v>3862.76</v>
      </c>
      <c r="N124" s="129">
        <v>0</v>
      </c>
      <c r="O124" s="129">
        <v>6</v>
      </c>
      <c r="P124" s="129">
        <f t="shared" si="13"/>
        <v>1099.28</v>
      </c>
      <c r="Q124" s="130">
        <f t="shared" si="8"/>
        <v>1099.28</v>
      </c>
      <c r="R124" s="130"/>
      <c r="S124" s="131"/>
    </row>
    <row r="125" spans="2:19" x14ac:dyDescent="0.25">
      <c r="B125" s="128" t="s">
        <v>9</v>
      </c>
      <c r="C125" s="7">
        <v>250000104</v>
      </c>
      <c r="D125" s="128" t="s">
        <v>359</v>
      </c>
      <c r="E125" s="7">
        <v>92210001465</v>
      </c>
      <c r="F125" s="7" t="s">
        <v>666</v>
      </c>
      <c r="G125" s="7" t="s">
        <v>667</v>
      </c>
      <c r="H125" s="7">
        <v>250000108</v>
      </c>
      <c r="I125" s="128" t="s">
        <v>358</v>
      </c>
      <c r="J125" s="6">
        <v>44789</v>
      </c>
      <c r="K125" s="6">
        <v>44795</v>
      </c>
      <c r="L125" s="129">
        <v>63465.240000000005</v>
      </c>
      <c r="M125" s="129">
        <f t="shared" si="12"/>
        <v>5288.77</v>
      </c>
      <c r="N125" s="129">
        <v>0</v>
      </c>
      <c r="O125" s="129">
        <v>5</v>
      </c>
      <c r="P125" s="129">
        <f t="shared" si="13"/>
        <v>1254.25</v>
      </c>
      <c r="Q125" s="130">
        <f t="shared" si="8"/>
        <v>1254.25</v>
      </c>
      <c r="R125" s="130"/>
      <c r="S125" s="131"/>
    </row>
    <row r="126" spans="2:19" x14ac:dyDescent="0.25">
      <c r="B126" s="128" t="s">
        <v>9</v>
      </c>
      <c r="C126" s="7">
        <v>500200009</v>
      </c>
      <c r="D126" s="128" t="s">
        <v>668</v>
      </c>
      <c r="E126" s="7">
        <v>79120009291</v>
      </c>
      <c r="F126" s="7" t="s">
        <v>216</v>
      </c>
      <c r="G126" s="7" t="s">
        <v>445</v>
      </c>
      <c r="H126" s="7">
        <v>500200029</v>
      </c>
      <c r="I126" s="128" t="s">
        <v>669</v>
      </c>
      <c r="J126" s="6">
        <v>44781</v>
      </c>
      <c r="K126" s="6">
        <v>44792</v>
      </c>
      <c r="L126" s="129">
        <v>45744.959999999999</v>
      </c>
      <c r="M126" s="129">
        <f t="shared" si="12"/>
        <v>3812.08</v>
      </c>
      <c r="N126" s="129">
        <v>0</v>
      </c>
      <c r="O126" s="129">
        <v>10</v>
      </c>
      <c r="P126" s="129">
        <f t="shared" si="13"/>
        <v>1808.1</v>
      </c>
      <c r="Q126" s="130">
        <f t="shared" si="8"/>
        <v>1808.1</v>
      </c>
      <c r="R126" s="130"/>
      <c r="S126" s="131"/>
    </row>
    <row r="127" spans="2:19" x14ac:dyDescent="0.25">
      <c r="B127" s="128" t="s">
        <v>9</v>
      </c>
      <c r="C127" s="7">
        <v>500200029</v>
      </c>
      <c r="D127" s="128" t="s">
        <v>669</v>
      </c>
      <c r="E127" s="7">
        <v>47730004107</v>
      </c>
      <c r="F127" s="7" t="s">
        <v>670</v>
      </c>
      <c r="G127" s="7" t="s">
        <v>671</v>
      </c>
      <c r="H127" s="7">
        <v>500200009</v>
      </c>
      <c r="I127" s="128" t="s">
        <v>668</v>
      </c>
      <c r="J127" s="6">
        <v>44774</v>
      </c>
      <c r="K127" s="6">
        <v>44778</v>
      </c>
      <c r="L127" s="129">
        <v>43326.600000000006</v>
      </c>
      <c r="M127" s="129">
        <f t="shared" si="12"/>
        <v>3610.5500000000006</v>
      </c>
      <c r="N127" s="129">
        <v>1370.01</v>
      </c>
      <c r="O127" s="129">
        <v>5</v>
      </c>
      <c r="P127" s="129">
        <f t="shared" si="13"/>
        <v>856.26</v>
      </c>
      <c r="Q127" s="130">
        <f t="shared" si="8"/>
        <v>856.26</v>
      </c>
      <c r="R127" s="130"/>
      <c r="S127" s="131"/>
    </row>
    <row r="128" spans="2:19" x14ac:dyDescent="0.25">
      <c r="B128" s="128" t="s">
        <v>9</v>
      </c>
      <c r="C128" s="7">
        <v>700200012</v>
      </c>
      <c r="D128" s="128" t="s">
        <v>672</v>
      </c>
      <c r="E128" s="7">
        <v>96840005649</v>
      </c>
      <c r="F128" s="7" t="s">
        <v>352</v>
      </c>
      <c r="G128" s="7" t="s">
        <v>673</v>
      </c>
      <c r="H128" s="7">
        <v>700200046</v>
      </c>
      <c r="I128" s="128" t="s">
        <v>674</v>
      </c>
      <c r="J128" s="6">
        <v>44774</v>
      </c>
      <c r="K128" s="6">
        <v>44794</v>
      </c>
      <c r="L128" s="129">
        <v>53131.799999999996</v>
      </c>
      <c r="M128" s="129">
        <f t="shared" si="12"/>
        <v>4427.6499999999996</v>
      </c>
      <c r="N128" s="129">
        <v>0</v>
      </c>
      <c r="O128" s="129">
        <v>15</v>
      </c>
      <c r="P128" s="129">
        <f t="shared" si="13"/>
        <v>3150.11</v>
      </c>
      <c r="Q128" s="130">
        <f t="shared" si="8"/>
        <v>3150.11</v>
      </c>
      <c r="R128" s="130"/>
      <c r="S128" s="131"/>
    </row>
    <row r="129" spans="2:19" x14ac:dyDescent="0.25">
      <c r="B129" s="106" t="s">
        <v>16</v>
      </c>
      <c r="C129" s="107"/>
      <c r="D129" s="106"/>
      <c r="E129" s="107"/>
      <c r="F129" s="107"/>
      <c r="G129" s="107"/>
      <c r="H129" s="107"/>
      <c r="I129" s="106"/>
      <c r="J129" s="135"/>
      <c r="K129" s="135"/>
      <c r="L129" s="110">
        <f t="shared" ref="L129:R129" si="14">SUM(L121:L128)</f>
        <v>455772.72000000003</v>
      </c>
      <c r="M129" s="110">
        <f t="shared" si="14"/>
        <v>37981.060000000005</v>
      </c>
      <c r="N129" s="110">
        <f t="shared" si="14"/>
        <v>1370.01</v>
      </c>
      <c r="O129" s="110">
        <f t="shared" si="14"/>
        <v>81</v>
      </c>
      <c r="P129" s="110">
        <f t="shared" si="14"/>
        <v>18863.55</v>
      </c>
      <c r="Q129" s="110">
        <f t="shared" si="14"/>
        <v>18863.55</v>
      </c>
      <c r="R129" s="110">
        <f t="shared" si="14"/>
        <v>0</v>
      </c>
      <c r="S129" s="136"/>
    </row>
    <row r="130" spans="2:19" x14ac:dyDescent="0.25">
      <c r="B130" s="128" t="s">
        <v>10</v>
      </c>
      <c r="C130" s="7">
        <v>90077419</v>
      </c>
      <c r="D130" s="128" t="s">
        <v>675</v>
      </c>
      <c r="E130" s="7">
        <v>10400000192</v>
      </c>
      <c r="F130" s="7" t="s">
        <v>189</v>
      </c>
      <c r="G130" s="7" t="s">
        <v>676</v>
      </c>
      <c r="H130" s="7">
        <v>90075408</v>
      </c>
      <c r="I130" s="128" t="s">
        <v>677</v>
      </c>
      <c r="J130" s="6">
        <v>44795</v>
      </c>
      <c r="K130" s="6">
        <v>44804</v>
      </c>
      <c r="L130" s="129">
        <v>39041.520000000004</v>
      </c>
      <c r="M130" s="129">
        <f t="shared" ref="M130:M152" si="15">L130/12</f>
        <v>3253.4600000000005</v>
      </c>
      <c r="N130" s="129">
        <v>0</v>
      </c>
      <c r="O130" s="129">
        <v>8</v>
      </c>
      <c r="P130" s="129">
        <f>ROUND(L130/253*O130,2)</f>
        <v>1234.51</v>
      </c>
      <c r="Q130" s="130">
        <f t="shared" si="8"/>
        <v>1234.51</v>
      </c>
      <c r="R130" s="130"/>
      <c r="S130" s="131"/>
    </row>
    <row r="131" spans="2:19" x14ac:dyDescent="0.25">
      <c r="B131" s="128" t="s">
        <v>10</v>
      </c>
      <c r="C131" s="7">
        <v>320200008</v>
      </c>
      <c r="D131" s="128" t="s">
        <v>364</v>
      </c>
      <c r="E131" s="7">
        <v>10430006304</v>
      </c>
      <c r="F131" s="7" t="s">
        <v>365</v>
      </c>
      <c r="G131" s="7" t="s">
        <v>366</v>
      </c>
      <c r="H131" s="7">
        <v>320200005</v>
      </c>
      <c r="I131" s="128" t="s">
        <v>406</v>
      </c>
      <c r="J131" s="6">
        <v>44781</v>
      </c>
      <c r="K131" s="6">
        <v>44792</v>
      </c>
      <c r="L131" s="129">
        <v>54689.16</v>
      </c>
      <c r="M131" s="129">
        <f t="shared" si="15"/>
        <v>4557.43</v>
      </c>
      <c r="N131" s="129">
        <v>2161.6268774703558</v>
      </c>
      <c r="O131" s="129">
        <v>10</v>
      </c>
      <c r="P131" s="129">
        <f>ROUND(L131/253*O131,2)</f>
        <v>2161.63</v>
      </c>
      <c r="Q131" s="130">
        <f t="shared" si="8"/>
        <v>2161.63</v>
      </c>
      <c r="R131" s="130"/>
      <c r="S131" s="131"/>
    </row>
    <row r="132" spans="2:19" x14ac:dyDescent="0.25">
      <c r="B132" s="128" t="s">
        <v>10</v>
      </c>
      <c r="C132" s="7">
        <v>741400002</v>
      </c>
      <c r="D132" s="128" t="s">
        <v>374</v>
      </c>
      <c r="E132" s="7">
        <v>10580007426</v>
      </c>
      <c r="F132" s="7" t="s">
        <v>375</v>
      </c>
      <c r="G132" s="7" t="s">
        <v>376</v>
      </c>
      <c r="H132" s="7">
        <v>741400010</v>
      </c>
      <c r="I132" s="128" t="s">
        <v>378</v>
      </c>
      <c r="J132" s="6">
        <v>44774</v>
      </c>
      <c r="K132" s="6">
        <v>44778</v>
      </c>
      <c r="L132" s="129">
        <v>52530.12</v>
      </c>
      <c r="M132" s="129">
        <f t="shared" si="15"/>
        <v>4377.51</v>
      </c>
      <c r="N132" s="129">
        <v>3114.4339920948614</v>
      </c>
      <c r="O132" s="129">
        <v>5</v>
      </c>
      <c r="P132" s="129">
        <f>ROUND(L132/253*O132,2)</f>
        <v>1038.1400000000001</v>
      </c>
      <c r="Q132" s="130">
        <f t="shared" si="8"/>
        <v>1038.1400000000001</v>
      </c>
      <c r="R132" s="130"/>
      <c r="S132" s="131"/>
    </row>
    <row r="133" spans="2:19" x14ac:dyDescent="0.25">
      <c r="B133" s="128" t="s">
        <v>10</v>
      </c>
      <c r="C133" s="7">
        <v>460200049</v>
      </c>
      <c r="D133" s="128" t="s">
        <v>382</v>
      </c>
      <c r="E133" s="7">
        <v>19490006691</v>
      </c>
      <c r="F133" s="7" t="s">
        <v>352</v>
      </c>
      <c r="G133" s="7" t="s">
        <v>264</v>
      </c>
      <c r="H133" s="7">
        <v>460200048</v>
      </c>
      <c r="I133" s="128" t="s">
        <v>383</v>
      </c>
      <c r="J133" s="6">
        <v>44774</v>
      </c>
      <c r="K133" s="6">
        <v>44778</v>
      </c>
      <c r="L133" s="129">
        <v>46333.2</v>
      </c>
      <c r="M133" s="129">
        <f t="shared" si="15"/>
        <v>3861.1</v>
      </c>
      <c r="N133" s="129">
        <v>3662.7035573122525</v>
      </c>
      <c r="O133" s="129">
        <v>5</v>
      </c>
      <c r="P133" s="129">
        <f>ROUND(L133/253*O133,2)-717.28</f>
        <v>198.39999999999998</v>
      </c>
      <c r="Q133" s="130">
        <f t="shared" si="8"/>
        <v>198.39999999999998</v>
      </c>
      <c r="R133" s="130"/>
      <c r="S133" s="133" t="s">
        <v>820</v>
      </c>
    </row>
    <row r="134" spans="2:19" x14ac:dyDescent="0.25">
      <c r="B134" s="128" t="s">
        <v>10</v>
      </c>
      <c r="C134" s="7">
        <v>90000120</v>
      </c>
      <c r="D134" s="128" t="s">
        <v>678</v>
      </c>
      <c r="E134" s="7">
        <v>27220050242</v>
      </c>
      <c r="F134" s="7" t="s">
        <v>679</v>
      </c>
      <c r="G134" s="7" t="s">
        <v>680</v>
      </c>
      <c r="H134" s="7">
        <v>90000030</v>
      </c>
      <c r="I134" s="128" t="s">
        <v>681</v>
      </c>
      <c r="J134" s="6">
        <v>44774</v>
      </c>
      <c r="K134" s="6">
        <v>44778</v>
      </c>
      <c r="L134" s="129">
        <v>53116.319999999992</v>
      </c>
      <c r="M134" s="129">
        <f t="shared" si="15"/>
        <v>4426.3599999999997</v>
      </c>
      <c r="N134" s="129">
        <v>0</v>
      </c>
      <c r="O134" s="129">
        <v>5</v>
      </c>
      <c r="P134" s="129">
        <f>ROUND(L134/253*O134,2)</f>
        <v>1049.73</v>
      </c>
      <c r="Q134" s="130">
        <f t="shared" si="8"/>
        <v>1049.73</v>
      </c>
      <c r="R134" s="130"/>
      <c r="S134" s="131"/>
    </row>
    <row r="135" spans="2:19" x14ac:dyDescent="0.25">
      <c r="B135" s="128" t="s">
        <v>10</v>
      </c>
      <c r="C135" s="7">
        <v>110000006</v>
      </c>
      <c r="D135" s="128" t="s">
        <v>387</v>
      </c>
      <c r="E135" s="7">
        <v>27830010948</v>
      </c>
      <c r="F135" s="7" t="s">
        <v>388</v>
      </c>
      <c r="G135" s="7" t="s">
        <v>389</v>
      </c>
      <c r="H135" s="7">
        <v>110000001</v>
      </c>
      <c r="I135" s="128" t="s">
        <v>390</v>
      </c>
      <c r="J135" s="6">
        <v>44777</v>
      </c>
      <c r="K135" s="6">
        <v>44788</v>
      </c>
      <c r="L135" s="129">
        <v>41110.199999999997</v>
      </c>
      <c r="M135" s="129">
        <f t="shared" si="15"/>
        <v>3425.85</v>
      </c>
      <c r="N135" s="129">
        <v>1624.9090909090908</v>
      </c>
      <c r="O135" s="129">
        <v>10</v>
      </c>
      <c r="P135" s="129">
        <f>ROUND(L135/253*O135,2)</f>
        <v>1624.91</v>
      </c>
      <c r="Q135" s="130">
        <f t="shared" si="8"/>
        <v>1624.91</v>
      </c>
      <c r="R135" s="130"/>
      <c r="S135" s="131"/>
    </row>
    <row r="136" spans="2:19" x14ac:dyDescent="0.25">
      <c r="B136" s="128" t="s">
        <v>10</v>
      </c>
      <c r="C136" s="7">
        <v>110000001</v>
      </c>
      <c r="D136" s="128" t="s">
        <v>390</v>
      </c>
      <c r="E136" s="7">
        <v>37460002245</v>
      </c>
      <c r="F136" s="7" t="s">
        <v>399</v>
      </c>
      <c r="G136" s="7" t="s">
        <v>400</v>
      </c>
      <c r="H136" s="7">
        <v>110000006</v>
      </c>
      <c r="I136" s="128" t="s">
        <v>387</v>
      </c>
      <c r="J136" s="6">
        <v>44788</v>
      </c>
      <c r="K136" s="6">
        <v>44799</v>
      </c>
      <c r="L136" s="129">
        <v>44281.08</v>
      </c>
      <c r="M136" s="129">
        <f t="shared" si="15"/>
        <v>3690.09</v>
      </c>
      <c r="N136" s="129">
        <v>1750.2403162055336</v>
      </c>
      <c r="O136" s="129">
        <v>10</v>
      </c>
      <c r="P136" s="129">
        <f>ROUND(L136/253*O136,2)</f>
        <v>1750.24</v>
      </c>
      <c r="Q136" s="130">
        <f t="shared" si="8"/>
        <v>1750.24</v>
      </c>
      <c r="R136" s="130"/>
      <c r="S136" s="131"/>
    </row>
    <row r="137" spans="2:19" x14ac:dyDescent="0.25">
      <c r="B137" s="128" t="s">
        <v>10</v>
      </c>
      <c r="C137" s="7">
        <v>400200006</v>
      </c>
      <c r="D137" s="128" t="s">
        <v>682</v>
      </c>
      <c r="E137" s="7">
        <v>43190037013</v>
      </c>
      <c r="F137" s="7" t="s">
        <v>683</v>
      </c>
      <c r="G137" s="7" t="s">
        <v>684</v>
      </c>
      <c r="H137" s="7">
        <v>400200001</v>
      </c>
      <c r="I137" s="128" t="s">
        <v>685</v>
      </c>
      <c r="J137" s="6">
        <v>44781</v>
      </c>
      <c r="K137" s="6">
        <v>44792</v>
      </c>
      <c r="L137" s="129">
        <v>39941.040000000001</v>
      </c>
      <c r="M137" s="129">
        <f t="shared" si="15"/>
        <v>3328.42</v>
      </c>
      <c r="N137" s="129">
        <v>0</v>
      </c>
      <c r="O137" s="129">
        <v>10</v>
      </c>
      <c r="P137" s="129">
        <f>ROUND(L137/253*O137,2)</f>
        <v>1578.7</v>
      </c>
      <c r="Q137" s="130">
        <f t="shared" ref="Q137:Q152" si="16">P137</f>
        <v>1578.7</v>
      </c>
      <c r="R137" s="130"/>
      <c r="S137" s="131"/>
    </row>
    <row r="138" spans="2:19" x14ac:dyDescent="0.25">
      <c r="B138" s="128" t="s">
        <v>10</v>
      </c>
      <c r="C138" s="7">
        <v>460200010</v>
      </c>
      <c r="D138" s="128" t="s">
        <v>401</v>
      </c>
      <c r="E138" s="7">
        <v>45810000774</v>
      </c>
      <c r="F138" s="7" t="s">
        <v>399</v>
      </c>
      <c r="G138" s="7" t="s">
        <v>402</v>
      </c>
      <c r="H138" s="7">
        <v>460200011</v>
      </c>
      <c r="I138" s="128" t="s">
        <v>403</v>
      </c>
      <c r="J138" s="6">
        <v>44774</v>
      </c>
      <c r="K138" s="6">
        <v>44803</v>
      </c>
      <c r="L138" s="129">
        <v>47879.28</v>
      </c>
      <c r="M138" s="129">
        <f t="shared" si="15"/>
        <v>3989.94</v>
      </c>
      <c r="N138" s="129">
        <v>946.2308300395257</v>
      </c>
      <c r="O138" s="129">
        <v>22</v>
      </c>
      <c r="P138" s="129">
        <f>ROUND(L138/253*O138,2)-1119.71</f>
        <v>3043.71</v>
      </c>
      <c r="Q138" s="130">
        <f t="shared" si="16"/>
        <v>3043.71</v>
      </c>
      <c r="R138" s="130"/>
      <c r="S138" s="131" t="s">
        <v>821</v>
      </c>
    </row>
    <row r="139" spans="2:19" x14ac:dyDescent="0.25">
      <c r="B139" s="128" t="s">
        <v>10</v>
      </c>
      <c r="C139" s="7">
        <v>546700009</v>
      </c>
      <c r="D139" s="128" t="s">
        <v>686</v>
      </c>
      <c r="E139" s="7">
        <v>50780028225</v>
      </c>
      <c r="F139" s="7" t="s">
        <v>687</v>
      </c>
      <c r="G139" s="7" t="s">
        <v>688</v>
      </c>
      <c r="H139" s="7">
        <v>540200015</v>
      </c>
      <c r="I139" s="128" t="s">
        <v>689</v>
      </c>
      <c r="J139" s="6">
        <v>44788</v>
      </c>
      <c r="K139" s="6">
        <v>44804</v>
      </c>
      <c r="L139" s="129">
        <v>55377.240000000005</v>
      </c>
      <c r="M139" s="129">
        <f t="shared" si="15"/>
        <v>4614.7700000000004</v>
      </c>
      <c r="N139" s="129">
        <v>0</v>
      </c>
      <c r="O139" s="129">
        <v>13</v>
      </c>
      <c r="P139" s="129">
        <f t="shared" ref="P139:P152" si="17">ROUND(L139/253*O139,2)</f>
        <v>2845.47</v>
      </c>
      <c r="Q139" s="130">
        <f t="shared" si="16"/>
        <v>2845.47</v>
      </c>
      <c r="R139" s="130"/>
      <c r="S139" s="131"/>
    </row>
    <row r="140" spans="2:19" x14ac:dyDescent="0.25">
      <c r="B140" s="128" t="s">
        <v>10</v>
      </c>
      <c r="C140" s="7">
        <v>460800002</v>
      </c>
      <c r="D140" s="128" t="s">
        <v>690</v>
      </c>
      <c r="E140" s="7">
        <v>52670008461</v>
      </c>
      <c r="F140" s="7" t="s">
        <v>691</v>
      </c>
      <c r="G140" s="7" t="s">
        <v>692</v>
      </c>
      <c r="H140" s="7">
        <v>460800007</v>
      </c>
      <c r="I140" s="128" t="s">
        <v>693</v>
      </c>
      <c r="J140" s="6">
        <v>44781</v>
      </c>
      <c r="K140" s="6">
        <v>44794</v>
      </c>
      <c r="L140" s="129">
        <v>25289.279999999999</v>
      </c>
      <c r="M140" s="129">
        <f t="shared" si="15"/>
        <v>2107.44</v>
      </c>
      <c r="N140" s="129">
        <v>0</v>
      </c>
      <c r="O140" s="129">
        <v>10</v>
      </c>
      <c r="P140" s="129">
        <f t="shared" si="17"/>
        <v>999.58</v>
      </c>
      <c r="Q140" s="130">
        <f t="shared" si="16"/>
        <v>999.58</v>
      </c>
      <c r="R140" s="130"/>
      <c r="S140" s="131"/>
    </row>
    <row r="141" spans="2:19" x14ac:dyDescent="0.25">
      <c r="B141" s="128" t="s">
        <v>10</v>
      </c>
      <c r="C141" s="7">
        <v>468900007</v>
      </c>
      <c r="D141" s="128" t="s">
        <v>694</v>
      </c>
      <c r="E141" s="7">
        <v>56190010294</v>
      </c>
      <c r="F141" s="7" t="s">
        <v>399</v>
      </c>
      <c r="G141" s="7" t="s">
        <v>695</v>
      </c>
      <c r="H141" s="7">
        <v>468900007</v>
      </c>
      <c r="I141" s="128" t="s">
        <v>694</v>
      </c>
      <c r="J141" s="6">
        <v>44797</v>
      </c>
      <c r="K141" s="6">
        <v>44804</v>
      </c>
      <c r="L141" s="129">
        <v>64333.919999999998</v>
      </c>
      <c r="M141" s="129">
        <f t="shared" si="15"/>
        <v>5361.16</v>
      </c>
      <c r="N141" s="129">
        <v>0</v>
      </c>
      <c r="O141" s="129">
        <v>6</v>
      </c>
      <c r="P141" s="129">
        <f t="shared" si="17"/>
        <v>1525.71</v>
      </c>
      <c r="Q141" s="130">
        <f t="shared" si="16"/>
        <v>1525.71</v>
      </c>
      <c r="R141" s="130"/>
      <c r="S141" s="131"/>
    </row>
    <row r="142" spans="2:19" x14ac:dyDescent="0.25">
      <c r="B142" s="128" t="s">
        <v>10</v>
      </c>
      <c r="C142" s="7">
        <v>740600004</v>
      </c>
      <c r="D142" s="128" t="s">
        <v>696</v>
      </c>
      <c r="E142" s="7">
        <v>57810011143</v>
      </c>
      <c r="F142" s="7" t="s">
        <v>352</v>
      </c>
      <c r="G142" s="7" t="s">
        <v>697</v>
      </c>
      <c r="H142" s="7">
        <v>740600004</v>
      </c>
      <c r="I142" s="128" t="s">
        <v>696</v>
      </c>
      <c r="J142" s="6">
        <v>44774</v>
      </c>
      <c r="K142" s="6">
        <v>44801</v>
      </c>
      <c r="L142" s="129">
        <v>54340.08</v>
      </c>
      <c r="M142" s="129">
        <f t="shared" si="15"/>
        <v>4528.34</v>
      </c>
      <c r="N142" s="129">
        <v>0</v>
      </c>
      <c r="O142" s="129">
        <v>20</v>
      </c>
      <c r="P142" s="129">
        <f t="shared" si="17"/>
        <v>4295.66</v>
      </c>
      <c r="Q142" s="130">
        <f t="shared" si="16"/>
        <v>4295.66</v>
      </c>
      <c r="R142" s="130"/>
      <c r="S142" s="131"/>
    </row>
    <row r="143" spans="2:19" x14ac:dyDescent="0.25">
      <c r="B143" s="128" t="s">
        <v>10</v>
      </c>
      <c r="C143" s="7">
        <v>320200007</v>
      </c>
      <c r="D143" s="128" t="s">
        <v>367</v>
      </c>
      <c r="E143" s="7">
        <v>58010009852</v>
      </c>
      <c r="F143" s="7" t="s">
        <v>404</v>
      </c>
      <c r="G143" s="7" t="s">
        <v>405</v>
      </c>
      <c r="H143" s="7">
        <v>320200004</v>
      </c>
      <c r="I143" s="128" t="s">
        <v>698</v>
      </c>
      <c r="J143" s="6">
        <v>44788</v>
      </c>
      <c r="K143" s="6">
        <v>44792</v>
      </c>
      <c r="L143" s="129">
        <v>55034.520000000004</v>
      </c>
      <c r="M143" s="129">
        <f t="shared" si="15"/>
        <v>4586.21</v>
      </c>
      <c r="N143" s="129">
        <v>2175.2774703557311</v>
      </c>
      <c r="O143" s="129">
        <v>5</v>
      </c>
      <c r="P143" s="129">
        <f t="shared" si="17"/>
        <v>1087.6400000000001</v>
      </c>
      <c r="Q143" s="130">
        <f t="shared" si="16"/>
        <v>1087.6400000000001</v>
      </c>
      <c r="R143" s="130"/>
      <c r="S143" s="131"/>
    </row>
    <row r="144" spans="2:19" x14ac:dyDescent="0.25">
      <c r="B144" s="128" t="s">
        <v>10</v>
      </c>
      <c r="C144" s="7">
        <v>90075404</v>
      </c>
      <c r="D144" s="128" t="s">
        <v>398</v>
      </c>
      <c r="E144" s="7">
        <v>65720002861</v>
      </c>
      <c r="F144" s="7" t="s">
        <v>699</v>
      </c>
      <c r="G144" s="7" t="s">
        <v>155</v>
      </c>
      <c r="H144" s="7">
        <v>90000004</v>
      </c>
      <c r="I144" s="128" t="s">
        <v>396</v>
      </c>
      <c r="J144" s="6">
        <v>44795</v>
      </c>
      <c r="K144" s="6">
        <v>44804</v>
      </c>
      <c r="L144" s="129">
        <v>56979.72</v>
      </c>
      <c r="M144" s="129">
        <f t="shared" si="15"/>
        <v>4748.3100000000004</v>
      </c>
      <c r="N144" s="129">
        <v>900.86513833992092</v>
      </c>
      <c r="O144" s="129">
        <v>8</v>
      </c>
      <c r="P144" s="129">
        <f t="shared" si="17"/>
        <v>1801.73</v>
      </c>
      <c r="Q144" s="130">
        <f t="shared" si="16"/>
        <v>1801.73</v>
      </c>
      <c r="R144" s="130"/>
      <c r="S144" s="131"/>
    </row>
    <row r="145" spans="2:19" x14ac:dyDescent="0.25">
      <c r="B145" s="128" t="s">
        <v>10</v>
      </c>
      <c r="C145" s="7">
        <v>320200005</v>
      </c>
      <c r="D145" s="128" t="s">
        <v>406</v>
      </c>
      <c r="E145" s="7">
        <v>70240005233</v>
      </c>
      <c r="F145" s="7" t="s">
        <v>164</v>
      </c>
      <c r="G145" s="7" t="s">
        <v>407</v>
      </c>
      <c r="H145" s="7">
        <v>320200006</v>
      </c>
      <c r="I145" s="128" t="s">
        <v>408</v>
      </c>
      <c r="J145" s="6">
        <v>44774</v>
      </c>
      <c r="K145" s="6">
        <v>44778</v>
      </c>
      <c r="L145" s="129">
        <v>59926.799999999996</v>
      </c>
      <c r="M145" s="129">
        <f t="shared" si="15"/>
        <v>4993.8999999999996</v>
      </c>
      <c r="N145" s="129">
        <v>1184.3241106719368</v>
      </c>
      <c r="O145" s="129">
        <v>5</v>
      </c>
      <c r="P145" s="129">
        <f t="shared" si="17"/>
        <v>1184.32</v>
      </c>
      <c r="Q145" s="130">
        <f t="shared" si="16"/>
        <v>1184.32</v>
      </c>
      <c r="R145" s="130"/>
      <c r="S145" s="131"/>
    </row>
    <row r="146" spans="2:19" x14ac:dyDescent="0.25">
      <c r="B146" s="128" t="s">
        <v>10</v>
      </c>
      <c r="C146" s="7">
        <v>90075406</v>
      </c>
      <c r="D146" s="128" t="s">
        <v>700</v>
      </c>
      <c r="E146" s="7">
        <v>77800003597</v>
      </c>
      <c r="F146" s="7" t="s">
        <v>701</v>
      </c>
      <c r="G146" s="7" t="s">
        <v>702</v>
      </c>
      <c r="H146" s="7">
        <v>90000123</v>
      </c>
      <c r="I146" s="128" t="s">
        <v>703</v>
      </c>
      <c r="J146" s="6">
        <v>44774</v>
      </c>
      <c r="K146" s="6">
        <v>44801</v>
      </c>
      <c r="L146" s="129">
        <v>48728.399999999994</v>
      </c>
      <c r="M146" s="129">
        <f t="shared" si="15"/>
        <v>4060.6999999999994</v>
      </c>
      <c r="N146" s="129">
        <v>0</v>
      </c>
      <c r="O146" s="129">
        <v>20</v>
      </c>
      <c r="P146" s="129">
        <f t="shared" si="17"/>
        <v>3852.05</v>
      </c>
      <c r="Q146" s="130">
        <f t="shared" si="16"/>
        <v>3852.05</v>
      </c>
      <c r="R146" s="130"/>
      <c r="S146" s="131"/>
    </row>
    <row r="147" spans="2:19" x14ac:dyDescent="0.25">
      <c r="B147" s="128" t="s">
        <v>10</v>
      </c>
      <c r="C147" s="7">
        <v>741400003</v>
      </c>
      <c r="D147" s="128" t="s">
        <v>704</v>
      </c>
      <c r="E147" s="7">
        <v>85300010509</v>
      </c>
      <c r="F147" s="7" t="s">
        <v>172</v>
      </c>
      <c r="G147" s="7" t="s">
        <v>705</v>
      </c>
      <c r="H147" s="7">
        <v>741400010</v>
      </c>
      <c r="I147" s="128" t="s">
        <v>378</v>
      </c>
      <c r="J147" s="6">
        <v>44781</v>
      </c>
      <c r="K147" s="6">
        <v>44804</v>
      </c>
      <c r="L147" s="129">
        <v>39380.879999999997</v>
      </c>
      <c r="M147" s="129">
        <f t="shared" si="15"/>
        <v>3281.74</v>
      </c>
      <c r="N147" s="129">
        <v>0</v>
      </c>
      <c r="O147" s="129">
        <v>18</v>
      </c>
      <c r="P147" s="129">
        <f t="shared" si="17"/>
        <v>2801.8</v>
      </c>
      <c r="Q147" s="130">
        <f t="shared" si="16"/>
        <v>2801.8</v>
      </c>
      <c r="R147" s="130"/>
      <c r="S147" s="131"/>
    </row>
    <row r="148" spans="2:19" x14ac:dyDescent="0.25">
      <c r="B148" s="128" t="s">
        <v>10</v>
      </c>
      <c r="C148" s="7">
        <v>90000006</v>
      </c>
      <c r="D148" s="128" t="s">
        <v>409</v>
      </c>
      <c r="E148" s="7">
        <v>88320010903</v>
      </c>
      <c r="F148" s="7" t="s">
        <v>410</v>
      </c>
      <c r="G148" s="7" t="s">
        <v>411</v>
      </c>
      <c r="H148" s="7">
        <v>90000108</v>
      </c>
      <c r="I148" s="128" t="s">
        <v>412</v>
      </c>
      <c r="J148" s="6">
        <v>44802</v>
      </c>
      <c r="K148" s="6">
        <v>44804</v>
      </c>
      <c r="L148" s="129">
        <v>46708.56</v>
      </c>
      <c r="M148" s="129">
        <f t="shared" si="15"/>
        <v>3892.3799999999997</v>
      </c>
      <c r="N148" s="129">
        <v>1846.1881422924901</v>
      </c>
      <c r="O148" s="129">
        <v>3</v>
      </c>
      <c r="P148" s="129">
        <f t="shared" si="17"/>
        <v>553.86</v>
      </c>
      <c r="Q148" s="130">
        <f t="shared" si="16"/>
        <v>553.86</v>
      </c>
      <c r="R148" s="130"/>
      <c r="S148" s="131"/>
    </row>
    <row r="149" spans="2:19" x14ac:dyDescent="0.25">
      <c r="B149" s="128" t="s">
        <v>10</v>
      </c>
      <c r="C149" s="7">
        <v>110000004</v>
      </c>
      <c r="D149" s="128" t="s">
        <v>381</v>
      </c>
      <c r="E149" s="7">
        <v>88360001061</v>
      </c>
      <c r="F149" s="7" t="s">
        <v>29</v>
      </c>
      <c r="G149" s="7" t="s">
        <v>706</v>
      </c>
      <c r="H149" s="7">
        <v>110000007</v>
      </c>
      <c r="I149" s="128" t="s">
        <v>379</v>
      </c>
      <c r="J149" s="6">
        <v>44781</v>
      </c>
      <c r="K149" s="6">
        <v>44799</v>
      </c>
      <c r="L149" s="129">
        <v>46706.04</v>
      </c>
      <c r="M149" s="129">
        <f t="shared" si="15"/>
        <v>3892.17</v>
      </c>
      <c r="N149" s="129">
        <v>0</v>
      </c>
      <c r="O149" s="129">
        <v>15</v>
      </c>
      <c r="P149" s="129">
        <f t="shared" si="17"/>
        <v>2769.13</v>
      </c>
      <c r="Q149" s="130">
        <f t="shared" si="16"/>
        <v>2769.13</v>
      </c>
      <c r="R149" s="130"/>
      <c r="S149" s="131"/>
    </row>
    <row r="150" spans="2:19" x14ac:dyDescent="0.25">
      <c r="B150" s="128" t="s">
        <v>10</v>
      </c>
      <c r="C150" s="7">
        <v>90000031</v>
      </c>
      <c r="D150" s="128" t="s">
        <v>707</v>
      </c>
      <c r="E150" s="7">
        <v>90920006563</v>
      </c>
      <c r="F150" s="7" t="s">
        <v>29</v>
      </c>
      <c r="G150" s="7" t="s">
        <v>708</v>
      </c>
      <c r="H150" s="7">
        <v>3000006</v>
      </c>
      <c r="I150" s="128" t="s">
        <v>709</v>
      </c>
      <c r="J150" s="6">
        <v>44774</v>
      </c>
      <c r="K150" s="6">
        <v>44787</v>
      </c>
      <c r="L150" s="129">
        <v>32599.32</v>
      </c>
      <c r="M150" s="129">
        <f t="shared" si="15"/>
        <v>2716.61</v>
      </c>
      <c r="N150" s="129">
        <v>0</v>
      </c>
      <c r="O150" s="129">
        <v>10</v>
      </c>
      <c r="P150" s="129">
        <f t="shared" si="17"/>
        <v>1288.51</v>
      </c>
      <c r="Q150" s="130">
        <f t="shared" si="16"/>
        <v>1288.51</v>
      </c>
      <c r="R150" s="130"/>
      <c r="S150" s="131"/>
    </row>
    <row r="151" spans="2:19" x14ac:dyDescent="0.25">
      <c r="B151" s="128" t="s">
        <v>10</v>
      </c>
      <c r="C151" s="7">
        <v>400200013</v>
      </c>
      <c r="D151" s="128" t="s">
        <v>386</v>
      </c>
      <c r="E151" s="7">
        <v>92710004963</v>
      </c>
      <c r="F151" s="7" t="s">
        <v>710</v>
      </c>
      <c r="G151" s="7" t="s">
        <v>711</v>
      </c>
      <c r="H151" s="7">
        <v>400200010</v>
      </c>
      <c r="I151" s="128" t="s">
        <v>384</v>
      </c>
      <c r="J151" s="6">
        <v>44774</v>
      </c>
      <c r="K151" s="6">
        <v>44792</v>
      </c>
      <c r="L151" s="129">
        <v>81756.72</v>
      </c>
      <c r="M151" s="129">
        <f t="shared" si="15"/>
        <v>6813.06</v>
      </c>
      <c r="N151" s="129">
        <v>0</v>
      </c>
      <c r="O151" s="129">
        <v>15</v>
      </c>
      <c r="P151" s="129">
        <f t="shared" si="17"/>
        <v>4847.24</v>
      </c>
      <c r="Q151" s="130">
        <f t="shared" si="16"/>
        <v>4847.24</v>
      </c>
      <c r="R151" s="130"/>
      <c r="S151" s="131"/>
    </row>
    <row r="152" spans="2:19" x14ac:dyDescent="0.25">
      <c r="B152" s="128" t="s">
        <v>10</v>
      </c>
      <c r="C152" s="7">
        <v>400200005</v>
      </c>
      <c r="D152" s="128" t="s">
        <v>712</v>
      </c>
      <c r="E152" s="7">
        <v>95160007316</v>
      </c>
      <c r="F152" s="7" t="s">
        <v>713</v>
      </c>
      <c r="G152" s="7" t="s">
        <v>714</v>
      </c>
      <c r="H152" s="7">
        <v>400200054</v>
      </c>
      <c r="I152" s="128" t="s">
        <v>715</v>
      </c>
      <c r="J152" s="6">
        <v>44782</v>
      </c>
      <c r="K152" s="6">
        <v>44790</v>
      </c>
      <c r="L152" s="129">
        <v>44847.360000000001</v>
      </c>
      <c r="M152" s="129">
        <f t="shared" si="15"/>
        <v>3737.28</v>
      </c>
      <c r="N152" s="129">
        <v>0</v>
      </c>
      <c r="O152" s="129">
        <v>7</v>
      </c>
      <c r="P152" s="129">
        <f t="shared" si="17"/>
        <v>1240.8399999999999</v>
      </c>
      <c r="Q152" s="130">
        <f t="shared" si="16"/>
        <v>1240.8399999999999</v>
      </c>
      <c r="R152" s="130"/>
      <c r="S152" s="131"/>
    </row>
    <row r="153" spans="2:19" x14ac:dyDescent="0.25">
      <c r="B153" s="106" t="s">
        <v>17</v>
      </c>
      <c r="C153" s="107"/>
      <c r="D153" s="106"/>
      <c r="E153" s="107"/>
      <c r="F153" s="107"/>
      <c r="G153" s="107"/>
      <c r="H153" s="107"/>
      <c r="I153" s="106"/>
      <c r="J153" s="135"/>
      <c r="K153" s="135"/>
      <c r="L153" s="110">
        <f t="shared" ref="L153:R153" si="18">SUM(L130:L152)</f>
        <v>1130930.7600000002</v>
      </c>
      <c r="M153" s="110">
        <f t="shared" si="18"/>
        <v>94244.23000000001</v>
      </c>
      <c r="N153" s="110">
        <f t="shared" si="18"/>
        <v>19366.799525691698</v>
      </c>
      <c r="O153" s="110">
        <f t="shared" si="18"/>
        <v>240</v>
      </c>
      <c r="P153" s="110">
        <f t="shared" si="18"/>
        <v>44773.509999999995</v>
      </c>
      <c r="Q153" s="110">
        <f t="shared" si="18"/>
        <v>44773.509999999995</v>
      </c>
      <c r="R153" s="110">
        <f t="shared" si="18"/>
        <v>0</v>
      </c>
      <c r="S153" s="136"/>
    </row>
  </sheetData>
  <mergeCells count="16">
    <mergeCell ref="S42:S43"/>
    <mergeCell ref="R42:R43"/>
    <mergeCell ref="L36:L37"/>
    <mergeCell ref="M36:M37"/>
    <mergeCell ref="N36:N37"/>
    <mergeCell ref="O42:O43"/>
    <mergeCell ref="P42:P43"/>
    <mergeCell ref="Q42:Q43"/>
    <mergeCell ref="L42:L43"/>
    <mergeCell ref="M42:M43"/>
    <mergeCell ref="N42:N43"/>
    <mergeCell ref="P1:S1"/>
    <mergeCell ref="B2:S2"/>
    <mergeCell ref="B4:S4"/>
    <mergeCell ref="Q5:R5"/>
    <mergeCell ref="B7:K7"/>
  </mergeCells>
  <conditionalFormatting sqref="E9">
    <cfRule type="duplicateValues" dxfId="6" priority="3"/>
  </conditionalFormatting>
  <conditionalFormatting sqref="E9">
    <cfRule type="duplicateValues" dxfId="5" priority="4"/>
  </conditionalFormatting>
  <conditionalFormatting sqref="E83 E81">
    <cfRule type="duplicateValues" dxfId="4" priority="2"/>
  </conditionalFormatting>
  <conditionalFormatting sqref="E86">
    <cfRule type="duplicateValues" dxfId="3" priority="1"/>
  </conditionalFormatting>
  <conditionalFormatting sqref="E100">
    <cfRule type="duplicateValues" dxfId="2" priority="5"/>
  </conditionalFormatting>
  <dataValidations count="2">
    <dataValidation type="textLength" showInputMessage="1" showErrorMessage="1" sqref="H101" xr:uid="{CC821A08-8D76-40CF-B8A4-8B8A6FF457F1}">
      <formula1>9</formula1>
      <formula2>9</formula2>
    </dataValidation>
    <dataValidation type="date" showInputMessage="1" showErrorMessage="1" sqref="J32:J34" xr:uid="{F2F636FB-D6CB-4C0E-99FE-C9FAC4AE262C}">
      <formula1>43831</formula1>
      <formula2>45657</formula2>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95761-C710-4AA2-B625-8E8D81F58A3B}">
  <dimension ref="B1:T378"/>
  <sheetViews>
    <sheetView zoomScale="80" zoomScaleNormal="80" workbookViewId="0">
      <pane ySplit="7" topLeftCell="A8" activePane="bottomLeft" state="frozen"/>
      <selection pane="bottomLeft" activeCell="I33" sqref="I33"/>
    </sheetView>
  </sheetViews>
  <sheetFormatPr defaultRowHeight="15" x14ac:dyDescent="0.25"/>
  <cols>
    <col min="1" max="1" width="5.28515625" style="160" customWidth="1"/>
    <col min="2" max="2" width="17.5703125" style="189" customWidth="1"/>
    <col min="3" max="3" width="16.28515625" style="190" customWidth="1"/>
    <col min="4" max="4" width="43.28515625" style="189" customWidth="1"/>
    <col min="5" max="5" width="16.5703125" style="190" customWidth="1"/>
    <col min="6" max="6" width="16.7109375" style="190" customWidth="1"/>
    <col min="7" max="7" width="18.42578125" style="191" customWidth="1"/>
    <col min="8" max="8" width="15.28515625" style="190" customWidth="1"/>
    <col min="9" max="9" width="37.140625" style="190" customWidth="1"/>
    <col min="10" max="11" width="12.7109375" style="190" customWidth="1"/>
    <col min="12" max="12" width="22" style="192" customWidth="1"/>
    <col min="13" max="13" width="20" style="192" customWidth="1"/>
    <col min="14" max="14" width="14.140625" style="193" customWidth="1"/>
    <col min="15" max="15" width="15.42578125" style="193" customWidth="1"/>
    <col min="16" max="16" width="15.140625" style="193" customWidth="1"/>
    <col min="17" max="17" width="57.42578125" style="194" customWidth="1"/>
    <col min="18" max="19" width="12.7109375" style="195" customWidth="1"/>
    <col min="20" max="20" width="13.85546875" style="195" customWidth="1"/>
    <col min="21" max="16384" width="9.140625" style="160"/>
  </cols>
  <sheetData>
    <row r="1" spans="2:20" ht="27" customHeight="1" x14ac:dyDescent="0.25">
      <c r="B1" s="156"/>
      <c r="C1" s="156"/>
      <c r="D1" s="157"/>
      <c r="E1" s="156"/>
      <c r="F1" s="156"/>
      <c r="G1" s="158"/>
      <c r="H1" s="156"/>
      <c r="I1" s="157"/>
      <c r="J1" s="158"/>
      <c r="K1" s="158"/>
      <c r="L1" s="159"/>
      <c r="M1" s="159"/>
      <c r="N1" s="214" t="s">
        <v>804</v>
      </c>
      <c r="O1" s="214"/>
      <c r="P1" s="214"/>
      <c r="Q1" s="214"/>
      <c r="R1" s="160"/>
      <c r="S1" s="160"/>
      <c r="T1" s="160"/>
    </row>
    <row r="2" spans="2:20" ht="18.75" customHeight="1" x14ac:dyDescent="0.25">
      <c r="B2" s="234" t="s">
        <v>851</v>
      </c>
      <c r="C2" s="234"/>
      <c r="D2" s="234"/>
      <c r="E2" s="234"/>
      <c r="F2" s="234"/>
      <c r="G2" s="234"/>
      <c r="H2" s="234"/>
      <c r="I2" s="234"/>
      <c r="J2" s="234"/>
      <c r="K2" s="234"/>
      <c r="L2" s="234"/>
      <c r="M2" s="234"/>
      <c r="N2" s="234"/>
      <c r="O2" s="234"/>
      <c r="P2" s="234"/>
      <c r="Q2" s="234"/>
      <c r="R2" s="160"/>
      <c r="S2" s="160"/>
      <c r="T2" s="160"/>
    </row>
    <row r="3" spans="2:20" ht="8.25" customHeight="1" x14ac:dyDescent="0.25">
      <c r="B3" s="156"/>
      <c r="C3" s="161"/>
      <c r="D3" s="157"/>
      <c r="E3" s="156"/>
      <c r="F3" s="156"/>
      <c r="G3" s="158"/>
      <c r="H3" s="156"/>
      <c r="I3" s="157"/>
      <c r="J3" s="158"/>
      <c r="K3" s="158"/>
      <c r="L3" s="162"/>
      <c r="M3" s="162"/>
      <c r="N3" s="162"/>
      <c r="O3" s="162"/>
      <c r="P3" s="159"/>
      <c r="Q3" s="162"/>
      <c r="R3" s="160"/>
      <c r="S3" s="160"/>
      <c r="T3" s="160"/>
    </row>
    <row r="4" spans="2:20" s="66" customFormat="1" ht="37.5" customHeight="1" x14ac:dyDescent="0.2">
      <c r="B4" s="216" t="s">
        <v>805</v>
      </c>
      <c r="C4" s="216"/>
      <c r="D4" s="216"/>
      <c r="E4" s="216"/>
      <c r="F4" s="216"/>
      <c r="G4" s="216"/>
      <c r="H4" s="216"/>
      <c r="I4" s="216"/>
      <c r="J4" s="216"/>
      <c r="K4" s="216"/>
      <c r="L4" s="216"/>
      <c r="M4" s="216"/>
      <c r="N4" s="216"/>
      <c r="O4" s="216"/>
      <c r="P4" s="216"/>
      <c r="Q4" s="216"/>
      <c r="R4" s="163"/>
    </row>
    <row r="5" spans="2:20" s="66" customFormat="1" ht="12.75" x14ac:dyDescent="0.2">
      <c r="B5" s="67"/>
      <c r="C5" s="67"/>
      <c r="D5" s="67"/>
      <c r="E5" s="67"/>
      <c r="F5" s="67"/>
      <c r="G5" s="67"/>
      <c r="H5" s="67"/>
      <c r="I5" s="67"/>
      <c r="J5" s="67"/>
      <c r="K5" s="67"/>
      <c r="L5" s="68"/>
      <c r="M5" s="68"/>
      <c r="N5" s="68"/>
      <c r="O5" s="68"/>
      <c r="P5" s="68"/>
      <c r="Q5" s="68"/>
      <c r="R5" s="67"/>
    </row>
    <row r="6" spans="2:20" ht="78.75" x14ac:dyDescent="0.25">
      <c r="B6" s="164" t="s">
        <v>5</v>
      </c>
      <c r="C6" s="164" t="s">
        <v>0</v>
      </c>
      <c r="D6" s="164" t="s">
        <v>18</v>
      </c>
      <c r="E6" s="164" t="s">
        <v>4</v>
      </c>
      <c r="F6" s="164" t="s">
        <v>19</v>
      </c>
      <c r="G6" s="164" t="s">
        <v>20</v>
      </c>
      <c r="H6" s="164" t="s">
        <v>1</v>
      </c>
      <c r="I6" s="164" t="s">
        <v>21</v>
      </c>
      <c r="J6" s="164" t="s">
        <v>2</v>
      </c>
      <c r="K6" s="164" t="s">
        <v>3</v>
      </c>
      <c r="L6" s="125" t="s">
        <v>844</v>
      </c>
      <c r="M6" s="125" t="s">
        <v>845</v>
      </c>
      <c r="N6" s="165" t="s">
        <v>850</v>
      </c>
      <c r="O6" s="165" t="s">
        <v>416</v>
      </c>
      <c r="P6" s="165" t="s">
        <v>822</v>
      </c>
      <c r="Q6" s="165" t="s">
        <v>12</v>
      </c>
      <c r="R6" s="160"/>
      <c r="S6" s="160"/>
      <c r="T6" s="160"/>
    </row>
    <row r="7" spans="2:20" ht="15.75" x14ac:dyDescent="0.25">
      <c r="B7" s="233" t="s">
        <v>11</v>
      </c>
      <c r="C7" s="233"/>
      <c r="D7" s="233"/>
      <c r="E7" s="233"/>
      <c r="F7" s="233"/>
      <c r="G7" s="233"/>
      <c r="H7" s="233"/>
      <c r="I7" s="233"/>
      <c r="J7" s="233"/>
      <c r="K7" s="233"/>
      <c r="L7" s="165">
        <f>ROUNDUP(L11+L18+L58+L49+L71,0)</f>
        <v>2572351</v>
      </c>
      <c r="M7" s="165">
        <f>ROUNDUP(M11+M18+M58+M49+M71,0)</f>
        <v>214363</v>
      </c>
      <c r="N7" s="165">
        <f>ROUNDUP(N11+N18+N58+N49+N71,0)</f>
        <v>73348</v>
      </c>
      <c r="O7" s="165">
        <f>O11+O18+O58+O49+O71</f>
        <v>427</v>
      </c>
      <c r="P7" s="165">
        <f>ROUND(P11+P18+P58+P49+P71,0)</f>
        <v>72630</v>
      </c>
      <c r="Q7" s="165"/>
      <c r="R7" s="160"/>
      <c r="S7" s="160"/>
      <c r="T7" s="160"/>
    </row>
    <row r="8" spans="2:20" x14ac:dyDescent="0.25">
      <c r="B8" s="166" t="s">
        <v>7</v>
      </c>
      <c r="C8" s="167">
        <v>620200001</v>
      </c>
      <c r="D8" s="166" t="s">
        <v>716</v>
      </c>
      <c r="E8" s="167">
        <v>10600003487</v>
      </c>
      <c r="F8" s="167" t="s">
        <v>717</v>
      </c>
      <c r="G8" s="167" t="s">
        <v>718</v>
      </c>
      <c r="H8" s="167">
        <v>620200061</v>
      </c>
      <c r="I8" s="166" t="s">
        <v>719</v>
      </c>
      <c r="J8" s="168">
        <v>44746</v>
      </c>
      <c r="K8" s="168">
        <v>44771</v>
      </c>
      <c r="L8" s="49">
        <v>52329.36</v>
      </c>
      <c r="M8" s="49">
        <f>L8/12</f>
        <v>4360.78</v>
      </c>
      <c r="N8" s="49">
        <v>0</v>
      </c>
      <c r="O8" s="49">
        <v>20</v>
      </c>
      <c r="P8" s="49">
        <f>ROUND(L8/253*O8,2)</f>
        <v>4136.71</v>
      </c>
      <c r="Q8" s="169"/>
      <c r="R8" s="160"/>
      <c r="S8" s="160"/>
      <c r="T8" s="160"/>
    </row>
    <row r="9" spans="2:20" x14ac:dyDescent="0.25">
      <c r="B9" s="166" t="s">
        <v>7</v>
      </c>
      <c r="C9" s="167">
        <v>170000170</v>
      </c>
      <c r="D9" s="166" t="s">
        <v>28</v>
      </c>
      <c r="E9" s="167">
        <v>14230030829</v>
      </c>
      <c r="F9" s="167" t="s">
        <v>29</v>
      </c>
      <c r="G9" s="167" t="s">
        <v>30</v>
      </c>
      <c r="H9" s="167">
        <v>170075432</v>
      </c>
      <c r="I9" s="166" t="s">
        <v>31</v>
      </c>
      <c r="J9" s="168">
        <v>44802</v>
      </c>
      <c r="K9" s="168">
        <v>44806</v>
      </c>
      <c r="L9" s="49">
        <v>57822.12</v>
      </c>
      <c r="M9" s="49">
        <f>L9/12</f>
        <v>4818.51</v>
      </c>
      <c r="N9" s="49">
        <v>3428.19</v>
      </c>
      <c r="O9" s="49">
        <v>5</v>
      </c>
      <c r="P9" s="49">
        <f>ROUND(L9/253*O9,2)</f>
        <v>1142.73</v>
      </c>
      <c r="Q9" s="169"/>
      <c r="R9" s="160"/>
      <c r="S9" s="160"/>
      <c r="T9" s="160"/>
    </row>
    <row r="10" spans="2:20" x14ac:dyDescent="0.25">
      <c r="B10" s="166" t="s">
        <v>7</v>
      </c>
      <c r="C10" s="167">
        <v>621200003</v>
      </c>
      <c r="D10" s="166" t="s">
        <v>720</v>
      </c>
      <c r="E10" s="167">
        <v>39050003395</v>
      </c>
      <c r="F10" s="167" t="s">
        <v>721</v>
      </c>
      <c r="G10" s="167" t="s">
        <v>722</v>
      </c>
      <c r="H10" s="167">
        <v>621200005</v>
      </c>
      <c r="I10" s="166" t="s">
        <v>723</v>
      </c>
      <c r="J10" s="168">
        <v>44816</v>
      </c>
      <c r="K10" s="168">
        <v>44820</v>
      </c>
      <c r="L10" s="49">
        <v>43985.64</v>
      </c>
      <c r="M10" s="49">
        <f>L10/12</f>
        <v>3665.47</v>
      </c>
      <c r="N10" s="49">
        <v>0</v>
      </c>
      <c r="O10" s="49">
        <v>5</v>
      </c>
      <c r="P10" s="49">
        <f>ROUND(L10/253*O10,2)</f>
        <v>869.28</v>
      </c>
      <c r="Q10" s="169"/>
      <c r="R10" s="160"/>
      <c r="S10" s="160"/>
      <c r="T10" s="160"/>
    </row>
    <row r="11" spans="2:20" x14ac:dyDescent="0.25">
      <c r="B11" s="170" t="s">
        <v>13</v>
      </c>
      <c r="C11" s="171"/>
      <c r="D11" s="170"/>
      <c r="E11" s="171"/>
      <c r="F11" s="171"/>
      <c r="G11" s="171"/>
      <c r="H11" s="171"/>
      <c r="I11" s="170"/>
      <c r="J11" s="172"/>
      <c r="K11" s="172"/>
      <c r="L11" s="173">
        <f>SUM(L8:L10)</f>
        <v>154137.12</v>
      </c>
      <c r="M11" s="173">
        <f>SUM(M8:M10)</f>
        <v>12844.76</v>
      </c>
      <c r="N11" s="173">
        <f t="shared" ref="N11" si="0">SUM(N8:N10)</f>
        <v>3428.19</v>
      </c>
      <c r="O11" s="173">
        <f>SUM(O8:O10)</f>
        <v>30</v>
      </c>
      <c r="P11" s="173">
        <f>SUM(P8:P10)</f>
        <v>6148.72</v>
      </c>
      <c r="Q11" s="174"/>
      <c r="R11" s="160"/>
      <c r="S11" s="160"/>
      <c r="T11" s="160"/>
    </row>
    <row r="12" spans="2:20" x14ac:dyDescent="0.25">
      <c r="B12" s="166" t="s">
        <v>8</v>
      </c>
      <c r="C12" s="167">
        <v>50075424</v>
      </c>
      <c r="D12" s="166" t="s">
        <v>57</v>
      </c>
      <c r="E12" s="167">
        <v>13270011105</v>
      </c>
      <c r="F12" s="167" t="s">
        <v>58</v>
      </c>
      <c r="G12" s="167" t="s">
        <v>59</v>
      </c>
      <c r="H12" s="167">
        <v>50075429</v>
      </c>
      <c r="I12" s="166" t="s">
        <v>60</v>
      </c>
      <c r="J12" s="168" t="s">
        <v>724</v>
      </c>
      <c r="K12" s="168" t="s">
        <v>725</v>
      </c>
      <c r="L12" s="49">
        <v>51869.88</v>
      </c>
      <c r="M12" s="49">
        <f t="shared" ref="M12:M17" si="1">L12/12</f>
        <v>4322.49</v>
      </c>
      <c r="N12" s="49">
        <v>2050.1999999999998</v>
      </c>
      <c r="O12" s="49">
        <v>10</v>
      </c>
      <c r="P12" s="49">
        <f t="shared" ref="P12:P17" si="2">ROUND(L12/253*O12,2)</f>
        <v>2050.19</v>
      </c>
      <c r="Q12" s="169"/>
      <c r="R12" s="160"/>
      <c r="S12" s="160"/>
      <c r="T12" s="160"/>
    </row>
    <row r="13" spans="2:20" x14ac:dyDescent="0.25">
      <c r="B13" s="166" t="s">
        <v>8</v>
      </c>
      <c r="C13" s="167">
        <v>50075405</v>
      </c>
      <c r="D13" s="166" t="s">
        <v>150</v>
      </c>
      <c r="E13" s="167">
        <v>18970011275</v>
      </c>
      <c r="F13" s="167" t="s">
        <v>228</v>
      </c>
      <c r="G13" s="167" t="s">
        <v>454</v>
      </c>
      <c r="H13" s="167">
        <v>50000134</v>
      </c>
      <c r="I13" s="166" t="s">
        <v>147</v>
      </c>
      <c r="J13" s="168">
        <v>44833</v>
      </c>
      <c r="K13" s="168">
        <v>44834</v>
      </c>
      <c r="L13" s="49">
        <v>59118</v>
      </c>
      <c r="M13" s="49">
        <f t="shared" si="1"/>
        <v>4926.5</v>
      </c>
      <c r="N13" s="49">
        <v>2570.35</v>
      </c>
      <c r="O13" s="49">
        <v>2</v>
      </c>
      <c r="P13" s="49">
        <f t="shared" si="2"/>
        <v>467.34</v>
      </c>
      <c r="Q13" s="169"/>
      <c r="R13" s="160"/>
      <c r="S13" s="160"/>
      <c r="T13" s="160"/>
    </row>
    <row r="14" spans="2:20" x14ac:dyDescent="0.25">
      <c r="B14" s="166" t="s">
        <v>8</v>
      </c>
      <c r="C14" s="167">
        <v>600200035</v>
      </c>
      <c r="D14" s="166" t="s">
        <v>55</v>
      </c>
      <c r="E14" s="167">
        <v>22970038197</v>
      </c>
      <c r="F14" s="167" t="s">
        <v>73</v>
      </c>
      <c r="G14" s="167" t="s">
        <v>74</v>
      </c>
      <c r="H14" s="167">
        <v>600200015</v>
      </c>
      <c r="I14" s="166" t="s">
        <v>52</v>
      </c>
      <c r="J14" s="168" t="s">
        <v>726</v>
      </c>
      <c r="K14" s="168" t="s">
        <v>727</v>
      </c>
      <c r="L14" s="49">
        <v>32176.080000000002</v>
      </c>
      <c r="M14" s="49">
        <f t="shared" si="1"/>
        <v>2681.34</v>
      </c>
      <c r="N14" s="49">
        <v>1398.96</v>
      </c>
      <c r="O14" s="49">
        <v>5</v>
      </c>
      <c r="P14" s="49">
        <f t="shared" si="2"/>
        <v>635.89</v>
      </c>
      <c r="Q14" s="169" t="s">
        <v>728</v>
      </c>
      <c r="R14" s="160"/>
      <c r="S14" s="160"/>
      <c r="T14" s="160"/>
    </row>
    <row r="15" spans="2:20" x14ac:dyDescent="0.25">
      <c r="B15" s="166" t="s">
        <v>8</v>
      </c>
      <c r="C15" s="167">
        <v>210075421</v>
      </c>
      <c r="D15" s="166" t="s">
        <v>70</v>
      </c>
      <c r="E15" s="167">
        <v>30580000819</v>
      </c>
      <c r="F15" s="167" t="s">
        <v>375</v>
      </c>
      <c r="G15" s="167" t="s">
        <v>729</v>
      </c>
      <c r="H15" s="167">
        <v>210075425</v>
      </c>
      <c r="I15" s="166" t="s">
        <v>67</v>
      </c>
      <c r="J15" s="168" t="s">
        <v>730</v>
      </c>
      <c r="K15" s="168" t="s">
        <v>724</v>
      </c>
      <c r="L15" s="49">
        <v>48971.28</v>
      </c>
      <c r="M15" s="49">
        <f t="shared" si="1"/>
        <v>4080.94</v>
      </c>
      <c r="N15" s="49">
        <v>1935.62</v>
      </c>
      <c r="O15" s="49">
        <v>11</v>
      </c>
      <c r="P15" s="49">
        <f t="shared" si="2"/>
        <v>2129.19</v>
      </c>
      <c r="Q15" s="169"/>
      <c r="R15" s="160"/>
      <c r="S15" s="160"/>
      <c r="T15" s="160"/>
    </row>
    <row r="16" spans="2:20" x14ac:dyDescent="0.25">
      <c r="B16" s="166" t="s">
        <v>8</v>
      </c>
      <c r="C16" s="167">
        <v>50075423</v>
      </c>
      <c r="D16" s="166" t="s">
        <v>458</v>
      </c>
      <c r="E16" s="167">
        <v>31130007089</v>
      </c>
      <c r="F16" s="167" t="s">
        <v>260</v>
      </c>
      <c r="G16" s="167" t="s">
        <v>459</v>
      </c>
      <c r="H16" s="167">
        <v>50075420</v>
      </c>
      <c r="I16" s="166" t="s">
        <v>92</v>
      </c>
      <c r="J16" s="168">
        <v>44805</v>
      </c>
      <c r="K16" s="168">
        <v>44810</v>
      </c>
      <c r="L16" s="49">
        <v>45484.68</v>
      </c>
      <c r="M16" s="49">
        <f t="shared" si="1"/>
        <v>3790.39</v>
      </c>
      <c r="N16" s="49">
        <v>1438.25</v>
      </c>
      <c r="O16" s="49">
        <v>4</v>
      </c>
      <c r="P16" s="49">
        <f t="shared" si="2"/>
        <v>719.13</v>
      </c>
      <c r="Q16" s="169"/>
      <c r="R16" s="160"/>
      <c r="S16" s="160"/>
      <c r="T16" s="160"/>
    </row>
    <row r="17" spans="2:20" x14ac:dyDescent="0.25">
      <c r="B17" s="166" t="s">
        <v>8</v>
      </c>
      <c r="C17" s="167">
        <v>680200037</v>
      </c>
      <c r="D17" s="166" t="s">
        <v>136</v>
      </c>
      <c r="E17" s="167">
        <v>93970005024</v>
      </c>
      <c r="F17" s="167" t="s">
        <v>172</v>
      </c>
      <c r="G17" s="167" t="s">
        <v>173</v>
      </c>
      <c r="H17" s="167">
        <v>681800002</v>
      </c>
      <c r="I17" s="166" t="s">
        <v>134</v>
      </c>
      <c r="J17" s="168" t="s">
        <v>731</v>
      </c>
      <c r="K17" s="168" t="s">
        <v>732</v>
      </c>
      <c r="L17" s="49">
        <v>37723.440000000002</v>
      </c>
      <c r="M17" s="49">
        <f t="shared" si="1"/>
        <v>3143.6200000000003</v>
      </c>
      <c r="N17" s="49">
        <v>1491.05</v>
      </c>
      <c r="O17" s="49">
        <v>5</v>
      </c>
      <c r="P17" s="49">
        <f t="shared" si="2"/>
        <v>745.52</v>
      </c>
      <c r="Q17" s="169"/>
      <c r="R17" s="160"/>
      <c r="S17" s="160"/>
      <c r="T17" s="160"/>
    </row>
    <row r="18" spans="2:20" x14ac:dyDescent="0.25">
      <c r="B18" s="170" t="s">
        <v>14</v>
      </c>
      <c r="C18" s="171"/>
      <c r="D18" s="170"/>
      <c r="E18" s="171"/>
      <c r="F18" s="171"/>
      <c r="G18" s="171"/>
      <c r="H18" s="171"/>
      <c r="I18" s="170"/>
      <c r="J18" s="172"/>
      <c r="K18" s="172"/>
      <c r="L18" s="173">
        <f>SUM(L12:L17)</f>
        <v>275343.35999999999</v>
      </c>
      <c r="M18" s="173">
        <f>SUM(M12:M17)</f>
        <v>22945.279999999999</v>
      </c>
      <c r="N18" s="173">
        <f t="shared" ref="N18" si="3">SUM(N12:N17)</f>
        <v>10884.429999999998</v>
      </c>
      <c r="O18" s="173">
        <f>SUM(O12:O17)</f>
        <v>37</v>
      </c>
      <c r="P18" s="173">
        <f>SUM(P12:P17)</f>
        <v>6747.26</v>
      </c>
      <c r="Q18" s="175"/>
      <c r="R18" s="160"/>
      <c r="S18" s="160"/>
      <c r="T18" s="160"/>
    </row>
    <row r="19" spans="2:20" x14ac:dyDescent="0.25">
      <c r="B19" s="166" t="s">
        <v>6</v>
      </c>
      <c r="C19" s="167">
        <v>10001535</v>
      </c>
      <c r="D19" s="166" t="s">
        <v>270</v>
      </c>
      <c r="E19" s="167">
        <v>10310009381</v>
      </c>
      <c r="F19" s="167" t="s">
        <v>650</v>
      </c>
      <c r="G19" s="167" t="s">
        <v>651</v>
      </c>
      <c r="H19" s="167">
        <v>10001535</v>
      </c>
      <c r="I19" s="166" t="s">
        <v>270</v>
      </c>
      <c r="J19" s="168">
        <v>44805</v>
      </c>
      <c r="K19" s="168">
        <v>44815</v>
      </c>
      <c r="L19" s="49">
        <v>56060.639999999999</v>
      </c>
      <c r="M19" s="49">
        <f t="shared" ref="M19:M48" si="4">L19/12</f>
        <v>4671.72</v>
      </c>
      <c r="N19" s="49">
        <v>664.75</v>
      </c>
      <c r="O19" s="49">
        <v>7</v>
      </c>
      <c r="P19" s="49">
        <f t="shared" ref="P19:P48" si="5">ROUND(L19/253*O19,2)</f>
        <v>1551.08</v>
      </c>
      <c r="Q19" s="169"/>
      <c r="R19" s="160"/>
      <c r="S19" s="160"/>
      <c r="T19" s="160"/>
    </row>
    <row r="20" spans="2:20" x14ac:dyDescent="0.25">
      <c r="B20" s="166" t="s">
        <v>6</v>
      </c>
      <c r="C20" s="167">
        <v>804477406</v>
      </c>
      <c r="D20" s="166" t="s">
        <v>215</v>
      </c>
      <c r="E20" s="167">
        <v>12990003920</v>
      </c>
      <c r="F20" s="167" t="s">
        <v>216</v>
      </c>
      <c r="G20" s="167" t="s">
        <v>217</v>
      </c>
      <c r="H20" s="167">
        <v>805200002</v>
      </c>
      <c r="I20" s="166" t="s">
        <v>218</v>
      </c>
      <c r="J20" s="168">
        <v>44805</v>
      </c>
      <c r="K20" s="168">
        <v>44806</v>
      </c>
      <c r="L20" s="49">
        <v>50326.559999999998</v>
      </c>
      <c r="M20" s="49">
        <f t="shared" si="4"/>
        <v>4193.88</v>
      </c>
      <c r="N20" s="49">
        <v>3580.55</v>
      </c>
      <c r="O20" s="49">
        <v>2</v>
      </c>
      <c r="P20" s="49">
        <f t="shared" si="5"/>
        <v>397.84</v>
      </c>
      <c r="Q20" s="169"/>
      <c r="R20" s="160"/>
      <c r="S20" s="160"/>
      <c r="T20" s="160"/>
    </row>
    <row r="21" spans="2:20" x14ac:dyDescent="0.25">
      <c r="B21" s="166" t="s">
        <v>6</v>
      </c>
      <c r="C21" s="167">
        <v>800600005</v>
      </c>
      <c r="D21" s="166" t="s">
        <v>733</v>
      </c>
      <c r="E21" s="167">
        <v>14510003935</v>
      </c>
      <c r="F21" s="167" t="s">
        <v>440</v>
      </c>
      <c r="G21" s="167" t="s">
        <v>734</v>
      </c>
      <c r="H21" s="167">
        <v>800600003</v>
      </c>
      <c r="I21" s="166" t="s">
        <v>735</v>
      </c>
      <c r="J21" s="168">
        <v>44819</v>
      </c>
      <c r="K21" s="168">
        <v>44834</v>
      </c>
      <c r="L21" s="49">
        <v>46212.72</v>
      </c>
      <c r="M21" s="49">
        <f t="shared" si="4"/>
        <v>3851.06</v>
      </c>
      <c r="N21" s="49">
        <v>365.32</v>
      </c>
      <c r="O21" s="49">
        <v>12</v>
      </c>
      <c r="P21" s="49">
        <f t="shared" si="5"/>
        <v>2191.91</v>
      </c>
      <c r="Q21" s="169"/>
      <c r="R21" s="160"/>
      <c r="S21" s="160"/>
      <c r="T21" s="160"/>
    </row>
    <row r="22" spans="2:20" x14ac:dyDescent="0.25">
      <c r="B22" s="166" t="s">
        <v>6</v>
      </c>
      <c r="C22" s="167">
        <v>19375404</v>
      </c>
      <c r="D22" s="166" t="s">
        <v>504</v>
      </c>
      <c r="E22" s="167">
        <v>15270003362</v>
      </c>
      <c r="F22" s="167" t="s">
        <v>505</v>
      </c>
      <c r="G22" s="167" t="s">
        <v>506</v>
      </c>
      <c r="H22" s="176">
        <v>19375405</v>
      </c>
      <c r="I22" s="166" t="s">
        <v>507</v>
      </c>
      <c r="J22" s="168">
        <v>44805</v>
      </c>
      <c r="K22" s="168">
        <v>44806</v>
      </c>
      <c r="L22" s="49">
        <v>39266.159999999996</v>
      </c>
      <c r="M22" s="49">
        <f t="shared" si="4"/>
        <v>3272.18</v>
      </c>
      <c r="N22" s="49">
        <v>465.61</v>
      </c>
      <c r="O22" s="49">
        <v>2</v>
      </c>
      <c r="P22" s="49">
        <f t="shared" si="5"/>
        <v>310.39999999999998</v>
      </c>
      <c r="Q22" s="169"/>
      <c r="R22" s="160"/>
      <c r="S22" s="160"/>
      <c r="T22" s="160"/>
    </row>
    <row r="23" spans="2:20" x14ac:dyDescent="0.25">
      <c r="B23" s="166" t="s">
        <v>6</v>
      </c>
      <c r="C23" s="177">
        <v>801000021</v>
      </c>
      <c r="D23" s="178" t="s">
        <v>509</v>
      </c>
      <c r="E23" s="167">
        <v>19270002541</v>
      </c>
      <c r="F23" s="167" t="s">
        <v>510</v>
      </c>
      <c r="G23" s="167" t="s">
        <v>511</v>
      </c>
      <c r="H23" s="177">
        <v>801000014</v>
      </c>
      <c r="I23" s="178" t="s">
        <v>512</v>
      </c>
      <c r="J23" s="168">
        <v>44805</v>
      </c>
      <c r="K23" s="168">
        <v>44806</v>
      </c>
      <c r="L23" s="49">
        <v>46266.720000000001</v>
      </c>
      <c r="M23" s="49">
        <f t="shared" si="4"/>
        <v>3855.56</v>
      </c>
      <c r="N23" s="49">
        <v>3474.57</v>
      </c>
      <c r="O23" s="49">
        <v>2</v>
      </c>
      <c r="P23" s="49">
        <f t="shared" si="5"/>
        <v>365.74</v>
      </c>
      <c r="Q23" s="169"/>
      <c r="R23" s="160"/>
      <c r="S23" s="160"/>
      <c r="T23" s="160"/>
    </row>
    <row r="24" spans="2:20" x14ac:dyDescent="0.25">
      <c r="B24" s="166" t="s">
        <v>6</v>
      </c>
      <c r="C24" s="167">
        <v>19475413</v>
      </c>
      <c r="D24" s="166" t="s">
        <v>530</v>
      </c>
      <c r="E24" s="167">
        <v>25810009624</v>
      </c>
      <c r="F24" s="167" t="s">
        <v>192</v>
      </c>
      <c r="G24" s="167" t="s">
        <v>534</v>
      </c>
      <c r="H24" s="167">
        <v>10000360</v>
      </c>
      <c r="I24" s="166" t="s">
        <v>527</v>
      </c>
      <c r="J24" s="168">
        <v>44805</v>
      </c>
      <c r="K24" s="168">
        <v>44813</v>
      </c>
      <c r="L24" s="49">
        <v>32925.840000000004</v>
      </c>
      <c r="M24" s="49">
        <f t="shared" si="4"/>
        <v>2743.82</v>
      </c>
      <c r="N24" s="49">
        <v>1691.84</v>
      </c>
      <c r="O24" s="49">
        <v>7</v>
      </c>
      <c r="P24" s="49">
        <f t="shared" si="5"/>
        <v>910.99</v>
      </c>
      <c r="Q24" s="169"/>
      <c r="R24" s="160"/>
      <c r="S24" s="160"/>
      <c r="T24" s="160"/>
    </row>
    <row r="25" spans="2:20" x14ac:dyDescent="0.25">
      <c r="B25" s="166" t="s">
        <v>6</v>
      </c>
      <c r="C25" s="167">
        <v>19375405</v>
      </c>
      <c r="D25" s="166" t="s">
        <v>507</v>
      </c>
      <c r="E25" s="167">
        <v>25870011077</v>
      </c>
      <c r="F25" s="167" t="s">
        <v>235</v>
      </c>
      <c r="G25" s="167" t="s">
        <v>736</v>
      </c>
      <c r="H25" s="177">
        <v>19375404</v>
      </c>
      <c r="I25" s="178" t="s">
        <v>504</v>
      </c>
      <c r="J25" s="168">
        <v>44823</v>
      </c>
      <c r="K25" s="168">
        <v>44834</v>
      </c>
      <c r="L25" s="49">
        <v>48703.08</v>
      </c>
      <c r="M25" s="49">
        <f t="shared" si="4"/>
        <v>4058.59</v>
      </c>
      <c r="N25" s="49">
        <v>0</v>
      </c>
      <c r="O25" s="49">
        <v>10</v>
      </c>
      <c r="P25" s="49">
        <f t="shared" si="5"/>
        <v>1925.02</v>
      </c>
      <c r="Q25" s="169"/>
      <c r="R25" s="160"/>
      <c r="S25" s="160"/>
      <c r="T25" s="160"/>
    </row>
    <row r="26" spans="2:20" x14ac:dyDescent="0.25">
      <c r="B26" s="166" t="s">
        <v>6</v>
      </c>
      <c r="C26" s="167">
        <v>10000220</v>
      </c>
      <c r="D26" s="166" t="s">
        <v>584</v>
      </c>
      <c r="E26" s="167">
        <v>27810001117</v>
      </c>
      <c r="F26" s="167" t="s">
        <v>737</v>
      </c>
      <c r="G26" s="167" t="s">
        <v>738</v>
      </c>
      <c r="H26" s="167">
        <v>19675405</v>
      </c>
      <c r="I26" s="166" t="s">
        <v>583</v>
      </c>
      <c r="J26" s="168">
        <v>44823</v>
      </c>
      <c r="K26" s="168">
        <v>44834</v>
      </c>
      <c r="L26" s="49">
        <v>49790.16</v>
      </c>
      <c r="M26" s="49">
        <f t="shared" si="4"/>
        <v>4149.18</v>
      </c>
      <c r="N26" s="49">
        <v>0</v>
      </c>
      <c r="O26" s="49">
        <v>10</v>
      </c>
      <c r="P26" s="49">
        <f t="shared" si="5"/>
        <v>1967.99</v>
      </c>
      <c r="Q26" s="169"/>
      <c r="R26" s="160"/>
      <c r="S26" s="160"/>
      <c r="T26" s="160"/>
    </row>
    <row r="27" spans="2:20" x14ac:dyDescent="0.25">
      <c r="B27" s="166" t="s">
        <v>6</v>
      </c>
      <c r="C27" s="167">
        <v>19575415</v>
      </c>
      <c r="D27" s="166" t="s">
        <v>739</v>
      </c>
      <c r="E27" s="167">
        <v>30680001210</v>
      </c>
      <c r="F27" s="167" t="s">
        <v>740</v>
      </c>
      <c r="G27" s="167" t="s">
        <v>741</v>
      </c>
      <c r="H27" s="167">
        <v>19575406</v>
      </c>
      <c r="I27" s="166" t="s">
        <v>742</v>
      </c>
      <c r="J27" s="168">
        <v>44823</v>
      </c>
      <c r="K27" s="168">
        <v>44834</v>
      </c>
      <c r="L27" s="49">
        <v>53350.92</v>
      </c>
      <c r="M27" s="49">
        <f t="shared" si="4"/>
        <v>4445.91</v>
      </c>
      <c r="N27" s="49">
        <v>0</v>
      </c>
      <c r="O27" s="49">
        <v>10</v>
      </c>
      <c r="P27" s="49">
        <f t="shared" si="5"/>
        <v>2108.73</v>
      </c>
      <c r="Q27" s="169"/>
      <c r="R27" s="160"/>
      <c r="S27" s="160"/>
      <c r="T27" s="160"/>
    </row>
    <row r="28" spans="2:20" x14ac:dyDescent="0.25">
      <c r="B28" s="166" t="s">
        <v>6</v>
      </c>
      <c r="C28" s="167">
        <v>19575431</v>
      </c>
      <c r="D28" s="166" t="s">
        <v>537</v>
      </c>
      <c r="E28" s="167">
        <v>31760008535</v>
      </c>
      <c r="F28" s="167" t="s">
        <v>216</v>
      </c>
      <c r="G28" s="167" t="s">
        <v>251</v>
      </c>
      <c r="H28" s="177">
        <v>10075413</v>
      </c>
      <c r="I28" s="178" t="s">
        <v>538</v>
      </c>
      <c r="J28" s="168">
        <v>44805</v>
      </c>
      <c r="K28" s="168">
        <v>44806</v>
      </c>
      <c r="L28" s="49">
        <v>41780.639999999999</v>
      </c>
      <c r="M28" s="49">
        <f t="shared" si="4"/>
        <v>3481.72</v>
      </c>
      <c r="N28" s="49">
        <v>2972.53</v>
      </c>
      <c r="O28" s="49">
        <v>2</v>
      </c>
      <c r="P28" s="49">
        <f t="shared" si="5"/>
        <v>330.28</v>
      </c>
      <c r="Q28" s="169"/>
      <c r="R28" s="160"/>
      <c r="S28" s="160"/>
      <c r="T28" s="160"/>
    </row>
    <row r="29" spans="2:20" x14ac:dyDescent="0.25">
      <c r="B29" s="166" t="s">
        <v>6</v>
      </c>
      <c r="C29" s="167">
        <v>10000170</v>
      </c>
      <c r="D29" s="166" t="s">
        <v>539</v>
      </c>
      <c r="E29" s="167">
        <v>32810030654</v>
      </c>
      <c r="F29" s="167" t="s">
        <v>410</v>
      </c>
      <c r="G29" s="167" t="s">
        <v>540</v>
      </c>
      <c r="H29" s="177">
        <v>10000505</v>
      </c>
      <c r="I29" s="178" t="s">
        <v>541</v>
      </c>
      <c r="J29" s="168">
        <v>44805</v>
      </c>
      <c r="K29" s="168">
        <v>44806</v>
      </c>
      <c r="L29" s="49">
        <v>55893.72</v>
      </c>
      <c r="M29" s="49">
        <f t="shared" si="4"/>
        <v>4657.8100000000004</v>
      </c>
      <c r="N29" s="49">
        <v>3976.63</v>
      </c>
      <c r="O29" s="49">
        <v>2</v>
      </c>
      <c r="P29" s="49">
        <f t="shared" si="5"/>
        <v>441.85</v>
      </c>
      <c r="Q29" s="169"/>
      <c r="R29" s="160"/>
      <c r="S29" s="160"/>
      <c r="T29" s="160"/>
    </row>
    <row r="30" spans="2:20" x14ac:dyDescent="0.25">
      <c r="B30" s="166" t="s">
        <v>6</v>
      </c>
      <c r="C30" s="177">
        <v>10000339</v>
      </c>
      <c r="D30" s="178" t="s">
        <v>743</v>
      </c>
      <c r="E30" s="177">
        <v>33560013611</v>
      </c>
      <c r="F30" s="167" t="s">
        <v>744</v>
      </c>
      <c r="G30" s="167" t="s">
        <v>745</v>
      </c>
      <c r="H30" s="167">
        <v>19275411</v>
      </c>
      <c r="I30" s="166" t="s">
        <v>324</v>
      </c>
      <c r="J30" s="168">
        <v>44824</v>
      </c>
      <c r="K30" s="168">
        <v>44834</v>
      </c>
      <c r="L30" s="49">
        <v>55841.279999999999</v>
      </c>
      <c r="M30" s="49">
        <f t="shared" si="4"/>
        <v>4653.4399999999996</v>
      </c>
      <c r="N30" s="49">
        <v>0</v>
      </c>
      <c r="O30" s="49">
        <v>9</v>
      </c>
      <c r="P30" s="49">
        <f t="shared" si="5"/>
        <v>1986.45</v>
      </c>
      <c r="Q30" s="169"/>
      <c r="R30" s="160"/>
      <c r="S30" s="160"/>
      <c r="T30" s="160"/>
    </row>
    <row r="31" spans="2:20" x14ac:dyDescent="0.25">
      <c r="B31" s="166" t="s">
        <v>6</v>
      </c>
      <c r="C31" s="167">
        <v>10001379</v>
      </c>
      <c r="D31" s="166" t="s">
        <v>542</v>
      </c>
      <c r="E31" s="167">
        <v>40330009356</v>
      </c>
      <c r="F31" s="167" t="s">
        <v>444</v>
      </c>
      <c r="G31" s="167" t="s">
        <v>543</v>
      </c>
      <c r="H31" s="167">
        <v>10001379</v>
      </c>
      <c r="I31" s="166" t="s">
        <v>542</v>
      </c>
      <c r="J31" s="168">
        <v>44805</v>
      </c>
      <c r="K31" s="168">
        <v>44812</v>
      </c>
      <c r="L31" s="49">
        <v>37089.120000000003</v>
      </c>
      <c r="M31" s="49">
        <f t="shared" si="4"/>
        <v>3090.76</v>
      </c>
      <c r="N31" s="49">
        <v>1172.78</v>
      </c>
      <c r="O31" s="49">
        <v>6</v>
      </c>
      <c r="P31" s="49">
        <f t="shared" si="5"/>
        <v>879.58</v>
      </c>
      <c r="Q31" s="169"/>
      <c r="R31" s="160"/>
      <c r="S31" s="160"/>
      <c r="T31" s="160"/>
    </row>
    <row r="32" spans="2:20" x14ac:dyDescent="0.25">
      <c r="B32" s="166" t="s">
        <v>6</v>
      </c>
      <c r="C32" s="177">
        <v>10000964</v>
      </c>
      <c r="D32" s="178" t="s">
        <v>559</v>
      </c>
      <c r="E32" s="167">
        <v>47400013313</v>
      </c>
      <c r="F32" s="167" t="s">
        <v>560</v>
      </c>
      <c r="G32" s="167" t="s">
        <v>561</v>
      </c>
      <c r="H32" s="167">
        <v>10001769</v>
      </c>
      <c r="I32" s="166" t="s">
        <v>562</v>
      </c>
      <c r="J32" s="168">
        <v>44806</v>
      </c>
      <c r="K32" s="168">
        <v>44806</v>
      </c>
      <c r="L32" s="49">
        <v>50826.96</v>
      </c>
      <c r="M32" s="49">
        <f t="shared" si="4"/>
        <v>4235.58</v>
      </c>
      <c r="N32" s="49">
        <v>1607.18</v>
      </c>
      <c r="O32" s="49">
        <v>1</v>
      </c>
      <c r="P32" s="49">
        <f t="shared" si="5"/>
        <v>200.9</v>
      </c>
      <c r="Q32" s="169"/>
      <c r="R32" s="160"/>
      <c r="S32" s="160"/>
      <c r="T32" s="160"/>
    </row>
    <row r="33" spans="2:20" x14ac:dyDescent="0.25">
      <c r="B33" s="166" t="s">
        <v>6</v>
      </c>
      <c r="C33" s="167">
        <v>19375425</v>
      </c>
      <c r="D33" s="166" t="s">
        <v>271</v>
      </c>
      <c r="E33" s="167">
        <v>48270010211</v>
      </c>
      <c r="F33" s="167" t="s">
        <v>272</v>
      </c>
      <c r="G33" s="167" t="s">
        <v>273</v>
      </c>
      <c r="H33" s="177">
        <v>10000459</v>
      </c>
      <c r="I33" s="178" t="s">
        <v>274</v>
      </c>
      <c r="J33" s="168">
        <v>44823</v>
      </c>
      <c r="K33" s="168" t="s">
        <v>746</v>
      </c>
      <c r="L33" s="49">
        <v>51511.08</v>
      </c>
      <c r="M33" s="49">
        <f t="shared" si="4"/>
        <v>4292.59</v>
      </c>
      <c r="N33" s="49">
        <v>3054.02</v>
      </c>
      <c r="O33" s="49">
        <v>5</v>
      </c>
      <c r="P33" s="49">
        <f t="shared" si="5"/>
        <v>1018.01</v>
      </c>
      <c r="Q33" s="169"/>
      <c r="R33" s="160"/>
      <c r="S33" s="160"/>
      <c r="T33" s="160"/>
    </row>
    <row r="34" spans="2:20" x14ac:dyDescent="0.25">
      <c r="B34" s="166" t="s">
        <v>6</v>
      </c>
      <c r="C34" s="177">
        <v>19375433</v>
      </c>
      <c r="D34" s="178" t="s">
        <v>565</v>
      </c>
      <c r="E34" s="167">
        <v>48610001943</v>
      </c>
      <c r="F34" s="167" t="s">
        <v>455</v>
      </c>
      <c r="G34" s="177" t="s">
        <v>566</v>
      </c>
      <c r="H34" s="177">
        <v>19375446</v>
      </c>
      <c r="I34" s="178" t="s">
        <v>571</v>
      </c>
      <c r="J34" s="168" t="s">
        <v>747</v>
      </c>
      <c r="K34" s="168">
        <v>44834</v>
      </c>
      <c r="L34" s="49">
        <v>60597.479999999996</v>
      </c>
      <c r="M34" s="49">
        <f t="shared" si="4"/>
        <v>5049.79</v>
      </c>
      <c r="N34" s="49">
        <v>1197.58</v>
      </c>
      <c r="O34" s="49">
        <v>5</v>
      </c>
      <c r="P34" s="49">
        <f t="shared" si="5"/>
        <v>1197.58</v>
      </c>
      <c r="Q34" s="169"/>
      <c r="R34" s="160"/>
      <c r="S34" s="160"/>
      <c r="T34" s="160"/>
    </row>
    <row r="35" spans="2:20" x14ac:dyDescent="0.25">
      <c r="B35" s="166" t="s">
        <v>6</v>
      </c>
      <c r="C35" s="167">
        <v>10000549</v>
      </c>
      <c r="D35" s="166" t="s">
        <v>275</v>
      </c>
      <c r="E35" s="167">
        <v>50060008759</v>
      </c>
      <c r="F35" s="167" t="s">
        <v>276</v>
      </c>
      <c r="G35" s="167" t="s">
        <v>748</v>
      </c>
      <c r="H35" s="167">
        <v>10000550</v>
      </c>
      <c r="I35" s="166" t="s">
        <v>278</v>
      </c>
      <c r="J35" s="168">
        <v>44809</v>
      </c>
      <c r="K35" s="168">
        <v>44813</v>
      </c>
      <c r="L35" s="49">
        <v>39648.120000000003</v>
      </c>
      <c r="M35" s="49">
        <f t="shared" si="4"/>
        <v>3304.01</v>
      </c>
      <c r="N35" s="49">
        <v>1567.12</v>
      </c>
      <c r="O35" s="49">
        <v>5</v>
      </c>
      <c r="P35" s="49">
        <f t="shared" si="5"/>
        <v>783.56</v>
      </c>
      <c r="Q35" s="169"/>
      <c r="R35" s="160"/>
      <c r="S35" s="160"/>
      <c r="T35" s="160"/>
    </row>
    <row r="36" spans="2:20" x14ac:dyDescent="0.25">
      <c r="B36" s="166" t="s">
        <v>6</v>
      </c>
      <c r="C36" s="167">
        <v>10075413</v>
      </c>
      <c r="D36" s="166" t="s">
        <v>252</v>
      </c>
      <c r="E36" s="167">
        <v>53010008079</v>
      </c>
      <c r="F36" s="167" t="s">
        <v>514</v>
      </c>
      <c r="G36" s="167" t="s">
        <v>585</v>
      </c>
      <c r="H36" s="177">
        <v>19575431</v>
      </c>
      <c r="I36" s="178" t="s">
        <v>250</v>
      </c>
      <c r="J36" s="168">
        <v>44816</v>
      </c>
      <c r="K36" s="168">
        <v>44820</v>
      </c>
      <c r="L36" s="49">
        <v>46114.8</v>
      </c>
      <c r="M36" s="49">
        <f t="shared" si="4"/>
        <v>3842.9</v>
      </c>
      <c r="N36" s="49">
        <v>2734.08</v>
      </c>
      <c r="O36" s="49">
        <v>5</v>
      </c>
      <c r="P36" s="49">
        <f t="shared" si="5"/>
        <v>911.36</v>
      </c>
      <c r="Q36" s="169"/>
      <c r="R36" s="160"/>
      <c r="S36" s="160"/>
      <c r="T36" s="160"/>
    </row>
    <row r="37" spans="2:20" x14ac:dyDescent="0.25">
      <c r="B37" s="166" t="s">
        <v>6</v>
      </c>
      <c r="C37" s="167">
        <v>10000527</v>
      </c>
      <c r="D37" s="166" t="s">
        <v>613</v>
      </c>
      <c r="E37" s="167">
        <v>68240010221</v>
      </c>
      <c r="F37" s="167" t="s">
        <v>614</v>
      </c>
      <c r="G37" s="167" t="s">
        <v>615</v>
      </c>
      <c r="H37" s="167">
        <v>10000705</v>
      </c>
      <c r="I37" s="166" t="s">
        <v>616</v>
      </c>
      <c r="J37" s="168">
        <v>44805</v>
      </c>
      <c r="K37" s="168">
        <v>44806</v>
      </c>
      <c r="L37" s="49">
        <v>44311.56</v>
      </c>
      <c r="M37" s="49">
        <f t="shared" si="4"/>
        <v>3692.6299999999997</v>
      </c>
      <c r="N37" s="49">
        <v>1401.16</v>
      </c>
      <c r="O37" s="49">
        <v>2</v>
      </c>
      <c r="P37" s="49">
        <f t="shared" si="5"/>
        <v>350.29</v>
      </c>
      <c r="Q37" s="169"/>
      <c r="R37" s="160"/>
      <c r="S37" s="160"/>
      <c r="T37" s="160"/>
    </row>
    <row r="38" spans="2:20" x14ac:dyDescent="0.25">
      <c r="B38" s="166" t="s">
        <v>6</v>
      </c>
      <c r="C38" s="167">
        <v>19275408</v>
      </c>
      <c r="D38" s="166" t="s">
        <v>315</v>
      </c>
      <c r="E38" s="167">
        <v>68490003274</v>
      </c>
      <c r="F38" s="167" t="s">
        <v>505</v>
      </c>
      <c r="G38" s="167" t="s">
        <v>316</v>
      </c>
      <c r="H38" s="167">
        <v>19275437</v>
      </c>
      <c r="I38" s="166" t="s">
        <v>317</v>
      </c>
      <c r="J38" s="168">
        <v>44827</v>
      </c>
      <c r="K38" s="168">
        <v>44834</v>
      </c>
      <c r="L38" s="49">
        <v>74133</v>
      </c>
      <c r="M38" s="49">
        <f t="shared" si="4"/>
        <v>6177.75</v>
      </c>
      <c r="N38" s="49">
        <v>1465.08</v>
      </c>
      <c r="O38" s="49">
        <v>6</v>
      </c>
      <c r="P38" s="49">
        <f t="shared" si="5"/>
        <v>1758.09</v>
      </c>
      <c r="Q38" s="169"/>
      <c r="R38" s="160"/>
      <c r="S38" s="160"/>
      <c r="T38" s="160"/>
    </row>
    <row r="39" spans="2:20" x14ac:dyDescent="0.25">
      <c r="B39" s="166" t="s">
        <v>6</v>
      </c>
      <c r="C39" s="167">
        <v>804900004</v>
      </c>
      <c r="D39" s="166" t="s">
        <v>617</v>
      </c>
      <c r="E39" s="167">
        <v>68930007783</v>
      </c>
      <c r="F39" s="167" t="s">
        <v>618</v>
      </c>
      <c r="G39" s="167" t="s">
        <v>619</v>
      </c>
      <c r="H39" s="167">
        <v>804900010</v>
      </c>
      <c r="I39" s="166" t="s">
        <v>620</v>
      </c>
      <c r="J39" s="168">
        <v>44805</v>
      </c>
      <c r="K39" s="168">
        <v>44808</v>
      </c>
      <c r="L39" s="49">
        <v>57541.08</v>
      </c>
      <c r="M39" s="49">
        <f t="shared" si="4"/>
        <v>4795.09</v>
      </c>
      <c r="N39" s="49">
        <v>1819.48</v>
      </c>
      <c r="O39" s="49">
        <v>2</v>
      </c>
      <c r="P39" s="49">
        <f t="shared" si="5"/>
        <v>454.87</v>
      </c>
      <c r="Q39" s="169"/>
      <c r="R39" s="160"/>
      <c r="S39" s="160"/>
      <c r="T39" s="160"/>
    </row>
    <row r="40" spans="2:20" x14ac:dyDescent="0.25">
      <c r="B40" s="166" t="s">
        <v>6</v>
      </c>
      <c r="C40" s="177">
        <v>10000347</v>
      </c>
      <c r="D40" s="178" t="s">
        <v>622</v>
      </c>
      <c r="E40" s="177">
        <v>71330003166</v>
      </c>
      <c r="F40" s="167" t="s">
        <v>189</v>
      </c>
      <c r="G40" s="167" t="s">
        <v>623</v>
      </c>
      <c r="H40" s="167">
        <v>10000414</v>
      </c>
      <c r="I40" s="166" t="s">
        <v>624</v>
      </c>
      <c r="J40" s="168">
        <v>44805</v>
      </c>
      <c r="K40" s="168">
        <v>44806</v>
      </c>
      <c r="L40" s="49">
        <v>56662.080000000002</v>
      </c>
      <c r="M40" s="49">
        <f t="shared" si="4"/>
        <v>4721.84</v>
      </c>
      <c r="N40" s="49">
        <v>4255.25</v>
      </c>
      <c r="O40" s="49">
        <v>2</v>
      </c>
      <c r="P40" s="49">
        <f t="shared" si="5"/>
        <v>447.92</v>
      </c>
      <c r="Q40" s="169"/>
      <c r="R40" s="160"/>
      <c r="S40" s="160"/>
      <c r="T40" s="160"/>
    </row>
    <row r="41" spans="2:20" x14ac:dyDescent="0.25">
      <c r="B41" s="166" t="s">
        <v>6</v>
      </c>
      <c r="C41" s="167">
        <v>801000003</v>
      </c>
      <c r="D41" s="166" t="s">
        <v>749</v>
      </c>
      <c r="E41" s="167">
        <v>73710007120</v>
      </c>
      <c r="F41" s="167" t="s">
        <v>750</v>
      </c>
      <c r="G41" s="167" t="s">
        <v>751</v>
      </c>
      <c r="H41" s="167">
        <v>801000019</v>
      </c>
      <c r="I41" s="166" t="s">
        <v>752</v>
      </c>
      <c r="J41" s="168" t="s">
        <v>753</v>
      </c>
      <c r="K41" s="168" t="s">
        <v>754</v>
      </c>
      <c r="L41" s="49">
        <v>53479.680000000008</v>
      </c>
      <c r="M41" s="49">
        <f t="shared" si="4"/>
        <v>4456.6400000000003</v>
      </c>
      <c r="N41" s="49">
        <v>0</v>
      </c>
      <c r="O41" s="49">
        <v>12</v>
      </c>
      <c r="P41" s="49">
        <f t="shared" si="5"/>
        <v>2536.59</v>
      </c>
      <c r="Q41" s="169"/>
      <c r="R41" s="160"/>
      <c r="S41" s="160"/>
      <c r="T41" s="160"/>
    </row>
    <row r="42" spans="2:20" x14ac:dyDescent="0.25">
      <c r="B42" s="166" t="s">
        <v>6</v>
      </c>
      <c r="C42" s="167">
        <v>19275429</v>
      </c>
      <c r="D42" s="166" t="s">
        <v>288</v>
      </c>
      <c r="E42" s="167">
        <v>76850007433</v>
      </c>
      <c r="F42" s="167" t="s">
        <v>557</v>
      </c>
      <c r="G42" s="167" t="s">
        <v>628</v>
      </c>
      <c r="H42" s="167">
        <v>19275430</v>
      </c>
      <c r="I42" s="166" t="s">
        <v>285</v>
      </c>
      <c r="J42" s="168">
        <v>44805</v>
      </c>
      <c r="K42" s="168">
        <v>44827</v>
      </c>
      <c r="L42" s="49">
        <v>57276.600000000006</v>
      </c>
      <c r="M42" s="49">
        <f t="shared" si="4"/>
        <v>4773.05</v>
      </c>
      <c r="N42" s="49">
        <v>679.17</v>
      </c>
      <c r="O42" s="49">
        <v>17</v>
      </c>
      <c r="P42" s="49">
        <f t="shared" si="5"/>
        <v>3848.63</v>
      </c>
      <c r="Q42" s="169"/>
      <c r="R42" s="160"/>
      <c r="S42" s="160"/>
      <c r="T42" s="160"/>
    </row>
    <row r="43" spans="2:20" x14ac:dyDescent="0.25">
      <c r="B43" s="166" t="s">
        <v>6</v>
      </c>
      <c r="C43" s="177">
        <v>10001499</v>
      </c>
      <c r="D43" s="178" t="s">
        <v>334</v>
      </c>
      <c r="E43" s="177">
        <v>81150005111</v>
      </c>
      <c r="F43" s="167" t="s">
        <v>283</v>
      </c>
      <c r="G43" s="167" t="s">
        <v>335</v>
      </c>
      <c r="H43" s="167">
        <v>10077454</v>
      </c>
      <c r="I43" s="166" t="s">
        <v>336</v>
      </c>
      <c r="J43" s="168">
        <v>44813</v>
      </c>
      <c r="K43" s="168">
        <v>44820</v>
      </c>
      <c r="L43" s="49">
        <v>62826</v>
      </c>
      <c r="M43" s="49">
        <f t="shared" si="4"/>
        <v>5235.5</v>
      </c>
      <c r="N43" s="49">
        <v>2483.2399999999998</v>
      </c>
      <c r="O43" s="49">
        <v>6</v>
      </c>
      <c r="P43" s="49">
        <f t="shared" si="5"/>
        <v>1489.94</v>
      </c>
      <c r="Q43" s="169"/>
      <c r="R43" s="160"/>
      <c r="S43" s="160"/>
      <c r="T43" s="160"/>
    </row>
    <row r="44" spans="2:20" x14ac:dyDescent="0.25">
      <c r="B44" s="166" t="s">
        <v>6</v>
      </c>
      <c r="C44" s="177">
        <v>10001535</v>
      </c>
      <c r="D44" s="178" t="s">
        <v>270</v>
      </c>
      <c r="E44" s="177">
        <v>84200054331</v>
      </c>
      <c r="F44" s="167" t="s">
        <v>652</v>
      </c>
      <c r="G44" s="167" t="s">
        <v>653</v>
      </c>
      <c r="H44" s="177">
        <v>10001535</v>
      </c>
      <c r="I44" s="178" t="s">
        <v>270</v>
      </c>
      <c r="J44" s="168">
        <v>44832</v>
      </c>
      <c r="K44" s="168">
        <v>44832</v>
      </c>
      <c r="L44" s="49">
        <v>16175.76</v>
      </c>
      <c r="M44" s="49">
        <f t="shared" si="4"/>
        <v>1347.98</v>
      </c>
      <c r="N44" s="49">
        <v>639.36</v>
      </c>
      <c r="O44" s="49">
        <v>1</v>
      </c>
      <c r="P44" s="49">
        <f t="shared" si="5"/>
        <v>63.94</v>
      </c>
      <c r="Q44" s="169"/>
      <c r="R44" s="160"/>
      <c r="S44" s="160"/>
      <c r="T44" s="160"/>
    </row>
    <row r="45" spans="2:20" x14ac:dyDescent="0.25">
      <c r="B45" s="166" t="s">
        <v>6</v>
      </c>
      <c r="C45" s="167">
        <v>19475429</v>
      </c>
      <c r="D45" s="166" t="s">
        <v>755</v>
      </c>
      <c r="E45" s="167">
        <v>86820004429</v>
      </c>
      <c r="F45" s="167" t="s">
        <v>181</v>
      </c>
      <c r="G45" s="167" t="s">
        <v>756</v>
      </c>
      <c r="H45" s="167">
        <v>19475428</v>
      </c>
      <c r="I45" s="166" t="s">
        <v>757</v>
      </c>
      <c r="J45" s="168">
        <v>44809</v>
      </c>
      <c r="K45" s="168">
        <v>44820</v>
      </c>
      <c r="L45" s="49">
        <v>44279.76</v>
      </c>
      <c r="M45" s="49">
        <f t="shared" si="4"/>
        <v>3689.98</v>
      </c>
      <c r="N45" s="49">
        <v>0</v>
      </c>
      <c r="O45" s="49">
        <v>10</v>
      </c>
      <c r="P45" s="49">
        <f t="shared" si="5"/>
        <v>1750.19</v>
      </c>
      <c r="Q45" s="169"/>
      <c r="R45" s="160"/>
      <c r="S45" s="160"/>
      <c r="T45" s="160"/>
    </row>
    <row r="46" spans="2:20" x14ac:dyDescent="0.25">
      <c r="B46" s="166" t="s">
        <v>6</v>
      </c>
      <c r="C46" s="167">
        <v>130075413</v>
      </c>
      <c r="D46" s="166" t="s">
        <v>758</v>
      </c>
      <c r="E46" s="167">
        <v>87730003192</v>
      </c>
      <c r="F46" s="167" t="s">
        <v>452</v>
      </c>
      <c r="G46" s="167" t="s">
        <v>642</v>
      </c>
      <c r="H46" s="167">
        <v>130075415</v>
      </c>
      <c r="I46" s="166" t="s">
        <v>759</v>
      </c>
      <c r="J46" s="168">
        <v>44805</v>
      </c>
      <c r="K46" s="168">
        <v>44806</v>
      </c>
      <c r="L46" s="49">
        <v>55400.04</v>
      </c>
      <c r="M46" s="49">
        <f t="shared" si="4"/>
        <v>4616.67</v>
      </c>
      <c r="N46" s="49">
        <v>1751.78</v>
      </c>
      <c r="O46" s="49">
        <v>2</v>
      </c>
      <c r="P46" s="49">
        <f t="shared" si="5"/>
        <v>437.94</v>
      </c>
      <c r="Q46" s="169"/>
      <c r="R46" s="160"/>
      <c r="S46" s="160"/>
      <c r="T46" s="160"/>
    </row>
    <row r="47" spans="2:20" x14ac:dyDescent="0.25">
      <c r="B47" s="166" t="s">
        <v>6</v>
      </c>
      <c r="C47" s="167">
        <v>1000063</v>
      </c>
      <c r="D47" s="166" t="s">
        <v>760</v>
      </c>
      <c r="E47" s="167">
        <v>94320053170</v>
      </c>
      <c r="F47" s="167" t="s">
        <v>399</v>
      </c>
      <c r="G47" s="167" t="s">
        <v>761</v>
      </c>
      <c r="H47" s="167">
        <v>19275433</v>
      </c>
      <c r="I47" s="166" t="s">
        <v>762</v>
      </c>
      <c r="J47" s="168">
        <v>44805</v>
      </c>
      <c r="K47" s="168">
        <v>44813</v>
      </c>
      <c r="L47" s="49">
        <v>42316.78</v>
      </c>
      <c r="M47" s="49">
        <f t="shared" si="4"/>
        <v>3526.3983333333331</v>
      </c>
      <c r="N47" s="49">
        <v>0</v>
      </c>
      <c r="O47" s="49">
        <v>7</v>
      </c>
      <c r="P47" s="49">
        <f t="shared" si="5"/>
        <v>1170.82</v>
      </c>
      <c r="Q47" s="169"/>
      <c r="R47" s="160"/>
      <c r="S47" s="160"/>
      <c r="T47" s="160"/>
    </row>
    <row r="48" spans="2:20" x14ac:dyDescent="0.25">
      <c r="B48" s="166" t="s">
        <v>6</v>
      </c>
      <c r="C48" s="167">
        <v>801200006</v>
      </c>
      <c r="D48" s="166" t="s">
        <v>763</v>
      </c>
      <c r="E48" s="167">
        <v>96740010386</v>
      </c>
      <c r="F48" s="167" t="s">
        <v>764</v>
      </c>
      <c r="G48" s="167" t="s">
        <v>765</v>
      </c>
      <c r="H48" s="167">
        <v>801200011</v>
      </c>
      <c r="I48" s="166" t="s">
        <v>766</v>
      </c>
      <c r="J48" s="168">
        <v>44818</v>
      </c>
      <c r="K48" s="168">
        <v>44834</v>
      </c>
      <c r="L48" s="49">
        <v>39744.600000000006</v>
      </c>
      <c r="M48" s="49">
        <f t="shared" si="4"/>
        <v>3312.0500000000006</v>
      </c>
      <c r="N48" s="49">
        <v>0</v>
      </c>
      <c r="O48" s="49">
        <v>13</v>
      </c>
      <c r="P48" s="49">
        <f t="shared" si="5"/>
        <v>2042.21</v>
      </c>
      <c r="Q48" s="169"/>
      <c r="R48" s="160"/>
      <c r="S48" s="160"/>
      <c r="T48" s="160"/>
    </row>
    <row r="49" spans="2:20" x14ac:dyDescent="0.25">
      <c r="B49" s="170" t="s">
        <v>15</v>
      </c>
      <c r="C49" s="171"/>
      <c r="D49" s="170"/>
      <c r="E49" s="171"/>
      <c r="F49" s="171"/>
      <c r="G49" s="171"/>
      <c r="H49" s="171"/>
      <c r="I49" s="170"/>
      <c r="J49" s="172"/>
      <c r="K49" s="172"/>
      <c r="L49" s="173">
        <f>SUM(L19:L48)</f>
        <v>1466352.9400000002</v>
      </c>
      <c r="M49" s="173">
        <f>SUM(M19:M48)</f>
        <v>122196.07833333332</v>
      </c>
      <c r="N49" s="173">
        <f t="shared" ref="N49" si="6">SUM(N19:N48)</f>
        <v>43019.079999999994</v>
      </c>
      <c r="O49" s="173">
        <f>SUM(O19:O48)</f>
        <v>182</v>
      </c>
      <c r="P49" s="173">
        <f>SUM(P19:P48)</f>
        <v>35830.699999999997</v>
      </c>
      <c r="Q49" s="174"/>
      <c r="R49" s="160"/>
      <c r="S49" s="160"/>
      <c r="T49" s="160"/>
    </row>
    <row r="50" spans="2:20" ht="30.75" customHeight="1" x14ac:dyDescent="0.25">
      <c r="B50" s="166" t="s">
        <v>9</v>
      </c>
      <c r="C50" s="167">
        <v>427700003</v>
      </c>
      <c r="D50" s="166" t="s">
        <v>767</v>
      </c>
      <c r="E50" s="167">
        <v>10100001711</v>
      </c>
      <c r="F50" s="167" t="s">
        <v>768</v>
      </c>
      <c r="G50" s="167" t="s">
        <v>445</v>
      </c>
      <c r="H50" s="167">
        <v>427700007</v>
      </c>
      <c r="I50" s="166" t="s">
        <v>769</v>
      </c>
      <c r="J50" s="168">
        <v>44740</v>
      </c>
      <c r="K50" s="168">
        <v>44769</v>
      </c>
      <c r="L50" s="49">
        <v>26348.399999999998</v>
      </c>
      <c r="M50" s="49">
        <f t="shared" ref="M50:M56" si="7">L50/12</f>
        <v>2195.6999999999998</v>
      </c>
      <c r="N50" s="49">
        <v>0</v>
      </c>
      <c r="O50" s="49">
        <v>22</v>
      </c>
      <c r="P50" s="49">
        <f>ROUND(L50/253*O50,2)-95.47</f>
        <v>2195.7000000000003</v>
      </c>
      <c r="Q50" s="133" t="s">
        <v>843</v>
      </c>
      <c r="R50" s="160"/>
      <c r="S50" s="160"/>
      <c r="T50" s="160"/>
    </row>
    <row r="51" spans="2:20" x14ac:dyDescent="0.25">
      <c r="B51" s="166" t="s">
        <v>9</v>
      </c>
      <c r="C51" s="167">
        <v>940200003</v>
      </c>
      <c r="D51" s="166" t="s">
        <v>770</v>
      </c>
      <c r="E51" s="167">
        <v>67480006712</v>
      </c>
      <c r="F51" s="167" t="s">
        <v>247</v>
      </c>
      <c r="G51" s="167" t="s">
        <v>771</v>
      </c>
      <c r="H51" s="167">
        <v>940200015</v>
      </c>
      <c r="I51" s="166" t="s">
        <v>772</v>
      </c>
      <c r="J51" s="168">
        <v>44739</v>
      </c>
      <c r="K51" s="168">
        <v>44750</v>
      </c>
      <c r="L51" s="50">
        <v>24796.560000000001</v>
      </c>
      <c r="M51" s="50">
        <f t="shared" si="7"/>
        <v>2066.38</v>
      </c>
      <c r="N51" s="50">
        <v>0</v>
      </c>
      <c r="O51" s="50">
        <v>10</v>
      </c>
      <c r="P51" s="50">
        <f t="shared" ref="P51:P56" si="8">ROUND(L51/253*O51,2)</f>
        <v>980.1</v>
      </c>
      <c r="Q51" s="169"/>
      <c r="R51" s="160"/>
      <c r="S51" s="160"/>
      <c r="T51" s="160"/>
    </row>
    <row r="52" spans="2:20" s="183" customFormat="1" x14ac:dyDescent="0.25">
      <c r="B52" s="179" t="s">
        <v>9</v>
      </c>
      <c r="C52" s="180">
        <v>380200009</v>
      </c>
      <c r="D52" s="179" t="s">
        <v>773</v>
      </c>
      <c r="E52" s="180">
        <v>74010001677</v>
      </c>
      <c r="F52" s="180" t="s">
        <v>774</v>
      </c>
      <c r="G52" s="180" t="s">
        <v>775</v>
      </c>
      <c r="H52" s="180">
        <v>380200018</v>
      </c>
      <c r="I52" s="179" t="s">
        <v>776</v>
      </c>
      <c r="J52" s="181">
        <v>44774</v>
      </c>
      <c r="K52" s="181">
        <v>44787</v>
      </c>
      <c r="L52" s="235">
        <v>25101.96</v>
      </c>
      <c r="M52" s="235">
        <f t="shared" si="7"/>
        <v>2091.83</v>
      </c>
      <c r="N52" s="235">
        <v>0</v>
      </c>
      <c r="O52" s="50">
        <v>10</v>
      </c>
      <c r="P52" s="50">
        <f>ROUND(L52/253*O52,2)</f>
        <v>992.17</v>
      </c>
      <c r="Q52" s="182"/>
    </row>
    <row r="53" spans="2:20" s="183" customFormat="1" x14ac:dyDescent="0.25">
      <c r="B53" s="179" t="s">
        <v>9</v>
      </c>
      <c r="C53" s="180">
        <v>380200009</v>
      </c>
      <c r="D53" s="179" t="s">
        <v>773</v>
      </c>
      <c r="E53" s="180">
        <v>74010001677</v>
      </c>
      <c r="F53" s="180" t="s">
        <v>774</v>
      </c>
      <c r="G53" s="180" t="s">
        <v>775</v>
      </c>
      <c r="H53" s="180">
        <v>380200016</v>
      </c>
      <c r="I53" s="179" t="s">
        <v>777</v>
      </c>
      <c r="J53" s="181">
        <v>44760</v>
      </c>
      <c r="K53" s="181">
        <v>44773</v>
      </c>
      <c r="L53" s="236"/>
      <c r="M53" s="236"/>
      <c r="N53" s="236"/>
      <c r="O53" s="50">
        <v>10</v>
      </c>
      <c r="P53" s="50">
        <f>ROUND(L52/253*O53,2)</f>
        <v>992.17</v>
      </c>
      <c r="Q53" s="182"/>
    </row>
    <row r="54" spans="2:20" s="183" customFormat="1" x14ac:dyDescent="0.25">
      <c r="B54" s="179" t="s">
        <v>9</v>
      </c>
      <c r="C54" s="180">
        <v>700200047</v>
      </c>
      <c r="D54" s="179" t="s">
        <v>778</v>
      </c>
      <c r="E54" s="180">
        <v>84700040098</v>
      </c>
      <c r="F54" s="180" t="s">
        <v>774</v>
      </c>
      <c r="G54" s="180" t="s">
        <v>779</v>
      </c>
      <c r="H54" s="184">
        <v>700200024</v>
      </c>
      <c r="I54" s="179" t="s">
        <v>780</v>
      </c>
      <c r="J54" s="181">
        <v>44780</v>
      </c>
      <c r="K54" s="181">
        <v>44787</v>
      </c>
      <c r="L54" s="50">
        <v>23535.48</v>
      </c>
      <c r="M54" s="50">
        <f t="shared" si="7"/>
        <v>1961.29</v>
      </c>
      <c r="N54" s="50">
        <v>0</v>
      </c>
      <c r="O54" s="50">
        <v>5</v>
      </c>
      <c r="P54" s="50">
        <f t="shared" si="8"/>
        <v>465.13</v>
      </c>
      <c r="Q54" s="182"/>
    </row>
    <row r="55" spans="2:20" s="183" customFormat="1" x14ac:dyDescent="0.25">
      <c r="B55" s="179" t="s">
        <v>9</v>
      </c>
      <c r="C55" s="180">
        <v>700200012</v>
      </c>
      <c r="D55" s="179" t="s">
        <v>672</v>
      </c>
      <c r="E55" s="180">
        <v>96840005649</v>
      </c>
      <c r="F55" s="180" t="s">
        <v>352</v>
      </c>
      <c r="G55" s="180" t="s">
        <v>673</v>
      </c>
      <c r="H55" s="180">
        <v>700200046</v>
      </c>
      <c r="I55" s="179" t="s">
        <v>674</v>
      </c>
      <c r="J55" s="181">
        <v>44809</v>
      </c>
      <c r="K55" s="181">
        <v>44815</v>
      </c>
      <c r="L55" s="50">
        <v>53131.799999999996</v>
      </c>
      <c r="M55" s="50">
        <f t="shared" si="7"/>
        <v>4427.6499999999996</v>
      </c>
      <c r="N55" s="50">
        <v>3150.11</v>
      </c>
      <c r="O55" s="50">
        <v>5</v>
      </c>
      <c r="P55" s="50">
        <f t="shared" si="8"/>
        <v>1050.04</v>
      </c>
      <c r="Q55" s="182"/>
    </row>
    <row r="56" spans="2:20" s="183" customFormat="1" x14ac:dyDescent="0.25">
      <c r="B56" s="179" t="s">
        <v>9</v>
      </c>
      <c r="C56" s="26">
        <v>380200016</v>
      </c>
      <c r="D56" s="185" t="s">
        <v>777</v>
      </c>
      <c r="E56" s="26">
        <v>97330002086</v>
      </c>
      <c r="F56" s="26" t="s">
        <v>29</v>
      </c>
      <c r="G56" s="26" t="s">
        <v>781</v>
      </c>
      <c r="H56" s="180">
        <v>380200009</v>
      </c>
      <c r="I56" s="179" t="s">
        <v>773</v>
      </c>
      <c r="J56" s="181">
        <v>44788</v>
      </c>
      <c r="K56" s="181">
        <v>44801</v>
      </c>
      <c r="L56" s="235">
        <v>18122.760000000002</v>
      </c>
      <c r="M56" s="235">
        <f t="shared" si="7"/>
        <v>1510.2300000000002</v>
      </c>
      <c r="N56" s="235">
        <v>0</v>
      </c>
      <c r="O56" s="50">
        <v>10</v>
      </c>
      <c r="P56" s="50">
        <f t="shared" si="8"/>
        <v>716.31</v>
      </c>
      <c r="Q56" s="182"/>
    </row>
    <row r="57" spans="2:20" s="183" customFormat="1" x14ac:dyDescent="0.25">
      <c r="B57" s="179" t="s">
        <v>9</v>
      </c>
      <c r="C57" s="180">
        <v>380200016</v>
      </c>
      <c r="D57" s="179" t="s">
        <v>777</v>
      </c>
      <c r="E57" s="180">
        <v>97330002086</v>
      </c>
      <c r="F57" s="180" t="s">
        <v>29</v>
      </c>
      <c r="G57" s="180" t="s">
        <v>781</v>
      </c>
      <c r="H57" s="180">
        <v>380200018</v>
      </c>
      <c r="I57" s="179" t="s">
        <v>776</v>
      </c>
      <c r="J57" s="181">
        <v>44774</v>
      </c>
      <c r="K57" s="181">
        <v>44787</v>
      </c>
      <c r="L57" s="236"/>
      <c r="M57" s="236"/>
      <c r="N57" s="236"/>
      <c r="O57" s="50">
        <v>10</v>
      </c>
      <c r="P57" s="50">
        <f>ROUND(L56/253*O57,2)</f>
        <v>716.31</v>
      </c>
      <c r="Q57" s="182"/>
    </row>
    <row r="58" spans="2:20" x14ac:dyDescent="0.25">
      <c r="B58" s="170" t="s">
        <v>16</v>
      </c>
      <c r="C58" s="171"/>
      <c r="D58" s="170"/>
      <c r="E58" s="171"/>
      <c r="F58" s="171"/>
      <c r="G58" s="171"/>
      <c r="H58" s="171"/>
      <c r="I58" s="170"/>
      <c r="J58" s="172"/>
      <c r="K58" s="172"/>
      <c r="L58" s="173">
        <f>SUM(L50:L57)</f>
        <v>171036.96</v>
      </c>
      <c r="M58" s="173">
        <f>SUM(M50:M57)</f>
        <v>14253.08</v>
      </c>
      <c r="N58" s="173">
        <f t="shared" ref="N58" si="9">SUM(N50:N57)</f>
        <v>3150.11</v>
      </c>
      <c r="O58" s="173">
        <f>SUM(O50:O57)</f>
        <v>82</v>
      </c>
      <c r="P58" s="173">
        <f>SUM(P50:P57)</f>
        <v>8107.93</v>
      </c>
      <c r="Q58" s="174"/>
      <c r="R58" s="160"/>
      <c r="S58" s="160"/>
      <c r="T58" s="160"/>
    </row>
    <row r="59" spans="2:20" x14ac:dyDescent="0.25">
      <c r="B59" s="166" t="s">
        <v>10</v>
      </c>
      <c r="C59" s="167">
        <v>741400004</v>
      </c>
      <c r="D59" s="166" t="s">
        <v>782</v>
      </c>
      <c r="E59" s="167">
        <v>10360009285</v>
      </c>
      <c r="F59" s="167" t="s">
        <v>192</v>
      </c>
      <c r="G59" s="167" t="s">
        <v>783</v>
      </c>
      <c r="H59" s="167">
        <v>741400010</v>
      </c>
      <c r="I59" s="166" t="s">
        <v>378</v>
      </c>
      <c r="J59" s="168">
        <v>44823</v>
      </c>
      <c r="K59" s="168">
        <v>44827</v>
      </c>
      <c r="L59" s="49">
        <v>55579.56</v>
      </c>
      <c r="M59" s="49">
        <f t="shared" ref="M59:M70" si="10">L59/12</f>
        <v>4631.63</v>
      </c>
      <c r="N59" s="49">
        <v>0</v>
      </c>
      <c r="O59" s="49">
        <v>5</v>
      </c>
      <c r="P59" s="49">
        <f t="shared" ref="P59:P64" si="11">ROUND(L59/253*O59,2)</f>
        <v>1098.4100000000001</v>
      </c>
      <c r="Q59" s="169"/>
      <c r="R59" s="160"/>
      <c r="S59" s="160"/>
      <c r="T59" s="160"/>
    </row>
    <row r="60" spans="2:20" x14ac:dyDescent="0.25">
      <c r="B60" s="166" t="s">
        <v>10</v>
      </c>
      <c r="C60" s="167">
        <v>90077419</v>
      </c>
      <c r="D60" s="166" t="s">
        <v>675</v>
      </c>
      <c r="E60" s="167">
        <v>10400000192</v>
      </c>
      <c r="F60" s="167" t="s">
        <v>189</v>
      </c>
      <c r="G60" s="167" t="s">
        <v>676</v>
      </c>
      <c r="H60" s="167">
        <v>90075408</v>
      </c>
      <c r="I60" s="166" t="s">
        <v>677</v>
      </c>
      <c r="J60" s="168">
        <v>44805</v>
      </c>
      <c r="K60" s="168">
        <v>44806</v>
      </c>
      <c r="L60" s="49">
        <v>39041.520000000004</v>
      </c>
      <c r="M60" s="49">
        <f t="shared" si="10"/>
        <v>3253.4600000000005</v>
      </c>
      <c r="N60" s="49">
        <v>1234.51</v>
      </c>
      <c r="O60" s="49">
        <v>2</v>
      </c>
      <c r="P60" s="49">
        <f t="shared" si="11"/>
        <v>308.63</v>
      </c>
      <c r="Q60" s="169"/>
      <c r="R60" s="160"/>
      <c r="S60" s="160"/>
      <c r="T60" s="160"/>
    </row>
    <row r="61" spans="2:20" x14ac:dyDescent="0.25">
      <c r="B61" s="166" t="s">
        <v>10</v>
      </c>
      <c r="C61" s="167">
        <v>90075408</v>
      </c>
      <c r="D61" s="166" t="s">
        <v>677</v>
      </c>
      <c r="E61" s="167">
        <v>10800039288</v>
      </c>
      <c r="F61" s="167" t="s">
        <v>399</v>
      </c>
      <c r="G61" s="167" t="s">
        <v>784</v>
      </c>
      <c r="H61" s="167">
        <v>90077419</v>
      </c>
      <c r="I61" s="166" t="s">
        <v>675</v>
      </c>
      <c r="J61" s="168">
        <v>44823</v>
      </c>
      <c r="K61" s="168">
        <v>44834</v>
      </c>
      <c r="L61" s="49">
        <v>54578.16</v>
      </c>
      <c r="M61" s="49">
        <f t="shared" si="10"/>
        <v>4548.18</v>
      </c>
      <c r="N61" s="49">
        <v>2157.2399999999998</v>
      </c>
      <c r="O61" s="49">
        <v>10</v>
      </c>
      <c r="P61" s="49">
        <f t="shared" si="11"/>
        <v>2157.2399999999998</v>
      </c>
      <c r="Q61" s="169"/>
      <c r="R61" s="160"/>
      <c r="S61" s="160"/>
      <c r="T61" s="160"/>
    </row>
    <row r="62" spans="2:20" x14ac:dyDescent="0.25">
      <c r="B62" s="166" t="s">
        <v>10</v>
      </c>
      <c r="C62" s="167">
        <v>546700009</v>
      </c>
      <c r="D62" s="166" t="s">
        <v>686</v>
      </c>
      <c r="E62" s="167">
        <v>50780028225</v>
      </c>
      <c r="F62" s="167" t="s">
        <v>687</v>
      </c>
      <c r="G62" s="167" t="s">
        <v>688</v>
      </c>
      <c r="H62" s="167">
        <v>540200015</v>
      </c>
      <c r="I62" s="166" t="s">
        <v>689</v>
      </c>
      <c r="J62" s="168">
        <v>44805</v>
      </c>
      <c r="K62" s="168">
        <v>44806</v>
      </c>
      <c r="L62" s="49">
        <v>55377.240000000005</v>
      </c>
      <c r="M62" s="49">
        <f t="shared" si="10"/>
        <v>4614.7700000000004</v>
      </c>
      <c r="N62" s="49">
        <v>2845.47</v>
      </c>
      <c r="O62" s="49">
        <v>2</v>
      </c>
      <c r="P62" s="49">
        <f t="shared" si="11"/>
        <v>437.76</v>
      </c>
      <c r="Q62" s="169"/>
      <c r="R62" s="160"/>
      <c r="S62" s="160"/>
      <c r="T62" s="160"/>
    </row>
    <row r="63" spans="2:20" s="183" customFormat="1" x14ac:dyDescent="0.25">
      <c r="B63" s="179" t="s">
        <v>10</v>
      </c>
      <c r="C63" s="180">
        <v>468900007</v>
      </c>
      <c r="D63" s="179" t="s">
        <v>694</v>
      </c>
      <c r="E63" s="180">
        <v>56190010294</v>
      </c>
      <c r="F63" s="180" t="s">
        <v>399</v>
      </c>
      <c r="G63" s="180" t="s">
        <v>695</v>
      </c>
      <c r="H63" s="180">
        <v>468900007</v>
      </c>
      <c r="I63" s="179" t="s">
        <v>694</v>
      </c>
      <c r="J63" s="181" t="s">
        <v>785</v>
      </c>
      <c r="K63" s="181" t="s">
        <v>786</v>
      </c>
      <c r="L63" s="48">
        <v>64333.919999999998</v>
      </c>
      <c r="M63" s="48">
        <f t="shared" si="10"/>
        <v>5361.16</v>
      </c>
      <c r="N63" s="48">
        <v>1525.71</v>
      </c>
      <c r="O63" s="48">
        <v>9</v>
      </c>
      <c r="P63" s="48">
        <f t="shared" si="11"/>
        <v>2288.56</v>
      </c>
      <c r="Q63" s="182"/>
    </row>
    <row r="64" spans="2:20" s="183" customFormat="1" x14ac:dyDescent="0.25">
      <c r="B64" s="179" t="s">
        <v>10</v>
      </c>
      <c r="C64" s="180">
        <v>409500006</v>
      </c>
      <c r="D64" s="179" t="s">
        <v>787</v>
      </c>
      <c r="E64" s="180">
        <v>58810009935</v>
      </c>
      <c r="F64" s="180" t="s">
        <v>788</v>
      </c>
      <c r="G64" s="180" t="s">
        <v>789</v>
      </c>
      <c r="H64" s="180">
        <v>409500012</v>
      </c>
      <c r="I64" s="179" t="s">
        <v>790</v>
      </c>
      <c r="J64" s="181">
        <v>44817</v>
      </c>
      <c r="K64" s="181">
        <v>44834</v>
      </c>
      <c r="L64" s="48">
        <v>27183.840000000004</v>
      </c>
      <c r="M64" s="48">
        <f t="shared" si="10"/>
        <v>2265.3200000000002</v>
      </c>
      <c r="N64" s="48">
        <v>0</v>
      </c>
      <c r="O64" s="48">
        <v>14</v>
      </c>
      <c r="P64" s="48">
        <f t="shared" si="11"/>
        <v>1504.24</v>
      </c>
      <c r="Q64" s="182"/>
    </row>
    <row r="65" spans="2:20" s="183" customFormat="1" ht="30.75" customHeight="1" x14ac:dyDescent="0.25">
      <c r="B65" s="179" t="s">
        <v>10</v>
      </c>
      <c r="C65" s="180">
        <v>90075404</v>
      </c>
      <c r="D65" s="179" t="s">
        <v>398</v>
      </c>
      <c r="E65" s="180">
        <v>65720002861</v>
      </c>
      <c r="F65" s="180" t="s">
        <v>699</v>
      </c>
      <c r="G65" s="180" t="s">
        <v>155</v>
      </c>
      <c r="H65" s="180">
        <v>90000004</v>
      </c>
      <c r="I65" s="179" t="s">
        <v>396</v>
      </c>
      <c r="J65" s="181">
        <v>44805</v>
      </c>
      <c r="K65" s="181">
        <v>44822</v>
      </c>
      <c r="L65" s="48">
        <v>56979.72</v>
      </c>
      <c r="M65" s="48">
        <f t="shared" si="10"/>
        <v>4748.3100000000004</v>
      </c>
      <c r="N65" s="48">
        <v>2702.6</v>
      </c>
      <c r="O65" s="48">
        <v>12</v>
      </c>
      <c r="P65" s="48">
        <f>ROUND(L65/253*O65,2)-656.89</f>
        <v>2045.71</v>
      </c>
      <c r="Q65" s="133" t="s">
        <v>843</v>
      </c>
    </row>
    <row r="66" spans="2:20" s="183" customFormat="1" x14ac:dyDescent="0.25">
      <c r="B66" s="179" t="s">
        <v>10</v>
      </c>
      <c r="C66" s="180">
        <v>561800003</v>
      </c>
      <c r="D66" s="179" t="s">
        <v>791</v>
      </c>
      <c r="E66" s="180">
        <v>72110006973</v>
      </c>
      <c r="F66" s="180" t="s">
        <v>721</v>
      </c>
      <c r="G66" s="180" t="s">
        <v>792</v>
      </c>
      <c r="H66" s="180">
        <v>561800006</v>
      </c>
      <c r="I66" s="179" t="s">
        <v>793</v>
      </c>
      <c r="J66" s="181">
        <v>44823</v>
      </c>
      <c r="K66" s="181">
        <v>44829</v>
      </c>
      <c r="L66" s="235">
        <v>33362.399999999994</v>
      </c>
      <c r="M66" s="235">
        <f t="shared" si="10"/>
        <v>2780.1999999999994</v>
      </c>
      <c r="N66" s="235">
        <v>0</v>
      </c>
      <c r="O66" s="50">
        <v>5</v>
      </c>
      <c r="P66" s="50">
        <f>ROUND(L66/253*O66,2)</f>
        <v>659.34</v>
      </c>
      <c r="Q66" s="182"/>
    </row>
    <row r="67" spans="2:20" s="183" customFormat="1" x14ac:dyDescent="0.25">
      <c r="B67" s="179" t="s">
        <v>10</v>
      </c>
      <c r="C67" s="180">
        <v>561800003</v>
      </c>
      <c r="D67" s="179" t="s">
        <v>791</v>
      </c>
      <c r="E67" s="180">
        <v>72110006973</v>
      </c>
      <c r="F67" s="180" t="s">
        <v>721</v>
      </c>
      <c r="G67" s="180" t="s">
        <v>792</v>
      </c>
      <c r="H67" s="180">
        <v>327100003</v>
      </c>
      <c r="I67" s="179" t="s">
        <v>794</v>
      </c>
      <c r="J67" s="181">
        <v>44830</v>
      </c>
      <c r="K67" s="181">
        <v>44834</v>
      </c>
      <c r="L67" s="236"/>
      <c r="M67" s="236"/>
      <c r="N67" s="236"/>
      <c r="O67" s="50">
        <v>5</v>
      </c>
      <c r="P67" s="50">
        <f>ROUND(L66/253*O67,2)</f>
        <v>659.34</v>
      </c>
      <c r="Q67" s="182"/>
    </row>
    <row r="68" spans="2:20" s="183" customFormat="1" x14ac:dyDescent="0.25">
      <c r="B68" s="179" t="s">
        <v>10</v>
      </c>
      <c r="C68" s="180">
        <v>540200002</v>
      </c>
      <c r="D68" s="179" t="s">
        <v>795</v>
      </c>
      <c r="E68" s="180">
        <v>87450008217</v>
      </c>
      <c r="F68" s="180" t="s">
        <v>440</v>
      </c>
      <c r="G68" s="180" t="s">
        <v>796</v>
      </c>
      <c r="H68" s="180">
        <v>90000033</v>
      </c>
      <c r="I68" s="179" t="s">
        <v>797</v>
      </c>
      <c r="J68" s="181">
        <v>44809</v>
      </c>
      <c r="K68" s="181">
        <v>44828</v>
      </c>
      <c r="L68" s="50">
        <v>24545.4</v>
      </c>
      <c r="M68" s="50">
        <f t="shared" si="10"/>
        <v>2045.45</v>
      </c>
      <c r="N68" s="50">
        <v>0</v>
      </c>
      <c r="O68" s="50">
        <v>15</v>
      </c>
      <c r="P68" s="50">
        <f>ROUND(L68/253*O68,2)</f>
        <v>1455.26</v>
      </c>
      <c r="Q68" s="182"/>
    </row>
    <row r="69" spans="2:20" x14ac:dyDescent="0.25">
      <c r="B69" s="166" t="s">
        <v>10</v>
      </c>
      <c r="C69" s="167">
        <v>90000006</v>
      </c>
      <c r="D69" s="166" t="s">
        <v>409</v>
      </c>
      <c r="E69" s="167">
        <v>88320010903</v>
      </c>
      <c r="F69" s="167" t="s">
        <v>410</v>
      </c>
      <c r="G69" s="167" t="s">
        <v>411</v>
      </c>
      <c r="H69" s="167">
        <v>90000108</v>
      </c>
      <c r="I69" s="166" t="s">
        <v>412</v>
      </c>
      <c r="J69" s="168">
        <v>44805</v>
      </c>
      <c r="K69" s="168">
        <v>44813</v>
      </c>
      <c r="L69" s="50">
        <v>46708.56</v>
      </c>
      <c r="M69" s="50">
        <f t="shared" si="10"/>
        <v>3892.3799999999997</v>
      </c>
      <c r="N69" s="50">
        <v>2400.0500000000002</v>
      </c>
      <c r="O69" s="50">
        <v>7</v>
      </c>
      <c r="P69" s="50">
        <f>ROUND(L69/253*O69,2)</f>
        <v>1292.33</v>
      </c>
      <c r="Q69" s="169"/>
      <c r="R69" s="160"/>
      <c r="S69" s="160"/>
      <c r="T69" s="160"/>
    </row>
    <row r="70" spans="2:20" x14ac:dyDescent="0.25">
      <c r="B70" s="166" t="s">
        <v>10</v>
      </c>
      <c r="C70" s="167">
        <v>326100004</v>
      </c>
      <c r="D70" s="166" t="s">
        <v>798</v>
      </c>
      <c r="E70" s="167">
        <v>96710009965</v>
      </c>
      <c r="F70" s="167" t="s">
        <v>410</v>
      </c>
      <c r="G70" s="167" t="s">
        <v>799</v>
      </c>
      <c r="H70" s="167">
        <v>326100013</v>
      </c>
      <c r="I70" s="166" t="s">
        <v>800</v>
      </c>
      <c r="J70" s="168">
        <v>44816</v>
      </c>
      <c r="K70" s="168">
        <v>44829</v>
      </c>
      <c r="L70" s="49">
        <v>47789.520000000004</v>
      </c>
      <c r="M70" s="49">
        <f t="shared" si="10"/>
        <v>3982.4600000000005</v>
      </c>
      <c r="N70" s="49">
        <v>0</v>
      </c>
      <c r="O70" s="49">
        <v>10</v>
      </c>
      <c r="P70" s="49">
        <f>ROUND(L70/253*O70,2)</f>
        <v>1888.91</v>
      </c>
      <c r="Q70" s="169"/>
      <c r="R70" s="160"/>
      <c r="S70" s="160"/>
      <c r="T70" s="160"/>
    </row>
    <row r="71" spans="2:20" x14ac:dyDescent="0.25">
      <c r="B71" s="170" t="s">
        <v>17</v>
      </c>
      <c r="C71" s="171"/>
      <c r="D71" s="170"/>
      <c r="E71" s="171"/>
      <c r="F71" s="171"/>
      <c r="G71" s="171"/>
      <c r="H71" s="171"/>
      <c r="I71" s="170"/>
      <c r="J71" s="172"/>
      <c r="K71" s="172"/>
      <c r="L71" s="173">
        <f>SUM(L59:L70)</f>
        <v>505479.84</v>
      </c>
      <c r="M71" s="173">
        <f>SUM(M59:M70)</f>
        <v>42123.32</v>
      </c>
      <c r="N71" s="173">
        <f>SUM(N59:N70)</f>
        <v>12865.579999999998</v>
      </c>
      <c r="O71" s="173">
        <f>SUM(O59:O70)</f>
        <v>96</v>
      </c>
      <c r="P71" s="173">
        <f>SUM(P59:P70)</f>
        <v>15795.73</v>
      </c>
      <c r="Q71" s="174"/>
      <c r="R71" s="160"/>
      <c r="S71" s="160"/>
      <c r="T71" s="160"/>
    </row>
    <row r="72" spans="2:20" x14ac:dyDescent="0.25">
      <c r="B72" s="160"/>
      <c r="C72" s="186"/>
      <c r="D72" s="160"/>
      <c r="E72" s="186"/>
      <c r="F72" s="186"/>
      <c r="G72" s="186"/>
      <c r="H72" s="186"/>
      <c r="I72" s="160"/>
      <c r="J72" s="186"/>
      <c r="K72" s="186"/>
      <c r="L72" s="187"/>
      <c r="M72" s="187"/>
      <c r="N72" s="187"/>
      <c r="O72" s="187"/>
      <c r="P72" s="187"/>
      <c r="Q72" s="188"/>
      <c r="R72" s="160"/>
      <c r="S72" s="160"/>
      <c r="T72" s="160"/>
    </row>
    <row r="73" spans="2:20" x14ac:dyDescent="0.25">
      <c r="B73" s="160"/>
      <c r="C73" s="186"/>
      <c r="D73" s="160"/>
      <c r="E73" s="186"/>
      <c r="F73" s="186"/>
      <c r="G73" s="186"/>
      <c r="H73" s="186"/>
      <c r="I73" s="160"/>
      <c r="J73" s="186"/>
      <c r="K73" s="186"/>
      <c r="L73" s="187"/>
      <c r="M73" s="187"/>
      <c r="N73" s="187"/>
      <c r="O73" s="187"/>
      <c r="P73" s="187"/>
      <c r="Q73" s="188"/>
      <c r="R73" s="160"/>
      <c r="S73" s="160"/>
      <c r="T73" s="160"/>
    </row>
    <row r="74" spans="2:20" x14ac:dyDescent="0.25">
      <c r="B74" s="160"/>
      <c r="C74" s="186"/>
      <c r="D74" s="160"/>
      <c r="E74" s="186"/>
      <c r="F74" s="186"/>
      <c r="G74" s="186"/>
      <c r="H74" s="186"/>
      <c r="I74" s="160"/>
      <c r="J74" s="186"/>
      <c r="K74" s="186"/>
      <c r="L74" s="187"/>
      <c r="M74" s="187"/>
      <c r="N74" s="187"/>
      <c r="O74" s="187"/>
      <c r="P74" s="187"/>
      <c r="Q74" s="188"/>
      <c r="R74" s="160"/>
      <c r="S74" s="160"/>
      <c r="T74" s="160"/>
    </row>
    <row r="75" spans="2:20" x14ac:dyDescent="0.25">
      <c r="B75" s="160"/>
      <c r="C75" s="186"/>
      <c r="D75" s="160"/>
      <c r="E75" s="186"/>
      <c r="F75" s="186"/>
      <c r="G75" s="186"/>
      <c r="H75" s="186"/>
      <c r="I75" s="160"/>
      <c r="J75" s="186"/>
      <c r="K75" s="186"/>
      <c r="L75" s="187"/>
      <c r="M75" s="187"/>
      <c r="N75" s="187"/>
      <c r="O75" s="187"/>
      <c r="P75" s="187"/>
      <c r="Q75" s="188"/>
      <c r="R75" s="160"/>
      <c r="S75" s="160"/>
      <c r="T75" s="160"/>
    </row>
    <row r="76" spans="2:20" x14ac:dyDescent="0.25">
      <c r="B76" s="160"/>
      <c r="C76" s="186"/>
      <c r="D76" s="160"/>
      <c r="E76" s="186"/>
      <c r="F76" s="186"/>
      <c r="G76" s="186"/>
      <c r="H76" s="186"/>
      <c r="I76" s="160"/>
      <c r="J76" s="186"/>
      <c r="K76" s="186"/>
      <c r="L76" s="187"/>
      <c r="M76" s="187"/>
      <c r="N76" s="187"/>
      <c r="O76" s="187"/>
      <c r="P76" s="187"/>
      <c r="Q76" s="188"/>
      <c r="R76" s="160"/>
      <c r="S76" s="160"/>
      <c r="T76" s="160"/>
    </row>
    <row r="77" spans="2:20" x14ac:dyDescent="0.25">
      <c r="B77" s="160"/>
      <c r="C77" s="186"/>
      <c r="D77" s="160"/>
      <c r="E77" s="186"/>
      <c r="F77" s="186"/>
      <c r="G77" s="186"/>
      <c r="H77" s="186"/>
      <c r="I77" s="160"/>
      <c r="J77" s="186"/>
      <c r="K77" s="186"/>
      <c r="L77" s="187"/>
      <c r="M77" s="187"/>
      <c r="N77" s="187"/>
      <c r="O77" s="187"/>
      <c r="P77" s="187"/>
      <c r="Q77" s="188"/>
      <c r="R77" s="160"/>
      <c r="S77" s="160"/>
      <c r="T77" s="160"/>
    </row>
    <row r="78" spans="2:20" x14ac:dyDescent="0.25">
      <c r="B78" s="160"/>
      <c r="C78" s="186"/>
      <c r="D78" s="160"/>
      <c r="E78" s="186"/>
      <c r="F78" s="186"/>
      <c r="G78" s="186"/>
      <c r="H78" s="186"/>
      <c r="I78" s="160"/>
      <c r="J78" s="186"/>
      <c r="K78" s="186"/>
      <c r="L78" s="187"/>
      <c r="M78" s="187"/>
      <c r="N78" s="187"/>
      <c r="O78" s="187"/>
      <c r="P78" s="187"/>
      <c r="Q78" s="188"/>
      <c r="R78" s="160"/>
      <c r="S78" s="160"/>
      <c r="T78" s="160"/>
    </row>
    <row r="79" spans="2:20" x14ac:dyDescent="0.25">
      <c r="B79" s="160"/>
      <c r="C79" s="186"/>
      <c r="D79" s="160"/>
      <c r="E79" s="186"/>
      <c r="F79" s="186"/>
      <c r="G79" s="186"/>
      <c r="H79" s="186"/>
      <c r="I79" s="160"/>
      <c r="J79" s="186"/>
      <c r="K79" s="186"/>
      <c r="L79" s="187"/>
      <c r="M79" s="187"/>
      <c r="N79" s="187"/>
      <c r="O79" s="187"/>
      <c r="P79" s="187"/>
      <c r="Q79" s="188"/>
      <c r="R79" s="160"/>
      <c r="S79" s="160"/>
      <c r="T79" s="160"/>
    </row>
    <row r="80" spans="2:20" x14ac:dyDescent="0.25">
      <c r="B80" s="160"/>
      <c r="C80" s="186"/>
      <c r="D80" s="160"/>
      <c r="E80" s="186"/>
      <c r="F80" s="186"/>
      <c r="G80" s="186"/>
      <c r="H80" s="186"/>
      <c r="I80" s="160"/>
      <c r="J80" s="186"/>
      <c r="K80" s="186"/>
      <c r="L80" s="187"/>
      <c r="M80" s="187"/>
      <c r="N80" s="187"/>
      <c r="O80" s="187"/>
      <c r="P80" s="187"/>
      <c r="Q80" s="188"/>
      <c r="R80" s="160"/>
      <c r="S80" s="160"/>
      <c r="T80" s="160"/>
    </row>
    <row r="81" spans="3:17" s="160" customFormat="1" x14ac:dyDescent="0.25">
      <c r="C81" s="186"/>
      <c r="E81" s="186"/>
      <c r="F81" s="186"/>
      <c r="G81" s="186"/>
      <c r="H81" s="186"/>
      <c r="J81" s="186"/>
      <c r="K81" s="186"/>
      <c r="L81" s="187"/>
      <c r="M81" s="187"/>
      <c r="N81" s="187"/>
      <c r="O81" s="187"/>
      <c r="P81" s="187"/>
      <c r="Q81" s="188"/>
    </row>
    <row r="82" spans="3:17" s="160" customFormat="1" x14ac:dyDescent="0.25">
      <c r="C82" s="186"/>
      <c r="E82" s="186"/>
      <c r="F82" s="186"/>
      <c r="G82" s="186"/>
      <c r="H82" s="186"/>
      <c r="J82" s="186"/>
      <c r="K82" s="186"/>
      <c r="L82" s="187"/>
      <c r="M82" s="187"/>
      <c r="N82" s="187"/>
      <c r="O82" s="187"/>
      <c r="P82" s="187"/>
      <c r="Q82" s="188"/>
    </row>
    <row r="83" spans="3:17" s="160" customFormat="1" x14ac:dyDescent="0.25">
      <c r="C83" s="186"/>
      <c r="E83" s="186"/>
      <c r="F83" s="186"/>
      <c r="G83" s="186"/>
      <c r="H83" s="186"/>
      <c r="J83" s="186"/>
      <c r="K83" s="186"/>
      <c r="L83" s="187"/>
      <c r="M83" s="187"/>
      <c r="N83" s="187"/>
      <c r="O83" s="187"/>
      <c r="P83" s="187"/>
      <c r="Q83" s="188"/>
    </row>
    <row r="84" spans="3:17" s="160" customFormat="1" x14ac:dyDescent="0.25">
      <c r="C84" s="186"/>
      <c r="E84" s="186"/>
      <c r="F84" s="186"/>
      <c r="G84" s="186"/>
      <c r="H84" s="186"/>
      <c r="J84" s="186"/>
      <c r="K84" s="186"/>
      <c r="L84" s="187"/>
      <c r="M84" s="187"/>
      <c r="N84" s="187"/>
      <c r="O84" s="187"/>
      <c r="P84" s="187"/>
      <c r="Q84" s="188"/>
    </row>
    <row r="85" spans="3:17" s="160" customFormat="1" x14ac:dyDescent="0.25">
      <c r="C85" s="186"/>
      <c r="E85" s="186"/>
      <c r="F85" s="186"/>
      <c r="G85" s="186"/>
      <c r="H85" s="186"/>
      <c r="J85" s="186"/>
      <c r="K85" s="186"/>
      <c r="L85" s="187"/>
      <c r="M85" s="187"/>
      <c r="N85" s="187"/>
      <c r="O85" s="187"/>
      <c r="P85" s="187"/>
      <c r="Q85" s="188"/>
    </row>
    <row r="86" spans="3:17" s="160" customFormat="1" x14ac:dyDescent="0.25">
      <c r="C86" s="186"/>
      <c r="E86" s="186"/>
      <c r="F86" s="186"/>
      <c r="G86" s="186"/>
      <c r="H86" s="186"/>
      <c r="J86" s="186"/>
      <c r="K86" s="186"/>
      <c r="L86" s="187"/>
      <c r="M86" s="187"/>
      <c r="N86" s="187"/>
      <c r="O86" s="187"/>
      <c r="P86" s="187"/>
      <c r="Q86" s="188"/>
    </row>
    <row r="87" spans="3:17" s="160" customFormat="1" x14ac:dyDescent="0.25">
      <c r="C87" s="186"/>
      <c r="E87" s="186"/>
      <c r="F87" s="186"/>
      <c r="G87" s="186"/>
      <c r="H87" s="186"/>
      <c r="J87" s="186"/>
      <c r="K87" s="186"/>
      <c r="L87" s="187"/>
      <c r="M87" s="187"/>
      <c r="N87" s="187"/>
      <c r="O87" s="187"/>
      <c r="P87" s="187"/>
      <c r="Q87" s="188"/>
    </row>
    <row r="88" spans="3:17" s="160" customFormat="1" x14ac:dyDescent="0.25">
      <c r="C88" s="186"/>
      <c r="E88" s="186"/>
      <c r="F88" s="186"/>
      <c r="G88" s="186"/>
      <c r="H88" s="186"/>
      <c r="J88" s="186"/>
      <c r="K88" s="186"/>
      <c r="L88" s="187"/>
      <c r="M88" s="187"/>
      <c r="N88" s="187"/>
      <c r="O88" s="187"/>
      <c r="P88" s="187"/>
      <c r="Q88" s="188"/>
    </row>
    <row r="89" spans="3:17" s="160" customFormat="1" x14ac:dyDescent="0.25">
      <c r="C89" s="186"/>
      <c r="E89" s="186"/>
      <c r="F89" s="186"/>
      <c r="G89" s="186"/>
      <c r="H89" s="186"/>
      <c r="J89" s="186"/>
      <c r="K89" s="186"/>
      <c r="L89" s="187"/>
      <c r="M89" s="187"/>
      <c r="N89" s="187"/>
      <c r="O89" s="187"/>
      <c r="P89" s="187"/>
      <c r="Q89" s="188"/>
    </row>
    <row r="90" spans="3:17" s="160" customFormat="1" x14ac:dyDescent="0.25">
      <c r="C90" s="186"/>
      <c r="E90" s="186"/>
      <c r="F90" s="186"/>
      <c r="G90" s="186"/>
      <c r="H90" s="186"/>
      <c r="J90" s="186"/>
      <c r="K90" s="186"/>
      <c r="L90" s="187"/>
      <c r="M90" s="187"/>
      <c r="N90" s="187"/>
      <c r="O90" s="187"/>
      <c r="P90" s="187"/>
      <c r="Q90" s="188"/>
    </row>
    <row r="91" spans="3:17" s="160" customFormat="1" x14ac:dyDescent="0.25">
      <c r="C91" s="186"/>
      <c r="E91" s="186"/>
      <c r="F91" s="186"/>
      <c r="G91" s="186"/>
      <c r="H91" s="186"/>
      <c r="J91" s="186"/>
      <c r="K91" s="186"/>
      <c r="L91" s="187"/>
      <c r="M91" s="187"/>
      <c r="N91" s="187"/>
      <c r="O91" s="187"/>
      <c r="P91" s="187"/>
      <c r="Q91" s="188"/>
    </row>
    <row r="92" spans="3:17" s="160" customFormat="1" x14ac:dyDescent="0.25">
      <c r="C92" s="186"/>
      <c r="E92" s="186"/>
      <c r="F92" s="186"/>
      <c r="G92" s="186"/>
      <c r="H92" s="186"/>
      <c r="J92" s="186"/>
      <c r="K92" s="186"/>
      <c r="L92" s="187"/>
      <c r="M92" s="187"/>
      <c r="N92" s="187"/>
      <c r="O92" s="187"/>
      <c r="P92" s="187"/>
      <c r="Q92" s="188"/>
    </row>
    <row r="93" spans="3:17" s="160" customFormat="1" x14ac:dyDescent="0.25">
      <c r="C93" s="186"/>
      <c r="E93" s="186"/>
      <c r="F93" s="186"/>
      <c r="G93" s="186"/>
      <c r="H93" s="186"/>
      <c r="J93" s="186"/>
      <c r="K93" s="186"/>
      <c r="L93" s="187"/>
      <c r="M93" s="187"/>
      <c r="N93" s="187"/>
      <c r="O93" s="187"/>
      <c r="P93" s="187"/>
      <c r="Q93" s="188"/>
    </row>
    <row r="94" spans="3:17" s="160" customFormat="1" x14ac:dyDescent="0.25">
      <c r="C94" s="186"/>
      <c r="E94" s="186"/>
      <c r="F94" s="186"/>
      <c r="G94" s="186"/>
      <c r="H94" s="186"/>
      <c r="J94" s="186"/>
      <c r="K94" s="186"/>
      <c r="L94" s="187"/>
      <c r="M94" s="187"/>
      <c r="N94" s="187"/>
      <c r="O94" s="187"/>
      <c r="P94" s="187"/>
      <c r="Q94" s="188"/>
    </row>
    <row r="95" spans="3:17" s="160" customFormat="1" x14ac:dyDescent="0.25">
      <c r="C95" s="186"/>
      <c r="E95" s="186"/>
      <c r="F95" s="186"/>
      <c r="G95" s="186"/>
      <c r="H95" s="186"/>
      <c r="J95" s="186"/>
      <c r="K95" s="186"/>
      <c r="L95" s="187"/>
      <c r="M95" s="187"/>
      <c r="N95" s="187"/>
      <c r="O95" s="187"/>
      <c r="P95" s="187"/>
      <c r="Q95" s="188"/>
    </row>
    <row r="96" spans="3:17" s="160" customFormat="1" x14ac:dyDescent="0.25">
      <c r="C96" s="186"/>
      <c r="E96" s="186"/>
      <c r="F96" s="186"/>
      <c r="G96" s="186"/>
      <c r="H96" s="186"/>
      <c r="J96" s="186"/>
      <c r="K96" s="186"/>
      <c r="L96" s="187"/>
      <c r="M96" s="187"/>
      <c r="N96" s="187"/>
      <c r="O96" s="187"/>
      <c r="P96" s="187"/>
      <c r="Q96" s="188"/>
    </row>
    <row r="97" spans="3:17" s="160" customFormat="1" x14ac:dyDescent="0.25">
      <c r="C97" s="186"/>
      <c r="E97" s="186"/>
      <c r="F97" s="186"/>
      <c r="G97" s="186"/>
      <c r="H97" s="186"/>
      <c r="J97" s="186"/>
      <c r="K97" s="186"/>
      <c r="L97" s="187"/>
      <c r="M97" s="187"/>
      <c r="N97" s="187"/>
      <c r="O97" s="187"/>
      <c r="P97" s="187"/>
      <c r="Q97" s="188"/>
    </row>
    <row r="98" spans="3:17" s="160" customFormat="1" x14ac:dyDescent="0.25">
      <c r="C98" s="186"/>
      <c r="E98" s="186"/>
      <c r="F98" s="186"/>
      <c r="G98" s="186"/>
      <c r="H98" s="186"/>
      <c r="J98" s="186"/>
      <c r="K98" s="186"/>
      <c r="L98" s="187"/>
      <c r="M98" s="187"/>
      <c r="N98" s="187"/>
      <c r="O98" s="187"/>
      <c r="P98" s="187"/>
      <c r="Q98" s="188"/>
    </row>
    <row r="99" spans="3:17" s="160" customFormat="1" x14ac:dyDescent="0.25">
      <c r="C99" s="186"/>
      <c r="E99" s="186"/>
      <c r="F99" s="186"/>
      <c r="G99" s="186"/>
      <c r="H99" s="186"/>
      <c r="J99" s="186"/>
      <c r="K99" s="186"/>
      <c r="L99" s="187"/>
      <c r="M99" s="187"/>
      <c r="N99" s="187"/>
      <c r="O99" s="187"/>
      <c r="P99" s="187"/>
      <c r="Q99" s="188"/>
    </row>
    <row r="100" spans="3:17" s="160" customFormat="1" x14ac:dyDescent="0.25">
      <c r="C100" s="186"/>
      <c r="E100" s="186"/>
      <c r="F100" s="186"/>
      <c r="G100" s="186"/>
      <c r="H100" s="186"/>
      <c r="J100" s="186"/>
      <c r="K100" s="186"/>
      <c r="L100" s="187"/>
      <c r="M100" s="187"/>
      <c r="N100" s="187"/>
      <c r="O100" s="187"/>
      <c r="P100" s="187"/>
      <c r="Q100" s="188"/>
    </row>
    <row r="101" spans="3:17" s="160" customFormat="1" x14ac:dyDescent="0.25">
      <c r="C101" s="186"/>
      <c r="E101" s="186"/>
      <c r="F101" s="186"/>
      <c r="G101" s="186"/>
      <c r="H101" s="186"/>
      <c r="J101" s="186"/>
      <c r="K101" s="186"/>
      <c r="L101" s="187"/>
      <c r="M101" s="187"/>
      <c r="N101" s="187"/>
      <c r="O101" s="187"/>
      <c r="P101" s="187"/>
      <c r="Q101" s="188"/>
    </row>
    <row r="102" spans="3:17" s="160" customFormat="1" x14ac:dyDescent="0.25">
      <c r="C102" s="186"/>
      <c r="E102" s="186"/>
      <c r="F102" s="186"/>
      <c r="G102" s="186"/>
      <c r="H102" s="186"/>
      <c r="J102" s="186"/>
      <c r="K102" s="186"/>
      <c r="L102" s="187"/>
      <c r="M102" s="187"/>
      <c r="N102" s="187"/>
      <c r="O102" s="187"/>
      <c r="P102" s="187"/>
      <c r="Q102" s="188"/>
    </row>
    <row r="103" spans="3:17" s="160" customFormat="1" x14ac:dyDescent="0.25">
      <c r="C103" s="186"/>
      <c r="E103" s="186"/>
      <c r="F103" s="186"/>
      <c r="G103" s="186"/>
      <c r="H103" s="186"/>
      <c r="J103" s="186"/>
      <c r="K103" s="186"/>
      <c r="L103" s="187"/>
      <c r="M103" s="187"/>
      <c r="N103" s="187"/>
      <c r="O103" s="187"/>
      <c r="P103" s="187"/>
      <c r="Q103" s="188"/>
    </row>
    <row r="104" spans="3:17" s="160" customFormat="1" x14ac:dyDescent="0.25">
      <c r="C104" s="186"/>
      <c r="E104" s="186"/>
      <c r="F104" s="186"/>
      <c r="G104" s="186"/>
      <c r="H104" s="186"/>
      <c r="J104" s="186"/>
      <c r="K104" s="186"/>
      <c r="L104" s="187"/>
      <c r="M104" s="187"/>
      <c r="N104" s="187"/>
      <c r="O104" s="187"/>
      <c r="P104" s="187"/>
      <c r="Q104" s="188"/>
    </row>
    <row r="105" spans="3:17" s="160" customFormat="1" x14ac:dyDescent="0.25">
      <c r="C105" s="186"/>
      <c r="E105" s="186"/>
      <c r="F105" s="186"/>
      <c r="G105" s="186"/>
      <c r="H105" s="186"/>
      <c r="J105" s="186"/>
      <c r="K105" s="186"/>
      <c r="L105" s="187"/>
      <c r="M105" s="187"/>
      <c r="N105" s="187"/>
      <c r="O105" s="187"/>
      <c r="P105" s="187"/>
      <c r="Q105" s="188"/>
    </row>
    <row r="106" spans="3:17" s="160" customFormat="1" x14ac:dyDescent="0.25">
      <c r="C106" s="186"/>
      <c r="E106" s="186"/>
      <c r="F106" s="186"/>
      <c r="G106" s="186"/>
      <c r="H106" s="186"/>
      <c r="J106" s="186"/>
      <c r="K106" s="186"/>
      <c r="L106" s="187"/>
      <c r="M106" s="187"/>
      <c r="N106" s="187"/>
      <c r="O106" s="187"/>
      <c r="P106" s="187"/>
      <c r="Q106" s="188"/>
    </row>
    <row r="107" spans="3:17" s="160" customFormat="1" x14ac:dyDescent="0.25">
      <c r="C107" s="186"/>
      <c r="E107" s="186"/>
      <c r="F107" s="186"/>
      <c r="G107" s="186"/>
      <c r="H107" s="186"/>
      <c r="J107" s="186"/>
      <c r="K107" s="186"/>
      <c r="L107" s="187"/>
      <c r="M107" s="187"/>
      <c r="N107" s="187"/>
      <c r="O107" s="187"/>
      <c r="P107" s="187"/>
      <c r="Q107" s="188"/>
    </row>
    <row r="108" spans="3:17" s="160" customFormat="1" x14ac:dyDescent="0.25">
      <c r="C108" s="186"/>
      <c r="E108" s="186"/>
      <c r="F108" s="186"/>
      <c r="G108" s="186"/>
      <c r="H108" s="186"/>
      <c r="J108" s="186"/>
      <c r="K108" s="186"/>
      <c r="L108" s="187"/>
      <c r="M108" s="187"/>
      <c r="N108" s="187"/>
      <c r="O108" s="187"/>
      <c r="P108" s="187"/>
      <c r="Q108" s="188"/>
    </row>
    <row r="109" spans="3:17" s="160" customFormat="1" x14ac:dyDescent="0.25">
      <c r="C109" s="186"/>
      <c r="E109" s="186"/>
      <c r="F109" s="186"/>
      <c r="G109" s="186"/>
      <c r="H109" s="186"/>
      <c r="J109" s="186"/>
      <c r="K109" s="186"/>
      <c r="L109" s="187"/>
      <c r="M109" s="187"/>
      <c r="N109" s="187"/>
      <c r="O109" s="187"/>
      <c r="P109" s="187"/>
      <c r="Q109" s="188"/>
    </row>
    <row r="110" spans="3:17" s="160" customFormat="1" x14ac:dyDescent="0.25">
      <c r="C110" s="186"/>
      <c r="E110" s="186"/>
      <c r="F110" s="186"/>
      <c r="G110" s="186"/>
      <c r="H110" s="186"/>
      <c r="J110" s="186"/>
      <c r="K110" s="186"/>
      <c r="L110" s="187"/>
      <c r="M110" s="187"/>
      <c r="N110" s="187"/>
      <c r="O110" s="187"/>
      <c r="P110" s="187"/>
      <c r="Q110" s="188"/>
    </row>
    <row r="111" spans="3:17" s="160" customFormat="1" x14ac:dyDescent="0.25">
      <c r="C111" s="186"/>
      <c r="E111" s="186"/>
      <c r="F111" s="186"/>
      <c r="G111" s="186"/>
      <c r="H111" s="186"/>
      <c r="J111" s="186"/>
      <c r="K111" s="186"/>
      <c r="L111" s="187"/>
      <c r="M111" s="187"/>
      <c r="N111" s="187"/>
      <c r="O111" s="187"/>
      <c r="P111" s="187"/>
      <c r="Q111" s="188"/>
    </row>
    <row r="112" spans="3:17" s="160" customFormat="1" x14ac:dyDescent="0.25">
      <c r="C112" s="186"/>
      <c r="E112" s="186"/>
      <c r="F112" s="186"/>
      <c r="G112" s="186"/>
      <c r="H112" s="186"/>
      <c r="J112" s="186"/>
      <c r="K112" s="186"/>
      <c r="L112" s="187"/>
      <c r="M112" s="187"/>
      <c r="N112" s="187"/>
      <c r="O112" s="187"/>
      <c r="P112" s="187"/>
      <c r="Q112" s="188"/>
    </row>
    <row r="113" spans="3:17" s="160" customFormat="1" x14ac:dyDescent="0.25">
      <c r="C113" s="186"/>
      <c r="E113" s="186"/>
      <c r="F113" s="186"/>
      <c r="G113" s="186"/>
      <c r="H113" s="186"/>
      <c r="J113" s="186"/>
      <c r="K113" s="186"/>
      <c r="L113" s="187"/>
      <c r="M113" s="187"/>
      <c r="N113" s="187"/>
      <c r="O113" s="187"/>
      <c r="P113" s="187"/>
      <c r="Q113" s="188"/>
    </row>
    <row r="114" spans="3:17" s="160" customFormat="1" x14ac:dyDescent="0.25">
      <c r="C114" s="186"/>
      <c r="E114" s="186"/>
      <c r="F114" s="186"/>
      <c r="G114" s="186"/>
      <c r="H114" s="186"/>
      <c r="J114" s="186"/>
      <c r="K114" s="186"/>
      <c r="L114" s="187"/>
      <c r="M114" s="187"/>
      <c r="N114" s="187"/>
      <c r="O114" s="187"/>
      <c r="P114" s="187"/>
      <c r="Q114" s="188"/>
    </row>
    <row r="115" spans="3:17" s="160" customFormat="1" x14ac:dyDescent="0.25">
      <c r="C115" s="186"/>
      <c r="E115" s="186"/>
      <c r="F115" s="186"/>
      <c r="G115" s="186"/>
      <c r="H115" s="186"/>
      <c r="J115" s="186"/>
      <c r="K115" s="186"/>
      <c r="L115" s="187"/>
      <c r="M115" s="187"/>
      <c r="N115" s="187"/>
      <c r="O115" s="187"/>
      <c r="P115" s="187"/>
      <c r="Q115" s="188"/>
    </row>
    <row r="116" spans="3:17" s="160" customFormat="1" x14ac:dyDescent="0.25">
      <c r="C116" s="186"/>
      <c r="E116" s="186"/>
      <c r="F116" s="186"/>
      <c r="G116" s="186"/>
      <c r="H116" s="186"/>
      <c r="J116" s="186"/>
      <c r="K116" s="186"/>
      <c r="L116" s="187"/>
      <c r="M116" s="187"/>
      <c r="N116" s="187"/>
      <c r="O116" s="187"/>
      <c r="P116" s="187"/>
      <c r="Q116" s="188"/>
    </row>
    <row r="117" spans="3:17" s="160" customFormat="1" x14ac:dyDescent="0.25">
      <c r="C117" s="186"/>
      <c r="E117" s="186"/>
      <c r="F117" s="186"/>
      <c r="G117" s="186"/>
      <c r="H117" s="186"/>
      <c r="J117" s="186"/>
      <c r="K117" s="186"/>
      <c r="L117" s="187"/>
      <c r="M117" s="187"/>
      <c r="N117" s="187"/>
      <c r="O117" s="187"/>
      <c r="P117" s="187"/>
      <c r="Q117" s="188"/>
    </row>
    <row r="118" spans="3:17" s="160" customFormat="1" x14ac:dyDescent="0.25">
      <c r="C118" s="186"/>
      <c r="E118" s="186"/>
      <c r="F118" s="186"/>
      <c r="G118" s="186"/>
      <c r="H118" s="186"/>
      <c r="J118" s="186"/>
      <c r="K118" s="186"/>
      <c r="L118" s="187"/>
      <c r="M118" s="187"/>
      <c r="N118" s="187"/>
      <c r="O118" s="187"/>
      <c r="P118" s="187"/>
      <c r="Q118" s="188"/>
    </row>
    <row r="119" spans="3:17" s="160" customFormat="1" x14ac:dyDescent="0.25">
      <c r="C119" s="186"/>
      <c r="E119" s="186"/>
      <c r="F119" s="186"/>
      <c r="G119" s="186"/>
      <c r="H119" s="186"/>
      <c r="J119" s="186"/>
      <c r="K119" s="186"/>
      <c r="L119" s="187"/>
      <c r="M119" s="187"/>
      <c r="N119" s="187"/>
      <c r="O119" s="187"/>
      <c r="P119" s="187"/>
      <c r="Q119" s="188"/>
    </row>
    <row r="120" spans="3:17" s="160" customFormat="1" x14ac:dyDescent="0.25">
      <c r="C120" s="186"/>
      <c r="E120" s="186"/>
      <c r="F120" s="186"/>
      <c r="G120" s="186"/>
      <c r="H120" s="186"/>
      <c r="J120" s="186"/>
      <c r="K120" s="186"/>
      <c r="L120" s="187"/>
      <c r="M120" s="187"/>
      <c r="N120" s="187"/>
      <c r="O120" s="187"/>
      <c r="P120" s="187"/>
      <c r="Q120" s="188"/>
    </row>
    <row r="121" spans="3:17" s="160" customFormat="1" x14ac:dyDescent="0.25">
      <c r="C121" s="186"/>
      <c r="E121" s="186"/>
      <c r="F121" s="186"/>
      <c r="G121" s="186"/>
      <c r="H121" s="186"/>
      <c r="J121" s="186"/>
      <c r="K121" s="186"/>
      <c r="L121" s="187"/>
      <c r="M121" s="187"/>
      <c r="N121" s="187"/>
      <c r="O121" s="187"/>
      <c r="P121" s="187"/>
      <c r="Q121" s="188"/>
    </row>
    <row r="122" spans="3:17" s="160" customFormat="1" x14ac:dyDescent="0.25">
      <c r="C122" s="186"/>
      <c r="E122" s="186"/>
      <c r="F122" s="186"/>
      <c r="G122" s="186"/>
      <c r="H122" s="186"/>
      <c r="J122" s="186"/>
      <c r="K122" s="186"/>
      <c r="L122" s="187"/>
      <c r="M122" s="187"/>
      <c r="N122" s="187"/>
      <c r="O122" s="187"/>
      <c r="P122" s="187"/>
      <c r="Q122" s="188"/>
    </row>
    <row r="123" spans="3:17" s="160" customFormat="1" x14ac:dyDescent="0.25">
      <c r="C123" s="186"/>
      <c r="E123" s="186"/>
      <c r="F123" s="186"/>
      <c r="G123" s="186"/>
      <c r="H123" s="186"/>
      <c r="J123" s="186"/>
      <c r="K123" s="186"/>
      <c r="L123" s="187"/>
      <c r="M123" s="187"/>
      <c r="N123" s="187"/>
      <c r="O123" s="187"/>
      <c r="P123" s="187"/>
      <c r="Q123" s="188"/>
    </row>
    <row r="124" spans="3:17" s="160" customFormat="1" x14ac:dyDescent="0.25">
      <c r="C124" s="186"/>
      <c r="E124" s="186"/>
      <c r="F124" s="186"/>
      <c r="G124" s="186"/>
      <c r="H124" s="186"/>
      <c r="J124" s="186"/>
      <c r="K124" s="186"/>
      <c r="L124" s="187"/>
      <c r="M124" s="187"/>
      <c r="N124" s="187"/>
      <c r="O124" s="187"/>
      <c r="P124" s="187"/>
      <c r="Q124" s="188"/>
    </row>
    <row r="125" spans="3:17" s="160" customFormat="1" x14ac:dyDescent="0.25">
      <c r="C125" s="186"/>
      <c r="E125" s="186"/>
      <c r="F125" s="186"/>
      <c r="G125" s="186"/>
      <c r="H125" s="186"/>
      <c r="J125" s="186"/>
      <c r="K125" s="186"/>
      <c r="L125" s="187"/>
      <c r="M125" s="187"/>
      <c r="N125" s="187"/>
      <c r="O125" s="187"/>
      <c r="P125" s="187"/>
      <c r="Q125" s="188"/>
    </row>
    <row r="126" spans="3:17" s="160" customFormat="1" x14ac:dyDescent="0.25">
      <c r="C126" s="186"/>
      <c r="E126" s="186"/>
      <c r="F126" s="186"/>
      <c r="G126" s="186"/>
      <c r="H126" s="186"/>
      <c r="J126" s="186"/>
      <c r="K126" s="186"/>
      <c r="L126" s="187"/>
      <c r="M126" s="187"/>
      <c r="N126" s="187"/>
      <c r="O126" s="187"/>
      <c r="P126" s="187"/>
      <c r="Q126" s="188"/>
    </row>
    <row r="127" spans="3:17" s="160" customFormat="1" x14ac:dyDescent="0.25">
      <c r="C127" s="186"/>
      <c r="E127" s="186"/>
      <c r="F127" s="186"/>
      <c r="G127" s="186"/>
      <c r="H127" s="186"/>
      <c r="J127" s="186"/>
      <c r="K127" s="186"/>
      <c r="L127" s="187"/>
      <c r="M127" s="187"/>
      <c r="N127" s="187"/>
      <c r="O127" s="187"/>
      <c r="P127" s="187"/>
      <c r="Q127" s="188"/>
    </row>
    <row r="128" spans="3:17" s="160" customFormat="1" x14ac:dyDescent="0.25">
      <c r="C128" s="186"/>
      <c r="E128" s="186"/>
      <c r="F128" s="186"/>
      <c r="G128" s="186"/>
      <c r="H128" s="186"/>
      <c r="J128" s="186"/>
      <c r="K128" s="186"/>
      <c r="L128" s="187"/>
      <c r="M128" s="187"/>
      <c r="N128" s="187"/>
      <c r="O128" s="187"/>
      <c r="P128" s="187"/>
      <c r="Q128" s="188"/>
    </row>
    <row r="129" spans="3:17" s="160" customFormat="1" x14ac:dyDescent="0.25">
      <c r="C129" s="186"/>
      <c r="E129" s="186"/>
      <c r="F129" s="186"/>
      <c r="G129" s="186"/>
      <c r="H129" s="186"/>
      <c r="J129" s="186"/>
      <c r="K129" s="186"/>
      <c r="L129" s="187"/>
      <c r="M129" s="187"/>
      <c r="N129" s="187"/>
      <c r="O129" s="187"/>
      <c r="P129" s="187"/>
      <c r="Q129" s="188"/>
    </row>
    <row r="130" spans="3:17" s="160" customFormat="1" x14ac:dyDescent="0.25">
      <c r="C130" s="186"/>
      <c r="E130" s="186"/>
      <c r="F130" s="186"/>
      <c r="G130" s="186"/>
      <c r="H130" s="186"/>
      <c r="J130" s="186"/>
      <c r="K130" s="186"/>
      <c r="L130" s="187"/>
      <c r="M130" s="187"/>
      <c r="N130" s="187"/>
      <c r="O130" s="187"/>
      <c r="P130" s="187"/>
      <c r="Q130" s="188"/>
    </row>
    <row r="131" spans="3:17" s="160" customFormat="1" x14ac:dyDescent="0.25">
      <c r="C131" s="186"/>
      <c r="E131" s="186"/>
      <c r="F131" s="186"/>
      <c r="G131" s="186"/>
      <c r="H131" s="186"/>
      <c r="J131" s="186"/>
      <c r="K131" s="186"/>
      <c r="L131" s="187"/>
      <c r="M131" s="187"/>
      <c r="N131" s="187"/>
      <c r="O131" s="187"/>
      <c r="P131" s="187"/>
      <c r="Q131" s="188"/>
    </row>
    <row r="132" spans="3:17" s="160" customFormat="1" x14ac:dyDescent="0.25">
      <c r="C132" s="186"/>
      <c r="E132" s="186"/>
      <c r="F132" s="186"/>
      <c r="G132" s="186"/>
      <c r="H132" s="186"/>
      <c r="J132" s="186"/>
      <c r="K132" s="186"/>
      <c r="L132" s="187"/>
      <c r="M132" s="187"/>
      <c r="N132" s="187"/>
      <c r="O132" s="187"/>
      <c r="P132" s="187"/>
      <c r="Q132" s="188"/>
    </row>
    <row r="133" spans="3:17" s="160" customFormat="1" x14ac:dyDescent="0.25">
      <c r="C133" s="186"/>
      <c r="E133" s="186"/>
      <c r="F133" s="186"/>
      <c r="G133" s="186"/>
      <c r="H133" s="186"/>
      <c r="J133" s="186"/>
      <c r="K133" s="186"/>
      <c r="L133" s="187"/>
      <c r="M133" s="187"/>
      <c r="N133" s="187"/>
      <c r="O133" s="187"/>
      <c r="P133" s="187"/>
      <c r="Q133" s="188"/>
    </row>
    <row r="134" spans="3:17" s="160" customFormat="1" x14ac:dyDescent="0.25">
      <c r="C134" s="186"/>
      <c r="E134" s="186"/>
      <c r="F134" s="186"/>
      <c r="G134" s="186"/>
      <c r="H134" s="186"/>
      <c r="J134" s="186"/>
      <c r="K134" s="186"/>
      <c r="L134" s="187"/>
      <c r="M134" s="187"/>
      <c r="N134" s="187"/>
      <c r="O134" s="187"/>
      <c r="P134" s="187"/>
      <c r="Q134" s="188"/>
    </row>
    <row r="135" spans="3:17" s="160" customFormat="1" x14ac:dyDescent="0.25">
      <c r="C135" s="186"/>
      <c r="E135" s="186"/>
      <c r="F135" s="186"/>
      <c r="G135" s="186"/>
      <c r="H135" s="186"/>
      <c r="J135" s="186"/>
      <c r="K135" s="186"/>
      <c r="L135" s="187"/>
      <c r="M135" s="187"/>
      <c r="N135" s="187"/>
      <c r="O135" s="187"/>
      <c r="P135" s="187"/>
      <c r="Q135" s="188"/>
    </row>
    <row r="136" spans="3:17" s="160" customFormat="1" x14ac:dyDescent="0.25">
      <c r="C136" s="186"/>
      <c r="E136" s="186"/>
      <c r="F136" s="186"/>
      <c r="G136" s="186"/>
      <c r="H136" s="186"/>
      <c r="J136" s="186"/>
      <c r="K136" s="186"/>
      <c r="L136" s="187"/>
      <c r="M136" s="187"/>
      <c r="N136" s="187"/>
      <c r="O136" s="187"/>
      <c r="P136" s="187"/>
      <c r="Q136" s="188"/>
    </row>
    <row r="137" spans="3:17" s="160" customFormat="1" x14ac:dyDescent="0.25">
      <c r="C137" s="186"/>
      <c r="E137" s="186"/>
      <c r="F137" s="186"/>
      <c r="G137" s="186"/>
      <c r="H137" s="186"/>
      <c r="J137" s="186"/>
      <c r="K137" s="186"/>
      <c r="L137" s="187"/>
      <c r="M137" s="187"/>
      <c r="N137" s="187"/>
      <c r="O137" s="187"/>
      <c r="P137" s="187"/>
      <c r="Q137" s="188"/>
    </row>
    <row r="138" spans="3:17" s="160" customFormat="1" x14ac:dyDescent="0.25">
      <c r="C138" s="186"/>
      <c r="E138" s="186"/>
      <c r="F138" s="186"/>
      <c r="G138" s="186"/>
      <c r="H138" s="186"/>
      <c r="J138" s="186"/>
      <c r="K138" s="186"/>
      <c r="L138" s="187"/>
      <c r="M138" s="187"/>
      <c r="N138" s="187"/>
      <c r="O138" s="187"/>
      <c r="P138" s="187"/>
      <c r="Q138" s="188"/>
    </row>
    <row r="139" spans="3:17" s="160" customFormat="1" x14ac:dyDescent="0.25">
      <c r="C139" s="186"/>
      <c r="E139" s="186"/>
      <c r="F139" s="186"/>
      <c r="G139" s="186"/>
      <c r="H139" s="186"/>
      <c r="J139" s="186"/>
      <c r="K139" s="186"/>
      <c r="L139" s="187"/>
      <c r="M139" s="187"/>
      <c r="N139" s="187"/>
      <c r="O139" s="187"/>
      <c r="P139" s="187"/>
      <c r="Q139" s="188"/>
    </row>
    <row r="140" spans="3:17" s="160" customFormat="1" x14ac:dyDescent="0.25">
      <c r="C140" s="186"/>
      <c r="E140" s="186"/>
      <c r="F140" s="186"/>
      <c r="G140" s="186"/>
      <c r="H140" s="186"/>
      <c r="J140" s="186"/>
      <c r="K140" s="186"/>
      <c r="L140" s="187"/>
      <c r="M140" s="187"/>
      <c r="N140" s="187"/>
      <c r="O140" s="187"/>
      <c r="P140" s="187"/>
      <c r="Q140" s="188"/>
    </row>
    <row r="141" spans="3:17" s="160" customFormat="1" x14ac:dyDescent="0.25">
      <c r="C141" s="186"/>
      <c r="E141" s="186"/>
      <c r="F141" s="186"/>
      <c r="G141" s="186"/>
      <c r="H141" s="186"/>
      <c r="J141" s="186"/>
      <c r="K141" s="186"/>
      <c r="L141" s="187"/>
      <c r="M141" s="187"/>
      <c r="N141" s="187"/>
      <c r="O141" s="187"/>
      <c r="P141" s="187"/>
      <c r="Q141" s="188"/>
    </row>
    <row r="142" spans="3:17" s="160" customFormat="1" x14ac:dyDescent="0.25">
      <c r="C142" s="186"/>
      <c r="E142" s="186"/>
      <c r="F142" s="186"/>
      <c r="G142" s="186"/>
      <c r="H142" s="186"/>
      <c r="J142" s="186"/>
      <c r="K142" s="186"/>
      <c r="L142" s="187"/>
      <c r="M142" s="187"/>
      <c r="N142" s="187"/>
      <c r="O142" s="187"/>
      <c r="P142" s="187"/>
      <c r="Q142" s="188"/>
    </row>
    <row r="143" spans="3:17" s="160" customFormat="1" x14ac:dyDescent="0.25">
      <c r="C143" s="186"/>
      <c r="E143" s="186"/>
      <c r="F143" s="186"/>
      <c r="G143" s="186"/>
      <c r="H143" s="186"/>
      <c r="J143" s="186"/>
      <c r="K143" s="186"/>
      <c r="L143" s="187"/>
      <c r="M143" s="187"/>
      <c r="N143" s="187"/>
      <c r="O143" s="187"/>
      <c r="P143" s="187"/>
      <c r="Q143" s="188"/>
    </row>
    <row r="144" spans="3:17" s="160" customFormat="1" x14ac:dyDescent="0.25">
      <c r="C144" s="186"/>
      <c r="E144" s="186"/>
      <c r="F144" s="186"/>
      <c r="G144" s="186"/>
      <c r="H144" s="186"/>
      <c r="J144" s="186"/>
      <c r="K144" s="186"/>
      <c r="L144" s="187"/>
      <c r="M144" s="187"/>
      <c r="N144" s="187"/>
      <c r="O144" s="187"/>
      <c r="P144" s="187"/>
      <c r="Q144" s="188"/>
    </row>
    <row r="145" spans="3:17" s="160" customFormat="1" x14ac:dyDescent="0.25">
      <c r="C145" s="186"/>
      <c r="E145" s="186"/>
      <c r="F145" s="186"/>
      <c r="G145" s="186"/>
      <c r="H145" s="186"/>
      <c r="J145" s="186"/>
      <c r="K145" s="186"/>
      <c r="L145" s="187"/>
      <c r="M145" s="187"/>
      <c r="N145" s="187"/>
      <c r="O145" s="187"/>
      <c r="P145" s="187"/>
      <c r="Q145" s="188"/>
    </row>
    <row r="146" spans="3:17" s="160" customFormat="1" x14ac:dyDescent="0.25">
      <c r="C146" s="186"/>
      <c r="E146" s="186"/>
      <c r="F146" s="186"/>
      <c r="G146" s="186"/>
      <c r="H146" s="186"/>
      <c r="J146" s="186"/>
      <c r="K146" s="186"/>
      <c r="L146" s="187"/>
      <c r="M146" s="187"/>
      <c r="N146" s="187"/>
      <c r="O146" s="187"/>
      <c r="P146" s="187"/>
      <c r="Q146" s="188"/>
    </row>
    <row r="147" spans="3:17" s="160" customFormat="1" x14ac:dyDescent="0.25">
      <c r="C147" s="186"/>
      <c r="E147" s="186"/>
      <c r="F147" s="186"/>
      <c r="G147" s="186"/>
      <c r="H147" s="186"/>
      <c r="J147" s="186"/>
      <c r="K147" s="186"/>
      <c r="L147" s="187"/>
      <c r="M147" s="187"/>
      <c r="N147" s="187"/>
      <c r="O147" s="187"/>
      <c r="P147" s="187"/>
      <c r="Q147" s="188"/>
    </row>
    <row r="148" spans="3:17" s="160" customFormat="1" x14ac:dyDescent="0.25">
      <c r="C148" s="186"/>
      <c r="E148" s="186"/>
      <c r="F148" s="186"/>
      <c r="G148" s="186"/>
      <c r="H148" s="186"/>
      <c r="J148" s="186"/>
      <c r="K148" s="186"/>
      <c r="L148" s="187"/>
      <c r="M148" s="187"/>
      <c r="N148" s="187"/>
      <c r="O148" s="187"/>
      <c r="P148" s="187"/>
      <c r="Q148" s="188"/>
    </row>
    <row r="149" spans="3:17" s="160" customFormat="1" x14ac:dyDescent="0.25">
      <c r="C149" s="186"/>
      <c r="E149" s="186"/>
      <c r="F149" s="186"/>
      <c r="G149" s="186"/>
      <c r="H149" s="186"/>
      <c r="J149" s="186"/>
      <c r="K149" s="186"/>
      <c r="L149" s="187"/>
      <c r="M149" s="187"/>
      <c r="N149" s="187"/>
      <c r="O149" s="187"/>
      <c r="P149" s="187"/>
      <c r="Q149" s="188"/>
    </row>
    <row r="150" spans="3:17" s="160" customFormat="1" x14ac:dyDescent="0.25">
      <c r="C150" s="186"/>
      <c r="E150" s="186"/>
      <c r="F150" s="186"/>
      <c r="G150" s="186"/>
      <c r="H150" s="186"/>
      <c r="J150" s="186"/>
      <c r="K150" s="186"/>
      <c r="L150" s="187"/>
      <c r="M150" s="187"/>
      <c r="N150" s="187"/>
      <c r="O150" s="187"/>
      <c r="P150" s="187"/>
      <c r="Q150" s="188"/>
    </row>
    <row r="151" spans="3:17" s="160" customFormat="1" x14ac:dyDescent="0.25">
      <c r="C151" s="186"/>
      <c r="E151" s="186"/>
      <c r="F151" s="186"/>
      <c r="G151" s="186"/>
      <c r="H151" s="186"/>
      <c r="J151" s="186"/>
      <c r="K151" s="186"/>
      <c r="L151" s="187"/>
      <c r="M151" s="187"/>
      <c r="N151" s="187"/>
      <c r="O151" s="187"/>
      <c r="P151" s="187"/>
      <c r="Q151" s="188"/>
    </row>
    <row r="152" spans="3:17" s="160" customFormat="1" x14ac:dyDescent="0.25">
      <c r="C152" s="186"/>
      <c r="E152" s="186"/>
      <c r="F152" s="186"/>
      <c r="G152" s="186"/>
      <c r="H152" s="186"/>
      <c r="J152" s="186"/>
      <c r="K152" s="186"/>
      <c r="L152" s="187"/>
      <c r="M152" s="187"/>
      <c r="N152" s="187"/>
      <c r="O152" s="187"/>
      <c r="P152" s="187"/>
      <c r="Q152" s="188"/>
    </row>
    <row r="153" spans="3:17" s="160" customFormat="1" x14ac:dyDescent="0.25">
      <c r="C153" s="186"/>
      <c r="E153" s="186"/>
      <c r="F153" s="186"/>
      <c r="G153" s="186"/>
      <c r="H153" s="186"/>
      <c r="J153" s="186"/>
      <c r="K153" s="186"/>
      <c r="L153" s="187"/>
      <c r="M153" s="187"/>
      <c r="N153" s="187"/>
      <c r="O153" s="187"/>
      <c r="P153" s="187"/>
      <c r="Q153" s="188"/>
    </row>
    <row r="154" spans="3:17" s="160" customFormat="1" x14ac:dyDescent="0.25">
      <c r="C154" s="186"/>
      <c r="E154" s="186"/>
      <c r="F154" s="186"/>
      <c r="G154" s="186"/>
      <c r="H154" s="186"/>
      <c r="J154" s="186"/>
      <c r="K154" s="186"/>
      <c r="L154" s="187"/>
      <c r="M154" s="187"/>
      <c r="N154" s="187"/>
      <c r="O154" s="187"/>
      <c r="P154" s="187"/>
      <c r="Q154" s="188"/>
    </row>
    <row r="155" spans="3:17" s="160" customFormat="1" x14ac:dyDescent="0.25">
      <c r="C155" s="186"/>
      <c r="E155" s="186"/>
      <c r="F155" s="186"/>
      <c r="G155" s="186"/>
      <c r="H155" s="186"/>
      <c r="J155" s="186"/>
      <c r="K155" s="186"/>
      <c r="L155" s="187"/>
      <c r="M155" s="187"/>
      <c r="N155" s="187"/>
      <c r="O155" s="187"/>
      <c r="P155" s="187"/>
      <c r="Q155" s="188"/>
    </row>
    <row r="156" spans="3:17" s="160" customFormat="1" x14ac:dyDescent="0.25">
      <c r="C156" s="186"/>
      <c r="E156" s="186"/>
      <c r="F156" s="186"/>
      <c r="G156" s="186"/>
      <c r="H156" s="186"/>
      <c r="J156" s="186"/>
      <c r="K156" s="186"/>
      <c r="L156" s="187"/>
      <c r="M156" s="187"/>
      <c r="N156" s="187"/>
      <c r="O156" s="187"/>
      <c r="P156" s="187"/>
      <c r="Q156" s="188"/>
    </row>
    <row r="157" spans="3:17" s="160" customFormat="1" x14ac:dyDescent="0.25">
      <c r="C157" s="186"/>
      <c r="E157" s="186"/>
      <c r="F157" s="186"/>
      <c r="G157" s="186"/>
      <c r="H157" s="186"/>
      <c r="J157" s="186"/>
      <c r="K157" s="186"/>
      <c r="L157" s="187"/>
      <c r="M157" s="187"/>
      <c r="N157" s="187"/>
      <c r="O157" s="187"/>
      <c r="P157" s="187"/>
      <c r="Q157" s="188"/>
    </row>
    <row r="158" spans="3:17" s="160" customFormat="1" x14ac:dyDescent="0.25">
      <c r="C158" s="186"/>
      <c r="E158" s="186"/>
      <c r="F158" s="186"/>
      <c r="G158" s="186"/>
      <c r="H158" s="186"/>
      <c r="J158" s="186"/>
      <c r="K158" s="186"/>
      <c r="L158" s="187"/>
      <c r="M158" s="187"/>
      <c r="N158" s="187"/>
      <c r="O158" s="187"/>
      <c r="P158" s="187"/>
      <c r="Q158" s="188"/>
    </row>
    <row r="159" spans="3:17" s="160" customFormat="1" x14ac:dyDescent="0.25">
      <c r="C159" s="186"/>
      <c r="E159" s="186"/>
      <c r="F159" s="186"/>
      <c r="G159" s="186"/>
      <c r="H159" s="186"/>
      <c r="J159" s="186"/>
      <c r="K159" s="186"/>
      <c r="L159" s="187"/>
      <c r="M159" s="187"/>
      <c r="N159" s="187"/>
      <c r="O159" s="187"/>
      <c r="P159" s="187"/>
      <c r="Q159" s="188"/>
    </row>
    <row r="160" spans="3:17" s="160" customFormat="1" x14ac:dyDescent="0.25">
      <c r="C160" s="186"/>
      <c r="E160" s="186"/>
      <c r="F160" s="186"/>
      <c r="G160" s="186"/>
      <c r="H160" s="186"/>
      <c r="J160" s="186"/>
      <c r="K160" s="186"/>
      <c r="L160" s="187"/>
      <c r="M160" s="187"/>
      <c r="N160" s="187"/>
      <c r="O160" s="187"/>
      <c r="P160" s="187"/>
      <c r="Q160" s="188"/>
    </row>
    <row r="161" spans="3:17" s="160" customFormat="1" x14ac:dyDescent="0.25">
      <c r="C161" s="186"/>
      <c r="E161" s="186"/>
      <c r="F161" s="186"/>
      <c r="G161" s="186"/>
      <c r="H161" s="186"/>
      <c r="J161" s="186"/>
      <c r="K161" s="186"/>
      <c r="L161" s="187"/>
      <c r="M161" s="187"/>
      <c r="N161" s="187"/>
      <c r="O161" s="187"/>
      <c r="P161" s="187"/>
      <c r="Q161" s="188"/>
    </row>
    <row r="162" spans="3:17" s="160" customFormat="1" x14ac:dyDescent="0.25">
      <c r="C162" s="186"/>
      <c r="E162" s="186"/>
      <c r="F162" s="186"/>
      <c r="G162" s="186"/>
      <c r="H162" s="186"/>
      <c r="J162" s="186"/>
      <c r="K162" s="186"/>
      <c r="L162" s="187"/>
      <c r="M162" s="187"/>
      <c r="N162" s="187"/>
      <c r="O162" s="187"/>
      <c r="P162" s="187"/>
      <c r="Q162" s="188"/>
    </row>
    <row r="163" spans="3:17" s="160" customFormat="1" x14ac:dyDescent="0.25">
      <c r="C163" s="186"/>
      <c r="E163" s="186"/>
      <c r="F163" s="186"/>
      <c r="G163" s="186"/>
      <c r="H163" s="186"/>
      <c r="J163" s="186"/>
      <c r="K163" s="186"/>
      <c r="L163" s="187"/>
      <c r="M163" s="187"/>
      <c r="N163" s="187"/>
      <c r="O163" s="187"/>
      <c r="P163" s="187"/>
      <c r="Q163" s="188"/>
    </row>
    <row r="164" spans="3:17" s="160" customFormat="1" x14ac:dyDescent="0.25">
      <c r="C164" s="186"/>
      <c r="E164" s="186"/>
      <c r="F164" s="186"/>
      <c r="G164" s="186"/>
      <c r="H164" s="186"/>
      <c r="J164" s="186"/>
      <c r="K164" s="186"/>
      <c r="L164" s="187"/>
      <c r="M164" s="187"/>
      <c r="N164" s="187"/>
      <c r="O164" s="187"/>
      <c r="P164" s="187"/>
      <c r="Q164" s="188"/>
    </row>
    <row r="165" spans="3:17" s="160" customFormat="1" x14ac:dyDescent="0.25">
      <c r="C165" s="186"/>
      <c r="E165" s="186"/>
      <c r="F165" s="186"/>
      <c r="G165" s="186"/>
      <c r="H165" s="186"/>
      <c r="J165" s="186"/>
      <c r="K165" s="186"/>
      <c r="L165" s="187"/>
      <c r="M165" s="187"/>
      <c r="N165" s="187"/>
      <c r="O165" s="187"/>
      <c r="P165" s="187"/>
      <c r="Q165" s="188"/>
    </row>
    <row r="166" spans="3:17" s="160" customFormat="1" x14ac:dyDescent="0.25">
      <c r="C166" s="186"/>
      <c r="E166" s="186"/>
      <c r="F166" s="186"/>
      <c r="G166" s="186"/>
      <c r="H166" s="186"/>
      <c r="J166" s="186"/>
      <c r="K166" s="186"/>
      <c r="L166" s="187"/>
      <c r="M166" s="187"/>
      <c r="N166" s="187"/>
      <c r="O166" s="187"/>
      <c r="P166" s="187"/>
      <c r="Q166" s="188"/>
    </row>
    <row r="167" spans="3:17" s="160" customFormat="1" x14ac:dyDescent="0.25">
      <c r="C167" s="186"/>
      <c r="E167" s="186"/>
      <c r="F167" s="186"/>
      <c r="G167" s="186"/>
      <c r="H167" s="186"/>
      <c r="J167" s="186"/>
      <c r="K167" s="186"/>
      <c r="L167" s="187"/>
      <c r="M167" s="187"/>
      <c r="N167" s="187"/>
      <c r="O167" s="187"/>
      <c r="P167" s="187"/>
      <c r="Q167" s="188"/>
    </row>
    <row r="168" spans="3:17" s="160" customFormat="1" x14ac:dyDescent="0.25">
      <c r="C168" s="186"/>
      <c r="E168" s="186"/>
      <c r="F168" s="186"/>
      <c r="G168" s="186"/>
      <c r="H168" s="186"/>
      <c r="J168" s="186"/>
      <c r="K168" s="186"/>
      <c r="L168" s="187"/>
      <c r="M168" s="187"/>
      <c r="N168" s="187"/>
      <c r="O168" s="187"/>
      <c r="P168" s="187"/>
      <c r="Q168" s="188"/>
    </row>
    <row r="169" spans="3:17" s="160" customFormat="1" x14ac:dyDescent="0.25">
      <c r="C169" s="186"/>
      <c r="E169" s="186"/>
      <c r="F169" s="186"/>
      <c r="G169" s="186"/>
      <c r="H169" s="186"/>
      <c r="J169" s="186"/>
      <c r="K169" s="186"/>
      <c r="L169" s="187"/>
      <c r="M169" s="187"/>
      <c r="N169" s="187"/>
      <c r="O169" s="187"/>
      <c r="P169" s="187"/>
      <c r="Q169" s="188"/>
    </row>
    <row r="170" spans="3:17" s="160" customFormat="1" x14ac:dyDescent="0.25">
      <c r="C170" s="186"/>
      <c r="E170" s="186"/>
      <c r="F170" s="186"/>
      <c r="G170" s="186"/>
      <c r="H170" s="186"/>
      <c r="J170" s="186"/>
      <c r="K170" s="186"/>
      <c r="L170" s="187"/>
      <c r="M170" s="187"/>
      <c r="N170" s="187"/>
      <c r="O170" s="187"/>
      <c r="P170" s="187"/>
      <c r="Q170" s="188"/>
    </row>
    <row r="171" spans="3:17" s="160" customFormat="1" x14ac:dyDescent="0.25">
      <c r="C171" s="186"/>
      <c r="E171" s="186"/>
      <c r="F171" s="186"/>
      <c r="G171" s="186"/>
      <c r="H171" s="186"/>
      <c r="J171" s="186"/>
      <c r="K171" s="186"/>
      <c r="L171" s="187"/>
      <c r="M171" s="187"/>
      <c r="N171" s="187"/>
      <c r="O171" s="187"/>
      <c r="P171" s="187"/>
      <c r="Q171" s="188"/>
    </row>
    <row r="172" spans="3:17" s="160" customFormat="1" x14ac:dyDescent="0.25">
      <c r="C172" s="186"/>
      <c r="E172" s="186"/>
      <c r="F172" s="186"/>
      <c r="G172" s="186"/>
      <c r="H172" s="186"/>
      <c r="J172" s="186"/>
      <c r="K172" s="186"/>
      <c r="L172" s="187"/>
      <c r="M172" s="187"/>
      <c r="N172" s="187"/>
      <c r="O172" s="187"/>
      <c r="P172" s="187"/>
      <c r="Q172" s="188"/>
    </row>
    <row r="173" spans="3:17" s="160" customFormat="1" x14ac:dyDescent="0.25">
      <c r="C173" s="186"/>
      <c r="E173" s="186"/>
      <c r="F173" s="186"/>
      <c r="G173" s="186"/>
      <c r="H173" s="186"/>
      <c r="J173" s="186"/>
      <c r="K173" s="186"/>
      <c r="L173" s="187"/>
      <c r="M173" s="187"/>
      <c r="N173" s="187"/>
      <c r="O173" s="187"/>
      <c r="P173" s="187"/>
      <c r="Q173" s="188"/>
    </row>
    <row r="174" spans="3:17" s="160" customFormat="1" x14ac:dyDescent="0.25">
      <c r="C174" s="186"/>
      <c r="E174" s="186"/>
      <c r="F174" s="186"/>
      <c r="G174" s="186"/>
      <c r="H174" s="186"/>
      <c r="J174" s="186"/>
      <c r="K174" s="186"/>
      <c r="L174" s="187"/>
      <c r="M174" s="187"/>
      <c r="N174" s="187"/>
      <c r="O174" s="187"/>
      <c r="P174" s="187"/>
      <c r="Q174" s="188"/>
    </row>
    <row r="175" spans="3:17" s="160" customFormat="1" x14ac:dyDescent="0.25">
      <c r="C175" s="186"/>
      <c r="E175" s="186"/>
      <c r="F175" s="186"/>
      <c r="G175" s="186"/>
      <c r="H175" s="186"/>
      <c r="J175" s="186"/>
      <c r="K175" s="186"/>
      <c r="L175" s="187"/>
      <c r="M175" s="187"/>
      <c r="N175" s="187"/>
      <c r="O175" s="187"/>
      <c r="P175" s="187"/>
      <c r="Q175" s="188"/>
    </row>
    <row r="176" spans="3:17" s="160" customFormat="1" x14ac:dyDescent="0.25">
      <c r="C176" s="186"/>
      <c r="E176" s="186"/>
      <c r="F176" s="186"/>
      <c r="G176" s="186"/>
      <c r="H176" s="186"/>
      <c r="J176" s="186"/>
      <c r="K176" s="186"/>
      <c r="L176" s="187"/>
      <c r="M176" s="187"/>
      <c r="N176" s="187"/>
      <c r="O176" s="187"/>
      <c r="P176" s="187"/>
      <c r="Q176" s="188"/>
    </row>
    <row r="177" spans="3:17" s="160" customFormat="1" x14ac:dyDescent="0.25">
      <c r="C177" s="186"/>
      <c r="E177" s="186"/>
      <c r="F177" s="186"/>
      <c r="G177" s="186"/>
      <c r="H177" s="186"/>
      <c r="J177" s="186"/>
      <c r="K177" s="186"/>
      <c r="L177" s="187"/>
      <c r="M177" s="187"/>
      <c r="N177" s="187"/>
      <c r="O177" s="187"/>
      <c r="P177" s="187"/>
      <c r="Q177" s="188"/>
    </row>
    <row r="178" spans="3:17" s="160" customFormat="1" x14ac:dyDescent="0.25">
      <c r="C178" s="186"/>
      <c r="E178" s="186"/>
      <c r="F178" s="186"/>
      <c r="G178" s="186"/>
      <c r="H178" s="186"/>
      <c r="J178" s="186"/>
      <c r="K178" s="186"/>
      <c r="L178" s="187"/>
      <c r="M178" s="187"/>
      <c r="N178" s="187"/>
      <c r="O178" s="187"/>
      <c r="P178" s="187"/>
      <c r="Q178" s="188"/>
    </row>
    <row r="179" spans="3:17" s="160" customFormat="1" x14ac:dyDescent="0.25">
      <c r="C179" s="186"/>
      <c r="E179" s="186"/>
      <c r="F179" s="186"/>
      <c r="G179" s="186"/>
      <c r="H179" s="186"/>
      <c r="J179" s="186"/>
      <c r="K179" s="186"/>
      <c r="L179" s="187"/>
      <c r="M179" s="187"/>
      <c r="N179" s="187"/>
      <c r="O179" s="187"/>
      <c r="P179" s="187"/>
      <c r="Q179" s="188"/>
    </row>
    <row r="180" spans="3:17" s="160" customFormat="1" x14ac:dyDescent="0.25">
      <c r="C180" s="186"/>
      <c r="E180" s="186"/>
      <c r="F180" s="186"/>
      <c r="G180" s="186"/>
      <c r="H180" s="186"/>
      <c r="J180" s="186"/>
      <c r="K180" s="186"/>
      <c r="L180" s="187"/>
      <c r="M180" s="187"/>
      <c r="N180" s="187"/>
      <c r="O180" s="187"/>
      <c r="P180" s="187"/>
      <c r="Q180" s="188"/>
    </row>
    <row r="181" spans="3:17" s="160" customFormat="1" x14ac:dyDescent="0.25">
      <c r="C181" s="186"/>
      <c r="E181" s="186"/>
      <c r="F181" s="186"/>
      <c r="G181" s="186"/>
      <c r="H181" s="186"/>
      <c r="J181" s="186"/>
      <c r="K181" s="186"/>
      <c r="L181" s="187"/>
      <c r="M181" s="187"/>
      <c r="N181" s="187"/>
      <c r="O181" s="187"/>
      <c r="P181" s="187"/>
      <c r="Q181" s="188"/>
    </row>
    <row r="182" spans="3:17" s="160" customFormat="1" x14ac:dyDescent="0.25">
      <c r="C182" s="186"/>
      <c r="E182" s="186"/>
      <c r="F182" s="186"/>
      <c r="G182" s="186"/>
      <c r="H182" s="186"/>
      <c r="J182" s="186"/>
      <c r="K182" s="186"/>
      <c r="L182" s="187"/>
      <c r="M182" s="187"/>
      <c r="N182" s="187"/>
      <c r="O182" s="187"/>
      <c r="P182" s="187"/>
      <c r="Q182" s="188"/>
    </row>
    <row r="183" spans="3:17" s="160" customFormat="1" x14ac:dyDescent="0.25">
      <c r="C183" s="186"/>
      <c r="E183" s="186"/>
      <c r="F183" s="186"/>
      <c r="G183" s="186"/>
      <c r="H183" s="186"/>
      <c r="J183" s="186"/>
      <c r="K183" s="186"/>
      <c r="L183" s="187"/>
      <c r="M183" s="187"/>
      <c r="N183" s="187"/>
      <c r="O183" s="187"/>
      <c r="P183" s="187"/>
      <c r="Q183" s="188"/>
    </row>
    <row r="184" spans="3:17" s="160" customFormat="1" x14ac:dyDescent="0.25">
      <c r="C184" s="186"/>
      <c r="E184" s="186"/>
      <c r="F184" s="186"/>
      <c r="G184" s="186"/>
      <c r="H184" s="186"/>
      <c r="J184" s="186"/>
      <c r="K184" s="186"/>
      <c r="L184" s="187"/>
      <c r="M184" s="187"/>
      <c r="N184" s="187"/>
      <c r="O184" s="187"/>
      <c r="P184" s="187"/>
      <c r="Q184" s="188"/>
    </row>
    <row r="185" spans="3:17" s="160" customFormat="1" x14ac:dyDescent="0.25">
      <c r="C185" s="186"/>
      <c r="E185" s="186"/>
      <c r="F185" s="186"/>
      <c r="G185" s="186"/>
      <c r="H185" s="186"/>
      <c r="J185" s="186"/>
      <c r="K185" s="186"/>
      <c r="L185" s="187"/>
      <c r="M185" s="187"/>
      <c r="N185" s="187"/>
      <c r="O185" s="187"/>
      <c r="P185" s="187"/>
      <c r="Q185" s="188"/>
    </row>
    <row r="186" spans="3:17" s="160" customFormat="1" x14ac:dyDescent="0.25">
      <c r="C186" s="186"/>
      <c r="E186" s="186"/>
      <c r="F186" s="186"/>
      <c r="G186" s="186"/>
      <c r="H186" s="186"/>
      <c r="J186" s="186"/>
      <c r="K186" s="186"/>
      <c r="L186" s="187"/>
      <c r="M186" s="187"/>
      <c r="N186" s="187"/>
      <c r="O186" s="187"/>
      <c r="P186" s="187"/>
      <c r="Q186" s="188"/>
    </row>
    <row r="187" spans="3:17" s="160" customFormat="1" x14ac:dyDescent="0.25">
      <c r="C187" s="186"/>
      <c r="E187" s="186"/>
      <c r="F187" s="186"/>
      <c r="G187" s="186"/>
      <c r="H187" s="186"/>
      <c r="J187" s="186"/>
      <c r="K187" s="186"/>
      <c r="L187" s="187"/>
      <c r="M187" s="187"/>
      <c r="N187" s="187"/>
      <c r="O187" s="187"/>
      <c r="P187" s="187"/>
      <c r="Q187" s="188"/>
    </row>
    <row r="188" spans="3:17" s="160" customFormat="1" x14ac:dyDescent="0.25">
      <c r="C188" s="186"/>
      <c r="E188" s="186"/>
      <c r="F188" s="186"/>
      <c r="G188" s="186"/>
      <c r="H188" s="186"/>
      <c r="J188" s="186"/>
      <c r="K188" s="186"/>
      <c r="L188" s="187"/>
      <c r="M188" s="187"/>
      <c r="N188" s="187"/>
      <c r="O188" s="187"/>
      <c r="P188" s="187"/>
      <c r="Q188" s="188"/>
    </row>
    <row r="189" spans="3:17" s="160" customFormat="1" x14ac:dyDescent="0.25">
      <c r="C189" s="186"/>
      <c r="E189" s="186"/>
      <c r="F189" s="186"/>
      <c r="G189" s="186"/>
      <c r="H189" s="186"/>
      <c r="J189" s="186"/>
      <c r="K189" s="186"/>
      <c r="L189" s="187"/>
      <c r="M189" s="187"/>
      <c r="N189" s="187"/>
      <c r="O189" s="187"/>
      <c r="P189" s="187"/>
      <c r="Q189" s="188"/>
    </row>
    <row r="190" spans="3:17" s="160" customFormat="1" x14ac:dyDescent="0.25">
      <c r="C190" s="186"/>
      <c r="E190" s="186"/>
      <c r="F190" s="186"/>
      <c r="G190" s="186"/>
      <c r="H190" s="186"/>
      <c r="J190" s="186"/>
      <c r="K190" s="186"/>
      <c r="L190" s="187"/>
      <c r="M190" s="187"/>
      <c r="N190" s="187"/>
      <c r="O190" s="187"/>
      <c r="P190" s="187"/>
      <c r="Q190" s="188"/>
    </row>
    <row r="191" spans="3:17" s="160" customFormat="1" x14ac:dyDescent="0.25">
      <c r="C191" s="186"/>
      <c r="E191" s="186"/>
      <c r="F191" s="186"/>
      <c r="G191" s="186"/>
      <c r="H191" s="186"/>
      <c r="J191" s="186"/>
      <c r="K191" s="186"/>
      <c r="L191" s="187"/>
      <c r="M191" s="187"/>
      <c r="N191" s="187"/>
      <c r="O191" s="187"/>
      <c r="P191" s="187"/>
      <c r="Q191" s="188"/>
    </row>
    <row r="192" spans="3:17" s="160" customFormat="1" x14ac:dyDescent="0.25">
      <c r="C192" s="186"/>
      <c r="E192" s="186"/>
      <c r="F192" s="186"/>
      <c r="G192" s="186"/>
      <c r="H192" s="186"/>
      <c r="J192" s="186"/>
      <c r="K192" s="186"/>
      <c r="L192" s="187"/>
      <c r="M192" s="187"/>
      <c r="N192" s="187"/>
      <c r="O192" s="187"/>
      <c r="P192" s="187"/>
      <c r="Q192" s="188"/>
    </row>
    <row r="193" spans="3:17" s="160" customFormat="1" x14ac:dyDescent="0.25">
      <c r="C193" s="186"/>
      <c r="E193" s="186"/>
      <c r="F193" s="186"/>
      <c r="G193" s="186"/>
      <c r="H193" s="186"/>
      <c r="J193" s="186"/>
      <c r="K193" s="186"/>
      <c r="L193" s="187"/>
      <c r="M193" s="187"/>
      <c r="N193" s="187"/>
      <c r="O193" s="187"/>
      <c r="P193" s="187"/>
      <c r="Q193" s="188"/>
    </row>
    <row r="194" spans="3:17" s="160" customFormat="1" x14ac:dyDescent="0.25">
      <c r="C194" s="186"/>
      <c r="E194" s="186"/>
      <c r="F194" s="186"/>
      <c r="G194" s="186"/>
      <c r="H194" s="186"/>
      <c r="J194" s="186"/>
      <c r="K194" s="186"/>
      <c r="L194" s="187"/>
      <c r="M194" s="187"/>
      <c r="N194" s="187"/>
      <c r="O194" s="187"/>
      <c r="P194" s="187"/>
      <c r="Q194" s="188"/>
    </row>
    <row r="195" spans="3:17" s="160" customFormat="1" x14ac:dyDescent="0.25">
      <c r="C195" s="186"/>
      <c r="E195" s="186"/>
      <c r="F195" s="186"/>
      <c r="G195" s="186"/>
      <c r="H195" s="186"/>
      <c r="J195" s="186"/>
      <c r="K195" s="186"/>
      <c r="L195" s="187"/>
      <c r="M195" s="187"/>
      <c r="N195" s="187"/>
      <c r="O195" s="187"/>
      <c r="P195" s="187"/>
      <c r="Q195" s="188"/>
    </row>
    <row r="196" spans="3:17" s="160" customFormat="1" x14ac:dyDescent="0.25">
      <c r="C196" s="186"/>
      <c r="E196" s="186"/>
      <c r="F196" s="186"/>
      <c r="G196" s="186"/>
      <c r="H196" s="186"/>
      <c r="J196" s="186"/>
      <c r="K196" s="186"/>
      <c r="L196" s="187"/>
      <c r="M196" s="187"/>
      <c r="N196" s="187"/>
      <c r="O196" s="187"/>
      <c r="P196" s="187"/>
      <c r="Q196" s="188"/>
    </row>
    <row r="197" spans="3:17" s="160" customFormat="1" x14ac:dyDescent="0.25">
      <c r="C197" s="186"/>
      <c r="E197" s="186"/>
      <c r="F197" s="186"/>
      <c r="G197" s="186"/>
      <c r="H197" s="186"/>
      <c r="J197" s="186"/>
      <c r="K197" s="186"/>
      <c r="L197" s="187"/>
      <c r="M197" s="187"/>
      <c r="N197" s="187"/>
      <c r="O197" s="187"/>
      <c r="P197" s="187"/>
      <c r="Q197" s="188"/>
    </row>
    <row r="198" spans="3:17" s="160" customFormat="1" x14ac:dyDescent="0.25">
      <c r="C198" s="186"/>
      <c r="E198" s="186"/>
      <c r="F198" s="186"/>
      <c r="G198" s="186"/>
      <c r="H198" s="186"/>
      <c r="J198" s="186"/>
      <c r="K198" s="186"/>
      <c r="L198" s="187"/>
      <c r="M198" s="187"/>
      <c r="N198" s="187"/>
      <c r="O198" s="187"/>
      <c r="P198" s="187"/>
      <c r="Q198" s="188"/>
    </row>
    <row r="199" spans="3:17" s="160" customFormat="1" x14ac:dyDescent="0.25">
      <c r="C199" s="186"/>
      <c r="E199" s="186"/>
      <c r="F199" s="186"/>
      <c r="G199" s="186"/>
      <c r="H199" s="186"/>
      <c r="J199" s="186"/>
      <c r="K199" s="186"/>
      <c r="L199" s="187"/>
      <c r="M199" s="187"/>
      <c r="N199" s="187"/>
      <c r="O199" s="187"/>
      <c r="P199" s="187"/>
      <c r="Q199" s="188"/>
    </row>
    <row r="200" spans="3:17" s="160" customFormat="1" x14ac:dyDescent="0.25">
      <c r="C200" s="186"/>
      <c r="E200" s="186"/>
      <c r="F200" s="186"/>
      <c r="G200" s="186"/>
      <c r="H200" s="186"/>
      <c r="J200" s="186"/>
      <c r="K200" s="186"/>
      <c r="L200" s="187"/>
      <c r="M200" s="187"/>
      <c r="N200" s="187"/>
      <c r="O200" s="187"/>
      <c r="P200" s="187"/>
      <c r="Q200" s="188"/>
    </row>
    <row r="201" spans="3:17" s="160" customFormat="1" x14ac:dyDescent="0.25">
      <c r="C201" s="186"/>
      <c r="E201" s="186"/>
      <c r="F201" s="186"/>
      <c r="G201" s="186"/>
      <c r="H201" s="186"/>
      <c r="J201" s="186"/>
      <c r="K201" s="186"/>
      <c r="L201" s="187"/>
      <c r="M201" s="187"/>
      <c r="N201" s="187"/>
      <c r="O201" s="187"/>
      <c r="P201" s="187"/>
      <c r="Q201" s="188"/>
    </row>
    <row r="202" spans="3:17" s="160" customFormat="1" x14ac:dyDescent="0.25">
      <c r="C202" s="186"/>
      <c r="E202" s="186"/>
      <c r="F202" s="186"/>
      <c r="G202" s="186"/>
      <c r="H202" s="186"/>
      <c r="J202" s="186"/>
      <c r="K202" s="186"/>
      <c r="L202" s="187"/>
      <c r="M202" s="187"/>
      <c r="N202" s="187"/>
      <c r="O202" s="187"/>
      <c r="P202" s="187"/>
      <c r="Q202" s="188"/>
    </row>
    <row r="203" spans="3:17" s="160" customFormat="1" x14ac:dyDescent="0.25">
      <c r="C203" s="186"/>
      <c r="E203" s="186"/>
      <c r="F203" s="186"/>
      <c r="G203" s="186"/>
      <c r="H203" s="186"/>
      <c r="J203" s="186"/>
      <c r="K203" s="186"/>
      <c r="L203" s="187"/>
      <c r="M203" s="187"/>
      <c r="N203" s="187"/>
      <c r="O203" s="187"/>
      <c r="P203" s="187"/>
      <c r="Q203" s="188"/>
    </row>
    <row r="204" spans="3:17" s="160" customFormat="1" x14ac:dyDescent="0.25">
      <c r="C204" s="186"/>
      <c r="E204" s="186"/>
      <c r="F204" s="186"/>
      <c r="G204" s="186"/>
      <c r="H204" s="186"/>
      <c r="J204" s="186"/>
      <c r="K204" s="186"/>
      <c r="L204" s="187"/>
      <c r="M204" s="187"/>
      <c r="N204" s="187"/>
      <c r="O204" s="187"/>
      <c r="P204" s="187"/>
      <c r="Q204" s="188"/>
    </row>
    <row r="205" spans="3:17" s="160" customFormat="1" x14ac:dyDescent="0.25">
      <c r="C205" s="186"/>
      <c r="E205" s="186"/>
      <c r="F205" s="186"/>
      <c r="G205" s="186"/>
      <c r="H205" s="186"/>
      <c r="J205" s="186"/>
      <c r="K205" s="186"/>
      <c r="L205" s="187"/>
      <c r="M205" s="187"/>
      <c r="N205" s="187"/>
      <c r="O205" s="187"/>
      <c r="P205" s="187"/>
      <c r="Q205" s="188"/>
    </row>
    <row r="206" spans="3:17" s="160" customFormat="1" x14ac:dyDescent="0.25">
      <c r="C206" s="186"/>
      <c r="E206" s="186"/>
      <c r="F206" s="186"/>
      <c r="G206" s="186"/>
      <c r="H206" s="186"/>
      <c r="J206" s="186"/>
      <c r="K206" s="186"/>
      <c r="L206" s="187"/>
      <c r="M206" s="187"/>
      <c r="N206" s="187"/>
      <c r="O206" s="187"/>
      <c r="P206" s="187"/>
      <c r="Q206" s="188"/>
    </row>
    <row r="207" spans="3:17" s="160" customFormat="1" x14ac:dyDescent="0.25">
      <c r="C207" s="186"/>
      <c r="E207" s="186"/>
      <c r="F207" s="186"/>
      <c r="G207" s="186"/>
      <c r="H207" s="186"/>
      <c r="J207" s="186"/>
      <c r="K207" s="186"/>
      <c r="L207" s="187"/>
      <c r="M207" s="187"/>
      <c r="N207" s="187"/>
      <c r="O207" s="187"/>
      <c r="P207" s="187"/>
      <c r="Q207" s="188"/>
    </row>
    <row r="208" spans="3:17" s="160" customFormat="1" x14ac:dyDescent="0.25">
      <c r="C208" s="186"/>
      <c r="E208" s="186"/>
      <c r="F208" s="186"/>
      <c r="G208" s="186"/>
      <c r="H208" s="186"/>
      <c r="J208" s="186"/>
      <c r="K208" s="186"/>
      <c r="L208" s="187"/>
      <c r="M208" s="187"/>
      <c r="N208" s="187"/>
      <c r="O208" s="187"/>
      <c r="P208" s="187"/>
      <c r="Q208" s="188"/>
    </row>
    <row r="209" spans="3:17" s="160" customFormat="1" x14ac:dyDescent="0.25">
      <c r="C209" s="186"/>
      <c r="E209" s="186"/>
      <c r="F209" s="186"/>
      <c r="G209" s="186"/>
      <c r="H209" s="186"/>
      <c r="J209" s="186"/>
      <c r="K209" s="186"/>
      <c r="L209" s="187"/>
      <c r="M209" s="187"/>
      <c r="N209" s="187"/>
      <c r="O209" s="187"/>
      <c r="P209" s="187"/>
      <c r="Q209" s="188"/>
    </row>
    <row r="210" spans="3:17" s="160" customFormat="1" x14ac:dyDescent="0.25">
      <c r="C210" s="186"/>
      <c r="E210" s="186"/>
      <c r="F210" s="186"/>
      <c r="G210" s="186"/>
      <c r="H210" s="186"/>
      <c r="J210" s="186"/>
      <c r="K210" s="186"/>
      <c r="L210" s="187"/>
      <c r="M210" s="187"/>
      <c r="N210" s="187"/>
      <c r="O210" s="187"/>
      <c r="P210" s="187"/>
      <c r="Q210" s="188"/>
    </row>
    <row r="211" spans="3:17" s="160" customFormat="1" x14ac:dyDescent="0.25">
      <c r="C211" s="186"/>
      <c r="E211" s="186"/>
      <c r="F211" s="186"/>
      <c r="G211" s="186"/>
      <c r="H211" s="186"/>
      <c r="J211" s="186"/>
      <c r="K211" s="186"/>
      <c r="L211" s="187"/>
      <c r="M211" s="187"/>
      <c r="N211" s="187"/>
      <c r="O211" s="187"/>
      <c r="P211" s="187"/>
      <c r="Q211" s="188"/>
    </row>
    <row r="212" spans="3:17" s="160" customFormat="1" x14ac:dyDescent="0.25">
      <c r="C212" s="186"/>
      <c r="E212" s="186"/>
      <c r="F212" s="186"/>
      <c r="G212" s="186"/>
      <c r="H212" s="186"/>
      <c r="J212" s="186"/>
      <c r="K212" s="186"/>
      <c r="L212" s="187"/>
      <c r="M212" s="187"/>
      <c r="N212" s="187"/>
      <c r="O212" s="187"/>
      <c r="P212" s="187"/>
      <c r="Q212" s="188"/>
    </row>
    <row r="213" spans="3:17" s="160" customFormat="1" x14ac:dyDescent="0.25">
      <c r="C213" s="186"/>
      <c r="E213" s="186"/>
      <c r="F213" s="186"/>
      <c r="G213" s="186"/>
      <c r="H213" s="186"/>
      <c r="J213" s="186"/>
      <c r="K213" s="186"/>
      <c r="L213" s="187"/>
      <c r="M213" s="187"/>
      <c r="N213" s="187"/>
      <c r="O213" s="187"/>
      <c r="P213" s="187"/>
      <c r="Q213" s="188"/>
    </row>
    <row r="214" spans="3:17" s="160" customFormat="1" x14ac:dyDescent="0.25">
      <c r="C214" s="186"/>
      <c r="E214" s="186"/>
      <c r="F214" s="186"/>
      <c r="G214" s="186"/>
      <c r="H214" s="186"/>
      <c r="J214" s="186"/>
      <c r="K214" s="186"/>
      <c r="L214" s="187"/>
      <c r="M214" s="187"/>
      <c r="N214" s="187"/>
      <c r="O214" s="187"/>
      <c r="P214" s="187"/>
      <c r="Q214" s="188"/>
    </row>
    <row r="215" spans="3:17" s="160" customFormat="1" x14ac:dyDescent="0.25">
      <c r="C215" s="186"/>
      <c r="E215" s="186"/>
      <c r="F215" s="186"/>
      <c r="G215" s="186"/>
      <c r="H215" s="186"/>
      <c r="J215" s="186"/>
      <c r="K215" s="186"/>
      <c r="L215" s="187"/>
      <c r="M215" s="187"/>
      <c r="N215" s="187"/>
      <c r="O215" s="187"/>
      <c r="P215" s="187"/>
      <c r="Q215" s="188"/>
    </row>
    <row r="216" spans="3:17" s="160" customFormat="1" x14ac:dyDescent="0.25">
      <c r="C216" s="186"/>
      <c r="E216" s="186"/>
      <c r="F216" s="186"/>
      <c r="G216" s="186"/>
      <c r="H216" s="186"/>
      <c r="J216" s="186"/>
      <c r="K216" s="186"/>
      <c r="L216" s="187"/>
      <c r="M216" s="187"/>
      <c r="N216" s="187"/>
      <c r="O216" s="187"/>
      <c r="P216" s="187"/>
      <c r="Q216" s="188"/>
    </row>
    <row r="217" spans="3:17" s="160" customFormat="1" x14ac:dyDescent="0.25">
      <c r="C217" s="186"/>
      <c r="E217" s="186"/>
      <c r="F217" s="186"/>
      <c r="G217" s="186"/>
      <c r="H217" s="186"/>
      <c r="J217" s="186"/>
      <c r="K217" s="186"/>
      <c r="L217" s="187"/>
      <c r="M217" s="187"/>
      <c r="N217" s="187"/>
      <c r="O217" s="187"/>
      <c r="P217" s="187"/>
      <c r="Q217" s="188"/>
    </row>
    <row r="218" spans="3:17" s="160" customFormat="1" x14ac:dyDescent="0.25">
      <c r="C218" s="186"/>
      <c r="E218" s="186"/>
      <c r="F218" s="186"/>
      <c r="G218" s="186"/>
      <c r="H218" s="186"/>
      <c r="J218" s="186"/>
      <c r="K218" s="186"/>
      <c r="L218" s="187"/>
      <c r="M218" s="187"/>
      <c r="N218" s="187"/>
      <c r="O218" s="187"/>
      <c r="P218" s="187"/>
      <c r="Q218" s="188"/>
    </row>
    <row r="219" spans="3:17" s="160" customFormat="1" x14ac:dyDescent="0.25">
      <c r="C219" s="186"/>
      <c r="E219" s="186"/>
      <c r="F219" s="186"/>
      <c r="G219" s="186"/>
      <c r="H219" s="186"/>
      <c r="J219" s="186"/>
      <c r="K219" s="186"/>
      <c r="L219" s="187"/>
      <c r="M219" s="187"/>
      <c r="N219" s="187"/>
      <c r="O219" s="187"/>
      <c r="P219" s="187"/>
      <c r="Q219" s="188"/>
    </row>
    <row r="220" spans="3:17" s="160" customFormat="1" x14ac:dyDescent="0.25">
      <c r="C220" s="186"/>
      <c r="E220" s="186"/>
      <c r="F220" s="186"/>
      <c r="G220" s="186"/>
      <c r="H220" s="186"/>
      <c r="J220" s="186"/>
      <c r="K220" s="186"/>
      <c r="L220" s="187"/>
      <c r="M220" s="187"/>
      <c r="N220" s="187"/>
      <c r="O220" s="187"/>
      <c r="P220" s="187"/>
      <c r="Q220" s="188"/>
    </row>
    <row r="221" spans="3:17" s="160" customFormat="1" x14ac:dyDescent="0.25">
      <c r="C221" s="186"/>
      <c r="E221" s="186"/>
      <c r="F221" s="186"/>
      <c r="G221" s="186"/>
      <c r="H221" s="186"/>
      <c r="J221" s="186"/>
      <c r="K221" s="186"/>
      <c r="L221" s="187"/>
      <c r="M221" s="187"/>
      <c r="N221" s="187"/>
      <c r="O221" s="187"/>
      <c r="P221" s="187"/>
      <c r="Q221" s="188"/>
    </row>
    <row r="222" spans="3:17" s="160" customFormat="1" x14ac:dyDescent="0.25">
      <c r="C222" s="186"/>
      <c r="E222" s="186"/>
      <c r="F222" s="186"/>
      <c r="G222" s="186"/>
      <c r="H222" s="186"/>
      <c r="J222" s="186"/>
      <c r="K222" s="186"/>
      <c r="L222" s="187"/>
      <c r="M222" s="187"/>
      <c r="N222" s="187"/>
      <c r="O222" s="187"/>
      <c r="P222" s="187"/>
      <c r="Q222" s="188"/>
    </row>
    <row r="223" spans="3:17" s="160" customFormat="1" x14ac:dyDescent="0.25">
      <c r="C223" s="186"/>
      <c r="E223" s="186"/>
      <c r="F223" s="186"/>
      <c r="G223" s="186"/>
      <c r="H223" s="186"/>
      <c r="J223" s="186"/>
      <c r="K223" s="186"/>
      <c r="L223" s="187"/>
      <c r="M223" s="187"/>
      <c r="N223" s="187"/>
      <c r="O223" s="187"/>
      <c r="P223" s="187"/>
      <c r="Q223" s="188"/>
    </row>
    <row r="224" spans="3:17" s="160" customFormat="1" x14ac:dyDescent="0.25">
      <c r="C224" s="186"/>
      <c r="E224" s="186"/>
      <c r="F224" s="186"/>
      <c r="G224" s="186"/>
      <c r="H224" s="186"/>
      <c r="J224" s="186"/>
      <c r="K224" s="186"/>
      <c r="L224" s="187"/>
      <c r="M224" s="187"/>
      <c r="N224" s="187"/>
      <c r="O224" s="187"/>
      <c r="P224" s="187"/>
      <c r="Q224" s="188"/>
    </row>
    <row r="225" spans="3:17" s="160" customFormat="1" x14ac:dyDescent="0.25">
      <c r="C225" s="186"/>
      <c r="E225" s="186"/>
      <c r="F225" s="186"/>
      <c r="G225" s="186"/>
      <c r="H225" s="186"/>
      <c r="J225" s="186"/>
      <c r="K225" s="186"/>
      <c r="L225" s="187"/>
      <c r="M225" s="187"/>
      <c r="N225" s="187"/>
      <c r="O225" s="187"/>
      <c r="P225" s="187"/>
      <c r="Q225" s="188"/>
    </row>
    <row r="226" spans="3:17" s="160" customFormat="1" x14ac:dyDescent="0.25">
      <c r="C226" s="186"/>
      <c r="E226" s="186"/>
      <c r="F226" s="186"/>
      <c r="G226" s="186"/>
      <c r="H226" s="186"/>
      <c r="J226" s="186"/>
      <c r="K226" s="186"/>
      <c r="L226" s="187"/>
      <c r="M226" s="187"/>
      <c r="N226" s="187"/>
      <c r="O226" s="187"/>
      <c r="P226" s="187"/>
      <c r="Q226" s="188"/>
    </row>
    <row r="227" spans="3:17" s="160" customFormat="1" x14ac:dyDescent="0.25">
      <c r="C227" s="186"/>
      <c r="E227" s="186"/>
      <c r="F227" s="186"/>
      <c r="G227" s="186"/>
      <c r="H227" s="186"/>
      <c r="J227" s="186"/>
      <c r="K227" s="186"/>
      <c r="L227" s="187"/>
      <c r="M227" s="187"/>
      <c r="N227" s="187"/>
      <c r="O227" s="187"/>
      <c r="P227" s="187"/>
      <c r="Q227" s="188"/>
    </row>
    <row r="228" spans="3:17" s="160" customFormat="1" x14ac:dyDescent="0.25">
      <c r="C228" s="186"/>
      <c r="E228" s="186"/>
      <c r="F228" s="186"/>
      <c r="G228" s="186"/>
      <c r="H228" s="186"/>
      <c r="J228" s="186"/>
      <c r="K228" s="186"/>
      <c r="L228" s="187"/>
      <c r="M228" s="187"/>
      <c r="N228" s="187"/>
      <c r="O228" s="187"/>
      <c r="P228" s="187"/>
      <c r="Q228" s="188"/>
    </row>
    <row r="229" spans="3:17" s="160" customFormat="1" x14ac:dyDescent="0.25">
      <c r="C229" s="186"/>
      <c r="E229" s="186"/>
      <c r="F229" s="186"/>
      <c r="G229" s="186"/>
      <c r="H229" s="186"/>
      <c r="J229" s="186"/>
      <c r="K229" s="186"/>
      <c r="L229" s="187"/>
      <c r="M229" s="187"/>
      <c r="N229" s="187"/>
      <c r="O229" s="187"/>
      <c r="P229" s="187"/>
      <c r="Q229" s="188"/>
    </row>
    <row r="230" spans="3:17" s="160" customFormat="1" x14ac:dyDescent="0.25">
      <c r="C230" s="186"/>
      <c r="E230" s="186"/>
      <c r="F230" s="186"/>
      <c r="G230" s="186"/>
      <c r="H230" s="186"/>
      <c r="J230" s="186"/>
      <c r="K230" s="186"/>
      <c r="L230" s="187"/>
      <c r="M230" s="187"/>
      <c r="N230" s="187"/>
      <c r="O230" s="187"/>
      <c r="P230" s="187"/>
      <c r="Q230" s="188"/>
    </row>
    <row r="231" spans="3:17" s="160" customFormat="1" x14ac:dyDescent="0.25">
      <c r="C231" s="186"/>
      <c r="E231" s="186"/>
      <c r="F231" s="186"/>
      <c r="G231" s="186"/>
      <c r="H231" s="186"/>
      <c r="J231" s="186"/>
      <c r="K231" s="186"/>
      <c r="L231" s="187"/>
      <c r="M231" s="187"/>
      <c r="N231" s="187"/>
      <c r="O231" s="187"/>
      <c r="P231" s="187"/>
      <c r="Q231" s="188"/>
    </row>
    <row r="232" spans="3:17" s="160" customFormat="1" x14ac:dyDescent="0.25">
      <c r="C232" s="186"/>
      <c r="E232" s="186"/>
      <c r="F232" s="186"/>
      <c r="G232" s="186"/>
      <c r="H232" s="186"/>
      <c r="J232" s="186"/>
      <c r="K232" s="186"/>
      <c r="L232" s="187"/>
      <c r="M232" s="187"/>
      <c r="N232" s="187"/>
      <c r="O232" s="187"/>
      <c r="P232" s="187"/>
      <c r="Q232" s="188"/>
    </row>
    <row r="233" spans="3:17" s="160" customFormat="1" x14ac:dyDescent="0.25">
      <c r="C233" s="186"/>
      <c r="E233" s="186"/>
      <c r="F233" s="186"/>
      <c r="G233" s="186"/>
      <c r="H233" s="186"/>
      <c r="J233" s="186"/>
      <c r="K233" s="186"/>
      <c r="L233" s="187"/>
      <c r="M233" s="187"/>
      <c r="N233" s="187"/>
      <c r="O233" s="187"/>
      <c r="P233" s="187"/>
      <c r="Q233" s="188"/>
    </row>
    <row r="234" spans="3:17" s="160" customFormat="1" x14ac:dyDescent="0.25">
      <c r="C234" s="186"/>
      <c r="E234" s="186"/>
      <c r="F234" s="186"/>
      <c r="G234" s="186"/>
      <c r="H234" s="186"/>
      <c r="J234" s="186"/>
      <c r="K234" s="186"/>
      <c r="L234" s="187"/>
      <c r="M234" s="187"/>
      <c r="N234" s="187"/>
      <c r="O234" s="187"/>
      <c r="P234" s="187"/>
      <c r="Q234" s="188"/>
    </row>
    <row r="235" spans="3:17" s="160" customFormat="1" x14ac:dyDescent="0.25">
      <c r="C235" s="186"/>
      <c r="E235" s="186"/>
      <c r="F235" s="186"/>
      <c r="G235" s="186"/>
      <c r="H235" s="186"/>
      <c r="J235" s="186"/>
      <c r="K235" s="186"/>
      <c r="L235" s="187"/>
      <c r="M235" s="187"/>
      <c r="N235" s="187"/>
      <c r="O235" s="187"/>
      <c r="P235" s="187"/>
      <c r="Q235" s="188"/>
    </row>
    <row r="236" spans="3:17" s="160" customFormat="1" x14ac:dyDescent="0.25">
      <c r="C236" s="186"/>
      <c r="E236" s="186"/>
      <c r="F236" s="186"/>
      <c r="G236" s="186"/>
      <c r="H236" s="186"/>
      <c r="J236" s="186"/>
      <c r="K236" s="186"/>
      <c r="L236" s="187"/>
      <c r="M236" s="187"/>
      <c r="N236" s="187"/>
      <c r="O236" s="187"/>
      <c r="P236" s="187"/>
      <c r="Q236" s="188"/>
    </row>
    <row r="237" spans="3:17" s="160" customFormat="1" x14ac:dyDescent="0.25">
      <c r="C237" s="186"/>
      <c r="E237" s="186"/>
      <c r="F237" s="186"/>
      <c r="G237" s="186"/>
      <c r="H237" s="186"/>
      <c r="J237" s="186"/>
      <c r="K237" s="186"/>
      <c r="L237" s="187"/>
      <c r="M237" s="187"/>
      <c r="N237" s="187"/>
      <c r="O237" s="187"/>
      <c r="P237" s="187"/>
      <c r="Q237" s="188"/>
    </row>
    <row r="238" spans="3:17" s="160" customFormat="1" x14ac:dyDescent="0.25">
      <c r="C238" s="186"/>
      <c r="E238" s="186"/>
      <c r="F238" s="186"/>
      <c r="G238" s="186"/>
      <c r="H238" s="186"/>
      <c r="J238" s="186"/>
      <c r="K238" s="186"/>
      <c r="L238" s="187"/>
      <c r="M238" s="187"/>
      <c r="N238" s="187"/>
      <c r="O238" s="187"/>
      <c r="P238" s="187"/>
      <c r="Q238" s="188"/>
    </row>
    <row r="239" spans="3:17" s="160" customFormat="1" x14ac:dyDescent="0.25">
      <c r="C239" s="186"/>
      <c r="E239" s="186"/>
      <c r="F239" s="186"/>
      <c r="G239" s="186"/>
      <c r="H239" s="186"/>
      <c r="J239" s="186"/>
      <c r="K239" s="186"/>
      <c r="L239" s="187"/>
      <c r="M239" s="187"/>
      <c r="N239" s="187"/>
      <c r="O239" s="187"/>
      <c r="P239" s="187"/>
      <c r="Q239" s="188"/>
    </row>
    <row r="240" spans="3:17" s="160" customFormat="1" x14ac:dyDescent="0.25">
      <c r="C240" s="186"/>
      <c r="E240" s="186"/>
      <c r="F240" s="186"/>
      <c r="G240" s="186"/>
      <c r="H240" s="186"/>
      <c r="J240" s="186"/>
      <c r="K240" s="186"/>
      <c r="L240" s="187"/>
      <c r="M240" s="187"/>
      <c r="N240" s="187"/>
      <c r="O240" s="187"/>
      <c r="P240" s="187"/>
      <c r="Q240" s="188"/>
    </row>
    <row r="241" spans="3:17" s="160" customFormat="1" x14ac:dyDescent="0.25">
      <c r="C241" s="186"/>
      <c r="E241" s="186"/>
      <c r="F241" s="186"/>
      <c r="G241" s="186"/>
      <c r="H241" s="186"/>
      <c r="J241" s="186"/>
      <c r="K241" s="186"/>
      <c r="L241" s="187"/>
      <c r="M241" s="187"/>
      <c r="N241" s="187"/>
      <c r="O241" s="187"/>
      <c r="P241" s="187"/>
      <c r="Q241" s="188"/>
    </row>
    <row r="242" spans="3:17" s="160" customFormat="1" x14ac:dyDescent="0.25">
      <c r="C242" s="186"/>
      <c r="E242" s="186"/>
      <c r="F242" s="186"/>
      <c r="G242" s="186"/>
      <c r="H242" s="186"/>
      <c r="J242" s="186"/>
      <c r="K242" s="186"/>
      <c r="L242" s="187"/>
      <c r="M242" s="187"/>
      <c r="N242" s="187"/>
      <c r="O242" s="187"/>
      <c r="P242" s="187"/>
      <c r="Q242" s="188"/>
    </row>
    <row r="243" spans="3:17" s="160" customFormat="1" x14ac:dyDescent="0.25">
      <c r="C243" s="186"/>
      <c r="E243" s="186"/>
      <c r="F243" s="186"/>
      <c r="G243" s="186"/>
      <c r="H243" s="186"/>
      <c r="J243" s="186"/>
      <c r="K243" s="186"/>
      <c r="L243" s="187"/>
      <c r="M243" s="187"/>
      <c r="N243" s="187"/>
      <c r="O243" s="187"/>
      <c r="P243" s="187"/>
      <c r="Q243" s="188"/>
    </row>
    <row r="244" spans="3:17" s="160" customFormat="1" x14ac:dyDescent="0.25">
      <c r="C244" s="186"/>
      <c r="E244" s="186"/>
      <c r="F244" s="186"/>
      <c r="G244" s="186"/>
      <c r="H244" s="186"/>
      <c r="J244" s="186"/>
      <c r="K244" s="186"/>
      <c r="L244" s="187"/>
      <c r="M244" s="187"/>
      <c r="N244" s="187"/>
      <c r="O244" s="187"/>
      <c r="P244" s="187"/>
      <c r="Q244" s="188"/>
    </row>
    <row r="245" spans="3:17" s="160" customFormat="1" x14ac:dyDescent="0.25">
      <c r="C245" s="186"/>
      <c r="E245" s="186"/>
      <c r="F245" s="186"/>
      <c r="G245" s="186"/>
      <c r="H245" s="186"/>
      <c r="J245" s="186"/>
      <c r="K245" s="186"/>
      <c r="L245" s="187"/>
      <c r="M245" s="187"/>
      <c r="N245" s="187"/>
      <c r="O245" s="187"/>
      <c r="P245" s="187"/>
      <c r="Q245" s="188"/>
    </row>
    <row r="246" spans="3:17" s="160" customFormat="1" x14ac:dyDescent="0.25">
      <c r="C246" s="186"/>
      <c r="E246" s="186"/>
      <c r="F246" s="186"/>
      <c r="G246" s="186"/>
      <c r="H246" s="186"/>
      <c r="J246" s="186"/>
      <c r="K246" s="186"/>
      <c r="L246" s="187"/>
      <c r="M246" s="187"/>
      <c r="N246" s="187"/>
      <c r="O246" s="187"/>
      <c r="P246" s="187"/>
      <c r="Q246" s="188"/>
    </row>
    <row r="247" spans="3:17" s="160" customFormat="1" x14ac:dyDescent="0.25">
      <c r="C247" s="186"/>
      <c r="E247" s="186"/>
      <c r="F247" s="186"/>
      <c r="G247" s="186"/>
      <c r="H247" s="186"/>
      <c r="J247" s="186"/>
      <c r="K247" s="186"/>
      <c r="L247" s="187"/>
      <c r="M247" s="187"/>
      <c r="N247" s="187"/>
      <c r="O247" s="187"/>
      <c r="P247" s="187"/>
      <c r="Q247" s="188"/>
    </row>
    <row r="248" spans="3:17" s="160" customFormat="1" x14ac:dyDescent="0.25">
      <c r="C248" s="186"/>
      <c r="E248" s="186"/>
      <c r="F248" s="186"/>
      <c r="G248" s="186"/>
      <c r="H248" s="186"/>
      <c r="J248" s="186"/>
      <c r="K248" s="186"/>
      <c r="L248" s="187"/>
      <c r="M248" s="187"/>
      <c r="N248" s="187"/>
      <c r="O248" s="187"/>
      <c r="P248" s="187"/>
      <c r="Q248" s="188"/>
    </row>
    <row r="249" spans="3:17" s="160" customFormat="1" x14ac:dyDescent="0.25">
      <c r="C249" s="186"/>
      <c r="E249" s="186"/>
      <c r="F249" s="186"/>
      <c r="G249" s="186"/>
      <c r="H249" s="186"/>
      <c r="J249" s="186"/>
      <c r="K249" s="186"/>
      <c r="L249" s="187"/>
      <c r="M249" s="187"/>
      <c r="N249" s="187"/>
      <c r="O249" s="187"/>
      <c r="P249" s="187"/>
      <c r="Q249" s="188"/>
    </row>
    <row r="250" spans="3:17" s="160" customFormat="1" x14ac:dyDescent="0.25">
      <c r="C250" s="186"/>
      <c r="E250" s="186"/>
      <c r="F250" s="186"/>
      <c r="G250" s="186"/>
      <c r="H250" s="186"/>
      <c r="J250" s="186"/>
      <c r="K250" s="186"/>
      <c r="L250" s="187"/>
      <c r="M250" s="187"/>
      <c r="N250" s="187"/>
      <c r="O250" s="187"/>
      <c r="P250" s="187"/>
      <c r="Q250" s="188"/>
    </row>
    <row r="251" spans="3:17" s="160" customFormat="1" x14ac:dyDescent="0.25">
      <c r="C251" s="186"/>
      <c r="E251" s="186"/>
      <c r="F251" s="186"/>
      <c r="G251" s="186"/>
      <c r="H251" s="186"/>
      <c r="J251" s="186"/>
      <c r="K251" s="186"/>
      <c r="L251" s="187"/>
      <c r="M251" s="187"/>
      <c r="N251" s="187"/>
      <c r="O251" s="187"/>
      <c r="P251" s="187"/>
      <c r="Q251" s="188"/>
    </row>
    <row r="252" spans="3:17" s="160" customFormat="1" x14ac:dyDescent="0.25">
      <c r="C252" s="186"/>
      <c r="E252" s="186"/>
      <c r="F252" s="186"/>
      <c r="G252" s="186"/>
      <c r="H252" s="186"/>
      <c r="J252" s="186"/>
      <c r="K252" s="186"/>
      <c r="L252" s="187"/>
      <c r="M252" s="187"/>
      <c r="N252" s="187"/>
      <c r="O252" s="187"/>
      <c r="P252" s="187"/>
      <c r="Q252" s="188"/>
    </row>
    <row r="253" spans="3:17" s="160" customFormat="1" x14ac:dyDescent="0.25">
      <c r="C253" s="186"/>
      <c r="E253" s="186"/>
      <c r="F253" s="186"/>
      <c r="G253" s="186"/>
      <c r="H253" s="186"/>
      <c r="J253" s="186"/>
      <c r="K253" s="186"/>
      <c r="L253" s="187"/>
      <c r="M253" s="187"/>
      <c r="N253" s="187"/>
      <c r="O253" s="187"/>
      <c r="P253" s="187"/>
      <c r="Q253" s="188"/>
    </row>
    <row r="254" spans="3:17" s="160" customFormat="1" x14ac:dyDescent="0.25">
      <c r="C254" s="186"/>
      <c r="E254" s="186"/>
      <c r="F254" s="186"/>
      <c r="G254" s="186"/>
      <c r="H254" s="186"/>
      <c r="J254" s="186"/>
      <c r="K254" s="186"/>
      <c r="L254" s="187"/>
      <c r="M254" s="187"/>
      <c r="N254" s="187"/>
      <c r="O254" s="187"/>
      <c r="P254" s="187"/>
      <c r="Q254" s="188"/>
    </row>
    <row r="255" spans="3:17" s="160" customFormat="1" x14ac:dyDescent="0.25">
      <c r="C255" s="186"/>
      <c r="E255" s="186"/>
      <c r="F255" s="186"/>
      <c r="G255" s="186"/>
      <c r="H255" s="186"/>
      <c r="J255" s="186"/>
      <c r="K255" s="186"/>
      <c r="L255" s="187"/>
      <c r="M255" s="187"/>
      <c r="N255" s="187"/>
      <c r="O255" s="187"/>
      <c r="P255" s="187"/>
      <c r="Q255" s="188"/>
    </row>
    <row r="256" spans="3:17" s="160" customFormat="1" x14ac:dyDescent="0.25">
      <c r="C256" s="186"/>
      <c r="E256" s="186"/>
      <c r="F256" s="186"/>
      <c r="G256" s="186"/>
      <c r="H256" s="186"/>
      <c r="J256" s="186"/>
      <c r="K256" s="186"/>
      <c r="L256" s="187"/>
      <c r="M256" s="187"/>
      <c r="N256" s="187"/>
      <c r="O256" s="187"/>
      <c r="P256" s="187"/>
      <c r="Q256" s="188"/>
    </row>
    <row r="257" spans="3:17" s="160" customFormat="1" x14ac:dyDescent="0.25">
      <c r="C257" s="186"/>
      <c r="E257" s="186"/>
      <c r="F257" s="186"/>
      <c r="G257" s="186"/>
      <c r="H257" s="186"/>
      <c r="J257" s="186"/>
      <c r="K257" s="186"/>
      <c r="L257" s="187"/>
      <c r="M257" s="187"/>
      <c r="N257" s="187"/>
      <c r="O257" s="187"/>
      <c r="P257" s="187"/>
      <c r="Q257" s="188"/>
    </row>
    <row r="258" spans="3:17" s="160" customFormat="1" x14ac:dyDescent="0.25">
      <c r="C258" s="186"/>
      <c r="E258" s="186"/>
      <c r="F258" s="186"/>
      <c r="G258" s="186"/>
      <c r="H258" s="186"/>
      <c r="J258" s="186"/>
      <c r="K258" s="186"/>
      <c r="L258" s="187"/>
      <c r="M258" s="187"/>
      <c r="N258" s="187"/>
      <c r="O258" s="187"/>
      <c r="P258" s="187"/>
      <c r="Q258" s="188"/>
    </row>
    <row r="259" spans="3:17" s="160" customFormat="1" x14ac:dyDescent="0.25">
      <c r="C259" s="186"/>
      <c r="E259" s="186"/>
      <c r="F259" s="186"/>
      <c r="G259" s="186"/>
      <c r="H259" s="186"/>
      <c r="J259" s="186"/>
      <c r="K259" s="186"/>
      <c r="L259" s="187"/>
      <c r="M259" s="187"/>
      <c r="N259" s="187"/>
      <c r="O259" s="187"/>
      <c r="P259" s="187"/>
      <c r="Q259" s="188"/>
    </row>
    <row r="260" spans="3:17" s="160" customFormat="1" x14ac:dyDescent="0.25">
      <c r="C260" s="186"/>
      <c r="E260" s="186"/>
      <c r="F260" s="186"/>
      <c r="G260" s="186"/>
      <c r="H260" s="186"/>
      <c r="J260" s="186"/>
      <c r="K260" s="186"/>
      <c r="L260" s="187"/>
      <c r="M260" s="187"/>
      <c r="N260" s="187"/>
      <c r="O260" s="187"/>
      <c r="P260" s="187"/>
      <c r="Q260" s="188"/>
    </row>
    <row r="261" spans="3:17" s="160" customFormat="1" x14ac:dyDescent="0.25">
      <c r="C261" s="186"/>
      <c r="E261" s="186"/>
      <c r="F261" s="186"/>
      <c r="G261" s="186"/>
      <c r="H261" s="186"/>
      <c r="J261" s="186"/>
      <c r="K261" s="186"/>
      <c r="L261" s="187"/>
      <c r="M261" s="187"/>
      <c r="N261" s="187"/>
      <c r="O261" s="187"/>
      <c r="P261" s="187"/>
      <c r="Q261" s="188"/>
    </row>
    <row r="262" spans="3:17" s="160" customFormat="1" x14ac:dyDescent="0.25">
      <c r="C262" s="186"/>
      <c r="E262" s="186"/>
      <c r="F262" s="186"/>
      <c r="G262" s="186"/>
      <c r="H262" s="186"/>
      <c r="J262" s="186"/>
      <c r="K262" s="186"/>
      <c r="L262" s="187"/>
      <c r="M262" s="187"/>
      <c r="N262" s="187"/>
      <c r="O262" s="187"/>
      <c r="P262" s="187"/>
      <c r="Q262" s="188"/>
    </row>
    <row r="263" spans="3:17" s="160" customFormat="1" x14ac:dyDescent="0.25">
      <c r="C263" s="186"/>
      <c r="E263" s="186"/>
      <c r="F263" s="186"/>
      <c r="G263" s="186"/>
      <c r="H263" s="186"/>
      <c r="J263" s="186"/>
      <c r="K263" s="186"/>
      <c r="L263" s="187"/>
      <c r="M263" s="187"/>
      <c r="N263" s="187"/>
      <c r="O263" s="187"/>
      <c r="P263" s="187"/>
      <c r="Q263" s="188"/>
    </row>
    <row r="264" spans="3:17" s="160" customFormat="1" x14ac:dyDescent="0.25">
      <c r="C264" s="186"/>
      <c r="E264" s="186"/>
      <c r="F264" s="186"/>
      <c r="G264" s="186"/>
      <c r="H264" s="186"/>
      <c r="J264" s="186"/>
      <c r="K264" s="186"/>
      <c r="L264" s="187"/>
      <c r="M264" s="187"/>
      <c r="N264" s="187"/>
      <c r="O264" s="187"/>
      <c r="P264" s="187"/>
      <c r="Q264" s="188"/>
    </row>
    <row r="265" spans="3:17" s="160" customFormat="1" x14ac:dyDescent="0.25">
      <c r="C265" s="186"/>
      <c r="E265" s="186"/>
      <c r="F265" s="186"/>
      <c r="G265" s="186"/>
      <c r="H265" s="186"/>
      <c r="J265" s="186"/>
      <c r="K265" s="186"/>
      <c r="L265" s="187"/>
      <c r="M265" s="187"/>
      <c r="N265" s="187"/>
      <c r="O265" s="187"/>
      <c r="P265" s="187"/>
      <c r="Q265" s="188"/>
    </row>
    <row r="266" spans="3:17" s="160" customFormat="1" x14ac:dyDescent="0.25">
      <c r="C266" s="186"/>
      <c r="E266" s="186"/>
      <c r="F266" s="186"/>
      <c r="G266" s="186"/>
      <c r="H266" s="186"/>
      <c r="J266" s="186"/>
      <c r="K266" s="186"/>
      <c r="L266" s="187"/>
      <c r="M266" s="187"/>
      <c r="N266" s="187"/>
      <c r="O266" s="187"/>
      <c r="P266" s="187"/>
      <c r="Q266" s="188"/>
    </row>
    <row r="267" spans="3:17" s="160" customFormat="1" x14ac:dyDescent="0.25">
      <c r="C267" s="186"/>
      <c r="E267" s="186"/>
      <c r="F267" s="186"/>
      <c r="G267" s="186"/>
      <c r="H267" s="186"/>
      <c r="J267" s="186"/>
      <c r="K267" s="186"/>
      <c r="L267" s="187"/>
      <c r="M267" s="187"/>
      <c r="N267" s="187"/>
      <c r="O267" s="187"/>
      <c r="P267" s="187"/>
      <c r="Q267" s="188"/>
    </row>
    <row r="268" spans="3:17" s="160" customFormat="1" x14ac:dyDescent="0.25">
      <c r="C268" s="186"/>
      <c r="E268" s="186"/>
      <c r="F268" s="186"/>
      <c r="G268" s="186"/>
      <c r="H268" s="186"/>
      <c r="J268" s="186"/>
      <c r="K268" s="186"/>
      <c r="L268" s="187"/>
      <c r="M268" s="187"/>
      <c r="N268" s="187"/>
      <c r="O268" s="187"/>
      <c r="P268" s="187"/>
      <c r="Q268" s="188"/>
    </row>
    <row r="269" spans="3:17" s="160" customFormat="1" x14ac:dyDescent="0.25">
      <c r="C269" s="186"/>
      <c r="E269" s="186"/>
      <c r="F269" s="186"/>
      <c r="G269" s="186"/>
      <c r="H269" s="186"/>
      <c r="J269" s="186"/>
      <c r="K269" s="186"/>
      <c r="L269" s="187"/>
      <c r="M269" s="187"/>
      <c r="N269" s="187"/>
      <c r="O269" s="187"/>
      <c r="P269" s="187"/>
      <c r="Q269" s="188"/>
    </row>
    <row r="270" spans="3:17" s="160" customFormat="1" x14ac:dyDescent="0.25">
      <c r="C270" s="186"/>
      <c r="E270" s="186"/>
      <c r="F270" s="186"/>
      <c r="G270" s="186"/>
      <c r="H270" s="186"/>
      <c r="J270" s="186"/>
      <c r="K270" s="186"/>
      <c r="L270" s="187"/>
      <c r="M270" s="187"/>
      <c r="N270" s="187"/>
      <c r="O270" s="187"/>
      <c r="P270" s="187"/>
      <c r="Q270" s="188"/>
    </row>
    <row r="271" spans="3:17" s="160" customFormat="1" x14ac:dyDescent="0.25">
      <c r="C271" s="186"/>
      <c r="E271" s="186"/>
      <c r="F271" s="186"/>
      <c r="G271" s="186"/>
      <c r="H271" s="186"/>
      <c r="J271" s="186"/>
      <c r="K271" s="186"/>
      <c r="L271" s="187"/>
      <c r="M271" s="187"/>
      <c r="N271" s="187"/>
      <c r="O271" s="187"/>
      <c r="P271" s="187"/>
      <c r="Q271" s="188"/>
    </row>
    <row r="272" spans="3:17" s="160" customFormat="1" x14ac:dyDescent="0.25">
      <c r="C272" s="186"/>
      <c r="E272" s="186"/>
      <c r="F272" s="186"/>
      <c r="G272" s="186"/>
      <c r="H272" s="186"/>
      <c r="J272" s="186"/>
      <c r="K272" s="186"/>
      <c r="L272" s="187"/>
      <c r="M272" s="187"/>
      <c r="N272" s="187"/>
      <c r="O272" s="187"/>
      <c r="P272" s="187"/>
      <c r="Q272" s="188"/>
    </row>
    <row r="273" spans="3:17" s="160" customFormat="1" x14ac:dyDescent="0.25">
      <c r="C273" s="186"/>
      <c r="E273" s="186"/>
      <c r="F273" s="186"/>
      <c r="G273" s="186"/>
      <c r="H273" s="186"/>
      <c r="J273" s="186"/>
      <c r="K273" s="186"/>
      <c r="L273" s="187"/>
      <c r="M273" s="187"/>
      <c r="N273" s="187"/>
      <c r="O273" s="187"/>
      <c r="P273" s="187"/>
      <c r="Q273" s="188"/>
    </row>
    <row r="274" spans="3:17" s="160" customFormat="1" x14ac:dyDescent="0.25">
      <c r="C274" s="186"/>
      <c r="E274" s="186"/>
      <c r="F274" s="186"/>
      <c r="G274" s="186"/>
      <c r="H274" s="186"/>
      <c r="J274" s="186"/>
      <c r="K274" s="186"/>
      <c r="L274" s="187"/>
      <c r="M274" s="187"/>
      <c r="N274" s="187"/>
      <c r="O274" s="187"/>
      <c r="P274" s="187"/>
      <c r="Q274" s="188"/>
    </row>
    <row r="275" spans="3:17" s="160" customFormat="1" x14ac:dyDescent="0.25">
      <c r="C275" s="186"/>
      <c r="E275" s="186"/>
      <c r="F275" s="186"/>
      <c r="G275" s="186"/>
      <c r="H275" s="186"/>
      <c r="J275" s="186"/>
      <c r="K275" s="186"/>
      <c r="L275" s="187"/>
      <c r="M275" s="187"/>
      <c r="N275" s="187"/>
      <c r="O275" s="187"/>
      <c r="P275" s="187"/>
      <c r="Q275" s="188"/>
    </row>
    <row r="276" spans="3:17" s="160" customFormat="1" x14ac:dyDescent="0.25">
      <c r="C276" s="186"/>
      <c r="E276" s="186"/>
      <c r="F276" s="186"/>
      <c r="G276" s="186"/>
      <c r="H276" s="186"/>
      <c r="J276" s="186"/>
      <c r="K276" s="186"/>
      <c r="L276" s="187"/>
      <c r="M276" s="187"/>
      <c r="N276" s="187"/>
      <c r="O276" s="187"/>
      <c r="P276" s="187"/>
      <c r="Q276" s="188"/>
    </row>
    <row r="277" spans="3:17" s="160" customFormat="1" x14ac:dyDescent="0.25">
      <c r="C277" s="186"/>
      <c r="E277" s="186"/>
      <c r="F277" s="186"/>
      <c r="G277" s="186"/>
      <c r="H277" s="186"/>
      <c r="J277" s="186"/>
      <c r="K277" s="186"/>
      <c r="L277" s="187"/>
      <c r="M277" s="187"/>
      <c r="N277" s="187"/>
      <c r="O277" s="187"/>
      <c r="P277" s="187"/>
      <c r="Q277" s="188"/>
    </row>
    <row r="278" spans="3:17" s="160" customFormat="1" x14ac:dyDescent="0.25">
      <c r="C278" s="186"/>
      <c r="E278" s="186"/>
      <c r="F278" s="186"/>
      <c r="G278" s="186"/>
      <c r="H278" s="186"/>
      <c r="J278" s="186"/>
      <c r="K278" s="186"/>
      <c r="L278" s="187"/>
      <c r="M278" s="187"/>
      <c r="N278" s="187"/>
      <c r="O278" s="187"/>
      <c r="P278" s="187"/>
      <c r="Q278" s="188"/>
    </row>
    <row r="279" spans="3:17" s="160" customFormat="1" x14ac:dyDescent="0.25">
      <c r="C279" s="186"/>
      <c r="E279" s="186"/>
      <c r="F279" s="186"/>
      <c r="G279" s="186"/>
      <c r="H279" s="186"/>
      <c r="J279" s="186"/>
      <c r="K279" s="186"/>
      <c r="L279" s="187"/>
      <c r="M279" s="187"/>
      <c r="N279" s="187"/>
      <c r="O279" s="187"/>
      <c r="P279" s="187"/>
      <c r="Q279" s="188"/>
    </row>
    <row r="280" spans="3:17" s="160" customFormat="1" x14ac:dyDescent="0.25">
      <c r="C280" s="186"/>
      <c r="E280" s="186"/>
      <c r="F280" s="186"/>
      <c r="G280" s="186"/>
      <c r="H280" s="186"/>
      <c r="J280" s="186"/>
      <c r="K280" s="186"/>
      <c r="L280" s="187"/>
      <c r="M280" s="187"/>
      <c r="N280" s="187"/>
      <c r="O280" s="187"/>
      <c r="P280" s="187"/>
      <c r="Q280" s="188"/>
    </row>
    <row r="281" spans="3:17" s="160" customFormat="1" x14ac:dyDescent="0.25">
      <c r="C281" s="186"/>
      <c r="E281" s="186"/>
      <c r="F281" s="186"/>
      <c r="G281" s="186"/>
      <c r="H281" s="186"/>
      <c r="J281" s="186"/>
      <c r="K281" s="186"/>
      <c r="L281" s="187"/>
      <c r="M281" s="187"/>
      <c r="N281" s="187"/>
      <c r="O281" s="187"/>
      <c r="P281" s="187"/>
      <c r="Q281" s="188"/>
    </row>
    <row r="282" spans="3:17" s="160" customFormat="1" x14ac:dyDescent="0.25">
      <c r="C282" s="186"/>
      <c r="E282" s="186"/>
      <c r="F282" s="186"/>
      <c r="G282" s="186"/>
      <c r="H282" s="186"/>
      <c r="J282" s="186"/>
      <c r="K282" s="186"/>
      <c r="L282" s="187"/>
      <c r="M282" s="187"/>
      <c r="N282" s="187"/>
      <c r="O282" s="187"/>
      <c r="P282" s="187"/>
      <c r="Q282" s="188"/>
    </row>
    <row r="283" spans="3:17" s="160" customFormat="1" x14ac:dyDescent="0.25">
      <c r="C283" s="186"/>
      <c r="E283" s="186"/>
      <c r="F283" s="186"/>
      <c r="G283" s="186"/>
      <c r="H283" s="186"/>
      <c r="J283" s="186"/>
      <c r="K283" s="186"/>
      <c r="L283" s="187"/>
      <c r="M283" s="187"/>
      <c r="N283" s="187"/>
      <c r="O283" s="187"/>
      <c r="P283" s="187"/>
      <c r="Q283" s="188"/>
    </row>
    <row r="284" spans="3:17" s="160" customFormat="1" x14ac:dyDescent="0.25">
      <c r="C284" s="186"/>
      <c r="E284" s="186"/>
      <c r="F284" s="186"/>
      <c r="G284" s="186"/>
      <c r="H284" s="186"/>
      <c r="J284" s="186"/>
      <c r="K284" s="186"/>
      <c r="L284" s="187"/>
      <c r="M284" s="187"/>
      <c r="N284" s="187"/>
      <c r="O284" s="187"/>
      <c r="P284" s="187"/>
      <c r="Q284" s="188"/>
    </row>
    <row r="285" spans="3:17" s="160" customFormat="1" x14ac:dyDescent="0.25">
      <c r="C285" s="186"/>
      <c r="E285" s="186"/>
      <c r="F285" s="186"/>
      <c r="G285" s="186"/>
      <c r="H285" s="186"/>
      <c r="J285" s="186"/>
      <c r="K285" s="186"/>
      <c r="L285" s="187"/>
      <c r="M285" s="187"/>
      <c r="N285" s="187"/>
      <c r="O285" s="187"/>
      <c r="P285" s="187"/>
      <c r="Q285" s="188"/>
    </row>
    <row r="286" spans="3:17" s="160" customFormat="1" x14ac:dyDescent="0.25">
      <c r="C286" s="186"/>
      <c r="E286" s="186"/>
      <c r="F286" s="186"/>
      <c r="G286" s="186"/>
      <c r="H286" s="186"/>
      <c r="J286" s="186"/>
      <c r="K286" s="186"/>
      <c r="L286" s="187"/>
      <c r="M286" s="187"/>
      <c r="N286" s="187"/>
      <c r="O286" s="187"/>
      <c r="P286" s="187"/>
      <c r="Q286" s="188"/>
    </row>
    <row r="287" spans="3:17" s="160" customFormat="1" x14ac:dyDescent="0.25">
      <c r="C287" s="186"/>
      <c r="E287" s="186"/>
      <c r="F287" s="186"/>
      <c r="G287" s="186"/>
      <c r="H287" s="186"/>
      <c r="J287" s="186"/>
      <c r="K287" s="186"/>
      <c r="L287" s="187"/>
      <c r="M287" s="187"/>
      <c r="N287" s="187"/>
      <c r="O287" s="187"/>
      <c r="P287" s="187"/>
      <c r="Q287" s="188"/>
    </row>
    <row r="288" spans="3:17" s="160" customFormat="1" x14ac:dyDescent="0.25">
      <c r="C288" s="186"/>
      <c r="E288" s="186"/>
      <c r="F288" s="186"/>
      <c r="G288" s="186"/>
      <c r="H288" s="186"/>
      <c r="J288" s="186"/>
      <c r="K288" s="186"/>
      <c r="L288" s="187"/>
      <c r="M288" s="187"/>
      <c r="N288" s="187"/>
      <c r="O288" s="187"/>
      <c r="P288" s="187"/>
      <c r="Q288" s="188"/>
    </row>
    <row r="289" spans="3:17" s="160" customFormat="1" x14ac:dyDescent="0.25">
      <c r="C289" s="186"/>
      <c r="E289" s="186"/>
      <c r="F289" s="186"/>
      <c r="G289" s="186"/>
      <c r="H289" s="186"/>
      <c r="J289" s="186"/>
      <c r="K289" s="186"/>
      <c r="L289" s="187"/>
      <c r="M289" s="187"/>
      <c r="N289" s="187"/>
      <c r="O289" s="187"/>
      <c r="P289" s="187"/>
      <c r="Q289" s="188"/>
    </row>
    <row r="290" spans="3:17" s="160" customFormat="1" x14ac:dyDescent="0.25">
      <c r="C290" s="186"/>
      <c r="E290" s="186"/>
      <c r="F290" s="186"/>
      <c r="G290" s="186"/>
      <c r="H290" s="186"/>
      <c r="J290" s="186"/>
      <c r="K290" s="186"/>
      <c r="L290" s="187"/>
      <c r="M290" s="187"/>
      <c r="N290" s="187"/>
      <c r="O290" s="187"/>
      <c r="P290" s="187"/>
      <c r="Q290" s="188"/>
    </row>
    <row r="291" spans="3:17" s="160" customFormat="1" x14ac:dyDescent="0.25">
      <c r="C291" s="186"/>
      <c r="E291" s="186"/>
      <c r="F291" s="186"/>
      <c r="G291" s="186"/>
      <c r="H291" s="186"/>
      <c r="J291" s="186"/>
      <c r="K291" s="186"/>
      <c r="L291" s="187"/>
      <c r="M291" s="187"/>
      <c r="N291" s="187"/>
      <c r="O291" s="187"/>
      <c r="P291" s="187"/>
      <c r="Q291" s="188"/>
    </row>
    <row r="292" spans="3:17" s="160" customFormat="1" x14ac:dyDescent="0.25">
      <c r="C292" s="186"/>
      <c r="E292" s="186"/>
      <c r="F292" s="186"/>
      <c r="G292" s="186"/>
      <c r="H292" s="186"/>
      <c r="J292" s="186"/>
      <c r="K292" s="186"/>
      <c r="L292" s="187"/>
      <c r="M292" s="187"/>
      <c r="N292" s="187"/>
      <c r="O292" s="187"/>
      <c r="P292" s="187"/>
      <c r="Q292" s="188"/>
    </row>
    <row r="293" spans="3:17" s="160" customFormat="1" x14ac:dyDescent="0.25">
      <c r="C293" s="186"/>
      <c r="E293" s="186"/>
      <c r="F293" s="186"/>
      <c r="G293" s="186"/>
      <c r="H293" s="186"/>
      <c r="J293" s="186"/>
      <c r="K293" s="186"/>
      <c r="L293" s="187"/>
      <c r="M293" s="187"/>
      <c r="N293" s="187"/>
      <c r="O293" s="187"/>
      <c r="P293" s="187"/>
      <c r="Q293" s="188"/>
    </row>
    <row r="294" spans="3:17" s="160" customFormat="1" x14ac:dyDescent="0.25">
      <c r="C294" s="186"/>
      <c r="E294" s="186"/>
      <c r="F294" s="186"/>
      <c r="G294" s="186"/>
      <c r="H294" s="186"/>
      <c r="J294" s="186"/>
      <c r="K294" s="186"/>
      <c r="L294" s="187"/>
      <c r="M294" s="187"/>
      <c r="N294" s="187"/>
      <c r="O294" s="187"/>
      <c r="P294" s="187"/>
      <c r="Q294" s="188"/>
    </row>
    <row r="295" spans="3:17" s="160" customFormat="1" x14ac:dyDescent="0.25">
      <c r="C295" s="186"/>
      <c r="E295" s="186"/>
      <c r="F295" s="186"/>
      <c r="G295" s="186"/>
      <c r="H295" s="186"/>
      <c r="J295" s="186"/>
      <c r="K295" s="186"/>
      <c r="L295" s="187"/>
      <c r="M295" s="187"/>
      <c r="N295" s="187"/>
      <c r="O295" s="187"/>
      <c r="P295" s="187"/>
      <c r="Q295" s="188"/>
    </row>
    <row r="296" spans="3:17" s="160" customFormat="1" x14ac:dyDescent="0.25">
      <c r="C296" s="186"/>
      <c r="E296" s="186"/>
      <c r="F296" s="186"/>
      <c r="G296" s="186"/>
      <c r="H296" s="186"/>
      <c r="J296" s="186"/>
      <c r="K296" s="186"/>
      <c r="L296" s="187"/>
      <c r="M296" s="187"/>
      <c r="N296" s="187"/>
      <c r="O296" s="187"/>
      <c r="P296" s="187"/>
      <c r="Q296" s="188"/>
    </row>
    <row r="297" spans="3:17" s="160" customFormat="1" x14ac:dyDescent="0.25">
      <c r="C297" s="186"/>
      <c r="E297" s="186"/>
      <c r="F297" s="186"/>
      <c r="G297" s="186"/>
      <c r="H297" s="186"/>
      <c r="J297" s="186"/>
      <c r="K297" s="186"/>
      <c r="L297" s="187"/>
      <c r="M297" s="187"/>
      <c r="N297" s="187"/>
      <c r="O297" s="187"/>
      <c r="P297" s="187"/>
      <c r="Q297" s="188"/>
    </row>
    <row r="298" spans="3:17" s="160" customFormat="1" x14ac:dyDescent="0.25">
      <c r="C298" s="186"/>
      <c r="E298" s="186"/>
      <c r="F298" s="186"/>
      <c r="G298" s="186"/>
      <c r="H298" s="186"/>
      <c r="J298" s="186"/>
      <c r="K298" s="186"/>
      <c r="L298" s="187"/>
      <c r="M298" s="187"/>
      <c r="N298" s="187"/>
      <c r="O298" s="187"/>
      <c r="P298" s="187"/>
      <c r="Q298" s="188"/>
    </row>
    <row r="299" spans="3:17" s="160" customFormat="1" x14ac:dyDescent="0.25">
      <c r="C299" s="186"/>
      <c r="E299" s="186"/>
      <c r="F299" s="186"/>
      <c r="G299" s="186"/>
      <c r="H299" s="186"/>
      <c r="J299" s="186"/>
      <c r="K299" s="186"/>
      <c r="L299" s="187"/>
      <c r="M299" s="187"/>
      <c r="N299" s="187"/>
      <c r="O299" s="187"/>
      <c r="P299" s="187"/>
      <c r="Q299" s="188"/>
    </row>
    <row r="300" spans="3:17" s="160" customFormat="1" x14ac:dyDescent="0.25">
      <c r="C300" s="186"/>
      <c r="E300" s="186"/>
      <c r="F300" s="186"/>
      <c r="G300" s="186"/>
      <c r="H300" s="186"/>
      <c r="J300" s="186"/>
      <c r="K300" s="186"/>
      <c r="L300" s="187"/>
      <c r="M300" s="187"/>
      <c r="N300" s="187"/>
      <c r="O300" s="187"/>
      <c r="P300" s="187"/>
      <c r="Q300" s="188"/>
    </row>
    <row r="301" spans="3:17" s="160" customFormat="1" x14ac:dyDescent="0.25">
      <c r="C301" s="186"/>
      <c r="E301" s="186"/>
      <c r="F301" s="186"/>
      <c r="G301" s="186"/>
      <c r="H301" s="186"/>
      <c r="J301" s="186"/>
      <c r="K301" s="186"/>
      <c r="L301" s="187"/>
      <c r="M301" s="187"/>
      <c r="N301" s="187"/>
      <c r="O301" s="187"/>
      <c r="P301" s="187"/>
      <c r="Q301" s="188"/>
    </row>
    <row r="302" spans="3:17" s="160" customFormat="1" x14ac:dyDescent="0.25">
      <c r="C302" s="186"/>
      <c r="E302" s="186"/>
      <c r="F302" s="186"/>
      <c r="G302" s="186"/>
      <c r="H302" s="186"/>
      <c r="J302" s="186"/>
      <c r="K302" s="186"/>
      <c r="L302" s="187"/>
      <c r="M302" s="187"/>
      <c r="N302" s="187"/>
      <c r="O302" s="187"/>
      <c r="P302" s="187"/>
      <c r="Q302" s="188"/>
    </row>
    <row r="303" spans="3:17" s="160" customFormat="1" x14ac:dyDescent="0.25">
      <c r="C303" s="186"/>
      <c r="E303" s="186"/>
      <c r="F303" s="186"/>
      <c r="G303" s="186"/>
      <c r="H303" s="186"/>
      <c r="J303" s="186"/>
      <c r="K303" s="186"/>
      <c r="L303" s="187"/>
      <c r="M303" s="187"/>
      <c r="N303" s="187"/>
      <c r="O303" s="187"/>
      <c r="P303" s="187"/>
      <c r="Q303" s="188"/>
    </row>
    <row r="304" spans="3:17" s="160" customFormat="1" x14ac:dyDescent="0.25">
      <c r="C304" s="186"/>
      <c r="E304" s="186"/>
      <c r="F304" s="186"/>
      <c r="G304" s="186"/>
      <c r="H304" s="186"/>
      <c r="J304" s="186"/>
      <c r="K304" s="186"/>
      <c r="L304" s="187"/>
      <c r="M304" s="187"/>
      <c r="N304" s="187"/>
      <c r="O304" s="187"/>
      <c r="P304" s="187"/>
      <c r="Q304" s="188"/>
    </row>
    <row r="305" spans="3:17" s="160" customFormat="1" x14ac:dyDescent="0.25">
      <c r="C305" s="186"/>
      <c r="E305" s="186"/>
      <c r="F305" s="186"/>
      <c r="G305" s="186"/>
      <c r="H305" s="186"/>
      <c r="J305" s="186"/>
      <c r="K305" s="186"/>
      <c r="L305" s="187"/>
      <c r="M305" s="187"/>
      <c r="N305" s="187"/>
      <c r="O305" s="187"/>
      <c r="P305" s="187"/>
      <c r="Q305" s="188"/>
    </row>
    <row r="306" spans="3:17" s="160" customFormat="1" x14ac:dyDescent="0.25">
      <c r="C306" s="186"/>
      <c r="E306" s="186"/>
      <c r="F306" s="186"/>
      <c r="G306" s="186"/>
      <c r="H306" s="186"/>
      <c r="J306" s="186"/>
      <c r="K306" s="186"/>
      <c r="L306" s="187"/>
      <c r="M306" s="187"/>
      <c r="N306" s="187"/>
      <c r="O306" s="187"/>
      <c r="P306" s="187"/>
      <c r="Q306" s="188"/>
    </row>
    <row r="307" spans="3:17" s="160" customFormat="1" x14ac:dyDescent="0.25">
      <c r="C307" s="186"/>
      <c r="E307" s="186"/>
      <c r="F307" s="186"/>
      <c r="G307" s="186"/>
      <c r="H307" s="186"/>
      <c r="J307" s="186"/>
      <c r="K307" s="186"/>
      <c r="L307" s="187"/>
      <c r="M307" s="187"/>
      <c r="N307" s="187"/>
      <c r="O307" s="187"/>
      <c r="P307" s="187"/>
      <c r="Q307" s="188"/>
    </row>
    <row r="308" spans="3:17" s="160" customFormat="1" x14ac:dyDescent="0.25">
      <c r="C308" s="186"/>
      <c r="E308" s="186"/>
      <c r="F308" s="186"/>
      <c r="G308" s="186"/>
      <c r="H308" s="186"/>
      <c r="J308" s="186"/>
      <c r="K308" s="186"/>
      <c r="L308" s="187"/>
      <c r="M308" s="187"/>
      <c r="N308" s="187"/>
      <c r="O308" s="187"/>
      <c r="P308" s="187"/>
      <c r="Q308" s="188"/>
    </row>
    <row r="309" spans="3:17" s="160" customFormat="1" x14ac:dyDescent="0.25">
      <c r="C309" s="186"/>
      <c r="E309" s="186"/>
      <c r="F309" s="186"/>
      <c r="G309" s="186"/>
      <c r="H309" s="186"/>
      <c r="J309" s="186"/>
      <c r="K309" s="186"/>
      <c r="L309" s="187"/>
      <c r="M309" s="187"/>
      <c r="N309" s="187"/>
      <c r="O309" s="187"/>
      <c r="P309" s="187"/>
      <c r="Q309" s="188"/>
    </row>
    <row r="310" spans="3:17" s="160" customFormat="1" x14ac:dyDescent="0.25">
      <c r="C310" s="186"/>
      <c r="E310" s="186"/>
      <c r="F310" s="186"/>
      <c r="G310" s="186"/>
      <c r="H310" s="186"/>
      <c r="J310" s="186"/>
      <c r="K310" s="186"/>
      <c r="L310" s="187"/>
      <c r="M310" s="187"/>
      <c r="N310" s="187"/>
      <c r="O310" s="187"/>
      <c r="P310" s="187"/>
      <c r="Q310" s="188"/>
    </row>
    <row r="311" spans="3:17" s="160" customFormat="1" x14ac:dyDescent="0.25">
      <c r="C311" s="186"/>
      <c r="E311" s="186"/>
      <c r="F311" s="186"/>
      <c r="G311" s="186"/>
      <c r="H311" s="186"/>
      <c r="J311" s="186"/>
      <c r="K311" s="186"/>
      <c r="L311" s="187"/>
      <c r="M311" s="187"/>
      <c r="N311" s="187"/>
      <c r="O311" s="187"/>
      <c r="P311" s="187"/>
      <c r="Q311" s="188"/>
    </row>
    <row r="312" spans="3:17" s="160" customFormat="1" x14ac:dyDescent="0.25">
      <c r="C312" s="186"/>
      <c r="E312" s="186"/>
      <c r="F312" s="186"/>
      <c r="G312" s="186"/>
      <c r="H312" s="186"/>
      <c r="J312" s="186"/>
      <c r="K312" s="186"/>
      <c r="L312" s="187"/>
      <c r="M312" s="187"/>
      <c r="N312" s="187"/>
      <c r="O312" s="187"/>
      <c r="P312" s="187"/>
      <c r="Q312" s="188"/>
    </row>
    <row r="313" spans="3:17" s="160" customFormat="1" x14ac:dyDescent="0.25">
      <c r="C313" s="186"/>
      <c r="E313" s="186"/>
      <c r="F313" s="186"/>
      <c r="G313" s="186"/>
      <c r="H313" s="186"/>
      <c r="J313" s="186"/>
      <c r="K313" s="186"/>
      <c r="L313" s="187"/>
      <c r="M313" s="187"/>
      <c r="N313" s="187"/>
      <c r="O313" s="187"/>
      <c r="P313" s="187"/>
      <c r="Q313" s="188"/>
    </row>
    <row r="314" spans="3:17" s="160" customFormat="1" x14ac:dyDescent="0.25">
      <c r="C314" s="186"/>
      <c r="E314" s="186"/>
      <c r="F314" s="186"/>
      <c r="G314" s="186"/>
      <c r="H314" s="186"/>
      <c r="J314" s="186"/>
      <c r="K314" s="186"/>
      <c r="L314" s="187"/>
      <c r="M314" s="187"/>
      <c r="N314" s="187"/>
      <c r="O314" s="187"/>
      <c r="P314" s="187"/>
      <c r="Q314" s="188"/>
    </row>
    <row r="315" spans="3:17" s="160" customFormat="1" x14ac:dyDescent="0.25">
      <c r="C315" s="186"/>
      <c r="E315" s="186"/>
      <c r="F315" s="186"/>
      <c r="G315" s="186"/>
      <c r="H315" s="186"/>
      <c r="J315" s="186"/>
      <c r="K315" s="186"/>
      <c r="L315" s="187"/>
      <c r="M315" s="187"/>
      <c r="N315" s="187"/>
      <c r="O315" s="187"/>
      <c r="P315" s="187"/>
      <c r="Q315" s="188"/>
    </row>
    <row r="316" spans="3:17" s="160" customFormat="1" x14ac:dyDescent="0.25">
      <c r="C316" s="186"/>
      <c r="E316" s="186"/>
      <c r="F316" s="186"/>
      <c r="G316" s="186"/>
      <c r="H316" s="186"/>
      <c r="J316" s="186"/>
      <c r="K316" s="186"/>
      <c r="L316" s="187"/>
      <c r="M316" s="187"/>
      <c r="N316" s="187"/>
      <c r="O316" s="187"/>
      <c r="P316" s="187"/>
      <c r="Q316" s="188"/>
    </row>
    <row r="317" spans="3:17" s="160" customFormat="1" x14ac:dyDescent="0.25">
      <c r="C317" s="186"/>
      <c r="E317" s="186"/>
      <c r="F317" s="186"/>
      <c r="G317" s="186"/>
      <c r="H317" s="186"/>
      <c r="J317" s="186"/>
      <c r="K317" s="186"/>
      <c r="L317" s="187"/>
      <c r="M317" s="187"/>
      <c r="N317" s="187"/>
      <c r="O317" s="187"/>
      <c r="P317" s="187"/>
      <c r="Q317" s="188"/>
    </row>
    <row r="318" spans="3:17" s="160" customFormat="1" x14ac:dyDescent="0.25">
      <c r="C318" s="186"/>
      <c r="E318" s="186"/>
      <c r="F318" s="186"/>
      <c r="G318" s="186"/>
      <c r="H318" s="186"/>
      <c r="J318" s="186"/>
      <c r="K318" s="186"/>
      <c r="L318" s="187"/>
      <c r="M318" s="187"/>
      <c r="N318" s="187"/>
      <c r="O318" s="187"/>
      <c r="P318" s="187"/>
      <c r="Q318" s="188"/>
    </row>
    <row r="319" spans="3:17" s="160" customFormat="1" x14ac:dyDescent="0.25">
      <c r="C319" s="186"/>
      <c r="E319" s="186"/>
      <c r="F319" s="186"/>
      <c r="G319" s="186"/>
      <c r="H319" s="186"/>
      <c r="J319" s="186"/>
      <c r="K319" s="186"/>
      <c r="L319" s="187"/>
      <c r="M319" s="187"/>
      <c r="N319" s="187"/>
      <c r="O319" s="187"/>
      <c r="P319" s="187"/>
      <c r="Q319" s="188"/>
    </row>
    <row r="320" spans="3:17" s="160" customFormat="1" x14ac:dyDescent="0.25">
      <c r="C320" s="186"/>
      <c r="E320" s="186"/>
      <c r="F320" s="186"/>
      <c r="G320" s="186"/>
      <c r="H320" s="186"/>
      <c r="J320" s="186"/>
      <c r="K320" s="186"/>
      <c r="L320" s="187"/>
      <c r="M320" s="187"/>
      <c r="N320" s="187"/>
      <c r="O320" s="187"/>
      <c r="P320" s="187"/>
      <c r="Q320" s="188"/>
    </row>
    <row r="321" spans="3:17" s="160" customFormat="1" x14ac:dyDescent="0.25">
      <c r="C321" s="186"/>
      <c r="E321" s="186"/>
      <c r="F321" s="186"/>
      <c r="G321" s="186"/>
      <c r="H321" s="186"/>
      <c r="J321" s="186"/>
      <c r="K321" s="186"/>
      <c r="L321" s="187"/>
      <c r="M321" s="187"/>
      <c r="N321" s="187"/>
      <c r="O321" s="187"/>
      <c r="P321" s="187"/>
      <c r="Q321" s="188"/>
    </row>
    <row r="322" spans="3:17" s="160" customFormat="1" x14ac:dyDescent="0.25">
      <c r="C322" s="186"/>
      <c r="E322" s="186"/>
      <c r="F322" s="186"/>
      <c r="G322" s="186"/>
      <c r="H322" s="186"/>
      <c r="J322" s="186"/>
      <c r="K322" s="186"/>
      <c r="L322" s="187"/>
      <c r="M322" s="187"/>
      <c r="N322" s="187"/>
      <c r="O322" s="187"/>
      <c r="P322" s="187"/>
      <c r="Q322" s="188"/>
    </row>
    <row r="323" spans="3:17" s="160" customFormat="1" x14ac:dyDescent="0.25">
      <c r="C323" s="186"/>
      <c r="E323" s="186"/>
      <c r="F323" s="186"/>
      <c r="G323" s="186"/>
      <c r="H323" s="186"/>
      <c r="J323" s="186"/>
      <c r="K323" s="186"/>
      <c r="L323" s="187"/>
      <c r="M323" s="187"/>
      <c r="N323" s="187"/>
      <c r="O323" s="187"/>
      <c r="P323" s="187"/>
      <c r="Q323" s="188"/>
    </row>
    <row r="324" spans="3:17" s="160" customFormat="1" x14ac:dyDescent="0.25">
      <c r="C324" s="186"/>
      <c r="E324" s="186"/>
      <c r="F324" s="186"/>
      <c r="G324" s="186"/>
      <c r="H324" s="186"/>
      <c r="J324" s="186"/>
      <c r="K324" s="186"/>
      <c r="L324" s="187"/>
      <c r="M324" s="187"/>
      <c r="N324" s="187"/>
      <c r="O324" s="187"/>
      <c r="P324" s="187"/>
      <c r="Q324" s="188"/>
    </row>
    <row r="325" spans="3:17" s="160" customFormat="1" x14ac:dyDescent="0.25">
      <c r="C325" s="186"/>
      <c r="E325" s="186"/>
      <c r="F325" s="186"/>
      <c r="G325" s="186"/>
      <c r="H325" s="186"/>
      <c r="J325" s="186"/>
      <c r="K325" s="186"/>
      <c r="L325" s="187"/>
      <c r="M325" s="187"/>
      <c r="N325" s="187"/>
      <c r="O325" s="187"/>
      <c r="P325" s="187"/>
      <c r="Q325" s="188"/>
    </row>
    <row r="326" spans="3:17" s="160" customFormat="1" x14ac:dyDescent="0.25">
      <c r="C326" s="186"/>
      <c r="E326" s="186"/>
      <c r="F326" s="186"/>
      <c r="G326" s="186"/>
      <c r="H326" s="186"/>
      <c r="J326" s="186"/>
      <c r="K326" s="186"/>
      <c r="L326" s="187"/>
      <c r="M326" s="187"/>
      <c r="N326" s="187"/>
      <c r="O326" s="187"/>
      <c r="P326" s="187"/>
      <c r="Q326" s="188"/>
    </row>
    <row r="327" spans="3:17" s="160" customFormat="1" x14ac:dyDescent="0.25">
      <c r="C327" s="186"/>
      <c r="E327" s="186"/>
      <c r="F327" s="186"/>
      <c r="G327" s="186"/>
      <c r="H327" s="186"/>
      <c r="J327" s="186"/>
      <c r="K327" s="186"/>
      <c r="L327" s="187"/>
      <c r="M327" s="187"/>
      <c r="N327" s="187"/>
      <c r="O327" s="187"/>
      <c r="P327" s="187"/>
      <c r="Q327" s="188"/>
    </row>
    <row r="328" spans="3:17" s="160" customFormat="1" x14ac:dyDescent="0.25">
      <c r="C328" s="186"/>
      <c r="E328" s="186"/>
      <c r="F328" s="186"/>
      <c r="G328" s="186"/>
      <c r="H328" s="186"/>
      <c r="J328" s="186"/>
      <c r="K328" s="186"/>
      <c r="L328" s="187"/>
      <c r="M328" s="187"/>
      <c r="N328" s="187"/>
      <c r="O328" s="187"/>
      <c r="P328" s="187"/>
      <c r="Q328" s="188"/>
    </row>
    <row r="329" spans="3:17" s="160" customFormat="1" x14ac:dyDescent="0.25">
      <c r="C329" s="186"/>
      <c r="E329" s="186"/>
      <c r="F329" s="186"/>
      <c r="G329" s="186"/>
      <c r="H329" s="186"/>
      <c r="J329" s="186"/>
      <c r="K329" s="186"/>
      <c r="L329" s="187"/>
      <c r="M329" s="187"/>
      <c r="N329" s="187"/>
      <c r="O329" s="187"/>
      <c r="P329" s="187"/>
      <c r="Q329" s="188"/>
    </row>
    <row r="330" spans="3:17" s="160" customFormat="1" x14ac:dyDescent="0.25">
      <c r="C330" s="186"/>
      <c r="E330" s="186"/>
      <c r="F330" s="186"/>
      <c r="G330" s="186"/>
      <c r="H330" s="186"/>
      <c r="J330" s="186"/>
      <c r="K330" s="186"/>
      <c r="L330" s="187"/>
      <c r="M330" s="187"/>
      <c r="N330" s="187"/>
      <c r="O330" s="187"/>
      <c r="P330" s="187"/>
      <c r="Q330" s="188"/>
    </row>
    <row r="331" spans="3:17" s="160" customFormat="1" x14ac:dyDescent="0.25">
      <c r="C331" s="186"/>
      <c r="E331" s="186"/>
      <c r="F331" s="186"/>
      <c r="G331" s="186"/>
      <c r="H331" s="186"/>
      <c r="J331" s="186"/>
      <c r="K331" s="186"/>
      <c r="L331" s="187"/>
      <c r="M331" s="187"/>
      <c r="N331" s="187"/>
      <c r="O331" s="187"/>
      <c r="P331" s="187"/>
      <c r="Q331" s="188"/>
    </row>
    <row r="332" spans="3:17" s="160" customFormat="1" x14ac:dyDescent="0.25">
      <c r="C332" s="186"/>
      <c r="E332" s="186"/>
      <c r="F332" s="186"/>
      <c r="G332" s="186"/>
      <c r="H332" s="186"/>
      <c r="J332" s="186"/>
      <c r="K332" s="186"/>
      <c r="L332" s="187"/>
      <c r="M332" s="187"/>
      <c r="N332" s="187"/>
      <c r="O332" s="187"/>
      <c r="P332" s="187"/>
      <c r="Q332" s="188"/>
    </row>
    <row r="333" spans="3:17" s="160" customFormat="1" x14ac:dyDescent="0.25">
      <c r="C333" s="186"/>
      <c r="E333" s="186"/>
      <c r="F333" s="186"/>
      <c r="G333" s="186"/>
      <c r="H333" s="186"/>
      <c r="J333" s="186"/>
      <c r="K333" s="186"/>
      <c r="L333" s="187"/>
      <c r="M333" s="187"/>
      <c r="N333" s="187"/>
      <c r="O333" s="187"/>
      <c r="P333" s="187"/>
      <c r="Q333" s="188"/>
    </row>
    <row r="334" spans="3:17" s="160" customFormat="1" x14ac:dyDescent="0.25">
      <c r="C334" s="186"/>
      <c r="E334" s="186"/>
      <c r="F334" s="186"/>
      <c r="G334" s="186"/>
      <c r="H334" s="186"/>
      <c r="J334" s="186"/>
      <c r="K334" s="186"/>
      <c r="L334" s="187"/>
      <c r="M334" s="187"/>
      <c r="N334" s="187"/>
      <c r="O334" s="187"/>
      <c r="P334" s="187"/>
      <c r="Q334" s="188"/>
    </row>
    <row r="335" spans="3:17" s="160" customFormat="1" x14ac:dyDescent="0.25">
      <c r="C335" s="186"/>
      <c r="E335" s="186"/>
      <c r="F335" s="186"/>
      <c r="G335" s="186"/>
      <c r="H335" s="186"/>
      <c r="J335" s="186"/>
      <c r="K335" s="186"/>
      <c r="L335" s="187"/>
      <c r="M335" s="187"/>
      <c r="N335" s="187"/>
      <c r="O335" s="187"/>
      <c r="P335" s="187"/>
      <c r="Q335" s="188"/>
    </row>
    <row r="336" spans="3:17" s="160" customFormat="1" x14ac:dyDescent="0.25">
      <c r="C336" s="186"/>
      <c r="E336" s="186"/>
      <c r="F336" s="186"/>
      <c r="G336" s="186"/>
      <c r="H336" s="186"/>
      <c r="J336" s="186"/>
      <c r="K336" s="186"/>
      <c r="L336" s="187"/>
      <c r="M336" s="187"/>
      <c r="N336" s="187"/>
      <c r="O336" s="187"/>
      <c r="P336" s="187"/>
      <c r="Q336" s="188"/>
    </row>
    <row r="337" spans="3:17" s="160" customFormat="1" x14ac:dyDescent="0.25">
      <c r="C337" s="186"/>
      <c r="E337" s="186"/>
      <c r="F337" s="186"/>
      <c r="G337" s="186"/>
      <c r="H337" s="186"/>
      <c r="J337" s="186"/>
      <c r="K337" s="186"/>
      <c r="L337" s="187"/>
      <c r="M337" s="187"/>
      <c r="N337" s="187"/>
      <c r="O337" s="187"/>
      <c r="P337" s="187"/>
      <c r="Q337" s="188"/>
    </row>
    <row r="338" spans="3:17" s="160" customFormat="1" x14ac:dyDescent="0.25">
      <c r="C338" s="186"/>
      <c r="E338" s="186"/>
      <c r="F338" s="186"/>
      <c r="G338" s="186"/>
      <c r="H338" s="186"/>
      <c r="J338" s="186"/>
      <c r="K338" s="186"/>
      <c r="L338" s="187"/>
      <c r="M338" s="187"/>
      <c r="N338" s="187"/>
      <c r="O338" s="187"/>
      <c r="P338" s="187"/>
      <c r="Q338" s="188"/>
    </row>
    <row r="339" spans="3:17" s="160" customFormat="1" x14ac:dyDescent="0.25">
      <c r="C339" s="186"/>
      <c r="E339" s="186"/>
      <c r="F339" s="186"/>
      <c r="G339" s="186"/>
      <c r="H339" s="186"/>
      <c r="J339" s="186"/>
      <c r="K339" s="186"/>
      <c r="L339" s="187"/>
      <c r="M339" s="187"/>
      <c r="N339" s="187"/>
      <c r="O339" s="187"/>
      <c r="P339" s="187"/>
      <c r="Q339" s="188"/>
    </row>
    <row r="340" spans="3:17" s="160" customFormat="1" x14ac:dyDescent="0.25">
      <c r="C340" s="186"/>
      <c r="E340" s="186"/>
      <c r="F340" s="186"/>
      <c r="G340" s="186"/>
      <c r="H340" s="186"/>
      <c r="J340" s="186"/>
      <c r="K340" s="186"/>
      <c r="L340" s="187"/>
      <c r="M340" s="187"/>
      <c r="N340" s="187"/>
      <c r="O340" s="187"/>
      <c r="P340" s="187"/>
      <c r="Q340" s="188"/>
    </row>
    <row r="341" spans="3:17" s="160" customFormat="1" x14ac:dyDescent="0.25">
      <c r="C341" s="186"/>
      <c r="E341" s="186"/>
      <c r="F341" s="186"/>
      <c r="G341" s="186"/>
      <c r="H341" s="186"/>
      <c r="J341" s="186"/>
      <c r="K341" s="186"/>
      <c r="L341" s="187"/>
      <c r="M341" s="187"/>
      <c r="N341" s="187"/>
      <c r="O341" s="187"/>
      <c r="P341" s="187"/>
      <c r="Q341" s="188"/>
    </row>
    <row r="342" spans="3:17" s="160" customFormat="1" x14ac:dyDescent="0.25">
      <c r="C342" s="186"/>
      <c r="E342" s="186"/>
      <c r="F342" s="186"/>
      <c r="G342" s="186"/>
      <c r="H342" s="186"/>
      <c r="J342" s="186"/>
      <c r="K342" s="186"/>
      <c r="L342" s="187"/>
      <c r="M342" s="187"/>
      <c r="N342" s="187"/>
      <c r="O342" s="187"/>
      <c r="P342" s="187"/>
      <c r="Q342" s="188"/>
    </row>
    <row r="343" spans="3:17" s="160" customFormat="1" x14ac:dyDescent="0.25">
      <c r="C343" s="186"/>
      <c r="E343" s="186"/>
      <c r="F343" s="186"/>
      <c r="G343" s="186"/>
      <c r="H343" s="186"/>
      <c r="J343" s="186"/>
      <c r="K343" s="186"/>
      <c r="L343" s="187"/>
      <c r="M343" s="187"/>
      <c r="N343" s="187"/>
      <c r="O343" s="187"/>
      <c r="P343" s="187"/>
      <c r="Q343" s="188"/>
    </row>
    <row r="344" spans="3:17" s="160" customFormat="1" x14ac:dyDescent="0.25">
      <c r="C344" s="186"/>
      <c r="E344" s="186"/>
      <c r="F344" s="186"/>
      <c r="G344" s="186"/>
      <c r="H344" s="186"/>
      <c r="J344" s="186"/>
      <c r="K344" s="186"/>
      <c r="L344" s="187"/>
      <c r="M344" s="187"/>
      <c r="N344" s="187"/>
      <c r="O344" s="187"/>
      <c r="P344" s="187"/>
      <c r="Q344" s="188"/>
    </row>
    <row r="345" spans="3:17" s="160" customFormat="1" x14ac:dyDescent="0.25">
      <c r="C345" s="186"/>
      <c r="E345" s="186"/>
      <c r="F345" s="186"/>
      <c r="G345" s="186"/>
      <c r="H345" s="186"/>
      <c r="J345" s="186"/>
      <c r="K345" s="186"/>
      <c r="L345" s="187"/>
      <c r="M345" s="187"/>
      <c r="N345" s="187"/>
      <c r="O345" s="187"/>
      <c r="P345" s="187"/>
      <c r="Q345" s="188"/>
    </row>
    <row r="346" spans="3:17" s="160" customFormat="1" x14ac:dyDescent="0.25">
      <c r="C346" s="186"/>
      <c r="E346" s="186"/>
      <c r="F346" s="186"/>
      <c r="G346" s="186"/>
      <c r="H346" s="186"/>
      <c r="J346" s="186"/>
      <c r="K346" s="186"/>
      <c r="L346" s="187"/>
      <c r="M346" s="187"/>
      <c r="N346" s="187"/>
      <c r="O346" s="187"/>
      <c r="P346" s="187"/>
      <c r="Q346" s="188"/>
    </row>
    <row r="347" spans="3:17" s="160" customFormat="1" x14ac:dyDescent="0.25">
      <c r="C347" s="186"/>
      <c r="E347" s="186"/>
      <c r="F347" s="186"/>
      <c r="G347" s="186"/>
      <c r="H347" s="186"/>
      <c r="J347" s="186"/>
      <c r="K347" s="186"/>
      <c r="L347" s="187"/>
      <c r="M347" s="187"/>
      <c r="N347" s="187"/>
      <c r="O347" s="187"/>
      <c r="P347" s="187"/>
      <c r="Q347" s="188"/>
    </row>
    <row r="348" spans="3:17" s="160" customFormat="1" x14ac:dyDescent="0.25">
      <c r="C348" s="186"/>
      <c r="E348" s="186"/>
      <c r="F348" s="186"/>
      <c r="G348" s="186"/>
      <c r="H348" s="186"/>
      <c r="J348" s="186"/>
      <c r="K348" s="186"/>
      <c r="L348" s="187"/>
      <c r="M348" s="187"/>
      <c r="N348" s="187"/>
      <c r="O348" s="187"/>
      <c r="P348" s="187"/>
      <c r="Q348" s="188"/>
    </row>
    <row r="349" spans="3:17" s="160" customFormat="1" x14ac:dyDescent="0.25">
      <c r="C349" s="186"/>
      <c r="E349" s="186"/>
      <c r="F349" s="186"/>
      <c r="G349" s="186"/>
      <c r="H349" s="186"/>
      <c r="J349" s="186"/>
      <c r="K349" s="186"/>
      <c r="L349" s="187"/>
      <c r="M349" s="187"/>
      <c r="N349" s="187"/>
      <c r="O349" s="187"/>
      <c r="P349" s="187"/>
      <c r="Q349" s="188"/>
    </row>
    <row r="350" spans="3:17" s="160" customFormat="1" x14ac:dyDescent="0.25">
      <c r="C350" s="186"/>
      <c r="E350" s="186"/>
      <c r="F350" s="186"/>
      <c r="G350" s="186"/>
      <c r="H350" s="186"/>
      <c r="J350" s="186"/>
      <c r="K350" s="186"/>
      <c r="L350" s="187"/>
      <c r="M350" s="187"/>
      <c r="N350" s="187"/>
      <c r="O350" s="187"/>
      <c r="P350" s="187"/>
      <c r="Q350" s="188"/>
    </row>
    <row r="351" spans="3:17" s="160" customFormat="1" x14ac:dyDescent="0.25">
      <c r="C351" s="186"/>
      <c r="E351" s="186"/>
      <c r="F351" s="186"/>
      <c r="G351" s="186"/>
      <c r="H351" s="186"/>
      <c r="J351" s="186"/>
      <c r="K351" s="186"/>
      <c r="L351" s="187"/>
      <c r="M351" s="187"/>
      <c r="N351" s="187"/>
      <c r="O351" s="187"/>
      <c r="P351" s="187"/>
      <c r="Q351" s="188"/>
    </row>
    <row r="352" spans="3:17" s="160" customFormat="1" x14ac:dyDescent="0.25">
      <c r="C352" s="186"/>
      <c r="E352" s="186"/>
      <c r="F352" s="186"/>
      <c r="G352" s="186"/>
      <c r="H352" s="186"/>
      <c r="J352" s="186"/>
      <c r="K352" s="186"/>
      <c r="L352" s="187"/>
      <c r="M352" s="187"/>
      <c r="N352" s="187"/>
      <c r="O352" s="187"/>
      <c r="P352" s="187"/>
      <c r="Q352" s="188"/>
    </row>
    <row r="353" spans="3:17" s="160" customFormat="1" x14ac:dyDescent="0.25">
      <c r="C353" s="186"/>
      <c r="E353" s="186"/>
      <c r="F353" s="186"/>
      <c r="G353" s="186"/>
      <c r="H353" s="186"/>
      <c r="J353" s="186"/>
      <c r="K353" s="186"/>
      <c r="L353" s="187"/>
      <c r="M353" s="187"/>
      <c r="N353" s="187"/>
      <c r="O353" s="187"/>
      <c r="P353" s="187"/>
      <c r="Q353" s="188"/>
    </row>
    <row r="354" spans="3:17" s="160" customFormat="1" x14ac:dyDescent="0.25">
      <c r="C354" s="186"/>
      <c r="E354" s="186"/>
      <c r="F354" s="186"/>
      <c r="G354" s="186"/>
      <c r="H354" s="186"/>
      <c r="J354" s="186"/>
      <c r="K354" s="186"/>
      <c r="L354" s="187"/>
      <c r="M354" s="187"/>
      <c r="N354" s="187"/>
      <c r="O354" s="187"/>
      <c r="P354" s="187"/>
      <c r="Q354" s="188"/>
    </row>
    <row r="355" spans="3:17" s="160" customFormat="1" x14ac:dyDescent="0.25">
      <c r="C355" s="186"/>
      <c r="E355" s="186"/>
      <c r="F355" s="186"/>
      <c r="G355" s="186"/>
      <c r="H355" s="186"/>
      <c r="J355" s="186"/>
      <c r="K355" s="186"/>
      <c r="L355" s="187"/>
      <c r="M355" s="187"/>
      <c r="N355" s="187"/>
      <c r="O355" s="187"/>
      <c r="P355" s="187"/>
      <c r="Q355" s="188"/>
    </row>
    <row r="356" spans="3:17" s="160" customFormat="1" x14ac:dyDescent="0.25">
      <c r="C356" s="186"/>
      <c r="E356" s="186"/>
      <c r="F356" s="186"/>
      <c r="G356" s="186"/>
      <c r="H356" s="186"/>
      <c r="J356" s="186"/>
      <c r="K356" s="186"/>
      <c r="L356" s="187"/>
      <c r="M356" s="187"/>
      <c r="N356" s="187"/>
      <c r="O356" s="187"/>
      <c r="P356" s="187"/>
      <c r="Q356" s="188"/>
    </row>
    <row r="357" spans="3:17" s="160" customFormat="1" x14ac:dyDescent="0.25">
      <c r="C357" s="186"/>
      <c r="E357" s="186"/>
      <c r="F357" s="186"/>
      <c r="G357" s="186"/>
      <c r="H357" s="186"/>
      <c r="J357" s="186"/>
      <c r="K357" s="186"/>
      <c r="L357" s="187"/>
      <c r="M357" s="187"/>
      <c r="N357" s="187"/>
      <c r="O357" s="187"/>
      <c r="P357" s="187"/>
      <c r="Q357" s="188"/>
    </row>
    <row r="358" spans="3:17" s="160" customFormat="1" x14ac:dyDescent="0.25">
      <c r="C358" s="186"/>
      <c r="E358" s="186"/>
      <c r="F358" s="186"/>
      <c r="G358" s="186"/>
      <c r="H358" s="186"/>
      <c r="J358" s="186"/>
      <c r="K358" s="186"/>
      <c r="L358" s="187"/>
      <c r="M358" s="187"/>
      <c r="N358" s="187"/>
      <c r="O358" s="187"/>
      <c r="P358" s="187"/>
      <c r="Q358" s="188"/>
    </row>
    <row r="359" spans="3:17" s="160" customFormat="1" x14ac:dyDescent="0.25">
      <c r="C359" s="186"/>
      <c r="E359" s="186"/>
      <c r="F359" s="186"/>
      <c r="G359" s="186"/>
      <c r="H359" s="186"/>
      <c r="J359" s="186"/>
      <c r="K359" s="186"/>
      <c r="L359" s="187"/>
      <c r="M359" s="187"/>
      <c r="N359" s="187"/>
      <c r="O359" s="187"/>
      <c r="P359" s="187"/>
      <c r="Q359" s="188"/>
    </row>
    <row r="360" spans="3:17" s="160" customFormat="1" x14ac:dyDescent="0.25">
      <c r="C360" s="186"/>
      <c r="E360" s="186"/>
      <c r="F360" s="186"/>
      <c r="G360" s="186"/>
      <c r="H360" s="186"/>
      <c r="J360" s="186"/>
      <c r="K360" s="186"/>
      <c r="L360" s="187"/>
      <c r="M360" s="187"/>
      <c r="N360" s="187"/>
      <c r="O360" s="187"/>
      <c r="P360" s="187"/>
      <c r="Q360" s="188"/>
    </row>
    <row r="361" spans="3:17" s="160" customFormat="1" x14ac:dyDescent="0.25">
      <c r="C361" s="186"/>
      <c r="E361" s="186"/>
      <c r="F361" s="186"/>
      <c r="G361" s="186"/>
      <c r="H361" s="186"/>
      <c r="J361" s="186"/>
      <c r="K361" s="186"/>
      <c r="L361" s="187"/>
      <c r="M361" s="187"/>
      <c r="N361" s="187"/>
      <c r="O361" s="187"/>
      <c r="P361" s="187"/>
      <c r="Q361" s="188"/>
    </row>
    <row r="362" spans="3:17" s="160" customFormat="1" x14ac:dyDescent="0.25">
      <c r="C362" s="186"/>
      <c r="E362" s="186"/>
      <c r="F362" s="186"/>
      <c r="G362" s="186"/>
      <c r="H362" s="186"/>
      <c r="J362" s="186"/>
      <c r="K362" s="186"/>
      <c r="L362" s="187"/>
      <c r="M362" s="187"/>
      <c r="N362" s="187"/>
      <c r="O362" s="187"/>
      <c r="P362" s="187"/>
      <c r="Q362" s="188"/>
    </row>
    <row r="363" spans="3:17" s="160" customFormat="1" x14ac:dyDescent="0.25">
      <c r="C363" s="186"/>
      <c r="E363" s="186"/>
      <c r="F363" s="186"/>
      <c r="G363" s="186"/>
      <c r="H363" s="186"/>
      <c r="J363" s="186"/>
      <c r="K363" s="186"/>
      <c r="L363" s="187"/>
      <c r="M363" s="187"/>
      <c r="N363" s="187"/>
      <c r="O363" s="187"/>
      <c r="P363" s="187"/>
      <c r="Q363" s="188"/>
    </row>
    <row r="364" spans="3:17" s="160" customFormat="1" x14ac:dyDescent="0.25">
      <c r="C364" s="186"/>
      <c r="E364" s="186"/>
      <c r="F364" s="186"/>
      <c r="G364" s="186"/>
      <c r="H364" s="186"/>
      <c r="J364" s="186"/>
      <c r="K364" s="186"/>
      <c r="L364" s="187"/>
      <c r="M364" s="187"/>
      <c r="N364" s="187"/>
      <c r="O364" s="187"/>
      <c r="P364" s="187"/>
      <c r="Q364" s="188"/>
    </row>
    <row r="365" spans="3:17" s="160" customFormat="1" x14ac:dyDescent="0.25">
      <c r="C365" s="186"/>
      <c r="E365" s="186"/>
      <c r="F365" s="186"/>
      <c r="G365" s="186"/>
      <c r="H365" s="186"/>
      <c r="J365" s="186"/>
      <c r="K365" s="186"/>
      <c r="L365" s="187"/>
      <c r="M365" s="187"/>
      <c r="N365" s="187"/>
      <c r="O365" s="187"/>
      <c r="P365" s="187"/>
      <c r="Q365" s="188"/>
    </row>
    <row r="366" spans="3:17" s="160" customFormat="1" x14ac:dyDescent="0.25">
      <c r="C366" s="186"/>
      <c r="E366" s="186"/>
      <c r="F366" s="186"/>
      <c r="G366" s="186"/>
      <c r="H366" s="186"/>
      <c r="J366" s="186"/>
      <c r="K366" s="186"/>
      <c r="L366" s="187"/>
      <c r="M366" s="187"/>
      <c r="N366" s="187"/>
      <c r="O366" s="187"/>
      <c r="P366" s="187"/>
      <c r="Q366" s="188"/>
    </row>
    <row r="367" spans="3:17" s="160" customFormat="1" x14ac:dyDescent="0.25">
      <c r="C367" s="186"/>
      <c r="E367" s="186"/>
      <c r="F367" s="186"/>
      <c r="G367" s="186"/>
      <c r="H367" s="186"/>
      <c r="J367" s="186"/>
      <c r="K367" s="186"/>
      <c r="L367" s="187"/>
      <c r="M367" s="187"/>
      <c r="N367" s="187"/>
      <c r="O367" s="187"/>
      <c r="P367" s="187"/>
      <c r="Q367" s="188"/>
    </row>
    <row r="368" spans="3:17" s="160" customFormat="1" x14ac:dyDescent="0.25">
      <c r="C368" s="186"/>
      <c r="E368" s="186"/>
      <c r="F368" s="186"/>
      <c r="G368" s="186"/>
      <c r="H368" s="186"/>
      <c r="J368" s="186"/>
      <c r="K368" s="186"/>
      <c r="L368" s="187"/>
      <c r="M368" s="187"/>
      <c r="N368" s="187"/>
      <c r="O368" s="187"/>
      <c r="P368" s="187"/>
      <c r="Q368" s="188"/>
    </row>
    <row r="369" spans="2:20" x14ac:dyDescent="0.25">
      <c r="B369" s="160"/>
      <c r="C369" s="186"/>
      <c r="D369" s="160"/>
      <c r="E369" s="186"/>
      <c r="F369" s="186"/>
      <c r="G369" s="186"/>
      <c r="H369" s="186"/>
      <c r="I369" s="160"/>
      <c r="J369" s="186"/>
      <c r="K369" s="186"/>
      <c r="L369" s="187"/>
      <c r="M369" s="187"/>
      <c r="N369" s="187"/>
      <c r="O369" s="187"/>
      <c r="P369" s="187"/>
      <c r="Q369" s="188"/>
      <c r="R369" s="160"/>
      <c r="S369" s="160"/>
      <c r="T369" s="160"/>
    </row>
    <row r="370" spans="2:20" x14ac:dyDescent="0.25">
      <c r="B370" s="160"/>
      <c r="C370" s="186"/>
      <c r="D370" s="160"/>
      <c r="E370" s="186"/>
      <c r="F370" s="186"/>
      <c r="G370" s="186"/>
      <c r="H370" s="186"/>
      <c r="I370" s="160"/>
      <c r="J370" s="186"/>
      <c r="K370" s="186"/>
      <c r="L370" s="187"/>
      <c r="M370" s="187"/>
      <c r="N370" s="187"/>
      <c r="O370" s="187"/>
      <c r="P370" s="187"/>
      <c r="Q370" s="188"/>
      <c r="R370" s="160"/>
      <c r="S370" s="160"/>
      <c r="T370" s="160"/>
    </row>
    <row r="371" spans="2:20" x14ac:dyDescent="0.25">
      <c r="B371" s="160"/>
      <c r="C371" s="186"/>
      <c r="D371" s="160"/>
      <c r="E371" s="186"/>
      <c r="F371" s="186"/>
      <c r="G371" s="186"/>
      <c r="H371" s="186"/>
      <c r="I371" s="160"/>
      <c r="J371" s="186"/>
      <c r="K371" s="186"/>
      <c r="L371" s="187"/>
      <c r="M371" s="187"/>
      <c r="N371" s="187"/>
      <c r="O371" s="187"/>
      <c r="P371" s="187"/>
      <c r="Q371" s="188"/>
      <c r="R371" s="160"/>
      <c r="S371" s="160"/>
      <c r="T371" s="160"/>
    </row>
    <row r="372" spans="2:20" x14ac:dyDescent="0.25">
      <c r="B372" s="160"/>
      <c r="C372" s="186"/>
      <c r="D372" s="160"/>
      <c r="E372" s="186"/>
      <c r="F372" s="186"/>
      <c r="G372" s="186"/>
      <c r="H372" s="186"/>
      <c r="I372" s="160"/>
      <c r="J372" s="186"/>
      <c r="K372" s="186"/>
      <c r="L372" s="187"/>
      <c r="M372" s="187"/>
      <c r="N372" s="187"/>
      <c r="O372" s="187"/>
      <c r="P372" s="187"/>
      <c r="Q372" s="188"/>
      <c r="R372" s="160"/>
      <c r="S372" s="160"/>
      <c r="T372" s="160"/>
    </row>
    <row r="378" spans="2:20" x14ac:dyDescent="0.25">
      <c r="H378" s="191"/>
    </row>
  </sheetData>
  <autoFilter ref="A6:T71" xr:uid="{43195761-C710-4AA2-B625-8E8D81F58A3B}"/>
  <mergeCells count="13">
    <mergeCell ref="L56:L57"/>
    <mergeCell ref="M56:M57"/>
    <mergeCell ref="N56:N57"/>
    <mergeCell ref="L66:L67"/>
    <mergeCell ref="M66:M67"/>
    <mergeCell ref="N66:N67"/>
    <mergeCell ref="B7:K7"/>
    <mergeCell ref="N1:Q1"/>
    <mergeCell ref="B2:Q2"/>
    <mergeCell ref="B4:Q4"/>
    <mergeCell ref="L52:L53"/>
    <mergeCell ref="M52:M53"/>
    <mergeCell ref="N52:N53"/>
  </mergeCells>
  <conditionalFormatting sqref="E9">
    <cfRule type="duplicateValues" dxfId="1" priority="1"/>
  </conditionalFormatting>
  <conditionalFormatting sqref="E9">
    <cfRule type="duplicateValues" dxfId="0" priority="2"/>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1p_kopsavilkums</vt:lpstr>
      <vt:lpstr>2p_jūlijs</vt:lpstr>
      <vt:lpstr>3p_augusts</vt:lpstr>
      <vt:lpstr>4p_septembris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Nataļja Maistrenko</dc:creator>
  <cp:lastModifiedBy>Svetlana Batare</cp:lastModifiedBy>
  <cp:lastPrinted>2022-05-05T11:17:25Z</cp:lastPrinted>
  <dcterms:created xsi:type="dcterms:W3CDTF">2022-03-24T15:14:09Z</dcterms:created>
  <dcterms:modified xsi:type="dcterms:W3CDTF">2022-11-28T08:45:18Z</dcterms:modified>
</cp:coreProperties>
</file>