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VM_Liene_Abola\My Documents\MK_Noteikumi_Nr.851\2023_nov_no_01.01.2024\MK_851\"/>
    </mc:Choice>
  </mc:AlternateContent>
  <xr:revisionPtr revIDLastSave="0" documentId="13_ncr:1_{BBF5E3DA-CD1C-467C-90B9-D91A8687739B}" xr6:coauthVersionLast="47" xr6:coauthVersionMax="47" xr10:uidLastSave="{00000000-0000-0000-0000-000000000000}"/>
  <bookViews>
    <workbookView xWindow="-120" yWindow="-120" windowWidth="29040" windowHeight="15840" tabRatio="910" firstSheet="1" activeTab="1" xr2:uid="{2A6925A8-DFFE-464F-919D-CCAC93AACF9D}"/>
  </bookViews>
  <sheets>
    <sheet name="29_01_H_2020" sheetId="21" state="hidden" r:id="rId1"/>
    <sheet name="KOPSAVILKUMS" sheetId="29" r:id="rId2"/>
    <sheet name="caur tarifiem" sheetId="37" r:id="rId3"/>
    <sheet name="rezidenti_algas (valsts_apmaks)" sheetId="35" r:id="rId4"/>
    <sheet name="rezidenti_fin (valsts_apmaks)" sheetId="36" r:id="rId5"/>
    <sheet name="rezidenti_algas (maksas)" sheetId="38" r:id="rId6"/>
    <sheet name="rezidenti_fin (maksas)" sheetId="39" r:id="rId7"/>
    <sheet name="Pārējās ministrijas MK851" sheetId="4" r:id="rId8"/>
    <sheet name="VM NMPD MK851" sheetId="2" r:id="rId9"/>
    <sheet name="VM VADC MK851" sheetId="30" r:id="rId10"/>
    <sheet name="VM VTMEC MK851" sheetId="31" r:id="rId11"/>
    <sheet name="LM_līgumorg_851" sheetId="6" r:id="rId12"/>
    <sheet name="IEM_kapitsab_851" sheetId="7" r:id="rId13"/>
  </sheets>
  <externalReferences>
    <externalReference r:id="rId14"/>
    <externalReference r:id="rId15"/>
    <externalReference r:id="rId16"/>
    <externalReference r:id="rId17"/>
  </externalReferences>
  <definedNames>
    <definedName name="_xlnm.Print_Area" localSheetId="2">'caur tarifiem'!#REF!</definedName>
    <definedName name="_xlnm.Print_Titles" localSheetId="11">LM_līgumorg_851!#REF!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7" i="39" l="1"/>
  <c r="E52" i="7" l="1"/>
  <c r="J51" i="7"/>
  <c r="I51" i="7"/>
  <c r="J50" i="7"/>
  <c r="I50" i="7"/>
  <c r="J49" i="7"/>
  <c r="I49" i="7"/>
  <c r="J48" i="7"/>
  <c r="I48" i="7"/>
  <c r="J47" i="7"/>
  <c r="I47" i="7"/>
  <c r="J46" i="7"/>
  <c r="I46" i="7"/>
  <c r="J45" i="7"/>
  <c r="I45" i="7"/>
  <c r="J44" i="7"/>
  <c r="I44" i="7"/>
  <c r="J41" i="7"/>
  <c r="I41" i="7"/>
  <c r="J40" i="7"/>
  <c r="I40" i="7"/>
  <c r="J39" i="7"/>
  <c r="I39" i="7"/>
  <c r="J38" i="7"/>
  <c r="I38" i="7"/>
  <c r="J37" i="7"/>
  <c r="I37" i="7"/>
  <c r="J36" i="7"/>
  <c r="I36" i="7"/>
  <c r="J34" i="7"/>
  <c r="I34" i="7"/>
  <c r="J32" i="7"/>
  <c r="I32" i="7"/>
  <c r="J31" i="7"/>
  <c r="I31" i="7"/>
  <c r="J30" i="7"/>
  <c r="I30" i="7"/>
  <c r="J29" i="7"/>
  <c r="I29" i="7"/>
  <c r="J28" i="7"/>
  <c r="I28" i="7"/>
  <c r="J27" i="7"/>
  <c r="I27" i="7"/>
  <c r="J26" i="7"/>
  <c r="I26" i="7"/>
  <c r="J25" i="7"/>
  <c r="I25" i="7"/>
  <c r="J24" i="7"/>
  <c r="I24" i="7"/>
  <c r="J23" i="7"/>
  <c r="I23" i="7"/>
  <c r="J22" i="7"/>
  <c r="I22" i="7"/>
  <c r="J21" i="7"/>
  <c r="I21" i="7"/>
  <c r="J20" i="7"/>
  <c r="I20" i="7"/>
  <c r="J19" i="7"/>
  <c r="I19" i="7"/>
  <c r="J18" i="7"/>
  <c r="I18" i="7"/>
  <c r="J17" i="7"/>
  <c r="I17" i="7"/>
  <c r="J16" i="7"/>
  <c r="I16" i="7"/>
  <c r="J15" i="7"/>
  <c r="I15" i="7"/>
  <c r="J14" i="7"/>
  <c r="I14" i="7"/>
  <c r="J13" i="7"/>
  <c r="I13" i="7"/>
  <c r="J12" i="7"/>
  <c r="J52" i="7" s="1"/>
  <c r="B48" i="29" s="1"/>
  <c r="B47" i="29" s="1"/>
  <c r="I12" i="7"/>
  <c r="J446" i="6"/>
  <c r="I446" i="6"/>
  <c r="I445" i="6" s="1"/>
  <c r="H445" i="6"/>
  <c r="G445" i="6"/>
  <c r="F445" i="6"/>
  <c r="E445" i="6"/>
  <c r="J444" i="6"/>
  <c r="I444" i="6"/>
  <c r="J443" i="6"/>
  <c r="I443" i="6"/>
  <c r="J442" i="6"/>
  <c r="I442" i="6"/>
  <c r="J441" i="6"/>
  <c r="I441" i="6"/>
  <c r="J440" i="6"/>
  <c r="I440" i="6"/>
  <c r="J439" i="6"/>
  <c r="I439" i="6"/>
  <c r="I438" i="6" s="1"/>
  <c r="H438" i="6"/>
  <c r="G438" i="6"/>
  <c r="F438" i="6"/>
  <c r="E438" i="6"/>
  <c r="E435" i="6" s="1"/>
  <c r="J437" i="6"/>
  <c r="I437" i="6"/>
  <c r="I436" i="6" s="1"/>
  <c r="H436" i="6"/>
  <c r="G436" i="6"/>
  <c r="F436" i="6"/>
  <c r="E436" i="6"/>
  <c r="G435" i="6"/>
  <c r="G433" i="6" s="1"/>
  <c r="F435" i="6"/>
  <c r="F433" i="6" s="1"/>
  <c r="J434" i="6"/>
  <c r="I434" i="6"/>
  <c r="E433" i="6"/>
  <c r="J432" i="6"/>
  <c r="I432" i="6"/>
  <c r="J431" i="6"/>
  <c r="I431" i="6"/>
  <c r="J430" i="6"/>
  <c r="I430" i="6"/>
  <c r="J429" i="6"/>
  <c r="I429" i="6"/>
  <c r="J428" i="6"/>
  <c r="I428" i="6"/>
  <c r="J427" i="6"/>
  <c r="I427" i="6"/>
  <c r="J426" i="6"/>
  <c r="I426" i="6"/>
  <c r="H425" i="6"/>
  <c r="G425" i="6"/>
  <c r="F425" i="6"/>
  <c r="E425" i="6"/>
  <c r="J424" i="6"/>
  <c r="I424" i="6"/>
  <c r="J423" i="6"/>
  <c r="I423" i="6"/>
  <c r="J422" i="6"/>
  <c r="I422" i="6"/>
  <c r="J421" i="6"/>
  <c r="I421" i="6"/>
  <c r="I420" i="6" s="1"/>
  <c r="H420" i="6"/>
  <c r="G420" i="6"/>
  <c r="F420" i="6"/>
  <c r="E420" i="6"/>
  <c r="E417" i="6"/>
  <c r="J416" i="6"/>
  <c r="J415" i="6"/>
  <c r="I414" i="6"/>
  <c r="H414" i="6"/>
  <c r="G414" i="6"/>
  <c r="F414" i="6"/>
  <c r="E414" i="6"/>
  <c r="J413" i="6"/>
  <c r="J412" i="6"/>
  <c r="J411" i="6"/>
  <c r="J410" i="6"/>
  <c r="J409" i="6"/>
  <c r="J408" i="6"/>
  <c r="J407" i="6"/>
  <c r="I406" i="6"/>
  <c r="H406" i="6"/>
  <c r="G406" i="6"/>
  <c r="F406" i="6"/>
  <c r="E406" i="6"/>
  <c r="J405" i="6"/>
  <c r="J404" i="6"/>
  <c r="J403" i="6"/>
  <c r="J402" i="6"/>
  <c r="J401" i="6"/>
  <c r="J400" i="6"/>
  <c r="J399" i="6"/>
  <c r="J398" i="6"/>
  <c r="J397" i="6"/>
  <c r="J396" i="6"/>
  <c r="J395" i="6"/>
  <c r="J394" i="6"/>
  <c r="J393" i="6"/>
  <c r="J392" i="6"/>
  <c r="J391" i="6"/>
  <c r="J390" i="6"/>
  <c r="J389" i="6"/>
  <c r="J388" i="6"/>
  <c r="J387" i="6"/>
  <c r="J386" i="6"/>
  <c r="J385" i="6"/>
  <c r="J384" i="6"/>
  <c r="J383" i="6"/>
  <c r="J382" i="6"/>
  <c r="J381" i="6"/>
  <c r="J380" i="6"/>
  <c r="J379" i="6"/>
  <c r="J378" i="6"/>
  <c r="J377" i="6"/>
  <c r="J376" i="6"/>
  <c r="J375" i="6"/>
  <c r="J374" i="6"/>
  <c r="J373" i="6"/>
  <c r="J372" i="6"/>
  <c r="J371" i="6"/>
  <c r="J370" i="6"/>
  <c r="I369" i="6"/>
  <c r="H369" i="6"/>
  <c r="G369" i="6"/>
  <c r="F369" i="6"/>
  <c r="E369" i="6"/>
  <c r="J367" i="6"/>
  <c r="J366" i="6"/>
  <c r="J365" i="6"/>
  <c r="J364" i="6"/>
  <c r="J363" i="6"/>
  <c r="J362" i="6"/>
  <c r="J361" i="6"/>
  <c r="J360" i="6"/>
  <c r="J359" i="6"/>
  <c r="I358" i="6"/>
  <c r="H358" i="6"/>
  <c r="G358" i="6"/>
  <c r="F358" i="6"/>
  <c r="E358" i="6"/>
  <c r="J357" i="6"/>
  <c r="J356" i="6"/>
  <c r="J355" i="6"/>
  <c r="J354" i="6"/>
  <c r="J353" i="6"/>
  <c r="J352" i="6"/>
  <c r="J351" i="6"/>
  <c r="J350" i="6"/>
  <c r="J349" i="6"/>
  <c r="J348" i="6"/>
  <c r="J347" i="6"/>
  <c r="J346" i="6"/>
  <c r="J345" i="6"/>
  <c r="J344" i="6"/>
  <c r="J343" i="6"/>
  <c r="J342" i="6"/>
  <c r="J341" i="6"/>
  <c r="J340" i="6"/>
  <c r="J339" i="6"/>
  <c r="J338" i="6"/>
  <c r="J337" i="6"/>
  <c r="J336" i="6"/>
  <c r="J335" i="6"/>
  <c r="J334" i="6"/>
  <c r="J333" i="6"/>
  <c r="J332" i="6"/>
  <c r="J331" i="6"/>
  <c r="J330" i="6"/>
  <c r="J329" i="6"/>
  <c r="J328" i="6"/>
  <c r="J327" i="6"/>
  <c r="J326" i="6"/>
  <c r="J325" i="6"/>
  <c r="J324" i="6"/>
  <c r="J323" i="6"/>
  <c r="J322" i="6"/>
  <c r="J321" i="6"/>
  <c r="J320" i="6"/>
  <c r="J319" i="6"/>
  <c r="J318" i="6"/>
  <c r="J317" i="6"/>
  <c r="J316" i="6"/>
  <c r="J315" i="6"/>
  <c r="J314" i="6"/>
  <c r="J313" i="6"/>
  <c r="J312" i="6"/>
  <c r="J311" i="6"/>
  <c r="J310" i="6"/>
  <c r="J309" i="6"/>
  <c r="J308" i="6"/>
  <c r="J307" i="6"/>
  <c r="J306" i="6"/>
  <c r="J305" i="6"/>
  <c r="J304" i="6"/>
  <c r="J303" i="6"/>
  <c r="J302" i="6"/>
  <c r="J301" i="6"/>
  <c r="J300" i="6"/>
  <c r="J299" i="6"/>
  <c r="J298" i="6"/>
  <c r="J297" i="6"/>
  <c r="J296" i="6"/>
  <c r="J295" i="6"/>
  <c r="J294" i="6"/>
  <c r="J293" i="6"/>
  <c r="J292" i="6"/>
  <c r="J291" i="6"/>
  <c r="J290" i="6"/>
  <c r="J289" i="6"/>
  <c r="J288" i="6"/>
  <c r="J287" i="6"/>
  <c r="I286" i="6"/>
  <c r="H286" i="6"/>
  <c r="G286" i="6"/>
  <c r="F286" i="6"/>
  <c r="E286" i="6"/>
  <c r="J285" i="6"/>
  <c r="J284" i="6"/>
  <c r="J283" i="6"/>
  <c r="J282" i="6"/>
  <c r="J281" i="6"/>
  <c r="J280" i="6"/>
  <c r="J279" i="6"/>
  <c r="J278" i="6"/>
  <c r="J277" i="6"/>
  <c r="J276" i="6"/>
  <c r="J275" i="6"/>
  <c r="J274" i="6"/>
  <c r="J273" i="6"/>
  <c r="J272" i="6"/>
  <c r="J271" i="6"/>
  <c r="J270" i="6"/>
  <c r="J269" i="6"/>
  <c r="J268" i="6"/>
  <c r="J267" i="6"/>
  <c r="J266" i="6"/>
  <c r="J265" i="6"/>
  <c r="J264" i="6"/>
  <c r="J263" i="6"/>
  <c r="J262" i="6"/>
  <c r="J261" i="6"/>
  <c r="J260" i="6"/>
  <c r="I259" i="6"/>
  <c r="H259" i="6"/>
  <c r="G259" i="6"/>
  <c r="F259" i="6"/>
  <c r="E259" i="6"/>
  <c r="J258" i="6"/>
  <c r="J257" i="6"/>
  <c r="J256" i="6"/>
  <c r="J255" i="6"/>
  <c r="J254" i="6"/>
  <c r="J253" i="6"/>
  <c r="J252" i="6"/>
  <c r="J251" i="6"/>
  <c r="J250" i="6"/>
  <c r="J249" i="6"/>
  <c r="J248" i="6"/>
  <c r="J247" i="6"/>
  <c r="J246" i="6"/>
  <c r="J245" i="6"/>
  <c r="J244" i="6"/>
  <c r="J243" i="6"/>
  <c r="J242" i="6"/>
  <c r="J241" i="6"/>
  <c r="J240" i="6"/>
  <c r="J239" i="6"/>
  <c r="J238" i="6"/>
  <c r="J237" i="6"/>
  <c r="J236" i="6"/>
  <c r="J235" i="6"/>
  <c r="J234" i="6"/>
  <c r="J233" i="6"/>
  <c r="J232" i="6"/>
  <c r="J231" i="6"/>
  <c r="J230" i="6"/>
  <c r="J229" i="6"/>
  <c r="J228" i="6"/>
  <c r="J227" i="6"/>
  <c r="J226" i="6"/>
  <c r="J225" i="6"/>
  <c r="J224" i="6"/>
  <c r="J223" i="6"/>
  <c r="J222" i="6"/>
  <c r="J221" i="6"/>
  <c r="J220" i="6"/>
  <c r="J219" i="6"/>
  <c r="J218" i="6"/>
  <c r="J217" i="6"/>
  <c r="I216" i="6"/>
  <c r="H216" i="6"/>
  <c r="G216" i="6"/>
  <c r="F216" i="6"/>
  <c r="E216" i="6"/>
  <c r="E215" i="6"/>
  <c r="J211" i="6"/>
  <c r="I211" i="6"/>
  <c r="I210" i="6" s="1"/>
  <c r="H210" i="6"/>
  <c r="G210" i="6"/>
  <c r="F210" i="6"/>
  <c r="E210" i="6"/>
  <c r="I209" i="6"/>
  <c r="I207" i="6" s="1"/>
  <c r="I206" i="6" s="1"/>
  <c r="J208" i="6"/>
  <c r="H207" i="6"/>
  <c r="H206" i="6" s="1"/>
  <c r="G207" i="6"/>
  <c r="F207" i="6"/>
  <c r="F206" i="6" s="1"/>
  <c r="E207" i="6"/>
  <c r="G206" i="6"/>
  <c r="J199" i="6"/>
  <c r="I199" i="6"/>
  <c r="J198" i="6"/>
  <c r="I198" i="6"/>
  <c r="J197" i="6"/>
  <c r="I197" i="6"/>
  <c r="H196" i="6"/>
  <c r="H195" i="6" s="1"/>
  <c r="G196" i="6"/>
  <c r="F196" i="6"/>
  <c r="F195" i="6" s="1"/>
  <c r="E196" i="6"/>
  <c r="E195" i="6" s="1"/>
  <c r="G195" i="6"/>
  <c r="J194" i="6"/>
  <c r="I194" i="6"/>
  <c r="I193" i="6"/>
  <c r="H193" i="6"/>
  <c r="G193" i="6"/>
  <c r="F193" i="6"/>
  <c r="E193" i="6"/>
  <c r="J192" i="6"/>
  <c r="I192" i="6"/>
  <c r="I191" i="6" s="1"/>
  <c r="H191" i="6"/>
  <c r="G191" i="6"/>
  <c r="F191" i="6"/>
  <c r="E191" i="6"/>
  <c r="J190" i="6"/>
  <c r="I190" i="6"/>
  <c r="I189" i="6"/>
  <c r="H189" i="6"/>
  <c r="G189" i="6"/>
  <c r="F189" i="6"/>
  <c r="F188" i="6" s="1"/>
  <c r="E189" i="6"/>
  <c r="E188" i="6" s="1"/>
  <c r="E204" i="6" s="1"/>
  <c r="J185" i="6"/>
  <c r="I185" i="6"/>
  <c r="I184" i="6" s="1"/>
  <c r="H184" i="6"/>
  <c r="G184" i="6"/>
  <c r="F184" i="6"/>
  <c r="E184" i="6"/>
  <c r="I183" i="6"/>
  <c r="I182" i="6"/>
  <c r="I181" i="6" s="1"/>
  <c r="H181" i="6"/>
  <c r="G181" i="6"/>
  <c r="F181" i="6"/>
  <c r="E181" i="6"/>
  <c r="I180" i="6"/>
  <c r="J179" i="6"/>
  <c r="I179" i="6"/>
  <c r="I178" i="6" s="1"/>
  <c r="H178" i="6"/>
  <c r="G178" i="6"/>
  <c r="F178" i="6"/>
  <c r="F174" i="6" s="1"/>
  <c r="E178" i="6"/>
  <c r="I177" i="6"/>
  <c r="I176" i="6"/>
  <c r="I175" i="6" s="1"/>
  <c r="H175" i="6"/>
  <c r="H174" i="6" s="1"/>
  <c r="G175" i="6"/>
  <c r="G174" i="6" s="1"/>
  <c r="F175" i="6"/>
  <c r="E175" i="6"/>
  <c r="E174" i="6"/>
  <c r="I172" i="6"/>
  <c r="H172" i="6"/>
  <c r="G172" i="6"/>
  <c r="F172" i="6"/>
  <c r="E172" i="6"/>
  <c r="E161" i="6" s="1"/>
  <c r="E186" i="6" s="1"/>
  <c r="J171" i="6"/>
  <c r="I171" i="6"/>
  <c r="J170" i="6"/>
  <c r="I170" i="6"/>
  <c r="J169" i="6"/>
  <c r="I169" i="6"/>
  <c r="J168" i="6"/>
  <c r="I168" i="6"/>
  <c r="J167" i="6"/>
  <c r="I167" i="6"/>
  <c r="H166" i="6"/>
  <c r="G166" i="6"/>
  <c r="F166" i="6"/>
  <c r="E166" i="6"/>
  <c r="J165" i="6"/>
  <c r="I165" i="6"/>
  <c r="I164" i="6" s="1"/>
  <c r="H164" i="6"/>
  <c r="G164" i="6"/>
  <c r="F164" i="6"/>
  <c r="E164" i="6"/>
  <c r="J163" i="6"/>
  <c r="I163" i="6"/>
  <c r="I162" i="6"/>
  <c r="H162" i="6"/>
  <c r="G162" i="6"/>
  <c r="F162" i="6"/>
  <c r="F161" i="6" s="1"/>
  <c r="E162" i="6"/>
  <c r="J158" i="6"/>
  <c r="I158" i="6"/>
  <c r="J157" i="6"/>
  <c r="I157" i="6"/>
  <c r="J156" i="6"/>
  <c r="I156" i="6"/>
  <c r="J155" i="6"/>
  <c r="I155" i="6"/>
  <c r="H154" i="6"/>
  <c r="G154" i="6"/>
  <c r="F154" i="6"/>
  <c r="E154" i="6"/>
  <c r="I153" i="6"/>
  <c r="I152" i="6"/>
  <c r="I151" i="6"/>
  <c r="H150" i="6"/>
  <c r="G150" i="6"/>
  <c r="F150" i="6"/>
  <c r="E150" i="6"/>
  <c r="J149" i="6"/>
  <c r="I149" i="6"/>
  <c r="J148" i="6"/>
  <c r="I148" i="6"/>
  <c r="J147" i="6"/>
  <c r="I147" i="6"/>
  <c r="J146" i="6"/>
  <c r="I146" i="6"/>
  <c r="J145" i="6"/>
  <c r="I145" i="6"/>
  <c r="J144" i="6"/>
  <c r="I144" i="6"/>
  <c r="J143" i="6"/>
  <c r="I143" i="6"/>
  <c r="J142" i="6"/>
  <c r="I142" i="6"/>
  <c r="J141" i="6"/>
  <c r="I141" i="6"/>
  <c r="I138" i="6" s="1"/>
  <c r="J140" i="6"/>
  <c r="I140" i="6"/>
  <c r="J139" i="6"/>
  <c r="I139" i="6"/>
  <c r="H138" i="6"/>
  <c r="H137" i="6" s="1"/>
  <c r="G138" i="6"/>
  <c r="F138" i="6"/>
  <c r="E138" i="6"/>
  <c r="E137" i="6" s="1"/>
  <c r="J136" i="6"/>
  <c r="I136" i="6"/>
  <c r="I135" i="6" s="1"/>
  <c r="H135" i="6"/>
  <c r="G135" i="6"/>
  <c r="F135" i="6"/>
  <c r="E135" i="6"/>
  <c r="J134" i="6"/>
  <c r="I134" i="6"/>
  <c r="I133" i="6" s="1"/>
  <c r="H133" i="6"/>
  <c r="G133" i="6"/>
  <c r="G129" i="6" s="1"/>
  <c r="F133" i="6"/>
  <c r="E133" i="6"/>
  <c r="J132" i="6"/>
  <c r="I132" i="6"/>
  <c r="J131" i="6"/>
  <c r="I131" i="6"/>
  <c r="I130" i="6"/>
  <c r="H130" i="6"/>
  <c r="G130" i="6"/>
  <c r="F130" i="6"/>
  <c r="E130" i="6"/>
  <c r="E129" i="6" s="1"/>
  <c r="E159" i="6" s="1"/>
  <c r="F129" i="6"/>
  <c r="J126" i="6"/>
  <c r="I126" i="6"/>
  <c r="J125" i="6"/>
  <c r="I125" i="6"/>
  <c r="J124" i="6"/>
  <c r="I124" i="6"/>
  <c r="J123" i="6"/>
  <c r="I123" i="6"/>
  <c r="H122" i="6"/>
  <c r="G122" i="6"/>
  <c r="G121" i="6" s="1"/>
  <c r="F122" i="6"/>
  <c r="F121" i="6" s="1"/>
  <c r="E122" i="6"/>
  <c r="E121" i="6" s="1"/>
  <c r="H121" i="6"/>
  <c r="J119" i="6"/>
  <c r="I119" i="6"/>
  <c r="J118" i="6"/>
  <c r="I118" i="6"/>
  <c r="J117" i="6"/>
  <c r="I117" i="6"/>
  <c r="I116" i="6" s="1"/>
  <c r="H116" i="6"/>
  <c r="G116" i="6"/>
  <c r="F116" i="6"/>
  <c r="E116" i="6"/>
  <c r="J115" i="6"/>
  <c r="I115" i="6"/>
  <c r="I114" i="6" s="1"/>
  <c r="H114" i="6"/>
  <c r="G114" i="6"/>
  <c r="F114" i="6"/>
  <c r="E114" i="6"/>
  <c r="E113" i="6" s="1"/>
  <c r="H113" i="6"/>
  <c r="J110" i="6"/>
  <c r="I110" i="6"/>
  <c r="J109" i="6"/>
  <c r="I109" i="6"/>
  <c r="I108" i="6" s="1"/>
  <c r="I107" i="6" s="1"/>
  <c r="H108" i="6"/>
  <c r="H107" i="6" s="1"/>
  <c r="G108" i="6"/>
  <c r="F108" i="6"/>
  <c r="E108" i="6"/>
  <c r="E107" i="6" s="1"/>
  <c r="G107" i="6"/>
  <c r="F107" i="6"/>
  <c r="I106" i="6"/>
  <c r="I105" i="6" s="1"/>
  <c r="H105" i="6"/>
  <c r="G105" i="6"/>
  <c r="F105" i="6"/>
  <c r="E105" i="6"/>
  <c r="I104" i="6"/>
  <c r="I103" i="6"/>
  <c r="I102" i="6"/>
  <c r="H101" i="6"/>
  <c r="G101" i="6"/>
  <c r="F101" i="6"/>
  <c r="E101" i="6"/>
  <c r="J100" i="6"/>
  <c r="I100" i="6"/>
  <c r="I99" i="6" s="1"/>
  <c r="H99" i="6"/>
  <c r="G99" i="6"/>
  <c r="F99" i="6"/>
  <c r="F98" i="6" s="1"/>
  <c r="E99" i="6"/>
  <c r="J95" i="6"/>
  <c r="I95" i="6"/>
  <c r="I94" i="6"/>
  <c r="H94" i="6"/>
  <c r="G94" i="6"/>
  <c r="G91" i="6" s="1"/>
  <c r="F94" i="6"/>
  <c r="E94" i="6"/>
  <c r="J93" i="6"/>
  <c r="I93" i="6"/>
  <c r="I92" i="6" s="1"/>
  <c r="I91" i="6" s="1"/>
  <c r="H92" i="6"/>
  <c r="H91" i="6" s="1"/>
  <c r="G92" i="6"/>
  <c r="F92" i="6"/>
  <c r="E92" i="6"/>
  <c r="E91" i="6" s="1"/>
  <c r="F91" i="6"/>
  <c r="J90" i="6"/>
  <c r="I90" i="6"/>
  <c r="I89" i="6" s="1"/>
  <c r="H89" i="6"/>
  <c r="G89" i="6"/>
  <c r="F89" i="6"/>
  <c r="E89" i="6"/>
  <c r="J88" i="6"/>
  <c r="I88" i="6"/>
  <c r="I87" i="6" s="1"/>
  <c r="H87" i="6"/>
  <c r="G87" i="6"/>
  <c r="G84" i="6" s="1"/>
  <c r="F87" i="6"/>
  <c r="E87" i="6"/>
  <c r="I85" i="6"/>
  <c r="H85" i="6"/>
  <c r="H84" i="6" s="1"/>
  <c r="G85" i="6"/>
  <c r="F85" i="6"/>
  <c r="E85" i="6"/>
  <c r="F84" i="6"/>
  <c r="E84" i="6"/>
  <c r="J81" i="6"/>
  <c r="I81" i="6"/>
  <c r="I80" i="6"/>
  <c r="H80" i="6"/>
  <c r="H79" i="6" s="1"/>
  <c r="G80" i="6"/>
  <c r="G79" i="6" s="1"/>
  <c r="F80" i="6"/>
  <c r="F79" i="6" s="1"/>
  <c r="E80" i="6"/>
  <c r="E79" i="6" s="1"/>
  <c r="I79" i="6"/>
  <c r="J78" i="6"/>
  <c r="I78" i="6"/>
  <c r="I76" i="6" s="1"/>
  <c r="J77" i="6"/>
  <c r="I77" i="6"/>
  <c r="H76" i="6"/>
  <c r="G76" i="6"/>
  <c r="G69" i="6" s="1"/>
  <c r="F76" i="6"/>
  <c r="E76" i="6"/>
  <c r="I75" i="6"/>
  <c r="I74" i="6"/>
  <c r="I72" i="6" s="1"/>
  <c r="I73" i="6"/>
  <c r="H72" i="6"/>
  <c r="G72" i="6"/>
  <c r="F72" i="6"/>
  <c r="E72" i="6"/>
  <c r="I70" i="6"/>
  <c r="H70" i="6"/>
  <c r="H69" i="6" s="1"/>
  <c r="G70" i="6"/>
  <c r="F70" i="6"/>
  <c r="E70" i="6"/>
  <c r="F69" i="6"/>
  <c r="E69" i="6"/>
  <c r="E82" i="6" s="1"/>
  <c r="I66" i="6"/>
  <c r="I65" i="6" s="1"/>
  <c r="I64" i="6" s="1"/>
  <c r="H65" i="6"/>
  <c r="G65" i="6"/>
  <c r="F65" i="6"/>
  <c r="F64" i="6" s="1"/>
  <c r="E65" i="6"/>
  <c r="E64" i="6" s="1"/>
  <c r="H64" i="6"/>
  <c r="G64" i="6"/>
  <c r="I63" i="6"/>
  <c r="I62" i="6"/>
  <c r="I61" i="6"/>
  <c r="I60" i="6" s="1"/>
  <c r="H60" i="6"/>
  <c r="G60" i="6"/>
  <c r="F60" i="6"/>
  <c r="E60" i="6"/>
  <c r="I59" i="6"/>
  <c r="J58" i="6"/>
  <c r="I58" i="6"/>
  <c r="J57" i="6"/>
  <c r="I57" i="6"/>
  <c r="H56" i="6"/>
  <c r="G56" i="6"/>
  <c r="F56" i="6"/>
  <c r="F53" i="6" s="1"/>
  <c r="E56" i="6"/>
  <c r="J55" i="6"/>
  <c r="I55" i="6"/>
  <c r="I54" i="6" s="1"/>
  <c r="H54" i="6"/>
  <c r="G54" i="6"/>
  <c r="G53" i="6" s="1"/>
  <c r="F54" i="6"/>
  <c r="E54" i="6"/>
  <c r="H53" i="6"/>
  <c r="J50" i="6"/>
  <c r="I49" i="6"/>
  <c r="I48" i="6" s="1"/>
  <c r="H49" i="6"/>
  <c r="H48" i="6" s="1"/>
  <c r="G49" i="6"/>
  <c r="G48" i="6" s="1"/>
  <c r="F49" i="6"/>
  <c r="F48" i="6" s="1"/>
  <c r="E49" i="6"/>
  <c r="E48" i="6" s="1"/>
  <c r="J47" i="6"/>
  <c r="J46" i="6"/>
  <c r="J45" i="6"/>
  <c r="J44" i="6"/>
  <c r="J43" i="6"/>
  <c r="J42" i="6"/>
  <c r="I41" i="6"/>
  <c r="I40" i="6" s="1"/>
  <c r="H41" i="6"/>
  <c r="H40" i="6" s="1"/>
  <c r="G41" i="6"/>
  <c r="G40" i="6" s="1"/>
  <c r="F41" i="6"/>
  <c r="F40" i="6" s="1"/>
  <c r="E41" i="6"/>
  <c r="E40" i="6"/>
  <c r="I39" i="6"/>
  <c r="I38" i="6"/>
  <c r="H38" i="6"/>
  <c r="G38" i="6"/>
  <c r="F38" i="6"/>
  <c r="E38" i="6"/>
  <c r="I37" i="6"/>
  <c r="I36" i="6"/>
  <c r="I35" i="6"/>
  <c r="I34" i="6"/>
  <c r="H34" i="6"/>
  <c r="G34" i="6"/>
  <c r="F34" i="6"/>
  <c r="E34" i="6"/>
  <c r="I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I14" i="6"/>
  <c r="H14" i="6"/>
  <c r="G14" i="6"/>
  <c r="F14" i="6"/>
  <c r="E14" i="6"/>
  <c r="J13" i="6"/>
  <c r="J12" i="6"/>
  <c r="J11" i="6"/>
  <c r="I10" i="6"/>
  <c r="H10" i="6"/>
  <c r="G10" i="6"/>
  <c r="F10" i="6"/>
  <c r="E10" i="6"/>
  <c r="H9" i="6"/>
  <c r="G9" i="6"/>
  <c r="F9" i="6"/>
  <c r="E9" i="6"/>
  <c r="D42" i="31"/>
  <c r="I41" i="31"/>
  <c r="H41" i="31"/>
  <c r="I40" i="31"/>
  <c r="H40" i="31"/>
  <c r="I39" i="31"/>
  <c r="H39" i="31"/>
  <c r="I38" i="31"/>
  <c r="H38" i="31"/>
  <c r="I37" i="31"/>
  <c r="H37" i="31"/>
  <c r="I36" i="31"/>
  <c r="H36" i="31"/>
  <c r="I35" i="31"/>
  <c r="H35" i="31"/>
  <c r="I34" i="31"/>
  <c r="H34" i="31"/>
  <c r="I33" i="31"/>
  <c r="H33" i="31"/>
  <c r="I32" i="31"/>
  <c r="H32" i="31"/>
  <c r="I31" i="31"/>
  <c r="H31" i="31"/>
  <c r="I30" i="31"/>
  <c r="H30" i="31"/>
  <c r="I29" i="31"/>
  <c r="H29" i="31"/>
  <c r="I28" i="31"/>
  <c r="H28" i="31"/>
  <c r="I27" i="31"/>
  <c r="H27" i="31"/>
  <c r="I26" i="31"/>
  <c r="H26" i="31"/>
  <c r="I25" i="31"/>
  <c r="H25" i="31"/>
  <c r="I24" i="31"/>
  <c r="H24" i="31"/>
  <c r="I23" i="31"/>
  <c r="H23" i="31"/>
  <c r="I22" i="31"/>
  <c r="H22" i="31"/>
  <c r="I21" i="31"/>
  <c r="H21" i="31"/>
  <c r="I20" i="31"/>
  <c r="H20" i="31"/>
  <c r="I19" i="31"/>
  <c r="H19" i="31"/>
  <c r="I18" i="31"/>
  <c r="H18" i="31"/>
  <c r="I17" i="31"/>
  <c r="H17" i="31"/>
  <c r="I16" i="31"/>
  <c r="H16" i="31"/>
  <c r="I15" i="31"/>
  <c r="H15" i="31"/>
  <c r="I14" i="31"/>
  <c r="H14" i="31"/>
  <c r="I13" i="31"/>
  <c r="H13" i="31"/>
  <c r="I12" i="31"/>
  <c r="H12" i="31"/>
  <c r="D75" i="30"/>
  <c r="I74" i="30"/>
  <c r="H74" i="30"/>
  <c r="I73" i="30"/>
  <c r="I72" i="30" s="1"/>
  <c r="I71" i="30" s="1"/>
  <c r="H73" i="30"/>
  <c r="I70" i="30"/>
  <c r="I69" i="30" s="1"/>
  <c r="H70" i="30"/>
  <c r="I68" i="30"/>
  <c r="I67" i="30" s="1"/>
  <c r="H68" i="30"/>
  <c r="D62" i="30"/>
  <c r="I61" i="30"/>
  <c r="I60" i="30" s="1"/>
  <c r="I59" i="30" s="1"/>
  <c r="H61" i="30"/>
  <c r="I58" i="30"/>
  <c r="H58" i="30"/>
  <c r="I57" i="30"/>
  <c r="H57" i="30"/>
  <c r="I56" i="30"/>
  <c r="H56" i="30"/>
  <c r="I55" i="30"/>
  <c r="H55" i="30"/>
  <c r="I54" i="30"/>
  <c r="H54" i="30"/>
  <c r="I53" i="30"/>
  <c r="H53" i="30"/>
  <c r="I52" i="30"/>
  <c r="H52" i="30"/>
  <c r="I50" i="30"/>
  <c r="H50" i="30"/>
  <c r="I49" i="30"/>
  <c r="H49" i="30"/>
  <c r="I48" i="30"/>
  <c r="H48" i="30"/>
  <c r="I47" i="30"/>
  <c r="H47" i="30"/>
  <c r="I46" i="30"/>
  <c r="H46" i="30"/>
  <c r="I45" i="30"/>
  <c r="H45" i="30"/>
  <c r="I44" i="30"/>
  <c r="I40" i="30" s="1"/>
  <c r="H44" i="30"/>
  <c r="I43" i="30"/>
  <c r="H43" i="30"/>
  <c r="I42" i="30"/>
  <c r="H42" i="30"/>
  <c r="I41" i="30"/>
  <c r="H41" i="30"/>
  <c r="I38" i="30"/>
  <c r="H38" i="30"/>
  <c r="I37" i="30"/>
  <c r="H37" i="30"/>
  <c r="I36" i="30"/>
  <c r="H36" i="30"/>
  <c r="I35" i="30"/>
  <c r="H35" i="30"/>
  <c r="I34" i="30"/>
  <c r="H34" i="30"/>
  <c r="I33" i="30"/>
  <c r="H33" i="30"/>
  <c r="I32" i="30"/>
  <c r="H32" i="30"/>
  <c r="I31" i="30"/>
  <c r="H31" i="30"/>
  <c r="I30" i="30"/>
  <c r="H30" i="30"/>
  <c r="I29" i="30"/>
  <c r="H29" i="30"/>
  <c r="I28" i="30"/>
  <c r="H28" i="30"/>
  <c r="I26" i="30"/>
  <c r="H26" i="30"/>
  <c r="I25" i="30"/>
  <c r="H25" i="30"/>
  <c r="I24" i="30"/>
  <c r="H24" i="30"/>
  <c r="I23" i="30"/>
  <c r="H23" i="30"/>
  <c r="I22" i="30"/>
  <c r="H22" i="30"/>
  <c r="I21" i="30"/>
  <c r="H21" i="30"/>
  <c r="I20" i="30"/>
  <c r="H20" i="30"/>
  <c r="I19" i="30"/>
  <c r="H19" i="30"/>
  <c r="I18" i="30"/>
  <c r="H18" i="30"/>
  <c r="I17" i="30"/>
  <c r="H17" i="30"/>
  <c r="I16" i="30"/>
  <c r="H16" i="30"/>
  <c r="I15" i="30"/>
  <c r="H15" i="30"/>
  <c r="I14" i="30"/>
  <c r="H14" i="30"/>
  <c r="I13" i="30"/>
  <c r="H13" i="30"/>
  <c r="I12" i="30"/>
  <c r="H12" i="30"/>
  <c r="D111" i="2"/>
  <c r="I110" i="2"/>
  <c r="I109" i="2" s="1"/>
  <c r="I108" i="2" s="1"/>
  <c r="H110" i="2"/>
  <c r="I107" i="2"/>
  <c r="H107" i="2"/>
  <c r="I106" i="2"/>
  <c r="H106" i="2"/>
  <c r="I105" i="2"/>
  <c r="H105" i="2"/>
  <c r="I104" i="2"/>
  <c r="H104" i="2"/>
  <c r="I103" i="2"/>
  <c r="H103" i="2"/>
  <c r="I100" i="2"/>
  <c r="H100" i="2"/>
  <c r="I99" i="2"/>
  <c r="H99" i="2"/>
  <c r="I98" i="2"/>
  <c r="H98" i="2"/>
  <c r="I97" i="2"/>
  <c r="H97" i="2"/>
  <c r="I96" i="2"/>
  <c r="H96" i="2"/>
  <c r="I95" i="2"/>
  <c r="H95" i="2"/>
  <c r="I93" i="2"/>
  <c r="I92" i="2" s="1"/>
  <c r="H93" i="2"/>
  <c r="I91" i="2"/>
  <c r="H91" i="2"/>
  <c r="I90" i="2"/>
  <c r="H90" i="2"/>
  <c r="I89" i="2"/>
  <c r="H89" i="2"/>
  <c r="I88" i="2"/>
  <c r="H88" i="2"/>
  <c r="I85" i="2"/>
  <c r="H85" i="2"/>
  <c r="I84" i="2"/>
  <c r="H84" i="2"/>
  <c r="I83" i="2"/>
  <c r="H83" i="2"/>
  <c r="I82" i="2"/>
  <c r="H82" i="2"/>
  <c r="I81" i="2"/>
  <c r="H81" i="2"/>
  <c r="I80" i="2"/>
  <c r="H80" i="2"/>
  <c r="I79" i="2"/>
  <c r="H79" i="2"/>
  <c r="I78" i="2"/>
  <c r="H78" i="2"/>
  <c r="I77" i="2"/>
  <c r="H77" i="2"/>
  <c r="I76" i="2"/>
  <c r="H76" i="2"/>
  <c r="I75" i="2"/>
  <c r="H75" i="2"/>
  <c r="I74" i="2"/>
  <c r="H74" i="2"/>
  <c r="I73" i="2"/>
  <c r="H73" i="2"/>
  <c r="I72" i="2"/>
  <c r="H72" i="2"/>
  <c r="I71" i="2"/>
  <c r="H71" i="2"/>
  <c r="I70" i="2"/>
  <c r="H70" i="2"/>
  <c r="I69" i="2"/>
  <c r="H69" i="2"/>
  <c r="I68" i="2"/>
  <c r="H68" i="2"/>
  <c r="I67" i="2"/>
  <c r="H67" i="2"/>
  <c r="I66" i="2"/>
  <c r="H66" i="2"/>
  <c r="I65" i="2"/>
  <c r="H65" i="2"/>
  <c r="I64" i="2"/>
  <c r="H64" i="2"/>
  <c r="I63" i="2"/>
  <c r="H63" i="2"/>
  <c r="I62" i="2"/>
  <c r="H62" i="2"/>
  <c r="I61" i="2"/>
  <c r="H61" i="2"/>
  <c r="I60" i="2"/>
  <c r="H60" i="2"/>
  <c r="I59" i="2"/>
  <c r="H59" i="2"/>
  <c r="I58" i="2"/>
  <c r="H58" i="2"/>
  <c r="I57" i="2"/>
  <c r="H57" i="2"/>
  <c r="I56" i="2"/>
  <c r="H56" i="2"/>
  <c r="I55" i="2"/>
  <c r="H55" i="2"/>
  <c r="I54" i="2"/>
  <c r="H54" i="2"/>
  <c r="I53" i="2"/>
  <c r="H53" i="2"/>
  <c r="I52" i="2"/>
  <c r="H52" i="2"/>
  <c r="I51" i="2"/>
  <c r="H51" i="2"/>
  <c r="I50" i="2"/>
  <c r="H50" i="2"/>
  <c r="I48" i="2"/>
  <c r="H48" i="2"/>
  <c r="I47" i="2"/>
  <c r="H47" i="2"/>
  <c r="I46" i="2"/>
  <c r="H46" i="2"/>
  <c r="I45" i="2"/>
  <c r="H45" i="2"/>
  <c r="I44" i="2"/>
  <c r="H44" i="2"/>
  <c r="I43" i="2"/>
  <c r="H43" i="2"/>
  <c r="I42" i="2"/>
  <c r="H42" i="2"/>
  <c r="I41" i="2"/>
  <c r="H41" i="2"/>
  <c r="I40" i="2"/>
  <c r="H40" i="2"/>
  <c r="I39" i="2"/>
  <c r="H39" i="2"/>
  <c r="I38" i="2"/>
  <c r="H38" i="2"/>
  <c r="I37" i="2"/>
  <c r="H37" i="2"/>
  <c r="I36" i="2"/>
  <c r="H36" i="2"/>
  <c r="I35" i="2"/>
  <c r="H35" i="2"/>
  <c r="I34" i="2"/>
  <c r="H34" i="2"/>
  <c r="I33" i="2"/>
  <c r="H33" i="2"/>
  <c r="I32" i="2"/>
  <c r="H32" i="2"/>
  <c r="I31" i="2"/>
  <c r="H31" i="2"/>
  <c r="I30" i="2"/>
  <c r="H30" i="2"/>
  <c r="I29" i="2"/>
  <c r="H29" i="2"/>
  <c r="I28" i="2"/>
  <c r="H28" i="2"/>
  <c r="I27" i="2"/>
  <c r="H27" i="2"/>
  <c r="I26" i="2"/>
  <c r="H26" i="2"/>
  <c r="I25" i="2"/>
  <c r="H25" i="2"/>
  <c r="I24" i="2"/>
  <c r="H24" i="2"/>
  <c r="I23" i="2"/>
  <c r="H23" i="2"/>
  <c r="I22" i="2"/>
  <c r="H22" i="2"/>
  <c r="I21" i="2"/>
  <c r="H21" i="2"/>
  <c r="I20" i="2"/>
  <c r="H20" i="2"/>
  <c r="I19" i="2"/>
  <c r="H19" i="2"/>
  <c r="I18" i="2"/>
  <c r="H18" i="2"/>
  <c r="I17" i="2"/>
  <c r="H17" i="2"/>
  <c r="I16" i="2"/>
  <c r="H16" i="2"/>
  <c r="I15" i="2"/>
  <c r="H15" i="2"/>
  <c r="I14" i="2"/>
  <c r="H14" i="2"/>
  <c r="I13" i="2"/>
  <c r="H13" i="2"/>
  <c r="I12" i="2"/>
  <c r="H12" i="2"/>
  <c r="B46" i="29"/>
  <c r="B45" i="29" s="1"/>
  <c r="B33" i="29"/>
  <c r="B32" i="29" s="1"/>
  <c r="B31" i="29" s="1"/>
  <c r="B43" i="29"/>
  <c r="B42" i="29" s="1"/>
  <c r="B41" i="29" s="1"/>
  <c r="I11" i="2" l="1"/>
  <c r="B44" i="29"/>
  <c r="I87" i="2"/>
  <c r="I94" i="2"/>
  <c r="I435" i="6"/>
  <c r="I433" i="6" s="1"/>
  <c r="I419" i="6" s="1"/>
  <c r="I174" i="6"/>
  <c r="E51" i="6"/>
  <c r="J213" i="6"/>
  <c r="B40" i="29" s="1"/>
  <c r="B39" i="29" s="1"/>
  <c r="E53" i="6"/>
  <c r="G113" i="6"/>
  <c r="F137" i="6"/>
  <c r="G161" i="6"/>
  <c r="I166" i="6"/>
  <c r="G188" i="6"/>
  <c r="H188" i="6"/>
  <c r="I196" i="6"/>
  <c r="I195" i="6" s="1"/>
  <c r="J447" i="6"/>
  <c r="B38" i="29" s="1"/>
  <c r="B37" i="29" s="1"/>
  <c r="F113" i="6"/>
  <c r="G137" i="6"/>
  <c r="H161" i="6"/>
  <c r="E206" i="6"/>
  <c r="E212" i="6" s="1"/>
  <c r="I56" i="6"/>
  <c r="I53" i="6" s="1"/>
  <c r="E98" i="6"/>
  <c r="E111" i="6" s="1"/>
  <c r="I161" i="6"/>
  <c r="H98" i="6"/>
  <c r="I129" i="6"/>
  <c r="H129" i="6"/>
  <c r="J417" i="6"/>
  <c r="E419" i="6"/>
  <c r="E447" i="6" s="1"/>
  <c r="I425" i="6"/>
  <c r="H435" i="6"/>
  <c r="H433" i="6" s="1"/>
  <c r="H419" i="6" s="1"/>
  <c r="G98" i="6"/>
  <c r="I101" i="6"/>
  <c r="I154" i="6"/>
  <c r="I9" i="6"/>
  <c r="E96" i="6"/>
  <c r="I122" i="6"/>
  <c r="I121" i="6" s="1"/>
  <c r="I150" i="6"/>
  <c r="I137" i="6" s="1"/>
  <c r="G419" i="6"/>
  <c r="I98" i="6"/>
  <c r="E368" i="6"/>
  <c r="I188" i="6"/>
  <c r="E67" i="6"/>
  <c r="E127" i="6"/>
  <c r="I84" i="6"/>
  <c r="I113" i="6"/>
  <c r="F419" i="6"/>
  <c r="I69" i="6"/>
  <c r="I11" i="31"/>
  <c r="I10" i="31" s="1"/>
  <c r="I42" i="31" s="1"/>
  <c r="B27" i="29" s="1"/>
  <c r="B26" i="29" s="1"/>
  <c r="I27" i="30"/>
  <c r="I51" i="30"/>
  <c r="I39" i="30" s="1"/>
  <c r="I11" i="30"/>
  <c r="I10" i="30" s="1"/>
  <c r="I66" i="30"/>
  <c r="I75" i="30" s="1"/>
  <c r="B23" i="29" s="1"/>
  <c r="I49" i="2"/>
  <c r="I10" i="2" s="1"/>
  <c r="I102" i="2"/>
  <c r="I101" i="2" s="1"/>
  <c r="I111" i="2" s="1"/>
  <c r="B25" i="29" s="1"/>
  <c r="B24" i="29" s="1"/>
  <c r="I86" i="2"/>
  <c r="I62" i="30" l="1"/>
  <c r="B22" i="29" s="1"/>
  <c r="B21" i="29" s="1"/>
  <c r="J448" i="6"/>
  <c r="B36" i="29"/>
  <c r="B35" i="29" s="1"/>
  <c r="B34" i="29" s="1"/>
  <c r="B30" i="29" s="1"/>
  <c r="E448" i="6"/>
  <c r="K19" i="39" l="1"/>
  <c r="J12" i="39" l="1"/>
  <c r="I12" i="39"/>
  <c r="H12" i="39"/>
  <c r="G12" i="39"/>
  <c r="D20" i="38"/>
  <c r="E20" i="38"/>
  <c r="C20" i="38"/>
  <c r="E9" i="38"/>
  <c r="E8" i="38" s="1"/>
  <c r="C9" i="38"/>
  <c r="C8" i="38" s="1"/>
  <c r="D22" i="35"/>
  <c r="F22" i="35"/>
  <c r="G22" i="35"/>
  <c r="I22" i="35"/>
  <c r="J22" i="35"/>
  <c r="L22" i="35"/>
  <c r="M22" i="35"/>
  <c r="C22" i="35"/>
  <c r="D19" i="35"/>
  <c r="D15" i="35" s="1"/>
  <c r="F19" i="35"/>
  <c r="G19" i="35"/>
  <c r="I19" i="35"/>
  <c r="J19" i="35"/>
  <c r="L19" i="35"/>
  <c r="L15" i="35" s="1"/>
  <c r="M19" i="35"/>
  <c r="C19" i="35"/>
  <c r="C15" i="35" s="1"/>
  <c r="C16" i="35"/>
  <c r="D16" i="35"/>
  <c r="F16" i="35"/>
  <c r="G16" i="35"/>
  <c r="G15" i="35" s="1"/>
  <c r="G14" i="35" s="1"/>
  <c r="I16" i="35"/>
  <c r="I15" i="35" s="1"/>
  <c r="I14" i="35" s="1"/>
  <c r="J16" i="35"/>
  <c r="J15" i="35" s="1"/>
  <c r="L16" i="35"/>
  <c r="M16" i="35"/>
  <c r="M15" i="35" s="1"/>
  <c r="M14" i="35" s="1"/>
  <c r="D10" i="35"/>
  <c r="D9" i="35" s="1"/>
  <c r="F10" i="35"/>
  <c r="F9" i="35" s="1"/>
  <c r="G10" i="35"/>
  <c r="G9" i="35" s="1"/>
  <c r="I10" i="35"/>
  <c r="I9" i="35" s="1"/>
  <c r="J10" i="35"/>
  <c r="J9" i="35" s="1"/>
  <c r="L10" i="35"/>
  <c r="L9" i="35" s="1"/>
  <c r="M10" i="35"/>
  <c r="M9" i="35" s="1"/>
  <c r="C10" i="35"/>
  <c r="C9" i="35" s="1"/>
  <c r="D38" i="35"/>
  <c r="D37" i="35"/>
  <c r="D35" i="35"/>
  <c r="D34" i="35"/>
  <c r="C38" i="35"/>
  <c r="C37" i="35"/>
  <c r="C35" i="35"/>
  <c r="C34" i="35"/>
  <c r="J14" i="35" l="1"/>
  <c r="L14" i="35"/>
  <c r="D14" i="35"/>
  <c r="C14" i="35"/>
  <c r="C8" i="35" s="1"/>
  <c r="C6" i="35" s="1"/>
  <c r="J14" i="36" s="1"/>
  <c r="F15" i="35"/>
  <c r="F14" i="35" s="1"/>
  <c r="F8" i="35" s="1"/>
  <c r="F6" i="35" s="1"/>
  <c r="J11" i="36" s="1"/>
  <c r="G8" i="35"/>
  <c r="G6" i="35" s="1"/>
  <c r="J10" i="36" s="1"/>
  <c r="J8" i="35"/>
  <c r="J6" i="35" s="1"/>
  <c r="K13" i="36" s="1"/>
  <c r="L8" i="35"/>
  <c r="L6" i="35" s="1"/>
  <c r="K11" i="36" s="1"/>
  <c r="M8" i="35"/>
  <c r="M6" i="35" s="1"/>
  <c r="K10" i="36" s="1"/>
  <c r="I8" i="35"/>
  <c r="I6" i="35" s="1"/>
  <c r="K14" i="36" s="1"/>
  <c r="D8" i="35"/>
  <c r="D6" i="35" s="1"/>
  <c r="J13" i="36" s="1"/>
  <c r="C28" i="35"/>
  <c r="I254" i="4" l="1"/>
  <c r="I253" i="4"/>
  <c r="I243" i="4"/>
  <c r="I244" i="4"/>
  <c r="I245" i="4"/>
  <c r="I246" i="4"/>
  <c r="I196" i="4"/>
  <c r="I197" i="4"/>
  <c r="I198" i="4"/>
  <c r="I199" i="4"/>
  <c r="I200" i="4"/>
  <c r="I201" i="4"/>
  <c r="I202" i="4"/>
  <c r="I203" i="4"/>
  <c r="I204" i="4"/>
  <c r="I205" i="4"/>
  <c r="I206" i="4"/>
  <c r="I207" i="4"/>
  <c r="I208" i="4"/>
  <c r="I209" i="4"/>
  <c r="I210" i="4"/>
  <c r="I211" i="4"/>
  <c r="I212" i="4"/>
  <c r="I213" i="4"/>
  <c r="I214" i="4"/>
  <c r="I215" i="4"/>
  <c r="I216" i="4"/>
  <c r="I217" i="4"/>
  <c r="I218" i="4"/>
  <c r="I219" i="4"/>
  <c r="I220" i="4"/>
  <c r="I221" i="4"/>
  <c r="I222" i="4"/>
  <c r="I223" i="4"/>
  <c r="I224" i="4"/>
  <c r="I225" i="4"/>
  <c r="I226" i="4"/>
  <c r="I227" i="4"/>
  <c r="I228" i="4"/>
  <c r="I229" i="4"/>
  <c r="I230" i="4"/>
  <c r="I231" i="4"/>
  <c r="I232" i="4"/>
  <c r="I233" i="4"/>
  <c r="I234" i="4"/>
  <c r="I235" i="4"/>
  <c r="I236" i="4"/>
  <c r="I237" i="4"/>
  <c r="I238" i="4"/>
  <c r="I239" i="4"/>
  <c r="I24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2" i="4"/>
  <c r="I193" i="4"/>
  <c r="I194" i="4"/>
  <c r="I150" i="4"/>
  <c r="I140" i="4"/>
  <c r="I141" i="4"/>
  <c r="I142" i="4"/>
  <c r="I139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87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60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11" i="4"/>
  <c r="D255" i="4" l="1"/>
  <c r="H254" i="4"/>
  <c r="H253" i="4"/>
  <c r="H252" i="4" s="1"/>
  <c r="G252" i="4"/>
  <c r="F252" i="4"/>
  <c r="E252" i="4"/>
  <c r="D252" i="4"/>
  <c r="F246" i="4"/>
  <c r="F245" i="4"/>
  <c r="F244" i="4"/>
  <c r="F243" i="4"/>
  <c r="E242" i="4"/>
  <c r="D242" i="4"/>
  <c r="H240" i="4"/>
  <c r="F240" i="4"/>
  <c r="F239" i="4"/>
  <c r="F238" i="4"/>
  <c r="F237" i="4"/>
  <c r="H237" i="4" s="1"/>
  <c r="F236" i="4"/>
  <c r="H236" i="4" s="1"/>
  <c r="F235" i="4"/>
  <c r="F234" i="4"/>
  <c r="F233" i="4"/>
  <c r="F232" i="4"/>
  <c r="H232" i="4" s="1"/>
  <c r="F231" i="4"/>
  <c r="F230" i="4"/>
  <c r="F229" i="4"/>
  <c r="H229" i="4" s="1"/>
  <c r="F228" i="4"/>
  <c r="H228" i="4" s="1"/>
  <c r="F227" i="4"/>
  <c r="F226" i="4"/>
  <c r="F225" i="4"/>
  <c r="H224" i="4"/>
  <c r="F224" i="4"/>
  <c r="F223" i="4"/>
  <c r="F222" i="4"/>
  <c r="F221" i="4"/>
  <c r="H221" i="4" s="1"/>
  <c r="F220" i="4"/>
  <c r="H220" i="4" s="1"/>
  <c r="F219" i="4"/>
  <c r="F218" i="4"/>
  <c r="F217" i="4"/>
  <c r="F216" i="4"/>
  <c r="F215" i="4"/>
  <c r="F214" i="4"/>
  <c r="F213" i="4"/>
  <c r="H213" i="4" s="1"/>
  <c r="F212" i="4"/>
  <c r="F211" i="4"/>
  <c r="F210" i="4"/>
  <c r="F209" i="4"/>
  <c r="F208" i="4"/>
  <c r="H208" i="4" s="1"/>
  <c r="F207" i="4"/>
  <c r="F206" i="4"/>
  <c r="H205" i="4"/>
  <c r="F205" i="4"/>
  <c r="F204" i="4"/>
  <c r="F203" i="4"/>
  <c r="F202" i="4"/>
  <c r="F201" i="4"/>
  <c r="F200" i="4"/>
  <c r="F199" i="4"/>
  <c r="F198" i="4"/>
  <c r="F197" i="4"/>
  <c r="H197" i="4" s="1"/>
  <c r="F196" i="4"/>
  <c r="E195" i="4"/>
  <c r="D195" i="4"/>
  <c r="H194" i="4"/>
  <c r="F194" i="4"/>
  <c r="F193" i="4"/>
  <c r="F192" i="4"/>
  <c r="E191" i="4"/>
  <c r="D191" i="4"/>
  <c r="F190" i="4"/>
  <c r="F189" i="4"/>
  <c r="F188" i="4"/>
  <c r="H188" i="4" s="1"/>
  <c r="F187" i="4"/>
  <c r="H186" i="4"/>
  <c r="F186" i="4"/>
  <c r="F185" i="4"/>
  <c r="H185" i="4" s="1"/>
  <c r="F184" i="4"/>
  <c r="F183" i="4"/>
  <c r="F182" i="4"/>
  <c r="F181" i="4"/>
  <c r="F180" i="4"/>
  <c r="F179" i="4"/>
  <c r="F178" i="4"/>
  <c r="F177" i="4"/>
  <c r="H177" i="4" s="1"/>
  <c r="F176" i="4"/>
  <c r="H176" i="4" s="1"/>
  <c r="F175" i="4"/>
  <c r="F174" i="4"/>
  <c r="F173" i="4"/>
  <c r="H172" i="4"/>
  <c r="F172" i="4"/>
  <c r="H171" i="4"/>
  <c r="F171" i="4"/>
  <c r="F170" i="4"/>
  <c r="F169" i="4"/>
  <c r="H169" i="4" s="1"/>
  <c r="F168" i="4"/>
  <c r="F167" i="4"/>
  <c r="F166" i="4"/>
  <c r="F165" i="4"/>
  <c r="F164" i="4"/>
  <c r="H164" i="4" s="1"/>
  <c r="F163" i="4"/>
  <c r="F162" i="4"/>
  <c r="F161" i="4"/>
  <c r="H161" i="4" s="1"/>
  <c r="F160" i="4"/>
  <c r="H160" i="4" s="1"/>
  <c r="F159" i="4"/>
  <c r="F158" i="4"/>
  <c r="F157" i="4"/>
  <c r="F156" i="4"/>
  <c r="H156" i="4" s="1"/>
  <c r="H155" i="4"/>
  <c r="F155" i="4"/>
  <c r="H154" i="4"/>
  <c r="F154" i="4"/>
  <c r="F153" i="4"/>
  <c r="H153" i="4" s="1"/>
  <c r="F152" i="4"/>
  <c r="H152" i="4" s="1"/>
  <c r="F151" i="4"/>
  <c r="F150" i="4"/>
  <c r="G149" i="4"/>
  <c r="E149" i="4"/>
  <c r="D149" i="4"/>
  <c r="D143" i="4"/>
  <c r="H142" i="4"/>
  <c r="H141" i="4"/>
  <c r="H140" i="4"/>
  <c r="H139" i="4"/>
  <c r="D137" i="4"/>
  <c r="H136" i="4"/>
  <c r="H135" i="4"/>
  <c r="H134" i="4"/>
  <c r="H133" i="4"/>
  <c r="H132" i="4"/>
  <c r="H131" i="4"/>
  <c r="H130" i="4"/>
  <c r="H129" i="4"/>
  <c r="H128" i="4"/>
  <c r="H127" i="4"/>
  <c r="H126" i="4"/>
  <c r="H125" i="4"/>
  <c r="H124" i="4"/>
  <c r="H123" i="4"/>
  <c r="H122" i="4"/>
  <c r="H121" i="4"/>
  <c r="H120" i="4"/>
  <c r="H119" i="4"/>
  <c r="H118" i="4"/>
  <c r="H117" i="4"/>
  <c r="H116" i="4"/>
  <c r="H115" i="4"/>
  <c r="H114" i="4"/>
  <c r="H113" i="4"/>
  <c r="H112" i="4"/>
  <c r="H111" i="4"/>
  <c r="H110" i="4"/>
  <c r="H109" i="4"/>
  <c r="H108" i="4"/>
  <c r="H107" i="4"/>
  <c r="H106" i="4"/>
  <c r="H105" i="4"/>
  <c r="H104" i="4"/>
  <c r="H103" i="4"/>
  <c r="H102" i="4"/>
  <c r="H101" i="4"/>
  <c r="H100" i="4"/>
  <c r="H99" i="4"/>
  <c r="H98" i="4"/>
  <c r="H97" i="4"/>
  <c r="H96" i="4"/>
  <c r="H95" i="4"/>
  <c r="H94" i="4"/>
  <c r="H93" i="4"/>
  <c r="H92" i="4"/>
  <c r="H91" i="4"/>
  <c r="H90" i="4"/>
  <c r="H89" i="4"/>
  <c r="H88" i="4"/>
  <c r="H87" i="4"/>
  <c r="D84" i="4"/>
  <c r="H83" i="4"/>
  <c r="H82" i="4"/>
  <c r="H81" i="4"/>
  <c r="H80" i="4"/>
  <c r="H79" i="4"/>
  <c r="H78" i="4"/>
  <c r="H77" i="4"/>
  <c r="H76" i="4"/>
  <c r="H75" i="4"/>
  <c r="H74" i="4"/>
  <c r="H73" i="4"/>
  <c r="H72" i="4"/>
  <c r="H71" i="4"/>
  <c r="H70" i="4"/>
  <c r="H69" i="4"/>
  <c r="H68" i="4"/>
  <c r="H67" i="4"/>
  <c r="H66" i="4"/>
  <c r="H65" i="4"/>
  <c r="H64" i="4"/>
  <c r="H63" i="4"/>
  <c r="H62" i="4"/>
  <c r="H61" i="4"/>
  <c r="H60" i="4"/>
  <c r="D58" i="4"/>
  <c r="H57" i="4"/>
  <c r="H56" i="4"/>
  <c r="H55" i="4"/>
  <c r="H54" i="4"/>
  <c r="H53" i="4"/>
  <c r="H52" i="4"/>
  <c r="H51" i="4"/>
  <c r="H50" i="4"/>
  <c r="H49" i="4"/>
  <c r="H48" i="4"/>
  <c r="H47" i="4"/>
  <c r="H46" i="4"/>
  <c r="H45" i="4"/>
  <c r="H44" i="4"/>
  <c r="H43" i="4"/>
  <c r="H42" i="4"/>
  <c r="H41" i="4"/>
  <c r="H40" i="4"/>
  <c r="H39" i="4"/>
  <c r="H38" i="4"/>
  <c r="H37" i="4"/>
  <c r="H36" i="4"/>
  <c r="H35" i="4"/>
  <c r="H34" i="4"/>
  <c r="H33" i="4"/>
  <c r="H32" i="4"/>
  <c r="H31" i="4"/>
  <c r="H30" i="4"/>
  <c r="H29" i="4"/>
  <c r="H28" i="4"/>
  <c r="H27" i="4"/>
  <c r="H26" i="4"/>
  <c r="H25" i="4"/>
  <c r="H24" i="4"/>
  <c r="H23" i="4"/>
  <c r="H22" i="4"/>
  <c r="H21" i="4"/>
  <c r="H20" i="4"/>
  <c r="H19" i="4"/>
  <c r="H18" i="4"/>
  <c r="H17" i="4"/>
  <c r="H16" i="4"/>
  <c r="H15" i="4"/>
  <c r="H14" i="4"/>
  <c r="H13" i="4"/>
  <c r="H12" i="4"/>
  <c r="H11" i="4"/>
  <c r="D144" i="4" l="1"/>
  <c r="H178" i="4"/>
  <c r="H170" i="4"/>
  <c r="H187" i="4"/>
  <c r="F195" i="4"/>
  <c r="H198" i="4"/>
  <c r="H212" i="4"/>
  <c r="H216" i="4"/>
  <c r="H243" i="4"/>
  <c r="H162" i="4"/>
  <c r="H179" i="4"/>
  <c r="H184" i="4"/>
  <c r="H204" i="4"/>
  <c r="H230" i="4"/>
  <c r="H206" i="4"/>
  <c r="F149" i="4"/>
  <c r="H163" i="4"/>
  <c r="H168" i="4"/>
  <c r="H180" i="4"/>
  <c r="H196" i="4"/>
  <c r="H200" i="4"/>
  <c r="H222" i="4"/>
  <c r="D247" i="4"/>
  <c r="H238" i="4"/>
  <c r="H214" i="4"/>
  <c r="H151" i="4"/>
  <c r="H159" i="4"/>
  <c r="H167" i="4"/>
  <c r="H175" i="4"/>
  <c r="H183" i="4"/>
  <c r="H193" i="4"/>
  <c r="H203" i="4"/>
  <c r="H211" i="4"/>
  <c r="H219" i="4"/>
  <c r="H227" i="4"/>
  <c r="H235" i="4"/>
  <c r="H246" i="4"/>
  <c r="H157" i="4"/>
  <c r="H165" i="4"/>
  <c r="H173" i="4"/>
  <c r="H181" i="4"/>
  <c r="H189" i="4"/>
  <c r="H201" i="4"/>
  <c r="H209" i="4"/>
  <c r="H217" i="4"/>
  <c r="H225" i="4"/>
  <c r="H233" i="4"/>
  <c r="H244" i="4"/>
  <c r="H242" i="4" s="1"/>
  <c r="F242" i="4"/>
  <c r="H199" i="4"/>
  <c r="H207" i="4"/>
  <c r="H215" i="4"/>
  <c r="H223" i="4"/>
  <c r="H231" i="4"/>
  <c r="H239" i="4"/>
  <c r="F191" i="4"/>
  <c r="H150" i="4"/>
  <c r="H158" i="4"/>
  <c r="H166" i="4"/>
  <c r="H174" i="4"/>
  <c r="H182" i="4"/>
  <c r="H190" i="4"/>
  <c r="H192" i="4"/>
  <c r="H202" i="4"/>
  <c r="H210" i="4"/>
  <c r="H218" i="4"/>
  <c r="H226" i="4"/>
  <c r="H234" i="4"/>
  <c r="H245" i="4"/>
  <c r="H191" i="4" l="1"/>
  <c r="H195" i="4"/>
  <c r="H149" i="4"/>
  <c r="I144" i="4" l="1"/>
  <c r="I247" i="4"/>
  <c r="I255" i="4"/>
  <c r="B29" i="29" l="1"/>
  <c r="B28" i="29" s="1"/>
  <c r="B20" i="29"/>
  <c r="B19" i="29" s="1"/>
  <c r="B18" i="29"/>
  <c r="B17" i="29" s="1"/>
  <c r="B16" i="29"/>
  <c r="B15" i="29" s="1"/>
  <c r="B14" i="29"/>
  <c r="B13" i="29" s="1"/>
  <c r="B12" i="29"/>
  <c r="B11" i="29" s="1"/>
  <c r="B10" i="29"/>
  <c r="B9" i="29" s="1"/>
  <c r="F21" i="37"/>
  <c r="G21" i="37" s="1"/>
  <c r="H21" i="37" s="1"/>
  <c r="I21" i="37" s="1"/>
  <c r="J21" i="37" s="1"/>
  <c r="F19" i="37"/>
  <c r="G19" i="37" s="1"/>
  <c r="B8" i="37"/>
  <c r="F24" i="37" s="1"/>
  <c r="G24" i="37" s="1"/>
  <c r="B7" i="37"/>
  <c r="F16" i="37" s="1"/>
  <c r="G16" i="37" s="1"/>
  <c r="B6" i="37"/>
  <c r="F15" i="37" s="1"/>
  <c r="G15" i="37" s="1"/>
  <c r="H15" i="37" s="1"/>
  <c r="I15" i="37" s="1"/>
  <c r="J15" i="37" s="1"/>
  <c r="D15" i="37"/>
  <c r="D16" i="37"/>
  <c r="D18" i="37"/>
  <c r="D23" i="37"/>
  <c r="F20" i="37" l="1"/>
  <c r="G20" i="37" s="1"/>
  <c r="H20" i="37" s="1"/>
  <c r="I20" i="37" s="1"/>
  <c r="J20" i="37" s="1"/>
  <c r="F14" i="37"/>
  <c r="G14" i="37" s="1"/>
  <c r="H14" i="37" s="1"/>
  <c r="I14" i="37" s="1"/>
  <c r="H19" i="37"/>
  <c r="I19" i="37" s="1"/>
  <c r="J19" i="37" s="1"/>
  <c r="H16" i="37"/>
  <c r="I16" i="37" s="1"/>
  <c r="J16" i="37" s="1"/>
  <c r="H24" i="37"/>
  <c r="I24" i="37" s="1"/>
  <c r="J24" i="37" s="1"/>
  <c r="D13" i="37"/>
  <c r="D25" i="37" s="1"/>
  <c r="J14" i="37" l="1"/>
  <c r="J25" i="37" s="1"/>
  <c r="I25" i="37"/>
  <c r="H25" i="37"/>
  <c r="L15" i="37"/>
  <c r="K15" i="39"/>
  <c r="J17" i="39"/>
  <c r="I17" i="39"/>
  <c r="H17" i="39"/>
  <c r="K17" i="39" s="1"/>
  <c r="E7" i="38"/>
  <c r="E6" i="38" s="1"/>
  <c r="E14" i="38" s="1"/>
  <c r="C7" i="38"/>
  <c r="C6" i="38" s="1"/>
  <c r="C14" i="38" s="1"/>
  <c r="L14" i="36"/>
  <c r="M14" i="36" s="1"/>
  <c r="L13" i="36"/>
  <c r="M13" i="36" s="1"/>
  <c r="L11" i="36"/>
  <c r="M11" i="36" s="1"/>
  <c r="L10" i="36"/>
  <c r="M10" i="36" s="1"/>
  <c r="E38" i="35"/>
  <c r="E37" i="35"/>
  <c r="E35" i="35"/>
  <c r="E34" i="35"/>
  <c r="M28" i="35"/>
  <c r="L28" i="35"/>
  <c r="J28" i="35"/>
  <c r="I28" i="35"/>
  <c r="G28" i="35"/>
  <c r="F28" i="35"/>
  <c r="D28" i="35"/>
  <c r="M27" i="35"/>
  <c r="L27" i="35"/>
  <c r="J27" i="35"/>
  <c r="I27" i="35"/>
  <c r="G27" i="35"/>
  <c r="F27" i="35"/>
  <c r="D27" i="35"/>
  <c r="C27" i="35"/>
  <c r="M26" i="35"/>
  <c r="L26" i="35"/>
  <c r="J26" i="35"/>
  <c r="I26" i="35"/>
  <c r="G26" i="35"/>
  <c r="F26" i="35"/>
  <c r="D26" i="35"/>
  <c r="C26" i="35"/>
  <c r="M16" i="36" l="1"/>
  <c r="M19" i="36" s="1"/>
  <c r="E19" i="38"/>
  <c r="E18" i="38" s="1"/>
  <c r="E17" i="38" s="1"/>
  <c r="E25" i="38" s="1"/>
  <c r="C19" i="38"/>
  <c r="C18" i="38" s="1"/>
  <c r="C17" i="38" s="1"/>
  <c r="C25" i="38" s="1"/>
  <c r="K22" i="39"/>
  <c r="B8" i="29" l="1"/>
  <c r="B7" i="29" s="1"/>
  <c r="B6" i="29" s="1"/>
  <c r="B5" i="29" s="1"/>
  <c r="E42" i="37"/>
  <c r="B41" i="37" l="1"/>
  <c r="B40" i="37"/>
  <c r="B39" i="37"/>
  <c r="B38" i="37"/>
  <c r="B37" i="37"/>
  <c r="B36" i="37"/>
  <c r="B35" i="37"/>
  <c r="H31" i="37"/>
  <c r="L22" i="37" l="1"/>
  <c r="L17" i="37"/>
  <c r="J31" i="37"/>
  <c r="L24" i="37"/>
  <c r="L21" i="37"/>
  <c r="L20" i="37"/>
  <c r="L19" i="37"/>
  <c r="L16" i="37"/>
  <c r="L14" i="37"/>
</calcChain>
</file>

<file path=xl/sharedStrings.xml><?xml version="1.0" encoding="utf-8"?>
<sst xmlns="http://schemas.openxmlformats.org/spreadsheetml/2006/main" count="3671" uniqueCount="755">
  <si>
    <t>Informācija par ārstniecības personām</t>
  </si>
  <si>
    <t>39.03.00 Specializētās veselības aprūpes nodrošināšana, Asins un asins komponentu nodrošināšana</t>
  </si>
  <si>
    <t>Ārsti un funkcionālie speciālisti</t>
  </si>
  <si>
    <t>Ārsts</t>
  </si>
  <si>
    <t>Ārstniecības un pacientu aprūpes personas</t>
  </si>
  <si>
    <t>Vecākais biomedicīnas laborants</t>
  </si>
  <si>
    <t>Biomedicīnas laborants</t>
  </si>
  <si>
    <t>Medicīnas laborants</t>
  </si>
  <si>
    <t>Virsmāsa</t>
  </si>
  <si>
    <t>Ārsta palīgs (feldšeris)</t>
  </si>
  <si>
    <t>Ārstniecības un pacientu aprūpes atbalsta personas</t>
  </si>
  <si>
    <t>Māsas palīgs</t>
  </si>
  <si>
    <t>Valsts Asinsdonoru centrs - slimnīcu Asins sagatavošanas nodaļās strādājošie</t>
  </si>
  <si>
    <t>39.03.00 Specializētās veselības aprūpes nodrošināšana, Asins un asins komponentu nodrošināšana, EKK 2800</t>
  </si>
  <si>
    <t>Kopā</t>
  </si>
  <si>
    <t>Valsts asinsdonoru centrs</t>
  </si>
  <si>
    <t>Kopā iestādei</t>
  </si>
  <si>
    <t>Neatliekamās medicīniskās palīdzības dienests</t>
  </si>
  <si>
    <t>Medicīnas asistents</t>
  </si>
  <si>
    <t>39.04.00 Neatliekamā medicīniskā palīdzība</t>
  </si>
  <si>
    <t>Ārstniecības personas amata kvalifikācijas kategorija</t>
  </si>
  <si>
    <t>Slodzes (strādājošo skaits normālā darba laika ietvaros)</t>
  </si>
  <si>
    <r>
      <t xml:space="preserve">Faktiskā mēnešalgas likme par           </t>
    </r>
    <r>
      <rPr>
        <u/>
        <sz val="9"/>
        <color indexed="8"/>
        <rFont val="Times New Roman"/>
        <family val="1"/>
      </rPr>
      <t>1 (vienu)</t>
    </r>
    <r>
      <rPr>
        <sz val="9"/>
        <color indexed="8"/>
        <rFont val="Times New Roman"/>
        <family val="1"/>
      </rPr>
      <t xml:space="preserve"> 
slodzi </t>
    </r>
  </si>
  <si>
    <t>I. Sertificētu ārstniecības personu amati</t>
  </si>
  <si>
    <t>1.kategorija - Ārsts, zobārsts</t>
  </si>
  <si>
    <t>Vadības ārsts (operatīvais dežurants)</t>
  </si>
  <si>
    <t>Ārsta speciālista brigādes vadītājs  - NM ārsts, anesteziologs-reanimatologs</t>
  </si>
  <si>
    <t>Intensīvās terapijas brigādes vadītājs - NM ārsts</t>
  </si>
  <si>
    <t>Anesteziologs - reanimatologs</t>
  </si>
  <si>
    <t>Neonatologs</t>
  </si>
  <si>
    <t>Apdegumu traumatologs</t>
  </si>
  <si>
    <t>Asinsvadu ķirurgs</t>
  </si>
  <si>
    <t>Bērnu ķirurgs</t>
  </si>
  <si>
    <t>Bērnu neiroķirurgs</t>
  </si>
  <si>
    <t>Bronhologs</t>
  </si>
  <si>
    <t>Gastroenterologs - endoskopists</t>
  </si>
  <si>
    <t>Ginekologs un dzemdību speciālists</t>
  </si>
  <si>
    <t>Infektologs</t>
  </si>
  <si>
    <t>Kardiologs</t>
  </si>
  <si>
    <t>Kardiologs - koordinators</t>
  </si>
  <si>
    <t>Ķirurgs</t>
  </si>
  <si>
    <t>Neiroķirurgs</t>
  </si>
  <si>
    <t>Neirologs</t>
  </si>
  <si>
    <t>Otolaringologs</t>
  </si>
  <si>
    <t>Sejas, mutes, žokļu ķirurgs</t>
  </si>
  <si>
    <t>Torakālais ķirurgs</t>
  </si>
  <si>
    <t>Traumatologs - ortopēds</t>
  </si>
  <si>
    <t>Galvenais dežūrārsts</t>
  </si>
  <si>
    <t>Ārsts konsultants</t>
  </si>
  <si>
    <t>Ģimenes ārstu konsultatīvā tāruņa konsultants (ārsts)</t>
  </si>
  <si>
    <t>2.kategorija - Fizioterapeits, audiologopēds, uztura speciālists, ergoterapeits, tehniskais ortopēds, mākslas terapeits</t>
  </si>
  <si>
    <t>3.kategorija  - Māsa, ārsta palīgs (feldšeris), vecmāte, biomedicīnas laborants, radiologa asistents, radiogrāfers</t>
  </si>
  <si>
    <t>BAC galvenais ārsta palīgs</t>
  </si>
  <si>
    <t>BAC vecākais ārsta palīgs</t>
  </si>
  <si>
    <t>RC galvenais ārsta palīgs</t>
  </si>
  <si>
    <t>Brigādes vadītājs - NM ārsta palīgs</t>
  </si>
  <si>
    <t>Intensīvās terapijas brigādes otrā ārstniecības  persona - NM ārsta palīgs</t>
  </si>
  <si>
    <t xml:space="preserve">Ārsta speciālista brigādes otrā ārstniecības persona (NM ārsta palīgs - OMT vadītājs) </t>
  </si>
  <si>
    <t>Medicīnas māsa bērnu IT brigādē</t>
  </si>
  <si>
    <t>Medicīnas māsa neonatologu brigādē</t>
  </si>
  <si>
    <t>SMC operāciju māsa</t>
  </si>
  <si>
    <t>4.kategorija  - Masieris, ergoterapeita asistents, fizioterapeita asistents, zobu higiēnists, zobārstniecības māsa, kosmētiķis, podologs, zobu tehniķis</t>
  </si>
  <si>
    <t>II. Reģistrētu ārstniecības personu amati</t>
  </si>
  <si>
    <t>Jaunākais dežūrārsts</t>
  </si>
  <si>
    <t>Brigādes vadītājs -ārsts, sagatavots NMP sniegšanai</t>
  </si>
  <si>
    <t>Brigādes otrā ārstniecības  persona - ārsta palīgs</t>
  </si>
  <si>
    <t>Brigādes otrā ārstniecības  persona - medicīnas māsa</t>
  </si>
  <si>
    <t>III. Transportlīdzekļa vadītājs</t>
  </si>
  <si>
    <t>SMC OMT vadītājs</t>
  </si>
  <si>
    <t>X</t>
  </si>
  <si>
    <r>
      <rPr>
        <b/>
        <sz val="10"/>
        <color theme="1"/>
        <rFont val="Times New Roman"/>
        <family val="1"/>
        <charset val="186"/>
      </rPr>
      <t>1.kategorija</t>
    </r>
    <r>
      <rPr>
        <sz val="10"/>
        <color theme="1"/>
        <rFont val="Times New Roman"/>
        <family val="1"/>
      </rPr>
      <t xml:space="preserve"> - Ārsts, zobārsts</t>
    </r>
  </si>
  <si>
    <r>
      <rPr>
        <b/>
        <sz val="10"/>
        <rFont val="Times New Roman"/>
        <family val="1"/>
        <charset val="186"/>
      </rPr>
      <t>2.kategorija</t>
    </r>
    <r>
      <rPr>
        <sz val="10"/>
        <rFont val="Times New Roman"/>
        <family val="1"/>
      </rPr>
      <t xml:space="preserve"> - Ārsts, zobārsts, rezidents</t>
    </r>
  </si>
  <si>
    <r>
      <rPr>
        <b/>
        <sz val="10"/>
        <rFont val="Times New Roman"/>
        <family val="1"/>
        <charset val="186"/>
      </rPr>
      <t>6.kategorija</t>
    </r>
    <r>
      <rPr>
        <sz val="10"/>
        <rFont val="Times New Roman"/>
        <family val="1"/>
      </rPr>
      <t xml:space="preserve">  - Transportlīdzekļa vadītājs</t>
    </r>
  </si>
  <si>
    <t>Vecākais ārsts</t>
  </si>
  <si>
    <t>Ārsta palīgs</t>
  </si>
  <si>
    <t>Vecākā māsa</t>
  </si>
  <si>
    <t>Radiologa asistents</t>
  </si>
  <si>
    <t>I.Sertificētu ārstniecības personu amati</t>
  </si>
  <si>
    <t>Māsa</t>
  </si>
  <si>
    <t>II.Reģistrētu ārstniecības personu amati</t>
  </si>
  <si>
    <t xml:space="preserve">05.03.00 "Aprūpe valsts sociālās aprūpes institūcijās" </t>
  </si>
  <si>
    <t>Psihiatrs</t>
  </si>
  <si>
    <t>Zobārsts</t>
  </si>
  <si>
    <t>Ginekologs</t>
  </si>
  <si>
    <t>Fizioterapeits</t>
  </si>
  <si>
    <t>Fizioterapeits (nesertificēts)</t>
  </si>
  <si>
    <t>Pediatrs</t>
  </si>
  <si>
    <t>Mākslas terapeits</t>
  </si>
  <si>
    <t>Masieris</t>
  </si>
  <si>
    <t>Ergoterapeits</t>
  </si>
  <si>
    <t>05.37.00 "Sociālās integrācijas valsts aģentūras administrēšana un profesionālās un sociālās rehabilitācijas pakalpojumu nodrošināšana"</t>
  </si>
  <si>
    <t>Ārsts -psihiatrs</t>
  </si>
  <si>
    <t xml:space="preserve">Dežūrārsts </t>
  </si>
  <si>
    <t>Vecākais fizioterapeits</t>
  </si>
  <si>
    <t>Vecākais ergoterapeits</t>
  </si>
  <si>
    <t>Ergoterapeits (nesertificēts)</t>
  </si>
  <si>
    <t>Uztura speciālists</t>
  </si>
  <si>
    <t>Kopā iestāde</t>
  </si>
  <si>
    <t>Podologs</t>
  </si>
  <si>
    <t>Ārsts otolaringologs</t>
  </si>
  <si>
    <t>Protēžu meistars</t>
  </si>
  <si>
    <t>Vecākais ergoterapeits (nesertificēts)</t>
  </si>
  <si>
    <t>Vecākais fizioterapeits (sertificēts)</t>
  </si>
  <si>
    <t>Fizioterapeits (sertificēts)</t>
  </si>
  <si>
    <t>Vecākais tehniskais ortopēds (sertificēts)</t>
  </si>
  <si>
    <t>Audiologopēds</t>
  </si>
  <si>
    <t>Optometrists</t>
  </si>
  <si>
    <t>Valsts tiesu medicīnas ekspertīzes centrs</t>
  </si>
  <si>
    <t>Laboratorijas vadītājs, vecākais tiesu medicīnas eksperts</t>
  </si>
  <si>
    <t xml:space="preserve">Vecākais tiesu medicīnas eksperts </t>
  </si>
  <si>
    <t>Tiesu medicīnas eksperts</t>
  </si>
  <si>
    <t>39.06.00 Tiesu medicīniskā ekspertīze</t>
  </si>
  <si>
    <t>A</t>
  </si>
  <si>
    <t>F</t>
  </si>
  <si>
    <t>G</t>
  </si>
  <si>
    <t>Veselības ministrija</t>
  </si>
  <si>
    <t>Labklājības ministrijas līgumorganizācijas 05.01.00 "Sociālās rehabilitācijas valsts programmas"</t>
  </si>
  <si>
    <t xml:space="preserve"> 04.01.00 "Ieslodzījuma vietas"</t>
  </si>
  <si>
    <t>1.</t>
  </si>
  <si>
    <t>2.</t>
  </si>
  <si>
    <t>Nr.p.k.</t>
  </si>
  <si>
    <t>Augstskolas izdevumi</t>
  </si>
  <si>
    <t>Ārstniecības iestādes izdevumi</t>
  </si>
  <si>
    <t>2.1.</t>
  </si>
  <si>
    <t>Rezidenta atlīdzība</t>
  </si>
  <si>
    <t>2.1.1.</t>
  </si>
  <si>
    <t>Atalgojums</t>
  </si>
  <si>
    <t>2.1.1.1.</t>
  </si>
  <si>
    <t>t.sk. amatalga</t>
  </si>
  <si>
    <t>2.1.1.2.</t>
  </si>
  <si>
    <t>t.sk. pārējie izdevumi rezidentu atlīdzībai - samaksa par dežūru stundām virs normālā darba laika (24 h mēnesī), piemaksas par nakts dežūrām, svētku dienām, mājas dežūrām un darba samaksas mainīgajai daļai</t>
  </si>
  <si>
    <t>2.1.2.</t>
  </si>
  <si>
    <t>VSAOI</t>
  </si>
  <si>
    <t>2.2.</t>
  </si>
  <si>
    <t>Rezidentu teorētisko un praktisko apmācību saistīto izdevumu apmaksai ārstniecības iestādē</t>
  </si>
  <si>
    <t>2.2.1.</t>
  </si>
  <si>
    <t xml:space="preserve">Ārstu un cita mācību personāla atlīdzībai </t>
  </si>
  <si>
    <t>2.2.1.1.</t>
  </si>
  <si>
    <t xml:space="preserve">Ārstu un cita mācību personāla atlīdzībai par rezidentu teorētisko un praktisko apmācību </t>
  </si>
  <si>
    <t>2.2.1.1.1.</t>
  </si>
  <si>
    <t>t.sk. atalgojums</t>
  </si>
  <si>
    <t>2.2.1.1.2.</t>
  </si>
  <si>
    <t>t.sk. VSAOI</t>
  </si>
  <si>
    <t>2.2.1.2.</t>
  </si>
  <si>
    <t>Ārstu atlīdzībai, kas atbildīgi par rezidentūras organizāciju (atalgojums un VSAOI)</t>
  </si>
  <si>
    <t>2.2.1.2.1.</t>
  </si>
  <si>
    <t>2.2.1.2.2.</t>
  </si>
  <si>
    <t>2.2.2.</t>
  </si>
  <si>
    <t xml:space="preserve">Ar rezidentūras organizēšanu  saistīto izdevumu segšanai </t>
  </si>
  <si>
    <t>2.2.2.1.</t>
  </si>
  <si>
    <t>t.sk.ar rezidenta pašizglītību saistītie izdevumi (izdevumi  medicīniskās literatūras, datu bāžu, grāmatu, u.c. iegādei bibliotēkai, aprīkojuma, datoru iegādei, u.tml., kas paliek ārstniecības iestādes īpašumā)</t>
  </si>
  <si>
    <t>2.2.2.2.</t>
  </si>
  <si>
    <t>t.sk.ar rezidentūras organizēšanu  saistīto izdevumu segšanai saimniecisko, komunālo un ārstniecības iestādes citu kārtējo izdevumu segšanai, kas attiecas uz rezidentūras organizēšanu ārstniecības iestādē, t.sk. rezidentu telpu iekārtošanas, identifikācijas  karšu iegādes, vienotas e-adreses nodrošināšanai, zīmogu izgatavošanas izdevumi u.tml.))</t>
  </si>
  <si>
    <t>Amatalga pēc izmaiņām</t>
  </si>
  <si>
    <t>Starpība, EUR</t>
  </si>
  <si>
    <t>Darba samaksa atbilstoši slodzēm</t>
  </si>
  <si>
    <t>Kopā ar Sociālo nodokli</t>
  </si>
  <si>
    <t>1 (6)</t>
  </si>
  <si>
    <t>2 (7)</t>
  </si>
  <si>
    <t>3 (8)</t>
  </si>
  <si>
    <t>4 (9)</t>
  </si>
  <si>
    <t>5 (11)</t>
  </si>
  <si>
    <t>6 (13)</t>
  </si>
  <si>
    <t>KOPĀ Ārstniecības personas</t>
  </si>
  <si>
    <t xml:space="preserve">Pārējam personālam </t>
  </si>
  <si>
    <t>Zemākā mēnešalgas likme par slodzi (atbilstoši MK not. Nr.851)</t>
  </si>
  <si>
    <t>19.Tieslietu ministrija</t>
  </si>
  <si>
    <t>Pieaugums (%)</t>
  </si>
  <si>
    <t>Šos darba samaksas pieauguma procentus šeit var mainīt/modelēt, bet tie koriģēsies TIKAI padotības iestādēm un citām ministrijām!!!
Mainot pieauguma % rezidentiem un tarifiem, viss jāpārrēķina manuāli.</t>
  </si>
  <si>
    <t>2.kategorija - Ārsts, zobārsts, rezidents</t>
  </si>
  <si>
    <t>3.kategorija - Fizioterapeits, audiologopēds, uztura speciālists, ergoterapeits, tehniskais ortopēds, mākslas terapeits</t>
  </si>
  <si>
    <t>4.kategorija  - Māsa, ārsta palīgs (feldšeris), vecmāte, biomedicīnas laborants, radiologa asistents, radiogrāfers</t>
  </si>
  <si>
    <t>5.kategorija  - Masieris, ergoterapeita asistents, fizioterapeita asistents, zobu higiēnists, zobārstniecības māsa, kosmētiķis, podologs, zobu tehniķis</t>
  </si>
  <si>
    <t>Aizsardzības ministrija</t>
  </si>
  <si>
    <t>Oftalmologs</t>
  </si>
  <si>
    <t>Ārsts (nesertificēts)</t>
  </si>
  <si>
    <t>VSIA Iekšlietu ministrijas poliklīnika</t>
  </si>
  <si>
    <t>38.05.00. Veselības aprūpe un fiziskā sagatavotība</t>
  </si>
  <si>
    <t xml:space="preserve">Mākslas terapeits </t>
  </si>
  <si>
    <t xml:space="preserve">Ārsta palīgs </t>
  </si>
  <si>
    <t xml:space="preserve">Masieris </t>
  </si>
  <si>
    <t xml:space="preserve">Audiologopēds  </t>
  </si>
  <si>
    <t>Galvenais ergoterapeits (sertificēts)</t>
  </si>
  <si>
    <t>Ergoterapeits (sertificēts)</t>
  </si>
  <si>
    <t>Brigādes (2SP) vadītājs - NM ārsta palīgs</t>
  </si>
  <si>
    <t>Brigādes vadītājs - vecākais NM ārsta palīgs</t>
  </si>
  <si>
    <t>Izsaukumu pieņemšanas dispečers  (NM ārsta palīgs)</t>
  </si>
  <si>
    <t xml:space="preserve">Brigādes vadītājs - ārsts, sagatavots NMP sniegšanai (anestezioloģijas, reanimatoloģijas vai neatliekamās medicīnas ārsta specialitātes 4./5.gada rezidents, ārsts kardiologs, ārsts internists vai ģimenes ārsts) </t>
  </si>
  <si>
    <t>Vecākais OMT vadītājs</t>
  </si>
  <si>
    <t xml:space="preserve">Pārējās ārstniecības iestādēs 
(t.sk. budžeta iestādēs) </t>
  </si>
  <si>
    <t xml:space="preserve">Reģionālajā daudzprofilu slimnīcā vai ģimenes (vispārējās prakses) ārsta praksē ārpus Rīgas </t>
  </si>
  <si>
    <t>Nr.</t>
  </si>
  <si>
    <t>Plānotais rezidentu skaits janv-sept</t>
  </si>
  <si>
    <t>Plānotais uzņemamo rezidentu skaits</t>
  </si>
  <si>
    <t>Plānotais rezidentu skaits okt-dec</t>
  </si>
  <si>
    <t xml:space="preserve"> Finanšu līdzekļu apmēra palielinājums mēnesim viena rezidenta apmācībai, euro</t>
  </si>
  <si>
    <t xml:space="preserve"> Finanšu līdzekļu apmēra palielinājums gadam plānotam rezidentu skaitam  apmācībai, euro</t>
  </si>
  <si>
    <t>5=2-3+4</t>
  </si>
  <si>
    <t>KOPĀ</t>
  </si>
  <si>
    <t>kopā, t.sk.</t>
  </si>
  <si>
    <t>Reģionālajā daudzprofilu slimnīcā vai ģimenes (vispārējās prakses) ārsta praksē ārpus Rīgas</t>
  </si>
  <si>
    <t>t.sk. no 3.gada pamatspecialitātē un papildspecialitātē un apakšspecialitātē no 1.gada, t.sk.</t>
  </si>
  <si>
    <t>t.sk. atlikušie, t.sk.</t>
  </si>
  <si>
    <t>VSAOI jaunais nodoklis</t>
  </si>
  <si>
    <t>Ārsti</t>
  </si>
  <si>
    <t>Resori/budžeta programmas (apakšprogrammas)</t>
  </si>
  <si>
    <t>02.04.00 "Rezidentu apmācība"</t>
  </si>
  <si>
    <t>EKK 7470</t>
  </si>
  <si>
    <t>33.14.00 "Primārās ambulatorās veselības aprūpes nodrošināšana"</t>
  </si>
  <si>
    <t>EKK 3000</t>
  </si>
  <si>
    <t>33.15.00 "Laboratorisko izmeklējumu nodrošināšana ambulatorajā aprūpē"</t>
  </si>
  <si>
    <t>33.16.00 "Pārējo ambulatoro veselības aprūpes pakalpojumu nodrošināšana"</t>
  </si>
  <si>
    <t>33.17.00 "Neatliekamās medicīniskās palīdzības nodrošināšana stacionārās ārstniecības iestādēs"</t>
  </si>
  <si>
    <t>33.18.00 "Plānveida stacionāro veselības aprūpes pakalpojumu nodrošināšana"</t>
  </si>
  <si>
    <t>39.03.00 "Asins un asins komponentu nodrošināšana"</t>
  </si>
  <si>
    <t>EKK 1000</t>
  </si>
  <si>
    <t>EKK 2000</t>
  </si>
  <si>
    <t>39.04.00 "Neatliekamā medicīniskā palīdzība"</t>
  </si>
  <si>
    <t>39.06.00 "Tiesu medicīniskā ekspertīze"</t>
  </si>
  <si>
    <t>45.01.00 "Veselības aprūpes finansējuma administrēšana un ekonomiskā novērtēšana"</t>
  </si>
  <si>
    <t>citas ministrijas t.sk. 62.resors</t>
  </si>
  <si>
    <t>22.10.00 "Starptautisko operāciju un Nacionālo bruņoto spēku centralizētais atalgojums"</t>
  </si>
  <si>
    <t>Labklājības ministrija</t>
  </si>
  <si>
    <t xml:space="preserve">EKK 3000 </t>
  </si>
  <si>
    <t>Tieslietu ministrija</t>
  </si>
  <si>
    <t>Iekšlietu ministrija</t>
  </si>
  <si>
    <t xml:space="preserve">EKK 2000 </t>
  </si>
  <si>
    <t>Biomedicinas laborants</t>
  </si>
  <si>
    <t>Internists</t>
  </si>
  <si>
    <t>Mūzikas terapeits</t>
  </si>
  <si>
    <t>Deju un kustības terapeits</t>
  </si>
  <si>
    <t>Bērnu IT brigādes anesteziologs-reanimatologs</t>
  </si>
  <si>
    <t>Vecākais dežūrārsts (OVC)</t>
  </si>
  <si>
    <t>Ģimenes ārstu konsultatīvā tāruņa konsultants (ārsts rezidents)</t>
  </si>
  <si>
    <t>SMC Ārsts -Galvenais speciālists medicīniskās evakuācijas jautājumos</t>
  </si>
  <si>
    <t>Brigādes vadītājs vecākais - NM ārsta palīgs (atbildībā 2 brigādes)</t>
  </si>
  <si>
    <t>Brigādes vadītājs vecākais - NM ārsta palīgs (atbildībā 3 brigādes)</t>
  </si>
  <si>
    <t>Brigādes vadītājs vecākais NM ārsta palīgs    (atbildībā 4 brigādes)</t>
  </si>
  <si>
    <t>Dispečers - NM ārsta palīgs OVC</t>
  </si>
  <si>
    <t>Speciālists NMP brigāžu atbalsta jautājumos (NM ārsta palīgs)</t>
  </si>
  <si>
    <t>Speciālists NMP brigāžu atbalsta jautājumos (ārsta palīgs, medicīnas māsa)</t>
  </si>
  <si>
    <t>Izsaukumu pieņemšanas dispečers  (ārsta palīgs)</t>
  </si>
  <si>
    <t>SMC galvenais ārsta palīgs</t>
  </si>
  <si>
    <t>SMC ārsta palīgs</t>
  </si>
  <si>
    <t>Ģimenes ārstu konsultatīvā tāruņa konsultants (ārsta palīgs)</t>
  </si>
  <si>
    <t xml:space="preserve">SMC vecākais  ārsta palīgs medicīniskā nodrošinājuma jautājumos </t>
  </si>
  <si>
    <t xml:space="preserve">SMC  ārsta palīgs medicīniskā nodrošinājuma jautājumos </t>
  </si>
  <si>
    <t xml:space="preserve">OMT vadītājs </t>
  </si>
  <si>
    <t>Transfuzioloģiskā departamenta direktors (ārsts)</t>
  </si>
  <si>
    <t>ASD Nodaļas vadītājs (virsārsts)</t>
  </si>
  <si>
    <t>ID nodaļas vadītājs (virsārsts)</t>
  </si>
  <si>
    <t>Ārsts E nodaļa</t>
  </si>
  <si>
    <t>Virsmāsa (ASD, E, LF)</t>
  </si>
  <si>
    <t xml:space="preserve">Ārsts </t>
  </si>
  <si>
    <t>Klientu pacientu reģistrators</t>
  </si>
  <si>
    <t>Direktora vietnieks - vecākais tiesu medicīnas eksperts</t>
  </si>
  <si>
    <t>Tiesu medicīnas ekspertīžu departamenta direktors - vecākais tiesu medicīnas eksperts</t>
  </si>
  <si>
    <t>Tiesu medicīnas laboratoriju departamenta direktors - vecākais tiesu medicīnas eksperts</t>
  </si>
  <si>
    <t>Nodaļas vadītājs - vecākais tiesu medicīnas eksperts</t>
  </si>
  <si>
    <t>05.03.00 "Aprūpe valsts sociālās aprūpes institūcijās"</t>
  </si>
  <si>
    <t xml:space="preserve"> VSIA "Nacionālais rehabilitācijas centrs "Vaivari" (28.01.2020. līgums Nr.LM2020/24-1-04/1e  par personu nodrošināšanu ar tehniskajiem palīglīdzekļiem)</t>
  </si>
  <si>
    <t>Darba samaksas pieaugums
Ārsti un funkcionālie speciālisti</t>
  </si>
  <si>
    <t>Darba samaksas pieaugums
Ārstniecības un pacientu aprūpes personas</t>
  </si>
  <si>
    <t>Darba samaksas pieaugums
Ārstniecības  un pacientu aprūpes atbalsta pesonas</t>
  </si>
  <si>
    <t>Māsas</t>
  </si>
  <si>
    <t>Pārējās māsas</t>
  </si>
  <si>
    <t>Precizētās viena rezidenta izmaksas</t>
  </si>
  <si>
    <t>Plus 50,38% piemaksām</t>
  </si>
  <si>
    <t>darba samaksas pieaugums, EUR</t>
  </si>
  <si>
    <t>Papildus finansējums prioritārā pasākumam "Ārstniecības personu darba samaksas pieauguma nodrošināšana" ietvaros</t>
  </si>
  <si>
    <t>Profesiju klasifikātora kods (atbilstoši MK noteikumiem Nr.264)</t>
  </si>
  <si>
    <t>Ārstniecības personas profesijas vai specialitātes kodu (atbilstoši MK noteikumiem Nr.317)</t>
  </si>
  <si>
    <t>Galvenais ārsts</t>
  </si>
  <si>
    <t>1342 01</t>
  </si>
  <si>
    <t>Daļas vadītājs (ārsts)</t>
  </si>
  <si>
    <t>Nodaļas vadītājs (ārsts)</t>
  </si>
  <si>
    <t>1342 03</t>
  </si>
  <si>
    <t>P00</t>
  </si>
  <si>
    <t>3.kategorija  - Māsa (vispārējās aprūpes māsa), ārsta palīgs (feldšeris), vecmāte, biomedicīnas laborants, radiologa asistents, radiogrāfers*</t>
  </si>
  <si>
    <t>2240 01</t>
  </si>
  <si>
    <t>3211 01</t>
  </si>
  <si>
    <t>n85, n94</t>
  </si>
  <si>
    <t>3.kategorija  - Fizioterapeits, audiologopēds, uztura speciālists, ergoterapeits, tehniskais ortopēds, mākslas terapeits, optometrists, māsa (vispārējās aprūpes māsa)</t>
  </si>
  <si>
    <t>2221 01</t>
  </si>
  <si>
    <t>2221 02</t>
  </si>
  <si>
    <t>n123</t>
  </si>
  <si>
    <t>6.kategorija  - Māsas palīgs</t>
  </si>
  <si>
    <t>5321 03</t>
  </si>
  <si>
    <t>n70</t>
  </si>
  <si>
    <t>10.Aizsardzības ministrija</t>
  </si>
  <si>
    <t>2211 03</t>
  </si>
  <si>
    <t>n120</t>
  </si>
  <si>
    <t>3212 03</t>
  </si>
  <si>
    <t>n76</t>
  </si>
  <si>
    <t>n85</t>
  </si>
  <si>
    <t>n27</t>
  </si>
  <si>
    <t>n29</t>
  </si>
  <si>
    <t>2212 28</t>
  </si>
  <si>
    <t>P 00</t>
  </si>
  <si>
    <t>2212 11</t>
  </si>
  <si>
    <t>2211 01</t>
  </si>
  <si>
    <t>P 39 / P 18</t>
  </si>
  <si>
    <t>P 39</t>
  </si>
  <si>
    <t>P 18</t>
  </si>
  <si>
    <t>2212 05</t>
  </si>
  <si>
    <t>2212 76</t>
  </si>
  <si>
    <t>A 151</t>
  </si>
  <si>
    <t>2212 58</t>
  </si>
  <si>
    <t>PP 30</t>
  </si>
  <si>
    <t>2212 63</t>
  </si>
  <si>
    <t>P 07</t>
  </si>
  <si>
    <t>2212 64</t>
  </si>
  <si>
    <t>P 12</t>
  </si>
  <si>
    <t>2212 73</t>
  </si>
  <si>
    <t>P 04</t>
  </si>
  <si>
    <t>2212 44</t>
  </si>
  <si>
    <t>P 60</t>
  </si>
  <si>
    <t>2212 47</t>
  </si>
  <si>
    <t>P 14</t>
  </si>
  <si>
    <t>2212 54</t>
  </si>
  <si>
    <t>P 24</t>
  </si>
  <si>
    <t>2212 56</t>
  </si>
  <si>
    <t>P 52</t>
  </si>
  <si>
    <t>2212 61</t>
  </si>
  <si>
    <t>P 03</t>
  </si>
  <si>
    <t>2212 74</t>
  </si>
  <si>
    <t>P 20</t>
  </si>
  <si>
    <t>2212 82</t>
  </si>
  <si>
    <t>P 23</t>
  </si>
  <si>
    <t>2261 07</t>
  </si>
  <si>
    <t>P 26</t>
  </si>
  <si>
    <t>2212 69</t>
  </si>
  <si>
    <t>P 05</t>
  </si>
  <si>
    <t>2212 101</t>
  </si>
  <si>
    <t>P 13</t>
  </si>
  <si>
    <t>2212 109</t>
  </si>
  <si>
    <t>A 131</t>
  </si>
  <si>
    <t>P 01 / P 02 / P 18 / P 39 / P 52</t>
  </si>
  <si>
    <t>P 02</t>
  </si>
  <si>
    <t>P 01 - P 64</t>
  </si>
  <si>
    <t>Vecākais ārsts-eksperts</t>
  </si>
  <si>
    <t>Ārsts-eksperts</t>
  </si>
  <si>
    <r>
      <rPr>
        <b/>
        <sz val="10"/>
        <color theme="1"/>
        <rFont val="Times New Roman"/>
        <family val="1"/>
      </rPr>
      <t>3.kategorija</t>
    </r>
    <r>
      <rPr>
        <sz val="10"/>
        <color theme="1"/>
        <rFont val="Times New Roman"/>
        <family val="1"/>
      </rPr>
      <t xml:space="preserve">  - Māsa (vispārējās aprūpes māsa), ārsta palīgs (feldšeris), vecmāte, biomedicīnas laborants, radiologa asistents, radiogrāfers</t>
    </r>
  </si>
  <si>
    <t>n74</t>
  </si>
  <si>
    <t>3258 01</t>
  </si>
  <si>
    <t>2221 48</t>
  </si>
  <si>
    <t>n121 / n122</t>
  </si>
  <si>
    <t>2221 47</t>
  </si>
  <si>
    <t>n121</t>
  </si>
  <si>
    <t>2221 49</t>
  </si>
  <si>
    <t xml:space="preserve">NMP punkta vecākais ārsta palīgs </t>
  </si>
  <si>
    <t>2421 04</t>
  </si>
  <si>
    <t>2211 04</t>
  </si>
  <si>
    <r>
      <rPr>
        <b/>
        <sz val="10"/>
        <rFont val="Times New Roman"/>
        <family val="1"/>
        <charset val="186"/>
      </rPr>
      <t>3.kategorija</t>
    </r>
    <r>
      <rPr>
        <sz val="10"/>
        <rFont val="Times New Roman"/>
        <family val="1"/>
      </rPr>
      <t xml:space="preserve"> - Fizioterapeits, audiologopēds, uztura speciālists, ergoterapeits, tehniskais ortopēds, mākslas terapeits, optometrists, māsa (vispārējās aprūpes māsa)</t>
    </r>
  </si>
  <si>
    <t>2211 02</t>
  </si>
  <si>
    <r>
      <rPr>
        <b/>
        <sz val="10"/>
        <rFont val="Times New Roman"/>
        <family val="1"/>
        <charset val="186"/>
      </rPr>
      <t>4.kategorija</t>
    </r>
    <r>
      <rPr>
        <sz val="10"/>
        <rFont val="Times New Roman"/>
        <family val="1"/>
      </rPr>
      <t xml:space="preserve">  - Ārsta palīgs (feldšeris), vecmāte, biomedicīnas laborants, radiologa asistents, radiogrāfers</t>
    </r>
  </si>
  <si>
    <t>Ārsta - eksperta palīgs</t>
  </si>
  <si>
    <t>3221 01</t>
  </si>
  <si>
    <t>8322 03</t>
  </si>
  <si>
    <t>IV. Medicīnas asistenta amats</t>
  </si>
  <si>
    <r>
      <rPr>
        <b/>
        <sz val="10"/>
        <rFont val="Times New Roman"/>
        <family val="1"/>
        <charset val="186"/>
      </rPr>
      <t>6.kategorija</t>
    </r>
    <r>
      <rPr>
        <sz val="10"/>
        <rFont val="Times New Roman"/>
        <family val="1"/>
      </rPr>
      <t xml:space="preserve">  - Medicīnas asistents</t>
    </r>
  </si>
  <si>
    <t>5321 05</t>
  </si>
  <si>
    <t>PP24</t>
  </si>
  <si>
    <t>P01</t>
  </si>
  <si>
    <t>P53</t>
  </si>
  <si>
    <t>PP24/P01</t>
  </si>
  <si>
    <t>Ārsts Donoru nodaļa</t>
  </si>
  <si>
    <t>P29</t>
  </si>
  <si>
    <r>
      <rPr>
        <b/>
        <sz val="10"/>
        <color theme="1"/>
        <rFont val="Times New Roman"/>
        <family val="1"/>
      </rPr>
      <t>3.kategorija</t>
    </r>
    <r>
      <rPr>
        <sz val="10"/>
        <color theme="1"/>
        <rFont val="Times New Roman"/>
        <family val="1"/>
      </rPr>
      <t xml:space="preserve">  - Ārsta palīgs (feldšeris), vecmāte, biomedicīnas laborants, radiologa asistents, radiogrāfers</t>
    </r>
  </si>
  <si>
    <t>n108</t>
  </si>
  <si>
    <t>Biomedicīnas laborants LF</t>
  </si>
  <si>
    <t>Vecākais ārsta palīgs (feldšeris) DAD*</t>
  </si>
  <si>
    <t>Māsa ASD</t>
  </si>
  <si>
    <t>2221 46</t>
  </si>
  <si>
    <t>Māsa E</t>
  </si>
  <si>
    <t>Māsa E**</t>
  </si>
  <si>
    <t>Māsa LF</t>
  </si>
  <si>
    <t>Māsa KF</t>
  </si>
  <si>
    <r>
      <rPr>
        <b/>
        <sz val="10"/>
        <rFont val="Times New Roman"/>
        <family val="1"/>
        <charset val="186"/>
      </rPr>
      <t>6.kategorija</t>
    </r>
    <r>
      <rPr>
        <sz val="10"/>
        <rFont val="Times New Roman"/>
        <family val="1"/>
      </rPr>
      <t xml:space="preserve">  - Māsas palīgs</t>
    </r>
  </si>
  <si>
    <t>III. Transportlīdzekļa vadītāja amats</t>
  </si>
  <si>
    <r>
      <rPr>
        <b/>
        <sz val="10"/>
        <rFont val="Times New Roman"/>
        <family val="1"/>
        <charset val="186"/>
      </rPr>
      <t>6.kategorija</t>
    </r>
    <r>
      <rPr>
        <sz val="10"/>
        <rFont val="Times New Roman"/>
        <family val="1"/>
      </rPr>
      <t xml:space="preserve"> - Transportlīdzekļa vadītājs</t>
    </r>
  </si>
  <si>
    <t>3./99</t>
  </si>
  <si>
    <t xml:space="preserve">Māsa </t>
  </si>
  <si>
    <t>P34</t>
  </si>
  <si>
    <t>Nodaļas vadītāja vietnieks - vecākais tiesu medicīnas eksperts</t>
  </si>
  <si>
    <t xml:space="preserve"> 05.01.00 "Sociālās rehabilitācijas valsts programmas"</t>
  </si>
  <si>
    <t>P03</t>
  </si>
  <si>
    <t>P54</t>
  </si>
  <si>
    <t>2.kategorija - Fizioterapeits, audiologopēds, uztura speciālists, ergoterapeits, tehniskais ortopēds, mākslas terapeits, optometrists</t>
  </si>
  <si>
    <t>2264 04</t>
  </si>
  <si>
    <t>T02</t>
  </si>
  <si>
    <t>2264 02</t>
  </si>
  <si>
    <t>T01</t>
  </si>
  <si>
    <t>3226 17</t>
  </si>
  <si>
    <t>T06</t>
  </si>
  <si>
    <t>3.kategorija - Fizioterapeits, audiologopēds, uztura speciālists, ergoterapeits, tehniskais ortopēds, mākslas terapeits, optometrists, māsa (vispārējās aprūpes māsa)</t>
  </si>
  <si>
    <t>Tehniskais ortopēds (nesertificēts)</t>
  </si>
  <si>
    <t>6.kategorija  - Medicīnas asistents</t>
  </si>
  <si>
    <t>Rehabilitācijas asistente</t>
  </si>
  <si>
    <t>Latvijas Nedzirdīgo savienība (12.02.2020. līgums Nr.LM2020/24-1-04/2e  par personu ar dzirdes invaliditāti nodrošināšanu ar tehniskajiem palīglīdzekļiem - surdotehniku)</t>
  </si>
  <si>
    <t>2212  82</t>
  </si>
  <si>
    <t>P23</t>
  </si>
  <si>
    <t>2266  01</t>
  </si>
  <si>
    <t>T05</t>
  </si>
  <si>
    <t>2212 86</t>
  </si>
  <si>
    <t>P28</t>
  </si>
  <si>
    <t>2269 08</t>
  </si>
  <si>
    <t>n91</t>
  </si>
  <si>
    <t>n93</t>
  </si>
  <si>
    <t>3.kategorija  - Māsa (vispārējās aprūpes māsa), ārsta palīgs (feldšeris), vecmāte, biomedicīnas laborants, radiologa asistents, radiogrāfers</t>
  </si>
  <si>
    <t>Sociālo pakalpojumu centrs "Pīlādzis" (03.02.2022. līgums Nr.LM2022/24-1-06/18e par ilgstošas sociālās aprūpes un sociālās rehabilitācijas pakalpojumu sniegšanu pilngadīgām personām ar smagiem garīga rakstura traucējumiem (personām ar I un II grupas invaliditāti))</t>
  </si>
  <si>
    <t>P19</t>
  </si>
  <si>
    <t xml:space="preserve">n120 </t>
  </si>
  <si>
    <t xml:space="preserve"> Biedrības "Latvijas Sarkanais Krusts" sociālās aprūpes centrs "Stūrīši" (03.02.2022. līgums Nr.LM2022/24-1-06/17e   par ilgstošas sociālās aprūpes un sociālās rehabilitācijas pakalpojumu sniegšanu pilngadīgām personām ar smagiem garīga rakstura traucējumiem (personām ar I un II grupas invaliditāti))</t>
  </si>
  <si>
    <t>SIA "Atsaucība" (03.02.2022. līgums Nr.LM2022/24-1-06/19e   par ilgstošas sociālās aprūpes un sociālās rehabilitācijas pakalpojumu sniegšanu pilngadīgām personām ar smagiem garīga rakstura traucējumiem (personām ar I un II grupas invaliditāti))</t>
  </si>
  <si>
    <t xml:space="preserve"> VSIA "Slimnīca "Ģintermuiža"" (12.01.2022. līgums Nr.LM2022/24-1-04/1e  par ilgstošas sociālās aprūpes un sociālās rehabilitācijas pakalpojumu sniegšanu pilngadīgām personām ar smagiem garīga rakstura traucējumiem (personām ar I un II grupas invaliditāti))</t>
  </si>
  <si>
    <t>n 124</t>
  </si>
  <si>
    <t>VSIA "Daugavpils psihoneiroloģiskā slimnīcas" (28.01.2022. līgums Nr.LM2022/24-1-04/3e  par ilgstošas sociālās aprūpes un sociālās rehabilitācijas pakalpojumu sniegšanu pilngadīgām personām ar smagiem garīga rakstura traucējumiem (personām ar I un II grupas invaliditāti))</t>
  </si>
  <si>
    <t>3255  01</t>
  </si>
  <si>
    <t>n124</t>
  </si>
  <si>
    <t>SIA "Veselības centrs "Ilūkste"" (03.02.2022. līgums Nr.LM2022/24-1-06/16e   par ilgstošas sociālās aprūpes un sociālās rehabilitācijas pakalpojumu sniegšanu pilngadīgām personām ar smagiem garīga rakstura traucējumiem (personām ar I un II grupas invaliditāti))</t>
  </si>
  <si>
    <t>VSIA "Rīgas psihiatrijas un narkoloģijas centrs" (28.01.2022. līgums Nr.LM2022/24-1-04/2e  par ilgstošas sociālās aprūpes un sociālās rehabilitācijas pakalpojumu sniegšanu pilngadīgām personām ar smagiem garīga rakstura traucējumiem (personām ar I un II grupas invaliditāti))</t>
  </si>
  <si>
    <t>3.kategorija - Māsa (vispārējās aprūpes māsa), ārsta palīgs (feldšeris), vecmāte, biomedicīnas laborants, radiologa asistents, radiogrāfers</t>
  </si>
  <si>
    <r>
      <t xml:space="preserve">VSIA "Slimnīca "Ģintermuiža"" (06.12.2021. līgums Nr.2021/24-1-06/7e  par sociālās rehabilitācijas pakalpojumu sniegšanu no psihoaktīvām vielām atkarīgām </t>
    </r>
    <r>
      <rPr>
        <b/>
        <i/>
        <u/>
        <sz val="9"/>
        <color theme="1"/>
        <rFont val="Times New Roman"/>
        <family val="1"/>
        <charset val="186"/>
      </rPr>
      <t>pilngadīgām personām</t>
    </r>
    <r>
      <rPr>
        <b/>
        <i/>
        <sz val="9"/>
        <color theme="1"/>
        <rFont val="Times New Roman"/>
        <family val="1"/>
        <charset val="186"/>
      </rPr>
      <t>)</t>
    </r>
  </si>
  <si>
    <t>05.01.00. KOPĀ</t>
  </si>
  <si>
    <t>P14</t>
  </si>
  <si>
    <t>Ārsts dermotologs</t>
  </si>
  <si>
    <t>2212 37</t>
  </si>
  <si>
    <t>P27</t>
  </si>
  <si>
    <t>2212 83</t>
  </si>
  <si>
    <t>P15</t>
  </si>
  <si>
    <t>2261 02</t>
  </si>
  <si>
    <t>P25</t>
  </si>
  <si>
    <t>2212  86</t>
  </si>
  <si>
    <t>P 19</t>
  </si>
  <si>
    <t>2212  83</t>
  </si>
  <si>
    <t>P 15</t>
  </si>
  <si>
    <t>2212  104</t>
  </si>
  <si>
    <t>P 01</t>
  </si>
  <si>
    <t>2212  77</t>
  </si>
  <si>
    <t>P 22</t>
  </si>
  <si>
    <t>T 02</t>
  </si>
  <si>
    <t>2264  02</t>
  </si>
  <si>
    <t>T 01</t>
  </si>
  <si>
    <t>2265  01</t>
  </si>
  <si>
    <t>2264  04</t>
  </si>
  <si>
    <t>2269  08</t>
  </si>
  <si>
    <t>2269  09</t>
  </si>
  <si>
    <t>Veselības aprūpes sektora vadītājs - Ārsta palīgs</t>
  </si>
  <si>
    <t>1342 04</t>
  </si>
  <si>
    <t>3255 01</t>
  </si>
  <si>
    <t>3255 08</t>
  </si>
  <si>
    <t>2269  06</t>
  </si>
  <si>
    <t>n92</t>
  </si>
  <si>
    <t>Vispārējā aprūpes māsa</t>
  </si>
  <si>
    <t>Māsa (vecākā)</t>
  </si>
  <si>
    <t>Vispārējās aprūpes māsa</t>
  </si>
  <si>
    <t>2221  46</t>
  </si>
  <si>
    <t>Ergoterapeita asistents</t>
  </si>
  <si>
    <t>T07</t>
  </si>
  <si>
    <t>Kopā VSAC</t>
  </si>
  <si>
    <t>2265 01</t>
  </si>
  <si>
    <t>2266 01</t>
  </si>
  <si>
    <t>Māsa (nesertificēta)</t>
  </si>
  <si>
    <t>Māsa (dežūrmāsa)</t>
  </si>
  <si>
    <t>4.kategorija  -  ārsta palīgs (feldšeris), vecmāte, biomedicīnas laborants, radiologa asistents, radiogrāfers</t>
  </si>
  <si>
    <t>Biomedicīnas laborants (nesertificēts)</t>
  </si>
  <si>
    <t>05.37.00. KOPĀ</t>
  </si>
  <si>
    <t>2212 08</t>
  </si>
  <si>
    <t>P20</t>
  </si>
  <si>
    <t>2212 77</t>
  </si>
  <si>
    <t>P22</t>
  </si>
  <si>
    <t>2212 90</t>
  </si>
  <si>
    <t>P32</t>
  </si>
  <si>
    <t>2212 15</t>
  </si>
  <si>
    <t>P51</t>
  </si>
  <si>
    <t>2267 01</t>
  </si>
  <si>
    <t>n114</t>
  </si>
  <si>
    <t>3.kategorija  - Ārsta palīgs (feldšeris), vecmāte, biomedicīnas laborants, radiologa asistents, radiogrāfers</t>
  </si>
  <si>
    <r>
      <t xml:space="preserve">Nepieciešamais finanšu līdzekļu apmērs viena valsts apmaksāta rezidenta apmācībai, </t>
    </r>
    <r>
      <rPr>
        <b/>
        <i/>
        <sz val="10"/>
        <rFont val="Times New Roman"/>
        <family val="1"/>
        <charset val="186"/>
      </rPr>
      <t>euro</t>
    </r>
  </si>
  <si>
    <t>Augstskolas izdevumi gadam</t>
  </si>
  <si>
    <t>Ārstniecības iestādes izdevumi gadam</t>
  </si>
  <si>
    <t>Rezidenta atlīdzība gadam</t>
  </si>
  <si>
    <r>
      <t xml:space="preserve">Valsts apmaksāto rezidentu amatalga mēnesī, </t>
    </r>
    <r>
      <rPr>
        <i/>
        <sz val="12"/>
        <color rgb="FF0D0D0D"/>
        <rFont val="Times New Roman"/>
        <family val="1"/>
      </rPr>
      <t>euro</t>
    </r>
  </si>
  <si>
    <t>Rezidentu mēnešalga reģionālajā daudzprofilu slimnīcā vai ģimenes (vispārējās prakses) ārsta praksē ārpus Rīgas</t>
  </si>
  <si>
    <t xml:space="preserve">Rezidentu mēnešalga pārējās ārstniecības iestādēs </t>
  </si>
  <si>
    <t xml:space="preserve">(tai skaitā Veselības ministrijas padotības iestādes) </t>
  </si>
  <si>
    <t xml:space="preserve">Rezidentu mēnešalga ar koeficientu 1.1 no trešā rezidentūras gada pamatspecialitātē  un no pirmā gada papildspecialitātēs reģionālajā daudzprofilu slimnīcā vai ģimenes (vispārējās prakses) ārsta praksē ārpus Rīgas </t>
  </si>
  <si>
    <t xml:space="preserve">Rezidentu mēnešalga ar koeficientu 1.1 no trešā rezidentūras gada pamatspecialitātē  un no pirmā gada papildspecialitātēs pārējās ārstniecības iestādēs </t>
  </si>
  <si>
    <t>(tai skaitā Veselības ministrijas padotības iestādes)</t>
  </si>
  <si>
    <r>
      <t xml:space="preserve">Nepieciešamais papildus finansējums valsts apmaksātiem rezidentiem, </t>
    </r>
    <r>
      <rPr>
        <b/>
        <i/>
        <sz val="11"/>
        <rFont val="Times New Roman"/>
        <family val="1"/>
      </rPr>
      <t>euro</t>
    </r>
  </si>
  <si>
    <t xml:space="preserve">Plānotais rezidentūras absolventu skaits </t>
  </si>
  <si>
    <t xml:space="preserve">Plānotais vidējais rezidentu skaits </t>
  </si>
  <si>
    <t>2024.gadam un turpmāk ik gadu</t>
  </si>
  <si>
    <r>
      <t xml:space="preserve">Nepieciešamais finanšu līdzekļu apmērs viena rezidenta, kuru rezidentūras apmācības izmaksas tiek segtas no juridisku vai fizisku personu līdzekļiem, apmācībai, </t>
    </r>
    <r>
      <rPr>
        <b/>
        <i/>
        <sz val="10"/>
        <rFont val="Times New Roman"/>
        <family val="1"/>
        <charset val="186"/>
      </rPr>
      <t>euro</t>
    </r>
  </si>
  <si>
    <t>1.1.</t>
  </si>
  <si>
    <t>1.1.1.</t>
  </si>
  <si>
    <t>1.1.1.1.</t>
  </si>
  <si>
    <t>1.1.1.2.</t>
  </si>
  <si>
    <t>t.sk. pārējie izdevumi rezidentu atlīdzībai - samaksa par dežūru stundām virs normālā darba laika (11 h mēnesī), piemaksas par nakts dežūrām, svētku dienām, mājas dežūrām un darba samaksas mainīgajai daļai</t>
  </si>
  <si>
    <t>1.1.2.</t>
  </si>
  <si>
    <r>
      <t xml:space="preserve">Nepieciešamais papildus finansējums rezidentu atlīdzībai, kuru rezidentūras apmācības izmaksas tiek segtas no juridisku vai fizisku personu līdzekļiem, </t>
    </r>
    <r>
      <rPr>
        <b/>
        <i/>
        <sz val="11"/>
        <rFont val="Times New Roman"/>
        <family val="1"/>
      </rPr>
      <t>euro</t>
    </r>
  </si>
  <si>
    <t>Rezidentu darba samaksa</t>
  </si>
  <si>
    <t>KOPĀ:</t>
  </si>
  <si>
    <t>Proporcijas plānotajam rezidentu skaitam</t>
  </si>
  <si>
    <t>Kopā nepieciešamais finansējums GADAM visu rezidentu apmācībai ar plānoto pieaugumu</t>
  </si>
  <si>
    <t xml:space="preserve">Esošais finansējums budžetā </t>
  </si>
  <si>
    <t>Papildus nepieciešamais finansējums 2024.gadam un turpmāk ik gadu</t>
  </si>
  <si>
    <t>Finansējuma sadalījums pa budžeta apakšprogrammām 2024.gadā un turpmāk ik gadu</t>
  </si>
  <si>
    <t>33.12.00 "Reto slimību ārstēšana "</t>
  </si>
  <si>
    <t>10.00.00 "Valsts robežsardzes darbība"</t>
  </si>
  <si>
    <t>Nepieciešamas papildus finansējums ārstniecības personu darba samaksas pieauguma nodrošināšanai 2024.-2026.gadā ik gadu, euro</t>
  </si>
  <si>
    <t>Aprēķins ārstniecības personu darba samaksas pieaugumam no 01.01.2024 - finansiālā ietekme uz MK noteikumiem Nr.851 2024.gadam un turpmāk ik gadu</t>
  </si>
  <si>
    <t>Pielikums Nr.1</t>
  </si>
  <si>
    <t>Pielikums Nr.1.1.</t>
  </si>
  <si>
    <t>Ārstniecības personu zemāko mēnešalgu izmaiņas no 2024.gada 1.janvāra (finansējums 2024.gadam un turpmāk ik gadu)</t>
  </si>
  <si>
    <t>Amatalgas pieaugums % 2024.gads/ 2023.gadu</t>
  </si>
  <si>
    <t>Pārējā personāla zemāko mēnešalgu izmaiņas no 2024.gada</t>
  </si>
  <si>
    <t>Pielikums Nr.1.2.</t>
  </si>
  <si>
    <t>EUR</t>
  </si>
  <si>
    <r>
      <t xml:space="preserve">Faktiskā mēnešalgas likme par           </t>
    </r>
    <r>
      <rPr>
        <u/>
        <sz val="10"/>
        <color indexed="8"/>
        <rFont val="Times New Roman"/>
        <family val="1"/>
      </rPr>
      <t>1 (vienu)</t>
    </r>
    <r>
      <rPr>
        <sz val="10"/>
        <color indexed="8"/>
        <rFont val="Times New Roman"/>
        <family val="1"/>
      </rPr>
      <t xml:space="preserve"> 
slodzi </t>
    </r>
  </si>
  <si>
    <t>Palielinājums par darba stāžu</t>
  </si>
  <si>
    <t>Piemaksas</t>
  </si>
  <si>
    <r>
      <t>Faktiskā darba samaksa</t>
    </r>
    <r>
      <rPr>
        <sz val="10"/>
        <color indexed="8"/>
        <rFont val="Times New Roman"/>
        <family val="1"/>
      </rPr>
      <t xml:space="preserve"> (atalgojums par slodzi) mēnesī</t>
    </r>
  </si>
  <si>
    <t>Darba samaksas pieaugums 2024.gadam, t.sk. 23.59%</t>
  </si>
  <si>
    <t>Pārbaude, atbilstība prof. klasifikatoram</t>
  </si>
  <si>
    <t>Reģistrācija Ārstniecības ietāžu reģistrā</t>
  </si>
  <si>
    <t>Piezīmes, pamatojums</t>
  </si>
  <si>
    <t>P63, P27</t>
  </si>
  <si>
    <t>Reģistrēts</t>
  </si>
  <si>
    <t>P53, P54</t>
  </si>
  <si>
    <t>P39</t>
  </si>
  <si>
    <t>P63</t>
  </si>
  <si>
    <t>P02</t>
  </si>
  <si>
    <t>P57</t>
  </si>
  <si>
    <t>P19, P64</t>
  </si>
  <si>
    <t>P02,P19</t>
  </si>
  <si>
    <t>2212 70</t>
  </si>
  <si>
    <t>x</t>
  </si>
  <si>
    <t>n86</t>
  </si>
  <si>
    <t>n86,n53</t>
  </si>
  <si>
    <t>n86,n29</t>
  </si>
  <si>
    <t>n122</t>
  </si>
  <si>
    <t>n86, n120</t>
  </si>
  <si>
    <t>n120, n121</t>
  </si>
  <si>
    <t>n121,n120</t>
  </si>
  <si>
    <t>2221 50</t>
  </si>
  <si>
    <t>n124, n120</t>
  </si>
  <si>
    <t>Budžeta programma 22.00.00 "Nacionālie bruņotie spēki", apakšprogramma 22.10.00 "Starptautisko operāciju un Nacionālo bruņoto spēku centralizētais atalgojums"</t>
  </si>
  <si>
    <t>P 53 "Arodveselības un arodslimību ārsts"
P 01 "Internists"</t>
  </si>
  <si>
    <t>Kods: 010058901</t>
  </si>
  <si>
    <t>Sertificēts ārsts</t>
  </si>
  <si>
    <t>P 02 "Ģimenes (vispārējās prakses) ārsts"</t>
  </si>
  <si>
    <t>Kods: 360200046</t>
  </si>
  <si>
    <t>Sertificēts ārsts (nodaļas vadītājs)</t>
  </si>
  <si>
    <t>P 01 "Internists"</t>
  </si>
  <si>
    <t>Sertificēts ārsts (zobārsts)</t>
  </si>
  <si>
    <t>P 25 "Zobārsts"</t>
  </si>
  <si>
    <t>P 63 "Veselības aprūpes vadības ārsts"
P 15 "Pediatrs"</t>
  </si>
  <si>
    <t>Kods: 170055301</t>
  </si>
  <si>
    <t>P 01 "Internists"
P 28 "Narkologs"</t>
  </si>
  <si>
    <t>Kods: 741000012</t>
  </si>
  <si>
    <t>Kods: 804455301</t>
  </si>
  <si>
    <t>P 54 "Fizikālās un rehabilitācijas medicīnas ārsts"
P 61 "Akupunktūras ārsts"
PP 15 "Hipnoterapeits"</t>
  </si>
  <si>
    <t>P 36 "Sporta ārsts"</t>
  </si>
  <si>
    <t>Kods: 010054116</t>
  </si>
  <si>
    <t>P 23 "Otolaringologs"</t>
  </si>
  <si>
    <t>P 19 "Psihiatrs"
P 28 "Narkologs"</t>
  </si>
  <si>
    <t>P 34 "Tiesu medicīnas eksperts"</t>
  </si>
  <si>
    <t>P 52 "Kardiologs"
P 01 "Internists"</t>
  </si>
  <si>
    <t>P 20 "Neirologs"</t>
  </si>
  <si>
    <t>P 22 "Oftalmologs"</t>
  </si>
  <si>
    <t>P 02 "Ģimenes (vispārējās prakses) ārsts"
PP 06 "Dietologs"</t>
  </si>
  <si>
    <t>P 14 "Ginekologs, dzemdību speciālists"</t>
  </si>
  <si>
    <t>P 52 "Kardiologs"</t>
  </si>
  <si>
    <t>P 32 "Radiologs"</t>
  </si>
  <si>
    <t>P 12 "Bērnu ķirurgs"</t>
  </si>
  <si>
    <t>Kods: 010001838</t>
  </si>
  <si>
    <t>P 13 "Traumatologs, ortopēds"</t>
  </si>
  <si>
    <t>P 39 "Neatliekamās medicīnas ārsts"</t>
  </si>
  <si>
    <t>T 01 "Fizioterapeits"</t>
  </si>
  <si>
    <t>n120 "Māsa (vispārējās aprūpes māsa)"</t>
  </si>
  <si>
    <t>n74 "Neatliekamās medicīnas ārsta palīgs (feldšeris)"</t>
  </si>
  <si>
    <t>n86 "Ambulatorā dienesta ārsta palīgs"</t>
  </si>
  <si>
    <t>n27 "Ārsta palīgs (feldšeris)"</t>
  </si>
  <si>
    <t>Sertificēta  māsa</t>
  </si>
  <si>
    <t>n76 "Biomedicīnas laborants"</t>
  </si>
  <si>
    <t>n85 "Radiologa asistents"</t>
  </si>
  <si>
    <t>n122 "Māsa (vispārējās aprūpes māsa) anestēzijā un intensīvajā aprūpē"</t>
  </si>
  <si>
    <t>n121 "Māsa (vispārējās aprūpes māsa) bērnu aprūpē"</t>
  </si>
  <si>
    <t>Reģistrēti ārstniecības personu amati</t>
  </si>
  <si>
    <t>Māsas palīgs-sanitārs</t>
  </si>
  <si>
    <t>n70 "Māsas palīgs"</t>
  </si>
  <si>
    <t>14.Iekšlietu ministrija</t>
  </si>
  <si>
    <t>Budžeta programma 10.00.00 "Valsts robežsardzes darbība"</t>
  </si>
  <si>
    <t>ĀRSTA PALĪGS/ FELDŠERIS</t>
  </si>
  <si>
    <t>MĀSA/vispārējās aprūpes MĀSA</t>
  </si>
  <si>
    <t>No 2023.gada 1.aprīļa - finanšu līdzekļu apmērs viena rezidenta apmācībai pirmajā un otrajā rezidentūras gadā pamatspecialitātē</t>
  </si>
  <si>
    <t xml:space="preserve">No 2023.gada 1.aprīļa - finanšu līdzekļu apmērs viena rezidenta apmācībai no trešā rezidentūras gada pamatspecialitātē un no pirmā rezidentūras gada papildspecialitātē un apakšspecialitātē </t>
  </si>
  <si>
    <t>No 2024.gada - finanšu līdzekļu apmērs viena rezidenta apmācībai pirmajā un otrajā rezidentūras gadā pamatspecialitātē - ar pieaugumu</t>
  </si>
  <si>
    <t>No 2024.gada - finanšu līdzekļu apmērs viena rezidenta apmācībai no trešā rezidentūras gada pamatspecialitātē un no pirmā rezidentūras gada papildspecialitātē un apakšspecialitātē - ar pieaugumu</t>
  </si>
  <si>
    <r>
      <t>2023.gadā (</t>
    </r>
    <r>
      <rPr>
        <i/>
        <sz val="10"/>
        <color rgb="FF0D0D0D"/>
        <rFont val="Times New Roman"/>
        <family val="1"/>
      </rPr>
      <t>euro</t>
    </r>
    <r>
      <rPr>
        <sz val="10"/>
        <color rgb="FF0D0D0D"/>
        <rFont val="Times New Roman"/>
        <family val="1"/>
      </rPr>
      <t>)</t>
    </r>
  </si>
  <si>
    <r>
      <t>2024.gadā un turpmāk (</t>
    </r>
    <r>
      <rPr>
        <i/>
        <sz val="10"/>
        <color rgb="FF0D0D0D"/>
        <rFont val="Times New Roman"/>
        <family val="1"/>
      </rPr>
      <t>euro</t>
    </r>
    <r>
      <rPr>
        <sz val="10"/>
        <color rgb="FF0D0D0D"/>
        <rFont val="Times New Roman"/>
        <family val="1"/>
      </rPr>
      <t>)</t>
    </r>
  </si>
  <si>
    <t xml:space="preserve">Starpība (2024.gada pieaugums pret 2023.gadu) </t>
  </si>
  <si>
    <t>Pielikums Nr.1.3.</t>
  </si>
  <si>
    <t xml:space="preserve"> Finanšu līdzekļu apmērs mēnesim viena rezidenta apmācībai 2023.gadā, euro</t>
  </si>
  <si>
    <t xml:space="preserve"> Finanšu līdzekļu apmērs mēnesim viena rezidenta apmācībai  - ar pieaugumu no 01.01.2024, euro</t>
  </si>
  <si>
    <t>Pielikums Nr.1.4.</t>
  </si>
  <si>
    <t xml:space="preserve">2023.gads - finanšu līdzekļu apmērs viena rezidenta apmācībai pirmajā un otrajā rezidentūras gadā pamatspecialitātē </t>
  </si>
  <si>
    <t xml:space="preserve">2023.gads - finanšu līdzekļu apmērs viena rezidenta apmācībai no trešā rezidentūras gada pamatspecialitātē un no pirmā rezidentūras gada apakšspecialitātē </t>
  </si>
  <si>
    <t>Pielikums Nr.1.5.</t>
  </si>
  <si>
    <t xml:space="preserve">no 2024.gada 1.janvāra un turpmāk  - finanšu līdzekļu apmērs viena rezidenta apmācībai pirmajā un otrajā rezidentūras gadā pamatspecialitātē - ar pieaugumu </t>
  </si>
  <si>
    <t xml:space="preserve">no 2024.gada 1.janvāra un turpmāk - finanšu līdzekļu apmērs viena rezidenta apmācībai no trešā rezidentūras gada pamatspecialitātē un no pirmā rezidentūras gada  apakšspecialitātē - ar pieaugumu </t>
  </si>
  <si>
    <t>Pielikums Nr.1.6.</t>
  </si>
  <si>
    <t>Ārstniecības personu darba samaksas pieaugums Aizsardzības ministrijai, Tieslietu ministrijai un Iekšlietu ministrijai</t>
  </si>
  <si>
    <t>Neatliekamās medicīniskās palīdzības dienesta ārstniecības personu faktiskā darba samaksas pieaugums (MK noteikumi Nr.851)</t>
  </si>
  <si>
    <t>Piemaksas *</t>
  </si>
  <si>
    <r>
      <t>Faktiskā darba samaksa</t>
    </r>
    <r>
      <rPr>
        <sz val="9"/>
        <color indexed="8"/>
        <rFont val="Times New Roman"/>
        <family val="1"/>
      </rPr>
      <t xml:space="preserve"> (atalgojums par slodzi) mēnesī</t>
    </r>
  </si>
  <si>
    <t>Sākotnējs darba samaksas pieaugums 2024.gadam, t.sk. 23.59%</t>
  </si>
  <si>
    <t>BAC vadītājs (NM ārsts)</t>
  </si>
  <si>
    <t>Neatliekamās medicīnas ĀRSTS</t>
  </si>
  <si>
    <t>Reģistrēta</t>
  </si>
  <si>
    <t xml:space="preserve">ĀRSTS </t>
  </si>
  <si>
    <t>Neatliekamās medicīnas ĀRSTS/anesteziologs-reanimatologs</t>
  </si>
  <si>
    <t>Intensīvās terapijas brigādes vadītājs - ārsts (anesteziologs-reanimatologs)</t>
  </si>
  <si>
    <t>ANESTEZIOLOGS, REANIMATOLOGS</t>
  </si>
  <si>
    <t>NEONATOLOGS</t>
  </si>
  <si>
    <t>KOMBUSTIOLOGS</t>
  </si>
  <si>
    <t>Asinsvadu ĶIRURGS</t>
  </si>
  <si>
    <t>Bērnu ĶIRURGS</t>
  </si>
  <si>
    <t>NEIROĶIRURGS</t>
  </si>
  <si>
    <t>M52</t>
  </si>
  <si>
    <t>ĀRSTS</t>
  </si>
  <si>
    <t>GASTROENTEROLOGS</t>
  </si>
  <si>
    <t>GINEKOLOGS, dzemdību speciālists</t>
  </si>
  <si>
    <t>INFEKTOLOGS</t>
  </si>
  <si>
    <t>KARDIOLOGS</t>
  </si>
  <si>
    <t>ĶIRURGS</t>
  </si>
  <si>
    <t>NEIROLOGS</t>
  </si>
  <si>
    <t>OTOLARINGOLOGS</t>
  </si>
  <si>
    <t>Mutes, sejas un žokļu ĶIRURGS</t>
  </si>
  <si>
    <t>Torakālais ĶIRURGS</t>
  </si>
  <si>
    <t>TRAUMATOLOGS, ORTOPĒDS</t>
  </si>
  <si>
    <t>Mugurkaulāja ĶIRURGS</t>
  </si>
  <si>
    <t>Ģimenes ārstu konsultatīvā tāruņa konsultants (ārsts) / Ģimenes ārstu konsultatīvā tāruņa konsultants (ārsts, sertificēts)</t>
  </si>
  <si>
    <t>Ģimenes/ vispārējās prakses ĀRSTS</t>
  </si>
  <si>
    <t>ĀRSTS EKSPERTS</t>
  </si>
  <si>
    <t>2211 11</t>
  </si>
  <si>
    <t>Neatliekamās medicīnas praktisko treniņu vadītājs (NM ārsts)</t>
  </si>
  <si>
    <t>BAC vadītājs (NM ārsta palīgs)</t>
  </si>
  <si>
    <t>Neatliekamās medicīnas ĀRSTA PALĪGS/ FELDŠERIS</t>
  </si>
  <si>
    <t>Brigādes (2ĀPB) vadītājs - NM ārsta palīgs</t>
  </si>
  <si>
    <t>Brigādes (2ĀPB) otrā ārstniecības persona - NM ārsta palīgs</t>
  </si>
  <si>
    <t>Brigādes otrā ārstniecības persona - NM ārsta palīgs</t>
  </si>
  <si>
    <t>Galvenais dispečers NM ārsta palīgs</t>
  </si>
  <si>
    <t>Vadības dispečers NM ārsta palīgs</t>
  </si>
  <si>
    <t>Vecākais dispečers NM ārsta palīgs</t>
  </si>
  <si>
    <t>SMC vadības dispečers NM ārsta palīgs</t>
  </si>
  <si>
    <t>MĀSA/vispārējās aprūpes MĀSA anestēzijā un intensīvajā aprūpē</t>
  </si>
  <si>
    <t>MĀSA/vispārējās aprūpes MĀSA bērnu aprūpē</t>
  </si>
  <si>
    <t>MĀSA/vispārējās aprūpes MĀSA perioperatīvajā aprūpē</t>
  </si>
  <si>
    <t>Infekciju uzraudzības speciālists (māsa)</t>
  </si>
  <si>
    <t>2263 07</t>
  </si>
  <si>
    <t>Sabiedrības veselības SPECIĀLISTS</t>
  </si>
  <si>
    <t>Galvenais speciālists ārstniecības kvalitātes jautājumos (ārsta palīgs)</t>
  </si>
  <si>
    <t>Medicīnas KONSULTANTS</t>
  </si>
  <si>
    <t>Neatliekamās medicīnas praktisko treniņu vadītājs (NM ārsta palīgs)</t>
  </si>
  <si>
    <t>Neatliekamās medicīnas ĀRSTA PALĪGS/ FELDŠERIS"</t>
  </si>
  <si>
    <t>Neatliekamās medicīnas ĀRSTA PALĪGS/ FELDŠERI</t>
  </si>
  <si>
    <t xml:space="preserve">	
REZIDENTS (ģimenes/ vispārējās prakses ārsta specialitātē)</t>
  </si>
  <si>
    <t>ĀRSTS STAŽIERIS</t>
  </si>
  <si>
    <t>Neaktuāls kods</t>
  </si>
  <si>
    <t>Brigādes (2ĀPB) otrā ārstniecības persona - ārsta palīgs</t>
  </si>
  <si>
    <t>Sanitārautomobiļa VADĪTĀJS</t>
  </si>
  <si>
    <t>Pielikums Nr.1.7.</t>
  </si>
  <si>
    <t>Valsts asinsdonoru centra ārstniecības personu faktiskā darba samaksas pieaugums (MK noteikumi Nr.851)</t>
  </si>
  <si>
    <t>LF vadītājs (virsārsts)</t>
  </si>
  <si>
    <t>KF vadītājs (virsārsts)</t>
  </si>
  <si>
    <t>Ārsts LF nodaļa</t>
  </si>
  <si>
    <t>Ārsts ID nodaļa</t>
  </si>
  <si>
    <t>Laboratoriju departamenta direktors (biomedicīnas laborants)</t>
  </si>
  <si>
    <t>Donoru nodaļas vadītājs (ārsta palīgs)</t>
  </si>
  <si>
    <t>KL Laboratorijas vadītājs (medicīnas laborants)</t>
  </si>
  <si>
    <t>Ārsta palīgs *</t>
  </si>
  <si>
    <t>Ārsta palīgs KF (nesertificēts)</t>
  </si>
  <si>
    <t>Eksperts Asins dienestā (māsa)</t>
  </si>
  <si>
    <t>Noliktavas pārzinis (medicīniskā noliktava) (māsa)</t>
  </si>
  <si>
    <t>BVD Laboratorijas vadītājs (medicīnas laborants)</t>
  </si>
  <si>
    <t>Galvenā māsa</t>
  </si>
  <si>
    <t>E nodaļas vadītājs (māsas palīgs)</t>
  </si>
  <si>
    <t>Māsas palīgs ASD</t>
  </si>
  <si>
    <t>Māsas palīgs LF</t>
  </si>
  <si>
    <t>Māsas palīgs KF</t>
  </si>
  <si>
    <t>Māsas palīgs ID</t>
  </si>
  <si>
    <t>Māsas palīgs BVD</t>
  </si>
  <si>
    <t>Māsas palīgs KL</t>
  </si>
  <si>
    <t>Specializētā autobusa vadītājs - izbraukumos</t>
  </si>
  <si>
    <t xml:space="preserve">Māsas palīgs </t>
  </si>
  <si>
    <t>Pielikums Nr.1.8.</t>
  </si>
  <si>
    <t xml:space="preserve"> Valsts tiesu medicīnas ekspertīzes centra ārstniecības personu faktiskā darba samaksas pieaugums (MK noteikumi Nr.851)</t>
  </si>
  <si>
    <t>Pārvaldes DIREKTORA VIETNIEKS (valsts pārvaldes jomā)</t>
  </si>
  <si>
    <t>Pamatdarbības struktūrvienības VADĪTĀJS/ DIREKTORS (valsts pārvaldes jomā)</t>
  </si>
  <si>
    <t>Tiesu medicīnas EKSPERTS</t>
  </si>
  <si>
    <t>Laboratorijas vadītājs, vecākais speciālists- vecākais tiesu medicīnas eksperts</t>
  </si>
  <si>
    <t xml:space="preserve">Vecākais speciālists- tiesu medicīnas eksperts </t>
  </si>
  <si>
    <t xml:space="preserve">Speciālists- tiesu medicīnas eksperts </t>
  </si>
  <si>
    <t>Pielikums Nr.1.9.</t>
  </si>
  <si>
    <t>Labklājības ministrijas ārstniecības personu faktiskā darba samaksa par slodzi atbilstoši MK noteikumiem  Nr. 851</t>
  </si>
  <si>
    <t>Fizikālās un rehabilitācijas medicīnas ārsts</t>
  </si>
  <si>
    <t>2212 17</t>
  </si>
  <si>
    <t>3214 02</t>
  </si>
  <si>
    <t>Tehniskais ortopēds (sertificēts)</t>
  </si>
  <si>
    <t>Audiologopēds (sertificēts)</t>
  </si>
  <si>
    <t>2239 01</t>
  </si>
  <si>
    <t>n26</t>
  </si>
  <si>
    <t>4.kategorija  - Ārsta palīgs (feldšeris), vecmāte, biomedicīnas laborants, radiologa asistents, radiogrāfers</t>
  </si>
  <si>
    <t xml:space="preserve">Māsa/vispārējās aprūpes māsa </t>
  </si>
  <si>
    <t>Māsa/vispārējās aprūpes māsa psihiatrijā un narkoloģijā (procedūru kabinetā)</t>
  </si>
  <si>
    <t>Māsa/vispārējās aprūpes māsa psihiatrijā un narkoloģijā</t>
  </si>
  <si>
    <t>Vecākā medicīnas māsa (vispārējās aprūpes māsa) psihiatrijā un narkoloģijā</t>
  </si>
  <si>
    <t xml:space="preserve"> Māsa (vispārējās aprūpes māsa) psihiatrijā un narkoloģijā</t>
  </si>
  <si>
    <t>Vecākā medicīnas māsa</t>
  </si>
  <si>
    <t xml:space="preserve">2221 46 </t>
  </si>
  <si>
    <t>Ģimenes ārsts</t>
  </si>
  <si>
    <t>2269 06</t>
  </si>
  <si>
    <t>2270 06</t>
  </si>
  <si>
    <t>2269 08</t>
  </si>
  <si>
    <t>2265 02</t>
  </si>
  <si>
    <t>Vispārējās aprūpes māsa psihiatrijā</t>
  </si>
  <si>
    <t>Vispārējās aprūpes māsa bērnu aprūpē</t>
  </si>
  <si>
    <t>Veselības aprūpes sektora vadītājs</t>
  </si>
  <si>
    <t>Veselības aprūpes sektora vadītājs - vecākā medicīnas māsa</t>
  </si>
  <si>
    <t>3258 08</t>
  </si>
  <si>
    <t>3255  04</t>
  </si>
  <si>
    <t>3257 08</t>
  </si>
  <si>
    <t>n30</t>
  </si>
  <si>
    <t>Pielikums Nr.1.10.</t>
  </si>
  <si>
    <t xml:space="preserve">Ārstniecības personu darba samaksas pieaugums 14.Iekšlietu ministrijas kapitālsabiedrībai VSIA "Iekšlietu ministrijas poliklīnika" </t>
  </si>
  <si>
    <t>VADĪTĀJS/ DIREKTORS/ PĀRVALDNIEKS (veselības aprūpes jomā)(CMEK vadītāja)</t>
  </si>
  <si>
    <t>VADĪTĀJA VIETNIEKS/ IZPILDDIREKTORS (veselības aprūpes jomā)(CMEK vadītāja vietniece)</t>
  </si>
  <si>
    <t>1342 02</t>
  </si>
  <si>
    <t>Arodveselības un arodslimību ĀRSTS</t>
  </si>
  <si>
    <t xml:space="preserve">	
PSIHIATRS</t>
  </si>
  <si>
    <t xml:space="preserve">	
OTOLARINGOLOG</t>
  </si>
  <si>
    <t>OFTALMOLOGS</t>
  </si>
  <si>
    <t>INTERNISTS</t>
  </si>
  <si>
    <t>ZOBĀRSTS</t>
  </si>
  <si>
    <t>RADIOLOGS</t>
  </si>
  <si>
    <t>P52</t>
  </si>
  <si>
    <t xml:space="preserve">	
ĀRSTS klīniskais FIZIOLOGS</t>
  </si>
  <si>
    <t>Pielikums Nr.1.11.</t>
  </si>
  <si>
    <t>Apakšprogramma 04.01.00 "Ieslodzījuma vietas"</t>
  </si>
  <si>
    <t>38.05.00 "Veselības aprūpe un fiziskā sagatavotība"</t>
  </si>
  <si>
    <t xml:space="preserve">No 2024.gada 1.janvāra un turpmāk - finanšu līdzekļu apmērs viena rezidenta apmācībai pirmajā un otrajā rezidentūras gadā pamatspecialitātē </t>
  </si>
  <si>
    <t xml:space="preserve">No 2024.gada 1.janvāra un turpmāk - finanšu līdzekļu apmērs viena rezidenta apmācībai no trešā rezidentūras gada pamatspecialitātē un no pirmā rezidentūras gada apakšspecialitātē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</si>
</sst>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0.0%"/>
    <numFmt numFmtId="166" formatCode="0.000%"/>
    <numFmt numFmtId="167" formatCode="#,##0.0000"/>
    <numFmt numFmtId="168" formatCode="0.000"/>
    <numFmt numFmtId="169" formatCode="#,##0.0"/>
  </numFmts>
  <fonts count="130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b/>
      <sz val="10"/>
      <color theme="1"/>
      <name val="Times New Roman"/>
      <family val="1"/>
      <charset val="186"/>
    </font>
    <font>
      <sz val="11"/>
      <color indexed="8"/>
      <name val="Calibri"/>
      <family val="2"/>
      <charset val="186"/>
    </font>
    <font>
      <sz val="10"/>
      <name val="Times New Roman"/>
      <family val="1"/>
      <charset val="186"/>
    </font>
    <font>
      <sz val="10"/>
      <name val="Times New Roman"/>
      <family val="1"/>
    </font>
    <font>
      <sz val="10"/>
      <color rgb="FFFF0000"/>
      <name val="Times New Roman"/>
      <family val="1"/>
      <charset val="186"/>
    </font>
    <font>
      <b/>
      <sz val="12"/>
      <name val="Times New Roman"/>
      <family val="1"/>
    </font>
    <font>
      <sz val="9"/>
      <color theme="1"/>
      <name val="Times New Roman"/>
      <family val="1"/>
    </font>
    <font>
      <u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0"/>
      <name val="Times New Roman"/>
      <family val="1"/>
      <charset val="186"/>
    </font>
    <font>
      <b/>
      <sz val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  <charset val="186"/>
    </font>
    <font>
      <b/>
      <sz val="12"/>
      <color theme="1"/>
      <name val="Calibri"/>
      <family val="2"/>
      <charset val="186"/>
      <scheme val="minor"/>
    </font>
    <font>
      <sz val="10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i/>
      <sz val="10"/>
      <name val="Times New Roman"/>
      <family val="1"/>
      <charset val="186"/>
    </font>
    <font>
      <sz val="10"/>
      <name val="Arial"/>
      <family val="2"/>
    </font>
    <font>
      <sz val="11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</font>
    <font>
      <sz val="10"/>
      <name val="Arial"/>
      <family val="2"/>
      <charset val="186"/>
    </font>
    <font>
      <sz val="5"/>
      <name val="Arial"/>
      <family val="2"/>
      <charset val="186"/>
    </font>
    <font>
      <b/>
      <sz val="12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b/>
      <i/>
      <sz val="10"/>
      <name val="Arial"/>
      <family val="2"/>
      <charset val="186"/>
    </font>
    <font>
      <b/>
      <i/>
      <sz val="10"/>
      <color rgb="FF7030A0"/>
      <name val="Times New Roman"/>
      <family val="1"/>
      <charset val="186"/>
    </font>
    <font>
      <b/>
      <i/>
      <sz val="10"/>
      <color rgb="FF7030A0"/>
      <name val="Arial"/>
      <family val="2"/>
      <charset val="186"/>
    </font>
    <font>
      <b/>
      <i/>
      <sz val="10"/>
      <color rgb="FFFF0000"/>
      <name val="Times New Roman"/>
      <family val="1"/>
      <charset val="186"/>
    </font>
    <font>
      <i/>
      <sz val="9"/>
      <name val="Times New Roman"/>
      <family val="1"/>
      <charset val="186"/>
    </font>
    <font>
      <i/>
      <sz val="10"/>
      <name val="Times New Roman"/>
      <family val="1"/>
      <charset val="186"/>
    </font>
    <font>
      <i/>
      <sz val="10"/>
      <name val="Arial"/>
      <family val="2"/>
      <charset val="186"/>
    </font>
    <font>
      <i/>
      <sz val="9"/>
      <color rgb="FF7030A0"/>
      <name val="Times New Roman"/>
      <family val="1"/>
      <charset val="186"/>
    </font>
    <font>
      <i/>
      <sz val="9"/>
      <name val="Arial"/>
      <family val="2"/>
      <charset val="186"/>
    </font>
    <font>
      <i/>
      <sz val="9"/>
      <color rgb="FF7030A0"/>
      <name val="Arial"/>
      <family val="2"/>
      <charset val="186"/>
    </font>
    <font>
      <i/>
      <sz val="10"/>
      <color rgb="FFFF0000"/>
      <name val="Times New Roman"/>
      <family val="1"/>
      <charset val="186"/>
    </font>
    <font>
      <b/>
      <u/>
      <sz val="10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b/>
      <sz val="10"/>
      <name val="Arial"/>
      <family val="2"/>
      <charset val="186"/>
    </font>
    <font>
      <i/>
      <sz val="9"/>
      <color rgb="FFFF0000"/>
      <name val="Times New Roman"/>
      <family val="1"/>
      <charset val="186"/>
    </font>
    <font>
      <sz val="10"/>
      <color rgb="FF7030A0"/>
      <name val="Times New Roman"/>
      <family val="1"/>
      <charset val="186"/>
    </font>
    <font>
      <b/>
      <sz val="8"/>
      <color rgb="FFFF0000"/>
      <name val="Times New Roman"/>
      <family val="1"/>
      <charset val="186"/>
    </font>
    <font>
      <b/>
      <sz val="11"/>
      <color rgb="FFFF0000"/>
      <name val="Calibri"/>
      <family val="2"/>
      <charset val="186"/>
      <scheme val="minor"/>
    </font>
    <font>
      <sz val="10"/>
      <color theme="0"/>
      <name val="Arial"/>
      <family val="2"/>
      <charset val="186"/>
    </font>
    <font>
      <b/>
      <sz val="10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sz val="10"/>
      <color rgb="FFFF0000"/>
      <name val="Calibri"/>
      <family val="2"/>
      <charset val="186"/>
      <scheme val="minor"/>
    </font>
    <font>
      <b/>
      <sz val="10"/>
      <color rgb="FFFF0000"/>
      <name val="Calibri"/>
      <family val="2"/>
      <charset val="186"/>
      <scheme val="minor"/>
    </font>
    <font>
      <sz val="12"/>
      <name val="Arial"/>
      <family val="2"/>
      <charset val="186"/>
    </font>
    <font>
      <sz val="10"/>
      <name val="Arial Baltic"/>
      <charset val="186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b/>
      <i/>
      <sz val="11"/>
      <name val="Times New Roman"/>
      <family val="1"/>
      <charset val="186"/>
    </font>
    <font>
      <i/>
      <sz val="10"/>
      <name val="Times New Roman"/>
      <family val="1"/>
    </font>
    <font>
      <b/>
      <i/>
      <sz val="10"/>
      <name val="Arial"/>
      <family val="2"/>
    </font>
    <font>
      <b/>
      <i/>
      <sz val="10"/>
      <color rgb="FFFF0000"/>
      <name val="Arial"/>
      <family val="2"/>
    </font>
    <font>
      <i/>
      <sz val="10"/>
      <color rgb="FF7030A0"/>
      <name val="Arial"/>
      <family val="2"/>
    </font>
    <font>
      <i/>
      <sz val="10"/>
      <color rgb="FF7030A0"/>
      <name val="Arial"/>
      <family val="2"/>
      <charset val="186"/>
    </font>
    <font>
      <b/>
      <i/>
      <sz val="9"/>
      <color rgb="FF7030A0"/>
      <name val="Times New Roman"/>
      <family val="1"/>
    </font>
    <font>
      <i/>
      <sz val="9"/>
      <color rgb="FF7030A0"/>
      <name val="Times New Roman"/>
      <family val="1"/>
    </font>
    <font>
      <i/>
      <sz val="10"/>
      <color rgb="FF7030A0"/>
      <name val="Times New Roman"/>
      <family val="1"/>
    </font>
    <font>
      <b/>
      <sz val="9"/>
      <color rgb="FF7030A0"/>
      <name val="Times New Roman"/>
      <family val="1"/>
    </font>
    <font>
      <sz val="8"/>
      <name val="Calibri"/>
      <family val="2"/>
      <charset val="186"/>
      <scheme val="minor"/>
    </font>
    <font>
      <sz val="10"/>
      <color rgb="FF7030A0"/>
      <name val="Calibri"/>
      <family val="2"/>
      <charset val="186"/>
      <scheme val="minor"/>
    </font>
    <font>
      <b/>
      <sz val="10"/>
      <color rgb="FF7030A0"/>
      <name val="Times New Roman"/>
      <family val="1"/>
      <charset val="186"/>
    </font>
    <font>
      <sz val="6"/>
      <name val="Times New Roman"/>
      <family val="1"/>
    </font>
    <font>
      <b/>
      <i/>
      <sz val="12"/>
      <name val="Times New Roman"/>
      <family val="1"/>
      <charset val="186"/>
    </font>
    <font>
      <b/>
      <i/>
      <sz val="12"/>
      <name val="Arial"/>
      <family val="2"/>
      <charset val="186"/>
    </font>
    <font>
      <sz val="11"/>
      <color theme="1"/>
      <name val="Calibri"/>
      <family val="2"/>
      <charset val="186"/>
    </font>
    <font>
      <sz val="10"/>
      <color rgb="FF7030A0"/>
      <name val="Arial"/>
      <family val="2"/>
      <charset val="186"/>
    </font>
    <font>
      <sz val="11"/>
      <color rgb="FF7030A0"/>
      <name val="Calibri"/>
      <family val="2"/>
      <charset val="186"/>
      <scheme val="minor"/>
    </font>
    <font>
      <i/>
      <sz val="9"/>
      <name val="Times New Roman"/>
      <family val="1"/>
    </font>
    <font>
      <i/>
      <sz val="11"/>
      <name val="Times New Roman"/>
      <family val="1"/>
    </font>
    <font>
      <b/>
      <sz val="6"/>
      <name val="Times New Roman"/>
      <family val="1"/>
    </font>
    <font>
      <sz val="12"/>
      <name val="Times New Roman"/>
      <family val="1"/>
      <charset val="186"/>
    </font>
    <font>
      <strike/>
      <sz val="12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b/>
      <u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rgb="FF7030A0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b/>
      <sz val="12"/>
      <color rgb="FF7030A0"/>
      <name val="Times New Roman"/>
      <family val="1"/>
    </font>
    <font>
      <sz val="9"/>
      <color theme="1"/>
      <name val="Times New Roman"/>
      <family val="1"/>
      <charset val="186"/>
    </font>
    <font>
      <b/>
      <sz val="14"/>
      <color theme="1"/>
      <name val="Times New Roman"/>
      <family val="1"/>
    </font>
    <font>
      <i/>
      <sz val="8"/>
      <name val="Times New Roman"/>
      <family val="1"/>
    </font>
    <font>
      <b/>
      <i/>
      <sz val="11"/>
      <color theme="1"/>
      <name val="Times New Roman"/>
      <family val="1"/>
    </font>
    <font>
      <b/>
      <i/>
      <sz val="9"/>
      <color theme="1"/>
      <name val="Times New Roman"/>
      <family val="1"/>
      <charset val="186"/>
    </font>
    <font>
      <sz val="10"/>
      <color rgb="FFFF0000"/>
      <name val="Times New Roman"/>
      <family val="1"/>
    </font>
    <font>
      <b/>
      <i/>
      <sz val="10"/>
      <color theme="1"/>
      <name val="Times New Roman"/>
      <family val="1"/>
      <charset val="186"/>
    </font>
    <font>
      <b/>
      <i/>
      <sz val="9"/>
      <name val="Times New Roman"/>
      <family val="1"/>
      <charset val="186"/>
    </font>
    <font>
      <b/>
      <i/>
      <u/>
      <sz val="9"/>
      <color theme="1"/>
      <name val="Times New Roman"/>
      <family val="1"/>
      <charset val="186"/>
    </font>
    <font>
      <b/>
      <i/>
      <sz val="9"/>
      <color theme="1"/>
      <name val="Times New Roman"/>
      <family val="1"/>
    </font>
    <font>
      <i/>
      <sz val="12"/>
      <name val="Times New Roman"/>
      <family val="1"/>
    </font>
    <font>
      <i/>
      <sz val="11"/>
      <color theme="1"/>
      <name val="Times New Roman"/>
      <family val="1"/>
    </font>
    <font>
      <sz val="12"/>
      <color rgb="FF0D0D0D"/>
      <name val="Times New Roman"/>
      <family val="1"/>
    </font>
    <font>
      <i/>
      <sz val="12"/>
      <color rgb="FF0D0D0D"/>
      <name val="Times New Roman"/>
      <family val="1"/>
    </font>
    <font>
      <sz val="10"/>
      <color rgb="FF0D0D0D"/>
      <name val="Times New Roman"/>
      <family val="1"/>
    </font>
    <font>
      <i/>
      <sz val="10"/>
      <color rgb="FF0D0D0D"/>
      <name val="Times New Roman"/>
      <family val="1"/>
    </font>
    <font>
      <b/>
      <i/>
      <sz val="11"/>
      <name val="Times New Roman"/>
      <family val="1"/>
    </font>
    <font>
      <i/>
      <sz val="11"/>
      <name val="Times New Roman"/>
      <family val="1"/>
      <charset val="186"/>
    </font>
    <font>
      <i/>
      <sz val="11"/>
      <color theme="1"/>
      <name val="Calibri"/>
      <family val="2"/>
      <charset val="186"/>
      <scheme val="minor"/>
    </font>
    <font>
      <sz val="11"/>
      <color rgb="FF000000"/>
      <name val="Times New Roman"/>
      <family val="1"/>
    </font>
    <font>
      <b/>
      <sz val="10"/>
      <color rgb="FF000000"/>
      <name val="Times New Roman"/>
      <family val="1"/>
    </font>
    <font>
      <sz val="11"/>
      <color rgb="FFFF0000"/>
      <name val="Times New Roman"/>
      <family val="1"/>
    </font>
    <font>
      <i/>
      <sz val="11"/>
      <color rgb="FF7030A0"/>
      <name val="Times New Roman"/>
      <family val="1"/>
    </font>
    <font>
      <b/>
      <sz val="11"/>
      <color rgb="FF000000"/>
      <name val="Times New Roman"/>
      <family val="1"/>
    </font>
    <font>
      <i/>
      <sz val="11"/>
      <color rgb="FF000000"/>
      <name val="Times New Roman"/>
      <family val="1"/>
    </font>
    <font>
      <sz val="11"/>
      <color rgb="FF000000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b/>
      <i/>
      <sz val="11"/>
      <color rgb="FF000000"/>
      <name val="Times New Roman"/>
      <family val="1"/>
      <charset val="186"/>
    </font>
    <font>
      <b/>
      <sz val="11"/>
      <color rgb="FFFF0000"/>
      <name val="Times New Roman"/>
      <family val="1"/>
    </font>
    <font>
      <i/>
      <sz val="9"/>
      <color theme="1"/>
      <name val="Times New Roman"/>
      <family val="1"/>
    </font>
    <font>
      <b/>
      <sz val="11"/>
      <name val="Times New Roman"/>
      <family val="1"/>
      <charset val="186"/>
    </font>
    <font>
      <u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theme="1"/>
      <name val="Calibri"/>
      <family val="2"/>
      <charset val="186"/>
      <scheme val="minor"/>
    </font>
    <font>
      <sz val="12"/>
      <color theme="1"/>
      <name val="Times New Roman"/>
      <family val="1"/>
    </font>
    <font>
      <sz val="10"/>
      <color rgb="FF0000CC"/>
      <name val="Times New Roman"/>
      <family val="1"/>
    </font>
    <font>
      <b/>
      <sz val="9"/>
      <color theme="1"/>
      <name val="Times New Roman"/>
      <family val="1"/>
    </font>
  </fonts>
  <fills count="31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9D08E"/>
        <bgColor rgb="FFA9D08E"/>
      </patternFill>
    </fill>
    <fill>
      <patternFill patternType="solid">
        <fgColor rgb="FFE2EFDA"/>
        <bgColor rgb="FFE2EFDA"/>
      </patternFill>
    </fill>
    <fill>
      <patternFill patternType="solid">
        <fgColor rgb="FF92D050"/>
        <bgColor rgb="FF92D050"/>
      </patternFill>
    </fill>
    <fill>
      <patternFill patternType="solid">
        <fgColor theme="0" tint="-0.24994659260841701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20">
    <xf numFmtId="0" fontId="0" fillId="0" borderId="0"/>
    <xf numFmtId="0" fontId="7" fillId="0" borderId="0"/>
    <xf numFmtId="9" fontId="21" fillId="0" borderId="0" applyFont="0" applyFill="0" applyBorder="0" applyAlignment="0" applyProtection="0"/>
    <xf numFmtId="0" fontId="23" fillId="0" borderId="0"/>
    <xf numFmtId="0" fontId="28" fillId="0" borderId="0" applyBorder="0"/>
    <xf numFmtId="0" fontId="28" fillId="0" borderId="0"/>
    <xf numFmtId="0" fontId="28" fillId="0" borderId="0"/>
    <xf numFmtId="0" fontId="57" fillId="0" borderId="0"/>
    <xf numFmtId="0" fontId="58" fillId="0" borderId="0"/>
    <xf numFmtId="0" fontId="28" fillId="0" borderId="0"/>
    <xf numFmtId="0" fontId="21" fillId="0" borderId="0"/>
    <xf numFmtId="0" fontId="79" fillId="0" borderId="0"/>
    <xf numFmtId="0" fontId="21" fillId="0" borderId="0"/>
    <xf numFmtId="0" fontId="2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8" fillId="0" borderId="0"/>
  </cellStyleXfs>
  <cellXfs count="811">
    <xf numFmtId="0" fontId="0" fillId="0" borderId="0" xfId="0"/>
    <xf numFmtId="0" fontId="4" fillId="6" borderId="10" xfId="0" applyFont="1" applyFill="1" applyBorder="1" applyAlignment="1">
      <alignment horizontal="right"/>
    </xf>
    <xf numFmtId="0" fontId="17" fillId="0" borderId="0" xfId="0" applyFont="1"/>
    <xf numFmtId="164" fontId="17" fillId="0" borderId="0" xfId="0" applyNumberFormat="1" applyFont="1"/>
    <xf numFmtId="0" fontId="3" fillId="9" borderId="10" xfId="0" applyFont="1" applyFill="1" applyBorder="1" applyAlignment="1">
      <alignment horizontal="left" vertical="center" wrapText="1"/>
    </xf>
    <xf numFmtId="164" fontId="3" fillId="9" borderId="11" xfId="0" quotePrefix="1" applyNumberFormat="1" applyFont="1" applyFill="1" applyBorder="1" applyAlignment="1">
      <alignment horizontal="center"/>
    </xf>
    <xf numFmtId="3" fontId="9" fillId="9" borderId="11" xfId="0" applyNumberFormat="1" applyFont="1" applyFill="1" applyBorder="1" applyAlignment="1">
      <alignment horizontal="center"/>
    </xf>
    <xf numFmtId="0" fontId="18" fillId="9" borderId="10" xfId="0" applyFont="1" applyFill="1" applyBorder="1" applyAlignment="1">
      <alignment horizontal="left" vertical="center" wrapText="1"/>
    </xf>
    <xf numFmtId="3" fontId="9" fillId="9" borderId="11" xfId="0" applyNumberFormat="1" applyFont="1" applyFill="1" applyBorder="1" applyAlignment="1">
      <alignment horizontal="center" vertical="center"/>
    </xf>
    <xf numFmtId="164" fontId="9" fillId="9" borderId="11" xfId="0" quotePrefix="1" applyNumberFormat="1" applyFont="1" applyFill="1" applyBorder="1" applyAlignment="1">
      <alignment horizontal="center"/>
    </xf>
    <xf numFmtId="0" fontId="4" fillId="10" borderId="10" xfId="0" applyFont="1" applyFill="1" applyBorder="1" applyAlignment="1">
      <alignment horizontal="left" wrapText="1"/>
    </xf>
    <xf numFmtId="164" fontId="4" fillId="10" borderId="9" xfId="0" applyNumberFormat="1" applyFont="1" applyFill="1" applyBorder="1" applyAlignment="1">
      <alignment horizontal="center" vertical="center" wrapText="1"/>
    </xf>
    <xf numFmtId="3" fontId="4" fillId="10" borderId="11" xfId="0" applyNumberFormat="1" applyFont="1" applyFill="1" applyBorder="1" applyAlignment="1">
      <alignment horizontal="center" vertical="center" wrapText="1"/>
    </xf>
    <xf numFmtId="164" fontId="3" fillId="9" borderId="11" xfId="0" quotePrefix="1" applyNumberFormat="1" applyFont="1" applyFill="1" applyBorder="1" applyAlignment="1">
      <alignment horizontal="center" vertical="center"/>
    </xf>
    <xf numFmtId="0" fontId="4" fillId="11" borderId="3" xfId="0" applyFont="1" applyFill="1" applyBorder="1" applyAlignment="1">
      <alignment horizontal="right" vertical="center"/>
    </xf>
    <xf numFmtId="0" fontId="4" fillId="11" borderId="4" xfId="0" applyFont="1" applyFill="1" applyBorder="1" applyAlignment="1">
      <alignment horizontal="center" vertical="center"/>
    </xf>
    <xf numFmtId="0" fontId="9" fillId="12" borderId="11" xfId="0" quotePrefix="1" applyFont="1" applyFill="1" applyBorder="1" applyAlignment="1">
      <alignment horizontal="center"/>
    </xf>
    <xf numFmtId="0" fontId="9" fillId="12" borderId="11" xfId="0" quotePrefix="1" applyFont="1" applyFill="1" applyBorder="1" applyAlignment="1">
      <alignment horizontal="center" vertical="center"/>
    </xf>
    <xf numFmtId="2" fontId="3" fillId="6" borderId="11" xfId="0" quotePrefix="1" applyNumberFormat="1" applyFont="1" applyFill="1" applyBorder="1" applyAlignment="1">
      <alignment horizontal="center"/>
    </xf>
    <xf numFmtId="0" fontId="9" fillId="12" borderId="10" xfId="0" applyFont="1" applyFill="1" applyBorder="1"/>
    <xf numFmtId="0" fontId="9" fillId="12" borderId="10" xfId="0" applyFont="1" applyFill="1" applyBorder="1" applyAlignment="1">
      <alignment wrapText="1"/>
    </xf>
    <xf numFmtId="0" fontId="20" fillId="0" borderId="0" xfId="0" applyFont="1"/>
    <xf numFmtId="0" fontId="20" fillId="0" borderId="10" xfId="0" applyFont="1" applyBorder="1"/>
    <xf numFmtId="0" fontId="20" fillId="0" borderId="11" xfId="0" applyFont="1" applyBorder="1"/>
    <xf numFmtId="4" fontId="0" fillId="0" borderId="0" xfId="0" applyNumberFormat="1"/>
    <xf numFmtId="10" fontId="0" fillId="0" borderId="0" xfId="2" applyNumberFormat="1" applyFont="1"/>
    <xf numFmtId="4" fontId="1" fillId="0" borderId="0" xfId="0" applyNumberFormat="1" applyFont="1"/>
    <xf numFmtId="4" fontId="20" fillId="0" borderId="0" xfId="2" applyNumberFormat="1" applyFont="1" applyFill="1" applyBorder="1" applyAlignment="1">
      <alignment horizontal="right"/>
    </xf>
    <xf numFmtId="0" fontId="25" fillId="0" borderId="0" xfId="0" applyFont="1"/>
    <xf numFmtId="10" fontId="20" fillId="0" borderId="0" xfId="2" applyNumberFormat="1" applyFont="1" applyFill="1" applyBorder="1"/>
    <xf numFmtId="10" fontId="18" fillId="0" borderId="0" xfId="2" applyNumberFormat="1" applyFont="1" applyFill="1" applyBorder="1"/>
    <xf numFmtId="14" fontId="8" fillId="0" borderId="0" xfId="0" applyNumberFormat="1" applyFont="1"/>
    <xf numFmtId="0" fontId="53" fillId="0" borderId="0" xfId="0" applyFont="1" applyAlignment="1">
      <alignment horizontal="center"/>
    </xf>
    <xf numFmtId="0" fontId="54" fillId="0" borderId="0" xfId="0" applyFont="1"/>
    <xf numFmtId="0" fontId="15" fillId="0" borderId="0" xfId="0" applyFont="1"/>
    <xf numFmtId="0" fontId="8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15" fillId="16" borderId="11" xfId="0" applyFont="1" applyFill="1" applyBorder="1"/>
    <xf numFmtId="0" fontId="15" fillId="16" borderId="11" xfId="0" applyFont="1" applyFill="1" applyBorder="1" applyAlignment="1">
      <alignment vertical="center" wrapText="1"/>
    </xf>
    <xf numFmtId="0" fontId="15" fillId="13" borderId="11" xfId="0" applyFont="1" applyFill="1" applyBorder="1" applyAlignment="1">
      <alignment horizontal="center" vertical="center"/>
    </xf>
    <xf numFmtId="0" fontId="15" fillId="13" borderId="11" xfId="0" applyFont="1" applyFill="1" applyBorder="1" applyAlignment="1">
      <alignment vertical="center" wrapText="1"/>
    </xf>
    <xf numFmtId="0" fontId="15" fillId="0" borderId="11" xfId="0" applyFont="1" applyBorder="1" applyAlignment="1">
      <alignment horizontal="center" vertical="center"/>
    </xf>
    <xf numFmtId="0" fontId="15" fillId="0" borderId="11" xfId="0" applyFont="1" applyBorder="1" applyAlignment="1">
      <alignment vertical="center" wrapText="1"/>
    </xf>
    <xf numFmtId="0" fontId="22" fillId="0" borderId="11" xfId="0" applyFont="1" applyBorder="1" applyAlignment="1">
      <alignment horizontal="center" vertical="center"/>
    </xf>
    <xf numFmtId="0" fontId="22" fillId="0" borderId="11" xfId="0" applyFont="1" applyBorder="1" applyAlignment="1">
      <alignment vertical="center" wrapText="1"/>
    </xf>
    <xf numFmtId="0" fontId="55" fillId="0" borderId="0" xfId="0" applyFont="1"/>
    <xf numFmtId="0" fontId="8" fillId="0" borderId="11" xfId="0" applyFont="1" applyBorder="1" applyAlignment="1">
      <alignment vertical="center" wrapText="1"/>
    </xf>
    <xf numFmtId="0" fontId="30" fillId="0" borderId="0" xfId="0" applyFont="1"/>
    <xf numFmtId="0" fontId="30" fillId="4" borderId="0" xfId="0" applyFont="1" applyFill="1"/>
    <xf numFmtId="0" fontId="2" fillId="10" borderId="5" xfId="0" applyFont="1" applyFill="1" applyBorder="1" applyAlignment="1">
      <alignment horizontal="center" vertical="center"/>
    </xf>
    <xf numFmtId="0" fontId="17" fillId="10" borderId="6" xfId="0" applyFont="1" applyFill="1" applyBorder="1" applyAlignment="1">
      <alignment horizontal="center" vertical="center"/>
    </xf>
    <xf numFmtId="4" fontId="8" fillId="0" borderId="11" xfId="0" applyNumberFormat="1" applyFont="1" applyBorder="1" applyAlignment="1">
      <alignment horizontal="center" vertical="center"/>
    </xf>
    <xf numFmtId="0" fontId="8" fillId="0" borderId="0" xfId="0" applyFont="1"/>
    <xf numFmtId="0" fontId="17" fillId="0" borderId="0" xfId="0" applyFont="1" applyAlignment="1">
      <alignment vertical="top" wrapText="1"/>
    </xf>
    <xf numFmtId="2" fontId="2" fillId="10" borderId="6" xfId="0" applyNumberFormat="1" applyFont="1" applyFill="1" applyBorder="1" applyAlignment="1">
      <alignment horizontal="center" vertical="center"/>
    </xf>
    <xf numFmtId="0" fontId="59" fillId="0" borderId="0" xfId="0" applyFont="1"/>
    <xf numFmtId="0" fontId="9" fillId="0" borderId="11" xfId="0" applyFont="1" applyBorder="1" applyAlignment="1">
      <alignment horizontal="center" vertical="center" wrapText="1"/>
    </xf>
    <xf numFmtId="0" fontId="29" fillId="0" borderId="0" xfId="0" applyFont="1" applyAlignment="1">
      <alignment wrapText="1"/>
    </xf>
    <xf numFmtId="0" fontId="28" fillId="0" borderId="0" xfId="0" applyFont="1" applyAlignment="1">
      <alignment wrapText="1"/>
    </xf>
    <xf numFmtId="0" fontId="28" fillId="0" borderId="0" xfId="4" applyAlignment="1">
      <alignment wrapText="1"/>
    </xf>
    <xf numFmtId="3" fontId="28" fillId="0" borderId="0" xfId="0" applyNumberFormat="1" applyFont="1" applyAlignment="1">
      <alignment wrapText="1"/>
    </xf>
    <xf numFmtId="0" fontId="33" fillId="0" borderId="0" xfId="0" applyFont="1" applyAlignment="1">
      <alignment horizontal="center" vertical="center" wrapText="1"/>
    </xf>
    <xf numFmtId="0" fontId="60" fillId="0" borderId="0" xfId="0" applyFont="1" applyAlignment="1">
      <alignment horizontal="center" wrapText="1"/>
    </xf>
    <xf numFmtId="10" fontId="50" fillId="0" borderId="0" xfId="0" applyNumberFormat="1" applyFont="1" applyAlignment="1">
      <alignment horizontal="center" vertical="center" wrapText="1"/>
    </xf>
    <xf numFmtId="0" fontId="52" fillId="0" borderId="0" xfId="0" applyFont="1" applyAlignment="1">
      <alignment wrapText="1"/>
    </xf>
    <xf numFmtId="165" fontId="62" fillId="0" borderId="0" xfId="2" applyNumberFormat="1" applyFont="1" applyAlignment="1">
      <alignment vertical="center" wrapText="1"/>
    </xf>
    <xf numFmtId="0" fontId="34" fillId="0" borderId="0" xfId="0" applyFont="1" applyAlignment="1">
      <alignment wrapText="1"/>
    </xf>
    <xf numFmtId="0" fontId="36" fillId="0" borderId="0" xfId="0" applyFont="1" applyAlignment="1">
      <alignment wrapText="1"/>
    </xf>
    <xf numFmtId="0" fontId="39" fillId="0" borderId="0" xfId="0" applyFont="1" applyAlignment="1">
      <alignment wrapText="1"/>
    </xf>
    <xf numFmtId="0" fontId="40" fillId="0" borderId="0" xfId="0" applyFont="1" applyAlignment="1">
      <alignment wrapText="1"/>
    </xf>
    <xf numFmtId="3" fontId="38" fillId="0" borderId="0" xfId="0" applyNumberFormat="1" applyFont="1" applyAlignment="1">
      <alignment horizontal="right" vertical="center" wrapText="1"/>
    </xf>
    <xf numFmtId="3" fontId="8" fillId="0" borderId="0" xfId="0" applyNumberFormat="1" applyFont="1" applyAlignment="1">
      <alignment horizontal="right" vertical="center" wrapText="1"/>
    </xf>
    <xf numFmtId="3" fontId="8" fillId="0" borderId="0" xfId="0" applyNumberFormat="1" applyFont="1" applyAlignment="1">
      <alignment horizontal="center" vertical="center" wrapText="1"/>
    </xf>
    <xf numFmtId="0" fontId="64" fillId="0" borderId="0" xfId="0" applyFont="1" applyAlignment="1">
      <alignment horizontal="center" vertical="center" wrapText="1"/>
    </xf>
    <xf numFmtId="9" fontId="64" fillId="0" borderId="0" xfId="0" applyNumberFormat="1" applyFont="1" applyAlignment="1">
      <alignment horizontal="center" vertical="center" wrapText="1"/>
    </xf>
    <xf numFmtId="0" fontId="43" fillId="0" borderId="0" xfId="0" applyFont="1" applyAlignment="1">
      <alignment wrapText="1"/>
    </xf>
    <xf numFmtId="0" fontId="47" fillId="0" borderId="0" xfId="0" applyFont="1" applyAlignment="1">
      <alignment wrapText="1"/>
    </xf>
    <xf numFmtId="2" fontId="17" fillId="0" borderId="0" xfId="0" applyNumberFormat="1" applyFont="1" applyAlignment="1">
      <alignment vertical="top" wrapText="1"/>
    </xf>
    <xf numFmtId="2" fontId="0" fillId="0" borderId="0" xfId="0" applyNumberFormat="1"/>
    <xf numFmtId="4" fontId="30" fillId="17" borderId="11" xfId="0" applyNumberFormat="1" applyFont="1" applyFill="1" applyBorder="1" applyAlignment="1">
      <alignment horizontal="center" vertical="center"/>
    </xf>
    <xf numFmtId="0" fontId="30" fillId="17" borderId="11" xfId="0" applyFont="1" applyFill="1" applyBorder="1" applyAlignment="1">
      <alignment horizontal="center" vertical="center"/>
    </xf>
    <xf numFmtId="3" fontId="30" fillId="17" borderId="11" xfId="0" applyNumberFormat="1" applyFont="1" applyFill="1" applyBorder="1" applyAlignment="1">
      <alignment horizontal="center" vertical="center"/>
    </xf>
    <xf numFmtId="0" fontId="56" fillId="0" borderId="0" xfId="0" applyFont="1" applyAlignment="1">
      <alignment horizontal="right"/>
    </xf>
    <xf numFmtId="4" fontId="51" fillId="0" borderId="0" xfId="0" applyNumberFormat="1" applyFont="1" applyAlignment="1">
      <alignment horizontal="right"/>
    </xf>
    <xf numFmtId="10" fontId="56" fillId="0" borderId="0" xfId="2" applyNumberFormat="1" applyFont="1" applyFill="1" applyBorder="1" applyAlignment="1">
      <alignment horizontal="right"/>
    </xf>
    <xf numFmtId="0" fontId="53" fillId="0" borderId="0" xfId="0" applyFont="1"/>
    <xf numFmtId="0" fontId="74" fillId="0" borderId="0" xfId="0" applyFont="1"/>
    <xf numFmtId="0" fontId="15" fillId="0" borderId="0" xfId="0" applyFont="1" applyAlignment="1">
      <alignment vertical="top" wrapText="1"/>
    </xf>
    <xf numFmtId="0" fontId="75" fillId="0" borderId="0" xfId="0" applyFont="1" applyAlignment="1">
      <alignment vertical="top" wrapText="1"/>
    </xf>
    <xf numFmtId="2" fontId="15" fillId="0" borderId="23" xfId="0" applyNumberFormat="1" applyFont="1" applyBorder="1" applyAlignment="1">
      <alignment horizontal="center" vertical="center"/>
    </xf>
    <xf numFmtId="2" fontId="22" fillId="0" borderId="23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76" fillId="0" borderId="0" xfId="0" applyFont="1" applyAlignment="1">
      <alignment horizontal="center" vertical="center" wrapText="1"/>
    </xf>
    <xf numFmtId="166" fontId="62" fillId="0" borderId="0" xfId="2" applyNumberFormat="1" applyFont="1" applyAlignment="1">
      <alignment vertical="center" wrapText="1"/>
    </xf>
    <xf numFmtId="166" fontId="28" fillId="0" borderId="0" xfId="0" applyNumberFormat="1" applyFont="1" applyAlignment="1">
      <alignment wrapText="1"/>
    </xf>
    <xf numFmtId="10" fontId="78" fillId="19" borderId="0" xfId="0" applyNumberFormat="1" applyFont="1" applyFill="1" applyAlignment="1">
      <alignment wrapText="1"/>
    </xf>
    <xf numFmtId="3" fontId="8" fillId="0" borderId="0" xfId="4" applyNumberFormat="1" applyFont="1" applyAlignment="1">
      <alignment vertical="center" wrapText="1"/>
    </xf>
    <xf numFmtId="0" fontId="49" fillId="0" borderId="0" xfId="4" applyFont="1" applyAlignment="1">
      <alignment vertical="center" wrapText="1"/>
    </xf>
    <xf numFmtId="3" fontId="49" fillId="0" borderId="0" xfId="4" applyNumberFormat="1" applyFont="1" applyAlignment="1">
      <alignment vertical="center" wrapText="1"/>
    </xf>
    <xf numFmtId="0" fontId="80" fillId="0" borderId="0" xfId="0" applyFont="1" applyAlignment="1">
      <alignment wrapText="1"/>
    </xf>
    <xf numFmtId="0" fontId="81" fillId="0" borderId="0" xfId="0" applyFont="1" applyAlignment="1">
      <alignment wrapText="1"/>
    </xf>
    <xf numFmtId="3" fontId="81" fillId="0" borderId="0" xfId="0" applyNumberFormat="1" applyFont="1" applyAlignment="1">
      <alignment wrapText="1"/>
    </xf>
    <xf numFmtId="2" fontId="3" fillId="0" borderId="11" xfId="3" quotePrefix="1" applyNumberFormat="1" applyFont="1" applyBorder="1" applyAlignment="1">
      <alignment horizontal="center"/>
    </xf>
    <xf numFmtId="16" fontId="3" fillId="9" borderId="11" xfId="3" quotePrefix="1" applyNumberFormat="1" applyFont="1" applyFill="1" applyBorder="1" applyAlignment="1">
      <alignment horizontal="center"/>
    </xf>
    <xf numFmtId="2" fontId="9" fillId="9" borderId="11" xfId="3" applyNumberFormat="1" applyFont="1" applyFill="1" applyBorder="1" applyAlignment="1">
      <alignment horizontal="center"/>
    </xf>
    <xf numFmtId="0" fontId="62" fillId="0" borderId="0" xfId="2" applyNumberFormat="1" applyFont="1" applyAlignment="1">
      <alignment vertical="center" wrapText="1"/>
    </xf>
    <xf numFmtId="10" fontId="62" fillId="0" borderId="0" xfId="2" applyNumberFormat="1" applyFont="1" applyAlignment="1">
      <alignment vertical="center" wrapText="1"/>
    </xf>
    <xf numFmtId="4" fontId="24" fillId="0" borderId="0" xfId="0" applyNumberFormat="1" applyFont="1" applyAlignment="1">
      <alignment horizontal="center" vertical="center" wrapText="1"/>
    </xf>
    <xf numFmtId="3" fontId="24" fillId="0" borderId="0" xfId="0" applyNumberFormat="1" applyFont="1" applyAlignment="1">
      <alignment horizontal="center" vertical="center" wrapText="1"/>
    </xf>
    <xf numFmtId="3" fontId="24" fillId="0" borderId="0" xfId="0" applyNumberFormat="1" applyFont="1" applyAlignment="1">
      <alignment horizontal="right" vertical="center" wrapText="1"/>
    </xf>
    <xf numFmtId="3" fontId="27" fillId="0" borderId="0" xfId="0" applyNumberFormat="1" applyFont="1" applyAlignment="1">
      <alignment horizontal="center" vertical="center" wrapText="1"/>
    </xf>
    <xf numFmtId="3" fontId="83" fillId="0" borderId="0" xfId="0" applyNumberFormat="1" applyFont="1" applyAlignment="1">
      <alignment horizontal="center" vertical="center" wrapText="1"/>
    </xf>
    <xf numFmtId="4" fontId="83" fillId="0" borderId="0" xfId="0" applyNumberFormat="1" applyFont="1" applyAlignment="1">
      <alignment horizontal="center" vertical="center" wrapText="1"/>
    </xf>
    <xf numFmtId="3" fontId="82" fillId="0" borderId="0" xfId="0" applyNumberFormat="1" applyFont="1" applyAlignment="1">
      <alignment horizontal="center" vertical="center" wrapText="1"/>
    </xf>
    <xf numFmtId="3" fontId="9" fillId="0" borderId="0" xfId="0" applyNumberFormat="1" applyFont="1" applyAlignment="1">
      <alignment horizontal="center" vertical="center" wrapText="1"/>
    </xf>
    <xf numFmtId="4" fontId="82" fillId="0" borderId="0" xfId="0" applyNumberFormat="1" applyFont="1" applyAlignment="1">
      <alignment horizontal="center" vertical="center" wrapText="1"/>
    </xf>
    <xf numFmtId="0" fontId="30" fillId="17" borderId="11" xfId="0" applyFont="1" applyFill="1" applyBorder="1" applyAlignment="1">
      <alignment horizontal="center" vertical="center" wrapText="1"/>
    </xf>
    <xf numFmtId="2" fontId="54" fillId="0" borderId="0" xfId="0" applyNumberFormat="1" applyFont="1"/>
    <xf numFmtId="2" fontId="8" fillId="0" borderId="23" xfId="0" applyNumberFormat="1" applyFont="1" applyBorder="1" applyAlignment="1">
      <alignment horizontal="center" vertical="center" wrapText="1"/>
    </xf>
    <xf numFmtId="4" fontId="54" fillId="0" borderId="0" xfId="0" applyNumberFormat="1" applyFont="1"/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3" fontId="24" fillId="0" borderId="0" xfId="0" applyNumberFormat="1" applyFont="1" applyAlignment="1">
      <alignment horizontal="center" vertical="center"/>
    </xf>
    <xf numFmtId="0" fontId="27" fillId="0" borderId="11" xfId="0" applyFont="1" applyBorder="1" applyAlignment="1">
      <alignment horizontal="center" vertical="center" wrapText="1"/>
    </xf>
    <xf numFmtId="3" fontId="27" fillId="0" borderId="11" xfId="0" applyNumberFormat="1" applyFont="1" applyBorder="1" applyAlignment="1">
      <alignment horizontal="center" vertical="center" wrapText="1"/>
    </xf>
    <xf numFmtId="0" fontId="27" fillId="21" borderId="11" xfId="0" applyFont="1" applyFill="1" applyBorder="1" applyAlignment="1">
      <alignment horizontal="center" vertical="center" wrapText="1"/>
    </xf>
    <xf numFmtId="0" fontId="24" fillId="0" borderId="11" xfId="0" applyFont="1" applyBorder="1" applyAlignment="1">
      <alignment horizontal="right" vertical="center" wrapText="1"/>
    </xf>
    <xf numFmtId="3" fontId="24" fillId="0" borderId="11" xfId="0" applyNumberFormat="1" applyFont="1" applyBorder="1" applyAlignment="1">
      <alignment horizontal="right" vertical="center" wrapText="1"/>
    </xf>
    <xf numFmtId="0" fontId="24" fillId="21" borderId="11" xfId="0" applyFont="1" applyFill="1" applyBorder="1" applyAlignment="1">
      <alignment horizontal="right" vertical="center" wrapText="1"/>
    </xf>
    <xf numFmtId="3" fontId="24" fillId="21" borderId="11" xfId="0" applyNumberFormat="1" applyFont="1" applyFill="1" applyBorder="1" applyAlignment="1">
      <alignment horizontal="right" vertical="center" wrapText="1"/>
    </xf>
    <xf numFmtId="0" fontId="27" fillId="0" borderId="0" xfId="0" applyFont="1" applyAlignment="1">
      <alignment horizontal="right" vertical="center" wrapText="1"/>
    </xf>
    <xf numFmtId="3" fontId="27" fillId="21" borderId="11" xfId="0" applyNumberFormat="1" applyFont="1" applyFill="1" applyBorder="1" applyAlignment="1">
      <alignment horizontal="center" vertical="center" wrapText="1"/>
    </xf>
    <xf numFmtId="3" fontId="27" fillId="0" borderId="0" xfId="0" applyNumberFormat="1" applyFont="1" applyAlignment="1">
      <alignment horizontal="right" vertical="center" wrapText="1"/>
    </xf>
    <xf numFmtId="0" fontId="24" fillId="0" borderId="0" xfId="0" applyFont="1" applyAlignment="1">
      <alignment horizontal="right" vertical="center" wrapText="1"/>
    </xf>
    <xf numFmtId="4" fontId="27" fillId="0" borderId="0" xfId="0" applyNumberFormat="1" applyFont="1" applyAlignment="1">
      <alignment horizontal="center" vertical="center" wrapText="1"/>
    </xf>
    <xf numFmtId="4" fontId="25" fillId="0" borderId="0" xfId="0" applyNumberFormat="1" applyFont="1" applyAlignment="1">
      <alignment horizontal="center" vertical="center" wrapText="1"/>
    </xf>
    <xf numFmtId="3" fontId="24" fillId="0" borderId="0" xfId="0" applyNumberFormat="1" applyFont="1" applyAlignment="1">
      <alignment vertical="center" wrapText="1"/>
    </xf>
    <xf numFmtId="0" fontId="15" fillId="0" borderId="0" xfId="4" applyFont="1" applyBorder="1" applyAlignment="1">
      <alignment vertical="center" wrapText="1"/>
    </xf>
    <xf numFmtId="3" fontId="15" fillId="0" borderId="0" xfId="4" applyNumberFormat="1" applyFont="1" applyBorder="1" applyAlignment="1">
      <alignment vertical="center" wrapText="1"/>
    </xf>
    <xf numFmtId="0" fontId="31" fillId="0" borderId="0" xfId="0" applyFont="1" applyAlignment="1">
      <alignment vertical="top" wrapText="1"/>
    </xf>
    <xf numFmtId="0" fontId="32" fillId="0" borderId="0" xfId="0" applyFont="1" applyAlignment="1">
      <alignment vertical="top" wrapText="1"/>
    </xf>
    <xf numFmtId="3" fontId="32" fillId="0" borderId="0" xfId="0" applyNumberFormat="1" applyFont="1" applyAlignment="1">
      <alignment vertical="top" wrapText="1"/>
    </xf>
    <xf numFmtId="0" fontId="28" fillId="0" borderId="0" xfId="4" applyBorder="1" applyAlignment="1">
      <alignment wrapText="1"/>
    </xf>
    <xf numFmtId="167" fontId="28" fillId="0" borderId="0" xfId="0" applyNumberFormat="1" applyFont="1" applyAlignment="1">
      <alignment wrapText="1"/>
    </xf>
    <xf numFmtId="166" fontId="50" fillId="0" borderId="0" xfId="0" applyNumberFormat="1" applyFont="1" applyAlignment="1">
      <alignment horizontal="center" vertical="center" wrapText="1"/>
    </xf>
    <xf numFmtId="9" fontId="50" fillId="0" borderId="0" xfId="0" applyNumberFormat="1" applyFont="1" applyAlignment="1">
      <alignment horizontal="center" vertical="center" wrapText="1"/>
    </xf>
    <xf numFmtId="3" fontId="15" fillId="0" borderId="0" xfId="0" applyNumberFormat="1" applyFont="1" applyAlignment="1">
      <alignment horizontal="right" vertical="center" wrapText="1"/>
    </xf>
    <xf numFmtId="3" fontId="32" fillId="0" borderId="0" xfId="0" applyNumberFormat="1" applyFont="1" applyAlignment="1">
      <alignment wrapText="1"/>
    </xf>
    <xf numFmtId="3" fontId="22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wrapText="1"/>
    </xf>
    <xf numFmtId="3" fontId="35" fillId="0" borderId="0" xfId="0" applyNumberFormat="1" applyFont="1" applyAlignment="1">
      <alignment horizontal="right" vertical="center" wrapText="1"/>
    </xf>
    <xf numFmtId="0" fontId="8" fillId="0" borderId="0" xfId="0" applyFont="1" applyAlignment="1">
      <alignment wrapText="1"/>
    </xf>
    <xf numFmtId="3" fontId="48" fillId="0" borderId="0" xfId="0" applyNumberFormat="1" applyFont="1" applyAlignment="1">
      <alignment horizontal="right" vertical="center" wrapText="1"/>
    </xf>
    <xf numFmtId="3" fontId="41" fillId="0" borderId="0" xfId="0" applyNumberFormat="1" applyFont="1" applyAlignment="1">
      <alignment horizontal="right" vertical="center" wrapText="1"/>
    </xf>
    <xf numFmtId="3" fontId="39" fillId="0" borderId="0" xfId="0" applyNumberFormat="1" applyFont="1" applyAlignment="1">
      <alignment wrapText="1"/>
    </xf>
    <xf numFmtId="3" fontId="32" fillId="0" borderId="0" xfId="0" applyNumberFormat="1" applyFont="1" applyAlignment="1">
      <alignment horizontal="center" vertical="center" wrapText="1"/>
    </xf>
    <xf numFmtId="3" fontId="49" fillId="0" borderId="0" xfId="0" applyNumberFormat="1" applyFont="1" applyAlignment="1">
      <alignment horizontal="right" vertical="center" wrapText="1"/>
    </xf>
    <xf numFmtId="0" fontId="38" fillId="0" borderId="0" xfId="0" applyFont="1" applyAlignment="1">
      <alignment wrapText="1"/>
    </xf>
    <xf numFmtId="0" fontId="15" fillId="0" borderId="0" xfId="0" applyFont="1" applyAlignment="1">
      <alignment wrapText="1"/>
    </xf>
    <xf numFmtId="3" fontId="60" fillId="0" borderId="0" xfId="0" applyNumberFormat="1" applyFont="1" applyAlignment="1">
      <alignment vertical="center" wrapText="1"/>
    </xf>
    <xf numFmtId="3" fontId="67" fillId="0" borderId="0" xfId="0" applyNumberFormat="1" applyFont="1" applyAlignment="1">
      <alignment wrapText="1"/>
    </xf>
    <xf numFmtId="3" fontId="34" fillId="0" borderId="0" xfId="0" applyNumberFormat="1" applyFont="1" applyAlignment="1">
      <alignment wrapText="1"/>
    </xf>
    <xf numFmtId="0" fontId="41" fillId="0" borderId="0" xfId="0" applyFont="1" applyAlignment="1">
      <alignment wrapText="1"/>
    </xf>
    <xf numFmtId="0" fontId="42" fillId="0" borderId="0" xfId="0" applyFont="1" applyAlignment="1">
      <alignment wrapText="1"/>
    </xf>
    <xf numFmtId="0" fontId="37" fillId="0" borderId="0" xfId="0" applyFont="1" applyAlignment="1">
      <alignment wrapText="1"/>
    </xf>
    <xf numFmtId="0" fontId="44" fillId="0" borderId="0" xfId="0" applyFont="1" applyAlignment="1">
      <alignment wrapText="1"/>
    </xf>
    <xf numFmtId="3" fontId="34" fillId="0" borderId="0" xfId="0" applyNumberFormat="1" applyFont="1" applyAlignment="1">
      <alignment vertical="center" wrapText="1"/>
    </xf>
    <xf numFmtId="3" fontId="65" fillId="0" borderId="0" xfId="0" applyNumberFormat="1" applyFont="1" applyAlignment="1">
      <alignment wrapText="1"/>
    </xf>
    <xf numFmtId="3" fontId="68" fillId="0" borderId="0" xfId="0" applyNumberFormat="1" applyFont="1" applyAlignment="1">
      <alignment wrapText="1"/>
    </xf>
    <xf numFmtId="3" fontId="40" fillId="0" borderId="0" xfId="0" applyNumberFormat="1" applyFont="1" applyAlignment="1">
      <alignment wrapText="1"/>
    </xf>
    <xf numFmtId="3" fontId="72" fillId="0" borderId="0" xfId="0" applyNumberFormat="1" applyFont="1" applyAlignment="1">
      <alignment horizontal="left" vertical="center" wrapText="1"/>
    </xf>
    <xf numFmtId="3" fontId="70" fillId="0" borderId="0" xfId="0" applyNumberFormat="1" applyFont="1" applyAlignment="1">
      <alignment horizontal="right" vertical="center" wrapText="1"/>
    </xf>
    <xf numFmtId="0" fontId="68" fillId="0" borderId="0" xfId="0" applyFont="1" applyAlignment="1">
      <alignment horizontal="right" wrapText="1"/>
    </xf>
    <xf numFmtId="2" fontId="68" fillId="0" borderId="0" xfId="0" applyNumberFormat="1" applyFont="1" applyAlignment="1">
      <alignment horizontal="right" wrapText="1"/>
    </xf>
    <xf numFmtId="0" fontId="49" fillId="0" borderId="0" xfId="0" applyFont="1" applyAlignment="1">
      <alignment horizontal="right" vertical="center" wrapText="1"/>
    </xf>
    <xf numFmtId="2" fontId="49" fillId="0" borderId="0" xfId="0" applyNumberFormat="1" applyFont="1" applyAlignment="1">
      <alignment horizontal="right" vertical="center" wrapText="1"/>
    </xf>
    <xf numFmtId="0" fontId="46" fillId="0" borderId="0" xfId="0" applyFont="1" applyAlignment="1">
      <alignment wrapText="1"/>
    </xf>
    <xf numFmtId="3" fontId="71" fillId="0" borderId="0" xfId="0" applyNumberFormat="1" applyFont="1" applyAlignment="1">
      <alignment horizontal="right" vertical="center" wrapText="1"/>
    </xf>
    <xf numFmtId="4" fontId="49" fillId="0" borderId="0" xfId="0" applyNumberFormat="1" applyFont="1" applyAlignment="1">
      <alignment horizontal="right" vertical="center" wrapText="1"/>
    </xf>
    <xf numFmtId="4" fontId="41" fillId="0" borderId="0" xfId="0" applyNumberFormat="1" applyFont="1" applyAlignment="1">
      <alignment horizontal="right" vertical="center" wrapText="1"/>
    </xf>
    <xf numFmtId="0" fontId="10" fillId="0" borderId="0" xfId="0" applyFont="1" applyAlignment="1">
      <alignment wrapText="1"/>
    </xf>
    <xf numFmtId="3" fontId="42" fillId="0" borderId="0" xfId="0" applyNumberFormat="1" applyFont="1" applyAlignment="1">
      <alignment wrapText="1"/>
    </xf>
    <xf numFmtId="0" fontId="30" fillId="0" borderId="11" xfId="0" applyFont="1" applyBorder="1" applyAlignment="1">
      <alignment horizontal="center" vertical="center" wrapText="1"/>
    </xf>
    <xf numFmtId="4" fontId="30" fillId="0" borderId="11" xfId="0" applyNumberFormat="1" applyFont="1" applyBorder="1" applyAlignment="1">
      <alignment horizontal="center" vertical="center" wrapText="1"/>
    </xf>
    <xf numFmtId="1" fontId="30" fillId="0" borderId="11" xfId="0" applyNumberFormat="1" applyFont="1" applyBorder="1" applyAlignment="1">
      <alignment horizontal="center" vertical="center"/>
    </xf>
    <xf numFmtId="1" fontId="85" fillId="5" borderId="11" xfId="0" applyNumberFormat="1" applyFont="1" applyFill="1" applyBorder="1" applyAlignment="1">
      <alignment horizontal="center" vertical="center"/>
    </xf>
    <xf numFmtId="0" fontId="30" fillId="5" borderId="11" xfId="0" applyFont="1" applyFill="1" applyBorder="1" applyAlignment="1">
      <alignment vertical="center" wrapText="1"/>
    </xf>
    <xf numFmtId="0" fontId="30" fillId="5" borderId="11" xfId="0" applyFont="1" applyFill="1" applyBorder="1" applyAlignment="1">
      <alignment horizontal="center" vertical="center" wrapText="1"/>
    </xf>
    <xf numFmtId="4" fontId="30" fillId="5" borderId="11" xfId="0" applyNumberFormat="1" applyFont="1" applyFill="1" applyBorder="1" applyAlignment="1">
      <alignment horizontal="center" vertical="center"/>
    </xf>
    <xf numFmtId="3" fontId="30" fillId="5" borderId="11" xfId="0" applyNumberFormat="1" applyFont="1" applyFill="1" applyBorder="1" applyAlignment="1">
      <alignment horizontal="center" vertical="center" wrapText="1"/>
    </xf>
    <xf numFmtId="0" fontId="30" fillId="4" borderId="11" xfId="0" applyFont="1" applyFill="1" applyBorder="1" applyAlignment="1">
      <alignment horizontal="center" vertical="center"/>
    </xf>
    <xf numFmtId="4" fontId="30" fillId="4" borderId="11" xfId="0" applyNumberFormat="1" applyFont="1" applyFill="1" applyBorder="1" applyAlignment="1">
      <alignment horizontal="center" vertical="center"/>
    </xf>
    <xf numFmtId="4" fontId="30" fillId="4" borderId="11" xfId="0" applyNumberFormat="1" applyFont="1" applyFill="1" applyBorder="1" applyAlignment="1">
      <alignment horizontal="center"/>
    </xf>
    <xf numFmtId="3" fontId="30" fillId="0" borderId="11" xfId="0" applyNumberFormat="1" applyFont="1" applyBorder="1" applyAlignment="1">
      <alignment horizontal="center" vertical="center" wrapText="1"/>
    </xf>
    <xf numFmtId="3" fontId="30" fillId="4" borderId="11" xfId="0" applyNumberFormat="1" applyFont="1" applyFill="1" applyBorder="1" applyAlignment="1">
      <alignment horizontal="center" vertical="center" wrapText="1"/>
    </xf>
    <xf numFmtId="0" fontId="30" fillId="4" borderId="11" xfId="0" applyFont="1" applyFill="1" applyBorder="1" applyAlignment="1">
      <alignment horizontal="center" vertical="center" wrapText="1"/>
    </xf>
    <xf numFmtId="4" fontId="30" fillId="0" borderId="11" xfId="0" applyNumberFormat="1" applyFont="1" applyBorder="1" applyAlignment="1">
      <alignment horizontal="center"/>
    </xf>
    <xf numFmtId="4" fontId="30" fillId="0" borderId="11" xfId="0" applyNumberFormat="1" applyFont="1" applyBorder="1" applyAlignment="1">
      <alignment horizontal="center" vertical="center"/>
    </xf>
    <xf numFmtId="0" fontId="85" fillId="0" borderId="0" xfId="0" applyFont="1"/>
    <xf numFmtId="0" fontId="30" fillId="0" borderId="0" xfId="0" applyFont="1" applyAlignment="1">
      <alignment horizontal="center"/>
    </xf>
    <xf numFmtId="0" fontId="11" fillId="0" borderId="0" xfId="0" applyFont="1"/>
    <xf numFmtId="3" fontId="85" fillId="0" borderId="0" xfId="0" applyNumberFormat="1" applyFont="1" applyAlignment="1">
      <alignment horizontal="center"/>
    </xf>
    <xf numFmtId="9" fontId="85" fillId="0" borderId="0" xfId="0" applyNumberFormat="1" applyFont="1"/>
    <xf numFmtId="0" fontId="85" fillId="0" borderId="0" xfId="0" applyFont="1" applyAlignment="1">
      <alignment horizontal="center" vertical="center"/>
    </xf>
    <xf numFmtId="1" fontId="30" fillId="0" borderId="0" xfId="0" applyNumberFormat="1" applyFont="1" applyAlignment="1">
      <alignment horizontal="center" vertical="center"/>
    </xf>
    <xf numFmtId="1" fontId="85" fillId="0" borderId="0" xfId="0" applyNumberFormat="1" applyFont="1" applyAlignment="1">
      <alignment horizontal="center" vertical="center"/>
    </xf>
    <xf numFmtId="0" fontId="85" fillId="4" borderId="0" xfId="0" applyFont="1" applyFill="1"/>
    <xf numFmtId="14" fontId="85" fillId="0" borderId="0" xfId="0" quotePrefix="1" applyNumberFormat="1" applyFont="1"/>
    <xf numFmtId="3" fontId="30" fillId="0" borderId="0" xfId="0" applyNumberFormat="1" applyFont="1" applyAlignment="1">
      <alignment horizontal="center"/>
    </xf>
    <xf numFmtId="3" fontId="85" fillId="0" borderId="0" xfId="0" applyNumberFormat="1" applyFont="1"/>
    <xf numFmtId="0" fontId="85" fillId="0" borderId="0" xfId="0" applyFont="1" applyAlignment="1">
      <alignment horizontal="center"/>
    </xf>
    <xf numFmtId="0" fontId="86" fillId="0" borderId="0" xfId="0" applyFont="1"/>
    <xf numFmtId="0" fontId="30" fillId="0" borderId="11" xfId="0" applyFont="1" applyBorder="1" applyAlignment="1">
      <alignment horizontal="left" wrapText="1" readingOrder="1"/>
    </xf>
    <xf numFmtId="2" fontId="30" fillId="0" borderId="11" xfId="0" applyNumberFormat="1" applyFont="1" applyBorder="1" applyAlignment="1">
      <alignment horizontal="center" vertical="center" wrapText="1"/>
    </xf>
    <xf numFmtId="3" fontId="30" fillId="0" borderId="11" xfId="0" applyNumberFormat="1" applyFont="1" applyBorder="1" applyAlignment="1">
      <alignment horizontal="right" vertical="center" wrapText="1" indent="1" readingOrder="1"/>
    </xf>
    <xf numFmtId="3" fontId="30" fillId="20" borderId="11" xfId="0" applyNumberFormat="1" applyFont="1" applyFill="1" applyBorder="1" applyAlignment="1">
      <alignment horizontal="center" vertical="center" wrapText="1" readingOrder="1"/>
    </xf>
    <xf numFmtId="0" fontId="87" fillId="0" borderId="0" xfId="0" applyFont="1"/>
    <xf numFmtId="0" fontId="30" fillId="0" borderId="0" xfId="0" applyFont="1" applyAlignment="1">
      <alignment horizontal="left" wrapText="1" readingOrder="1"/>
    </xf>
    <xf numFmtId="4" fontId="30" fillId="0" borderId="0" xfId="0" applyNumberFormat="1" applyFont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164" fontId="30" fillId="0" borderId="0" xfId="0" applyNumberFormat="1" applyFont="1" applyAlignment="1">
      <alignment horizontal="center" vertical="center" wrapText="1"/>
    </xf>
    <xf numFmtId="3" fontId="30" fillId="0" borderId="0" xfId="0" applyNumberFormat="1" applyFont="1" applyAlignment="1">
      <alignment horizontal="right" vertical="center" wrapText="1" indent="1" readingOrder="1"/>
    </xf>
    <xf numFmtId="3" fontId="30" fillId="0" borderId="0" xfId="0" applyNumberFormat="1" applyFont="1" applyAlignment="1">
      <alignment horizontal="center" vertical="center" wrapText="1" readingOrder="1"/>
    </xf>
    <xf numFmtId="4" fontId="11" fillId="0" borderId="11" xfId="0" applyNumberFormat="1" applyFont="1" applyBorder="1" applyAlignment="1">
      <alignment horizontal="center" vertical="center" wrapText="1"/>
    </xf>
    <xf numFmtId="3" fontId="89" fillId="0" borderId="0" xfId="0" applyNumberFormat="1" applyFont="1" applyAlignment="1">
      <alignment horizontal="center" vertical="center" wrapText="1" readingOrder="1"/>
    </xf>
    <xf numFmtId="3" fontId="25" fillId="0" borderId="11" xfId="0" applyNumberFormat="1" applyFont="1" applyBorder="1" applyAlignment="1">
      <alignment horizontal="center"/>
    </xf>
    <xf numFmtId="3" fontId="11" fillId="0" borderId="11" xfId="0" applyNumberFormat="1" applyFont="1" applyBorder="1" applyAlignment="1">
      <alignment horizontal="center"/>
    </xf>
    <xf numFmtId="3" fontId="25" fillId="0" borderId="0" xfId="0" applyNumberFormat="1" applyFont="1" applyAlignment="1">
      <alignment horizontal="center"/>
    </xf>
    <xf numFmtId="0" fontId="90" fillId="0" borderId="0" xfId="0" applyFont="1"/>
    <xf numFmtId="3" fontId="90" fillId="0" borderId="0" xfId="0" applyNumberFormat="1" applyFont="1" applyAlignment="1">
      <alignment horizontal="center"/>
    </xf>
    <xf numFmtId="3" fontId="89" fillId="0" borderId="0" xfId="0" applyNumberFormat="1" applyFont="1"/>
    <xf numFmtId="0" fontId="91" fillId="0" borderId="0" xfId="0" applyFont="1"/>
    <xf numFmtId="0" fontId="92" fillId="0" borderId="0" xfId="0" applyFont="1"/>
    <xf numFmtId="3" fontId="90" fillId="0" borderId="0" xfId="0" applyNumberFormat="1" applyFont="1"/>
    <xf numFmtId="1" fontId="85" fillId="0" borderId="11" xfId="0" applyNumberFormat="1" applyFont="1" applyBorder="1" applyAlignment="1">
      <alignment horizontal="center" vertical="center"/>
    </xf>
    <xf numFmtId="0" fontId="30" fillId="4" borderId="11" xfId="0" applyFont="1" applyFill="1" applyBorder="1"/>
    <xf numFmtId="0" fontId="20" fillId="0" borderId="17" xfId="0" applyFont="1" applyBorder="1"/>
    <xf numFmtId="0" fontId="9" fillId="12" borderId="17" xfId="0" applyFont="1" applyFill="1" applyBorder="1"/>
    <xf numFmtId="0" fontId="4" fillId="6" borderId="17" xfId="0" applyFont="1" applyFill="1" applyBorder="1" applyAlignment="1">
      <alignment horizontal="right"/>
    </xf>
    <xf numFmtId="0" fontId="9" fillId="12" borderId="17" xfId="0" applyFont="1" applyFill="1" applyBorder="1" applyAlignment="1">
      <alignment wrapText="1"/>
    </xf>
    <xf numFmtId="0" fontId="4" fillId="11" borderId="27" xfId="0" applyFont="1" applyFill="1" applyBorder="1" applyAlignment="1">
      <alignment horizontal="right" vertical="center"/>
    </xf>
    <xf numFmtId="0" fontId="3" fillId="0" borderId="11" xfId="0" applyFont="1" applyBorder="1"/>
    <xf numFmtId="0" fontId="4" fillId="10" borderId="26" xfId="0" applyFont="1" applyFill="1" applyBorder="1" applyAlignment="1">
      <alignment horizontal="left" wrapText="1"/>
    </xf>
    <xf numFmtId="0" fontId="18" fillId="9" borderId="17" xfId="0" applyFont="1" applyFill="1" applyBorder="1" applyAlignment="1">
      <alignment horizontal="left" vertical="center" wrapText="1"/>
    </xf>
    <xf numFmtId="0" fontId="3" fillId="9" borderId="17" xfId="0" applyFont="1" applyFill="1" applyBorder="1" applyAlignment="1">
      <alignment horizontal="left" vertical="center" wrapText="1"/>
    </xf>
    <xf numFmtId="4" fontId="4" fillId="9" borderId="11" xfId="0" applyNumberFormat="1" applyFont="1" applyFill="1" applyBorder="1"/>
    <xf numFmtId="4" fontId="4" fillId="10" borderId="11" xfId="0" applyNumberFormat="1" applyFont="1" applyFill="1" applyBorder="1"/>
    <xf numFmtId="4" fontId="3" fillId="10" borderId="11" xfId="0" applyNumberFormat="1" applyFont="1" applyFill="1" applyBorder="1"/>
    <xf numFmtId="0" fontId="2" fillId="10" borderId="30" xfId="0" applyFont="1" applyFill="1" applyBorder="1" applyAlignment="1">
      <alignment horizontal="center" vertical="center"/>
    </xf>
    <xf numFmtId="0" fontId="17" fillId="0" borderId="0" xfId="3" applyFont="1"/>
    <xf numFmtId="0" fontId="94" fillId="0" borderId="0" xfId="3" applyFont="1" applyAlignment="1">
      <alignment wrapText="1"/>
    </xf>
    <xf numFmtId="0" fontId="25" fillId="0" borderId="0" xfId="3" applyFont="1"/>
    <xf numFmtId="0" fontId="24" fillId="0" borderId="0" xfId="3" applyFont="1"/>
    <xf numFmtId="0" fontId="95" fillId="0" borderId="0" xfId="3" applyFont="1" applyAlignment="1">
      <alignment horizontal="right"/>
    </xf>
    <xf numFmtId="0" fontId="11" fillId="0" borderId="0" xfId="3" applyFont="1" applyAlignment="1">
      <alignment horizontal="center"/>
    </xf>
    <xf numFmtId="0" fontId="12" fillId="0" borderId="0" xfId="3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/>
    <xf numFmtId="2" fontId="16" fillId="22" borderId="11" xfId="3" applyNumberFormat="1" applyFont="1" applyFill="1" applyBorder="1" applyAlignment="1">
      <alignment horizontal="center" wrapText="1"/>
    </xf>
    <xf numFmtId="2" fontId="9" fillId="5" borderId="11" xfId="0" applyNumberFormat="1" applyFont="1" applyFill="1" applyBorder="1" applyAlignment="1">
      <alignment horizontal="center"/>
    </xf>
    <xf numFmtId="2" fontId="9" fillId="0" borderId="11" xfId="3" quotePrefix="1" applyNumberFormat="1" applyFont="1" applyBorder="1" applyAlignment="1">
      <alignment horizontal="center"/>
    </xf>
    <xf numFmtId="2" fontId="98" fillId="0" borderId="11" xfId="3" quotePrefix="1" applyNumberFormat="1" applyFont="1" applyBorder="1" applyAlignment="1">
      <alignment horizontal="center"/>
    </xf>
    <xf numFmtId="2" fontId="98" fillId="5" borderId="11" xfId="0" applyNumberFormat="1" applyFont="1" applyFill="1" applyBorder="1" applyAlignment="1">
      <alignment horizontal="center"/>
    </xf>
    <xf numFmtId="0" fontId="16" fillId="22" borderId="11" xfId="3" applyFont="1" applyFill="1" applyBorder="1" applyAlignment="1">
      <alignment horizontal="center" wrapText="1"/>
    </xf>
    <xf numFmtId="0" fontId="9" fillId="5" borderId="11" xfId="0" applyFont="1" applyFill="1" applyBorder="1" applyAlignment="1">
      <alignment horizontal="center"/>
    </xf>
    <xf numFmtId="0" fontId="9" fillId="0" borderId="11" xfId="3" quotePrefix="1" applyFont="1" applyBorder="1" applyAlignment="1">
      <alignment horizontal="center"/>
    </xf>
    <xf numFmtId="0" fontId="4" fillId="0" borderId="0" xfId="0" applyFont="1" applyAlignment="1">
      <alignment vertical="center"/>
    </xf>
    <xf numFmtId="2" fontId="4" fillId="22" borderId="11" xfId="3" applyNumberFormat="1" applyFont="1" applyFill="1" applyBorder="1" applyAlignment="1">
      <alignment horizontal="center" wrapText="1"/>
    </xf>
    <xf numFmtId="2" fontId="3" fillId="5" borderId="11" xfId="0" applyNumberFormat="1" applyFont="1" applyFill="1" applyBorder="1" applyAlignment="1">
      <alignment horizontal="center"/>
    </xf>
    <xf numFmtId="4" fontId="4" fillId="22" borderId="11" xfId="3" applyNumberFormat="1" applyFont="1" applyFill="1" applyBorder="1" applyAlignment="1">
      <alignment horizontal="center" vertical="center" wrapText="1"/>
    </xf>
    <xf numFmtId="4" fontId="9" fillId="5" borderId="11" xfId="3" applyNumberFormat="1" applyFont="1" applyFill="1" applyBorder="1" applyAlignment="1">
      <alignment horizontal="center"/>
    </xf>
    <xf numFmtId="4" fontId="3" fillId="5" borderId="11" xfId="3" quotePrefix="1" applyNumberFormat="1" applyFont="1" applyFill="1" applyBorder="1" applyAlignment="1">
      <alignment horizontal="center"/>
    </xf>
    <xf numFmtId="0" fontId="3" fillId="0" borderId="17" xfId="3" applyFont="1" applyBorder="1" applyAlignment="1">
      <alignment horizontal="center"/>
    </xf>
    <xf numFmtId="2" fontId="12" fillId="0" borderId="0" xfId="3" applyNumberFormat="1" applyFont="1" applyAlignment="1">
      <alignment horizontal="center" vertical="center"/>
    </xf>
    <xf numFmtId="2" fontId="3" fillId="5" borderId="11" xfId="3" quotePrefix="1" applyNumberFormat="1" applyFont="1" applyFill="1" applyBorder="1" applyAlignment="1">
      <alignment horizontal="center"/>
    </xf>
    <xf numFmtId="4" fontId="12" fillId="0" borderId="0" xfId="3" applyNumberFormat="1" applyFont="1" applyAlignment="1">
      <alignment horizontal="center" vertical="center"/>
    </xf>
    <xf numFmtId="0" fontId="2" fillId="0" borderId="0" xfId="3" applyFont="1"/>
    <xf numFmtId="0" fontId="9" fillId="5" borderId="11" xfId="3" applyFont="1" applyFill="1" applyBorder="1" applyAlignment="1">
      <alignment horizontal="left" vertical="center" wrapText="1"/>
    </xf>
    <xf numFmtId="0" fontId="9" fillId="0" borderId="11" xfId="19" applyFont="1" applyBorder="1" applyAlignment="1">
      <alignment vertical="top" wrapText="1"/>
    </xf>
    <xf numFmtId="0" fontId="9" fillId="0" borderId="11" xfId="19" applyFont="1" applyBorder="1" applyAlignment="1">
      <alignment horizontal="center" vertical="top" wrapText="1"/>
    </xf>
    <xf numFmtId="0" fontId="9" fillId="0" borderId="11" xfId="0" applyFont="1" applyBorder="1"/>
    <xf numFmtId="0" fontId="99" fillId="23" borderId="11" xfId="0" applyFont="1" applyFill="1" applyBorder="1" applyAlignment="1">
      <alignment horizontal="center" vertical="center"/>
    </xf>
    <xf numFmtId="2" fontId="16" fillId="23" borderId="11" xfId="0" applyNumberFormat="1" applyFont="1" applyFill="1" applyBorder="1" applyAlignment="1">
      <alignment horizontal="center" vertical="center"/>
    </xf>
    <xf numFmtId="0" fontId="9" fillId="0" borderId="11" xfId="3" applyFont="1" applyBorder="1" applyAlignment="1">
      <alignment horizontal="center"/>
    </xf>
    <xf numFmtId="0" fontId="4" fillId="22" borderId="11" xfId="3" applyFont="1" applyFill="1" applyBorder="1" applyAlignment="1">
      <alignment horizontal="center" wrapText="1"/>
    </xf>
    <xf numFmtId="0" fontId="3" fillId="5" borderId="11" xfId="3" applyFont="1" applyFill="1" applyBorder="1" applyAlignment="1">
      <alignment horizontal="left" vertical="center" wrapText="1"/>
    </xf>
    <xf numFmtId="0" fontId="8" fillId="0" borderId="11" xfId="19" applyFont="1" applyBorder="1" applyAlignment="1">
      <alignment vertical="top" wrapText="1"/>
    </xf>
    <xf numFmtId="0" fontId="8" fillId="4" borderId="11" xfId="19" applyFont="1" applyFill="1" applyBorder="1" applyAlignment="1">
      <alignment horizontal="left" vertical="center"/>
    </xf>
    <xf numFmtId="0" fontId="8" fillId="24" borderId="11" xfId="19" applyFont="1" applyFill="1" applyBorder="1" applyAlignment="1">
      <alignment horizontal="left" vertical="center" wrapText="1"/>
    </xf>
    <xf numFmtId="0" fontId="9" fillId="24" borderId="11" xfId="19" applyFont="1" applyFill="1" applyBorder="1" applyAlignment="1">
      <alignment horizontal="center" vertical="center" wrapText="1"/>
    </xf>
    <xf numFmtId="0" fontId="3" fillId="0" borderId="11" xfId="3" applyFont="1" applyBorder="1"/>
    <xf numFmtId="0" fontId="17" fillId="0" borderId="11" xfId="3" applyFont="1" applyBorder="1" applyAlignment="1">
      <alignment horizontal="center" vertical="center"/>
    </xf>
    <xf numFmtId="2" fontId="4" fillId="22" borderId="11" xfId="3" applyNumberFormat="1" applyFont="1" applyFill="1" applyBorder="1" applyAlignment="1">
      <alignment horizontal="center" vertical="center" wrapText="1"/>
    </xf>
    <xf numFmtId="0" fontId="2" fillId="0" borderId="11" xfId="3" applyFont="1" applyBorder="1" applyAlignment="1">
      <alignment horizontal="center" vertical="center"/>
    </xf>
    <xf numFmtId="2" fontId="2" fillId="0" borderId="11" xfId="3" applyNumberFormat="1" applyFont="1" applyBorder="1" applyAlignment="1">
      <alignment horizontal="center" vertical="center"/>
    </xf>
    <xf numFmtId="0" fontId="4" fillId="10" borderId="11" xfId="0" applyFont="1" applyFill="1" applyBorder="1" applyAlignment="1">
      <alignment horizontal="left" wrapText="1"/>
    </xf>
    <xf numFmtId="164" fontId="4" fillId="10" borderId="11" xfId="0" applyNumberFormat="1" applyFont="1" applyFill="1" applyBorder="1" applyAlignment="1">
      <alignment horizontal="center" vertical="center" wrapText="1"/>
    </xf>
    <xf numFmtId="0" fontId="18" fillId="9" borderId="11" xfId="0" applyFont="1" applyFill="1" applyBorder="1" applyAlignment="1">
      <alignment horizontal="left" vertical="center" wrapText="1"/>
    </xf>
    <xf numFmtId="0" fontId="3" fillId="9" borderId="11" xfId="0" applyFont="1" applyFill="1" applyBorder="1" applyAlignment="1">
      <alignment horizontal="left" vertical="center" wrapText="1"/>
    </xf>
    <xf numFmtId="0" fontId="16" fillId="10" borderId="11" xfId="0" applyFont="1" applyFill="1" applyBorder="1" applyAlignment="1">
      <alignment horizontal="left" wrapText="1"/>
    </xf>
    <xf numFmtId="164" fontId="16" fillId="10" borderId="11" xfId="0" applyNumberFormat="1" applyFont="1" applyFill="1" applyBorder="1" applyAlignment="1">
      <alignment horizontal="center" vertical="center" wrapText="1"/>
    </xf>
    <xf numFmtId="0" fontId="8" fillId="9" borderId="11" xfId="0" applyFont="1" applyFill="1" applyBorder="1" applyAlignment="1">
      <alignment horizontal="left" vertical="center" wrapText="1"/>
    </xf>
    <xf numFmtId="0" fontId="2" fillId="10" borderId="11" xfId="0" applyFont="1" applyFill="1" applyBorder="1" applyAlignment="1">
      <alignment horizontal="center" vertical="center"/>
    </xf>
    <xf numFmtId="2" fontId="2" fillId="10" borderId="11" xfId="0" applyNumberFormat="1" applyFont="1" applyFill="1" applyBorder="1" applyAlignment="1">
      <alignment horizontal="center" vertical="center"/>
    </xf>
    <xf numFmtId="3" fontId="87" fillId="0" borderId="0" xfId="0" applyNumberFormat="1" applyFont="1"/>
    <xf numFmtId="4" fontId="27" fillId="0" borderId="11" xfId="0" applyNumberFormat="1" applyFont="1" applyBorder="1" applyAlignment="1">
      <alignment horizontal="center" vertical="center" wrapText="1"/>
    </xf>
    <xf numFmtId="3" fontId="83" fillId="0" borderId="0" xfId="0" applyNumberFormat="1" applyFont="1" applyAlignment="1">
      <alignment horizontal="right" vertical="center" wrapText="1"/>
    </xf>
    <xf numFmtId="0" fontId="15" fillId="0" borderId="11" xfId="0" applyFont="1" applyBorder="1" applyAlignment="1">
      <alignment horizontal="center" vertical="top" wrapText="1"/>
    </xf>
    <xf numFmtId="0" fontId="15" fillId="0" borderId="23" xfId="0" applyFont="1" applyBorder="1" applyAlignment="1">
      <alignment horizontal="center" vertical="top" wrapText="1"/>
    </xf>
    <xf numFmtId="0" fontId="15" fillId="0" borderId="11" xfId="0" applyFont="1" applyBorder="1" applyAlignment="1">
      <alignment horizontal="center" vertical="center" wrapText="1"/>
    </xf>
    <xf numFmtId="0" fontId="15" fillId="19" borderId="11" xfId="0" applyFont="1" applyFill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4" fontId="15" fillId="16" borderId="11" xfId="0" applyNumberFormat="1" applyFont="1" applyFill="1" applyBorder="1" applyAlignment="1">
      <alignment horizontal="center" vertical="center"/>
    </xf>
    <xf numFmtId="4" fontId="15" fillId="13" borderId="11" xfId="0" applyNumberFormat="1" applyFont="1" applyFill="1" applyBorder="1" applyAlignment="1">
      <alignment horizontal="center" vertical="center"/>
    </xf>
    <xf numFmtId="4" fontId="15" fillId="0" borderId="11" xfId="0" applyNumberFormat="1" applyFont="1" applyBorder="1" applyAlignment="1">
      <alignment horizontal="center" vertical="center"/>
    </xf>
    <xf numFmtId="4" fontId="22" fillId="0" borderId="11" xfId="0" applyNumberFormat="1" applyFont="1" applyBorder="1" applyAlignment="1">
      <alignment horizontal="center" vertical="center"/>
    </xf>
    <xf numFmtId="4" fontId="22" fillId="0" borderId="23" xfId="0" applyNumberFormat="1" applyFont="1" applyBorder="1" applyAlignment="1">
      <alignment horizontal="center" vertical="center"/>
    </xf>
    <xf numFmtId="4" fontId="8" fillId="0" borderId="11" xfId="0" applyNumberFormat="1" applyFont="1" applyBorder="1" applyAlignment="1">
      <alignment horizontal="center" vertical="center" wrapText="1"/>
    </xf>
    <xf numFmtId="4" fontId="10" fillId="0" borderId="23" xfId="0" applyNumberFormat="1" applyFont="1" applyBorder="1" applyAlignment="1">
      <alignment horizontal="center" vertical="center" wrapText="1"/>
    </xf>
    <xf numFmtId="4" fontId="8" fillId="0" borderId="23" xfId="0" applyNumberFormat="1" applyFont="1" applyBorder="1" applyAlignment="1">
      <alignment horizontal="center" vertical="center" wrapText="1"/>
    </xf>
    <xf numFmtId="4" fontId="8" fillId="0" borderId="23" xfId="0" applyNumberFormat="1" applyFont="1" applyBorder="1" applyAlignment="1">
      <alignment horizontal="center" vertical="center"/>
    </xf>
    <xf numFmtId="0" fontId="16" fillId="0" borderId="0" xfId="0" applyFont="1" applyAlignment="1">
      <alignment horizontal="right" vertical="center" wrapText="1"/>
    </xf>
    <xf numFmtId="4" fontId="16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right"/>
    </xf>
    <xf numFmtId="0" fontId="105" fillId="0" borderId="0" xfId="0" applyFont="1" applyAlignment="1">
      <alignment horizontal="center" vertical="center"/>
    </xf>
    <xf numFmtId="0" fontId="106" fillId="0" borderId="0" xfId="0" applyFont="1" applyAlignment="1">
      <alignment horizontal="right" vertical="center"/>
    </xf>
    <xf numFmtId="0" fontId="107" fillId="0" borderId="11" xfId="0" applyFont="1" applyBorder="1" applyAlignment="1">
      <alignment horizontal="center" vertical="center" wrapText="1"/>
    </xf>
    <xf numFmtId="0" fontId="107" fillId="0" borderId="11" xfId="0" applyFont="1" applyBorder="1" applyAlignment="1">
      <alignment horizontal="left" vertical="center" wrapText="1"/>
    </xf>
    <xf numFmtId="4" fontId="107" fillId="0" borderId="11" xfId="0" applyNumberFormat="1" applyFont="1" applyBorder="1" applyAlignment="1">
      <alignment horizontal="center" vertical="center" wrapText="1"/>
    </xf>
    <xf numFmtId="0" fontId="107" fillId="0" borderId="12" xfId="0" applyFont="1" applyBorder="1" applyAlignment="1">
      <alignment horizontal="left" vertical="center" wrapText="1"/>
    </xf>
    <xf numFmtId="0" fontId="107" fillId="0" borderId="9" xfId="0" applyFont="1" applyBorder="1" applyAlignment="1">
      <alignment horizontal="left" vertical="center" wrapText="1"/>
    </xf>
    <xf numFmtId="0" fontId="27" fillId="0" borderId="0" xfId="0" applyFont="1" applyAlignment="1">
      <alignment horizontal="left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16" fillId="2" borderId="11" xfId="0" applyFont="1" applyFill="1" applyBorder="1" applyAlignment="1">
      <alignment horizontal="center" vertical="center" wrapText="1"/>
    </xf>
    <xf numFmtId="0" fontId="76" fillId="2" borderId="11" xfId="0" applyFont="1" applyFill="1" applyBorder="1" applyAlignment="1">
      <alignment horizontal="center" vertical="center" wrapText="1"/>
    </xf>
    <xf numFmtId="0" fontId="84" fillId="2" borderId="11" xfId="0" applyFont="1" applyFill="1" applyBorder="1" applyAlignment="1">
      <alignment horizontal="center" vertical="center" wrapText="1"/>
    </xf>
    <xf numFmtId="0" fontId="27" fillId="2" borderId="11" xfId="0" applyFont="1" applyFill="1" applyBorder="1" applyAlignment="1">
      <alignment horizontal="center" vertical="center" wrapText="1"/>
    </xf>
    <xf numFmtId="3" fontId="27" fillId="2" borderId="11" xfId="0" applyNumberFormat="1" applyFont="1" applyFill="1" applyBorder="1" applyAlignment="1">
      <alignment horizontal="center" vertical="center" wrapText="1"/>
    </xf>
    <xf numFmtId="4" fontId="24" fillId="2" borderId="11" xfId="0" applyNumberFormat="1" applyFont="1" applyFill="1" applyBorder="1" applyAlignment="1">
      <alignment horizontal="center" vertical="center" wrapText="1"/>
    </xf>
    <xf numFmtId="0" fontId="24" fillId="2" borderId="11" xfId="0" applyFont="1" applyFill="1" applyBorder="1" applyAlignment="1">
      <alignment horizontal="center" vertical="center" wrapText="1"/>
    </xf>
    <xf numFmtId="3" fontId="27" fillId="26" borderId="11" xfId="0" applyNumberFormat="1" applyFont="1" applyFill="1" applyBorder="1" applyAlignment="1">
      <alignment horizontal="right" vertical="center" wrapText="1"/>
    </xf>
    <xf numFmtId="3" fontId="27" fillId="26" borderId="11" xfId="0" applyNumberFormat="1" applyFont="1" applyFill="1" applyBorder="1" applyAlignment="1">
      <alignment horizontal="center" vertical="center" wrapText="1"/>
    </xf>
    <xf numFmtId="4" fontId="15" fillId="0" borderId="0" xfId="0" applyNumberFormat="1" applyFont="1" applyAlignment="1">
      <alignment horizontal="right"/>
    </xf>
    <xf numFmtId="4" fontId="15" fillId="0" borderId="0" xfId="0" applyNumberFormat="1" applyFont="1" applyAlignment="1">
      <alignment horizontal="center"/>
    </xf>
    <xf numFmtId="2" fontId="53" fillId="0" borderId="0" xfId="0" applyNumberFormat="1" applyFont="1" applyAlignment="1">
      <alignment horizontal="center"/>
    </xf>
    <xf numFmtId="0" fontId="15" fillId="26" borderId="11" xfId="0" applyFont="1" applyFill="1" applyBorder="1" applyAlignment="1">
      <alignment horizontal="center" vertical="top" wrapText="1"/>
    </xf>
    <xf numFmtId="3" fontId="110" fillId="0" borderId="0" xfId="0" applyNumberFormat="1" applyFont="1" applyAlignment="1">
      <alignment horizontal="right" vertical="center" wrapText="1"/>
    </xf>
    <xf numFmtId="0" fontId="111" fillId="0" borderId="0" xfId="0" applyFont="1" applyAlignment="1">
      <alignment vertical="center" wrapText="1"/>
    </xf>
    <xf numFmtId="0" fontId="112" fillId="0" borderId="0" xfId="0" applyFont="1" applyAlignment="1">
      <alignment horizontal="center" vertical="center" wrapText="1"/>
    </xf>
    <xf numFmtId="0" fontId="114" fillId="0" borderId="0" xfId="0" applyFont="1" applyAlignment="1">
      <alignment horizontal="center" vertical="center" wrapText="1"/>
    </xf>
    <xf numFmtId="0" fontId="115" fillId="0" borderId="0" xfId="0" applyFont="1" applyAlignment="1">
      <alignment horizontal="center" vertical="center" wrapText="1"/>
    </xf>
    <xf numFmtId="4" fontId="112" fillId="0" borderId="0" xfId="0" applyNumberFormat="1" applyFont="1" applyAlignment="1">
      <alignment horizontal="center" vertical="center" wrapText="1"/>
    </xf>
    <xf numFmtId="0" fontId="116" fillId="0" borderId="11" xfId="0" applyFont="1" applyBorder="1" applyAlignment="1">
      <alignment horizontal="center" vertical="center" wrapText="1"/>
    </xf>
    <xf numFmtId="164" fontId="112" fillId="0" borderId="0" xfId="0" applyNumberFormat="1" applyFont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112" fillId="0" borderId="11" xfId="0" applyFont="1" applyBorder="1" applyAlignment="1">
      <alignment horizontal="center" vertical="center" wrapText="1"/>
    </xf>
    <xf numFmtId="3" fontId="112" fillId="0" borderId="11" xfId="0" applyNumberFormat="1" applyFont="1" applyBorder="1" applyAlignment="1">
      <alignment horizontal="center" vertical="center" wrapText="1"/>
    </xf>
    <xf numFmtId="3" fontId="116" fillId="0" borderId="11" xfId="0" applyNumberFormat="1" applyFont="1" applyBorder="1" applyAlignment="1">
      <alignment horizontal="center" vertical="center" wrapText="1"/>
    </xf>
    <xf numFmtId="2" fontId="116" fillId="0" borderId="0" xfId="0" applyNumberFormat="1" applyFont="1" applyAlignment="1">
      <alignment horizontal="center" vertical="center" wrapText="1"/>
    </xf>
    <xf numFmtId="0" fontId="112" fillId="0" borderId="0" xfId="0" applyFont="1" applyAlignment="1">
      <alignment vertical="center" wrapText="1"/>
    </xf>
    <xf numFmtId="0" fontId="117" fillId="0" borderId="0" xfId="0" applyFont="1" applyAlignment="1">
      <alignment horizontal="center" vertical="center" wrapText="1"/>
    </xf>
    <xf numFmtId="3" fontId="112" fillId="0" borderId="0" xfId="0" applyNumberFormat="1" applyFont="1" applyAlignment="1">
      <alignment horizontal="center" vertical="center" wrapText="1"/>
    </xf>
    <xf numFmtId="3" fontId="119" fillId="26" borderId="11" xfId="0" applyNumberFormat="1" applyFont="1" applyFill="1" applyBorder="1" applyAlignment="1">
      <alignment horizontal="center" vertical="center" wrapText="1"/>
    </xf>
    <xf numFmtId="3" fontId="116" fillId="0" borderId="0" xfId="0" applyNumberFormat="1" applyFont="1" applyAlignment="1">
      <alignment horizontal="center" vertical="center" wrapText="1"/>
    </xf>
    <xf numFmtId="3" fontId="112" fillId="0" borderId="0" xfId="0" applyNumberFormat="1" applyFont="1" applyAlignment="1">
      <alignment vertical="center" wrapText="1"/>
    </xf>
    <xf numFmtId="0" fontId="0" fillId="0" borderId="11" xfId="0" applyBorder="1"/>
    <xf numFmtId="0" fontId="4" fillId="7" borderId="11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5" fillId="4" borderId="11" xfId="0" applyFont="1" applyFill="1" applyBorder="1" applyAlignment="1">
      <alignment horizontal="left" vertical="center" wrapText="1"/>
    </xf>
    <xf numFmtId="4" fontId="2" fillId="11" borderId="11" xfId="0" applyNumberFormat="1" applyFont="1" applyFill="1" applyBorder="1" applyAlignment="1">
      <alignment horizontal="left" vertical="center" wrapText="1"/>
    </xf>
    <xf numFmtId="4" fontId="17" fillId="0" borderId="11" xfId="0" applyNumberFormat="1" applyFont="1" applyBorder="1" applyAlignment="1">
      <alignment horizontal="center" vertical="center" wrapText="1"/>
    </xf>
    <xf numFmtId="4" fontId="122" fillId="0" borderId="11" xfId="0" applyNumberFormat="1" applyFont="1" applyBorder="1" applyAlignment="1">
      <alignment horizontal="right" vertical="center" wrapText="1"/>
    </xf>
    <xf numFmtId="4" fontId="2" fillId="15" borderId="11" xfId="0" applyNumberFormat="1" applyFont="1" applyFill="1" applyBorder="1" applyAlignment="1">
      <alignment horizontal="left" vertical="center" wrapText="1"/>
    </xf>
    <xf numFmtId="3" fontId="17" fillId="0" borderId="11" xfId="0" applyNumberFormat="1" applyFont="1" applyBorder="1" applyAlignment="1">
      <alignment horizontal="center" vertical="center" wrapText="1"/>
    </xf>
    <xf numFmtId="3" fontId="2" fillId="8" borderId="11" xfId="0" applyNumberFormat="1" applyFont="1" applyFill="1" applyBorder="1" applyAlignment="1">
      <alignment horizontal="center" vertical="center" wrapText="1"/>
    </xf>
    <xf numFmtId="3" fontId="2" fillId="11" borderId="11" xfId="0" applyNumberFormat="1" applyFont="1" applyFill="1" applyBorder="1" applyAlignment="1">
      <alignment horizontal="center" vertical="center" wrapText="1"/>
    </xf>
    <xf numFmtId="3" fontId="104" fillId="0" borderId="11" xfId="0" applyNumberFormat="1" applyFont="1" applyBorder="1" applyAlignment="1">
      <alignment horizontal="center" vertical="center" wrapText="1"/>
    </xf>
    <xf numFmtId="3" fontId="122" fillId="0" borderId="11" xfId="0" applyNumberFormat="1" applyFont="1" applyBorder="1" applyAlignment="1">
      <alignment horizontal="center" vertical="center" wrapText="1"/>
    </xf>
    <xf numFmtId="3" fontId="2" fillId="15" borderId="11" xfId="0" applyNumberFormat="1" applyFont="1" applyFill="1" applyBorder="1" applyAlignment="1">
      <alignment horizontal="center" vertical="center" wrapText="1"/>
    </xf>
    <xf numFmtId="0" fontId="123" fillId="0" borderId="0" xfId="0" applyFont="1"/>
    <xf numFmtId="165" fontId="30" fillId="0" borderId="11" xfId="2" applyNumberFormat="1" applyFont="1" applyBorder="1"/>
    <xf numFmtId="165" fontId="30" fillId="5" borderId="11" xfId="2" applyNumberFormat="1" applyFont="1" applyFill="1" applyBorder="1"/>
    <xf numFmtId="0" fontId="4" fillId="0" borderId="0" xfId="0" applyFont="1" applyAlignment="1">
      <alignment horizontal="right"/>
    </xf>
    <xf numFmtId="0" fontId="20" fillId="0" borderId="41" xfId="0" applyFont="1" applyBorder="1"/>
    <xf numFmtId="0" fontId="3" fillId="0" borderId="42" xfId="0" applyFont="1" applyBorder="1"/>
    <xf numFmtId="0" fontId="3" fillId="7" borderId="42" xfId="0" applyFont="1" applyFill="1" applyBorder="1"/>
    <xf numFmtId="0" fontId="3" fillId="5" borderId="42" xfId="0" applyFont="1" applyFill="1" applyBorder="1"/>
    <xf numFmtId="0" fontId="3" fillId="12" borderId="11" xfId="0" applyFont="1" applyFill="1" applyBorder="1" applyAlignment="1">
      <alignment horizontal="center"/>
    </xf>
    <xf numFmtId="0" fontId="3" fillId="12" borderId="41" xfId="0" applyFont="1" applyFill="1" applyBorder="1" applyAlignment="1">
      <alignment horizontal="center"/>
    </xf>
    <xf numFmtId="0" fontId="3" fillId="12" borderId="42" xfId="0" applyFont="1" applyFill="1" applyBorder="1"/>
    <xf numFmtId="4" fontId="3" fillId="0" borderId="42" xfId="0" applyNumberFormat="1" applyFont="1" applyBorder="1"/>
    <xf numFmtId="0" fontId="3" fillId="6" borderId="11" xfId="0" applyFont="1" applyFill="1" applyBorder="1" applyAlignment="1">
      <alignment horizontal="center"/>
    </xf>
    <xf numFmtId="0" fontId="3" fillId="6" borderId="41" xfId="0" applyFont="1" applyFill="1" applyBorder="1" applyAlignment="1">
      <alignment horizontal="center"/>
    </xf>
    <xf numFmtId="0" fontId="3" fillId="6" borderId="42" xfId="0" applyFont="1" applyFill="1" applyBorder="1" applyAlignment="1">
      <alignment horizontal="center"/>
    </xf>
    <xf numFmtId="0" fontId="3" fillId="12" borderId="11" xfId="0" applyFont="1" applyFill="1" applyBorder="1" applyAlignment="1">
      <alignment horizontal="center" vertical="center"/>
    </xf>
    <xf numFmtId="2" fontId="4" fillId="11" borderId="4" xfId="0" applyNumberFormat="1" applyFont="1" applyFill="1" applyBorder="1" applyAlignment="1">
      <alignment horizontal="center" vertical="center"/>
    </xf>
    <xf numFmtId="0" fontId="4" fillId="11" borderId="44" xfId="0" applyFont="1" applyFill="1" applyBorder="1" applyAlignment="1">
      <alignment horizontal="center" vertical="center"/>
    </xf>
    <xf numFmtId="4" fontId="4" fillId="11" borderId="45" xfId="0" applyNumberFormat="1" applyFont="1" applyFill="1" applyBorder="1"/>
    <xf numFmtId="0" fontId="4" fillId="22" borderId="15" xfId="3" applyFont="1" applyFill="1" applyBorder="1" applyAlignment="1">
      <alignment wrapText="1"/>
    </xf>
    <xf numFmtId="0" fontId="4" fillId="22" borderId="36" xfId="3" applyFont="1" applyFill="1" applyBorder="1" applyAlignment="1">
      <alignment wrapText="1"/>
    </xf>
    <xf numFmtId="0" fontId="4" fillId="22" borderId="17" xfId="3" applyFont="1" applyFill="1" applyBorder="1" applyAlignment="1">
      <alignment wrapText="1"/>
    </xf>
    <xf numFmtId="0" fontId="20" fillId="0" borderId="11" xfId="0" applyFont="1" applyBorder="1" applyAlignment="1">
      <alignment wrapText="1"/>
    </xf>
    <xf numFmtId="0" fontId="2" fillId="11" borderId="5" xfId="3" applyFont="1" applyFill="1" applyBorder="1" applyAlignment="1">
      <alignment horizontal="center" vertical="center"/>
    </xf>
    <xf numFmtId="0" fontId="2" fillId="11" borderId="30" xfId="3" applyFont="1" applyFill="1" applyBorder="1" applyAlignment="1">
      <alignment horizontal="center" vertical="center"/>
    </xf>
    <xf numFmtId="2" fontId="2" fillId="11" borderId="6" xfId="3" applyNumberFormat="1" applyFont="1" applyFill="1" applyBorder="1" applyAlignment="1">
      <alignment horizontal="center" vertical="center"/>
    </xf>
    <xf numFmtId="0" fontId="17" fillId="11" borderId="6" xfId="3" applyFont="1" applyFill="1" applyBorder="1" applyAlignment="1">
      <alignment horizontal="center" vertical="center"/>
    </xf>
    <xf numFmtId="0" fontId="17" fillId="11" borderId="48" xfId="3" applyFont="1" applyFill="1" applyBorder="1" applyAlignment="1">
      <alignment horizontal="center" vertical="center"/>
    </xf>
    <xf numFmtId="4" fontId="3" fillId="0" borderId="42" xfId="0" applyNumberFormat="1" applyFont="1" applyBorder="1" applyAlignment="1">
      <alignment horizontal="center" vertical="center"/>
    </xf>
    <xf numFmtId="0" fontId="6" fillId="2" borderId="11" xfId="19" applyFont="1" applyFill="1" applyBorder="1" applyAlignment="1">
      <alignment horizontal="center" vertical="center" wrapText="1"/>
    </xf>
    <xf numFmtId="0" fontId="126" fillId="2" borderId="11" xfId="19" applyFont="1" applyFill="1" applyBorder="1" applyAlignment="1">
      <alignment horizontal="center" vertical="center" wrapText="1"/>
    </xf>
    <xf numFmtId="0" fontId="9" fillId="0" borderId="10" xfId="0" applyFont="1" applyBorder="1"/>
    <xf numFmtId="0" fontId="9" fillId="0" borderId="17" xfId="0" applyFont="1" applyBorder="1" applyAlignment="1">
      <alignment horizontal="center" vertical="center"/>
    </xf>
    <xf numFmtId="2" fontId="9" fillId="0" borderId="11" xfId="0" quotePrefix="1" applyNumberFormat="1" applyFont="1" applyBorder="1" applyAlignment="1">
      <alignment horizontal="center"/>
    </xf>
    <xf numFmtId="4" fontId="3" fillId="0" borderId="11" xfId="0" applyNumberFormat="1" applyFont="1" applyBorder="1" applyAlignment="1">
      <alignment horizontal="center"/>
    </xf>
    <xf numFmtId="4" fontId="3" fillId="0" borderId="41" xfId="0" applyNumberFormat="1" applyFont="1" applyBorder="1" applyAlignment="1">
      <alignment horizontal="center"/>
    </xf>
    <xf numFmtId="0" fontId="9" fillId="0" borderId="17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/>
    </xf>
    <xf numFmtId="4" fontId="3" fillId="0" borderId="42" xfId="0" applyNumberFormat="1" applyFont="1" applyBorder="1" applyAlignment="1">
      <alignment horizontal="center"/>
    </xf>
    <xf numFmtId="0" fontId="3" fillId="0" borderId="10" xfId="19" applyFont="1" applyBorder="1" applyAlignment="1">
      <alignment horizontal="left"/>
    </xf>
    <xf numFmtId="0" fontId="3" fillId="0" borderId="17" xfId="19" applyFont="1" applyBorder="1" applyAlignment="1">
      <alignment horizontal="center"/>
    </xf>
    <xf numFmtId="2" fontId="3" fillId="0" borderId="11" xfId="19" quotePrefix="1" applyNumberFormat="1" applyFont="1" applyBorder="1" applyAlignment="1">
      <alignment horizontal="center"/>
    </xf>
    <xf numFmtId="0" fontId="3" fillId="0" borderId="11" xfId="19" applyFont="1" applyBorder="1" applyAlignment="1">
      <alignment horizontal="center"/>
    </xf>
    <xf numFmtId="164" fontId="3" fillId="0" borderId="11" xfId="19" applyNumberFormat="1" applyFont="1" applyBorder="1" applyAlignment="1">
      <alignment horizontal="center"/>
    </xf>
    <xf numFmtId="4" fontId="3" fillId="0" borderId="41" xfId="19" applyNumberFormat="1" applyFont="1" applyBorder="1" applyAlignment="1">
      <alignment horizontal="center"/>
    </xf>
    <xf numFmtId="0" fontId="3" fillId="0" borderId="17" xfId="3" applyFont="1" applyBorder="1" applyAlignment="1">
      <alignment horizontal="center" wrapText="1"/>
    </xf>
    <xf numFmtId="0" fontId="9" fillId="0" borderId="10" xfId="19" applyFont="1" applyBorder="1" applyAlignment="1">
      <alignment horizontal="left"/>
    </xf>
    <xf numFmtId="2" fontId="3" fillId="0" borderId="11" xfId="19" applyNumberFormat="1" applyFont="1" applyBorder="1" applyAlignment="1">
      <alignment horizontal="center"/>
    </xf>
    <xf numFmtId="0" fontId="3" fillId="12" borderId="11" xfId="3" applyFont="1" applyFill="1" applyBorder="1" applyAlignment="1">
      <alignment horizontal="left" vertical="center" wrapText="1"/>
    </xf>
    <xf numFmtId="2" fontId="3" fillId="12" borderId="11" xfId="3" applyNumberFormat="1" applyFont="1" applyFill="1" applyBorder="1" applyAlignment="1">
      <alignment horizontal="left" vertical="center" wrapText="1"/>
    </xf>
    <xf numFmtId="0" fontId="3" fillId="12" borderId="10" xfId="3" applyFont="1" applyFill="1" applyBorder="1" applyAlignment="1">
      <alignment horizontal="left" wrapText="1"/>
    </xf>
    <xf numFmtId="0" fontId="3" fillId="12" borderId="17" xfId="3" applyFont="1" applyFill="1" applyBorder="1" applyAlignment="1">
      <alignment horizontal="center" wrapText="1"/>
    </xf>
    <xf numFmtId="2" fontId="9" fillId="12" borderId="11" xfId="3" applyNumberFormat="1" applyFont="1" applyFill="1" applyBorder="1" applyAlignment="1">
      <alignment horizontal="center"/>
    </xf>
    <xf numFmtId="4" fontId="3" fillId="12" borderId="42" xfId="0" applyNumberFormat="1" applyFont="1" applyFill="1" applyBorder="1" applyAlignment="1">
      <alignment horizontal="center"/>
    </xf>
    <xf numFmtId="0" fontId="3" fillId="12" borderId="11" xfId="3" applyFont="1" applyFill="1" applyBorder="1" applyAlignment="1">
      <alignment horizontal="left" wrapText="1"/>
    </xf>
    <xf numFmtId="0" fontId="3" fillId="12" borderId="11" xfId="3" applyFont="1" applyFill="1" applyBorder="1" applyAlignment="1">
      <alignment horizontal="center" wrapText="1"/>
    </xf>
    <xf numFmtId="2" fontId="3" fillId="12" borderId="11" xfId="3" applyNumberFormat="1" applyFont="1" applyFill="1" applyBorder="1" applyAlignment="1">
      <alignment horizontal="center" wrapText="1"/>
    </xf>
    <xf numFmtId="4" fontId="17" fillId="0" borderId="11" xfId="19" applyNumberFormat="1" applyFont="1" applyBorder="1" applyAlignment="1">
      <alignment horizontal="center"/>
    </xf>
    <xf numFmtId="0" fontId="3" fillId="12" borderId="10" xfId="19" applyFont="1" applyFill="1" applyBorder="1" applyAlignment="1">
      <alignment horizontal="left"/>
    </xf>
    <xf numFmtId="0" fontId="3" fillId="0" borderId="47" xfId="19" applyFont="1" applyBorder="1" applyAlignment="1">
      <alignment horizontal="left"/>
    </xf>
    <xf numFmtId="0" fontId="3" fillId="0" borderId="43" xfId="19" applyFont="1" applyBorder="1" applyAlignment="1">
      <alignment horizontal="center"/>
    </xf>
    <xf numFmtId="2" fontId="3" fillId="0" borderId="38" xfId="19" applyNumberFormat="1" applyFont="1" applyBorder="1" applyAlignment="1">
      <alignment horizontal="center"/>
    </xf>
    <xf numFmtId="4" fontId="3" fillId="0" borderId="38" xfId="19" applyNumberFormat="1" applyFont="1" applyBorder="1" applyAlignment="1">
      <alignment horizontal="center"/>
    </xf>
    <xf numFmtId="4" fontId="17" fillId="0" borderId="38" xfId="19" applyNumberFormat="1" applyFont="1" applyBorder="1" applyAlignment="1">
      <alignment horizontal="center"/>
    </xf>
    <xf numFmtId="0" fontId="3" fillId="12" borderId="11" xfId="3" applyFont="1" applyFill="1" applyBorder="1" applyAlignment="1">
      <alignment vertical="center" wrapText="1"/>
    </xf>
    <xf numFmtId="2" fontId="3" fillId="12" borderId="11" xfId="3" applyNumberFormat="1" applyFont="1" applyFill="1" applyBorder="1" applyAlignment="1">
      <alignment vertical="center" wrapText="1"/>
    </xf>
    <xf numFmtId="0" fontId="3" fillId="0" borderId="10" xfId="19" applyFont="1" applyBorder="1" applyAlignment="1">
      <alignment horizontal="left" vertical="center"/>
    </xf>
    <xf numFmtId="0" fontId="3" fillId="0" borderId="17" xfId="19" applyFont="1" applyBorder="1" applyAlignment="1">
      <alignment horizontal="center" vertical="center"/>
    </xf>
    <xf numFmtId="2" fontId="3" fillId="0" borderId="11" xfId="19" quotePrefix="1" applyNumberFormat="1" applyFont="1" applyBorder="1" applyAlignment="1">
      <alignment horizontal="center" vertical="center"/>
    </xf>
    <xf numFmtId="0" fontId="3" fillId="0" borderId="11" xfId="19" applyFont="1" applyBorder="1" applyAlignment="1">
      <alignment horizontal="center" vertical="center"/>
    </xf>
    <xf numFmtId="4" fontId="3" fillId="0" borderId="41" xfId="19" applyNumberFormat="1" applyFont="1" applyBorder="1" applyAlignment="1">
      <alignment horizontal="center" vertical="center"/>
    </xf>
    <xf numFmtId="169" fontId="20" fillId="0" borderId="0" xfId="0" applyNumberFormat="1" applyFont="1"/>
    <xf numFmtId="0" fontId="3" fillId="0" borderId="11" xfId="0" applyFont="1" applyBorder="1" applyAlignment="1">
      <alignment horizontal="center" vertical="center" wrapText="1"/>
    </xf>
    <xf numFmtId="3" fontId="0" fillId="0" borderId="0" xfId="0" applyNumberFormat="1"/>
    <xf numFmtId="0" fontId="118" fillId="0" borderId="0" xfId="0" applyFont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vertical="center" wrapText="1"/>
    </xf>
    <xf numFmtId="4" fontId="20" fillId="0" borderId="0" xfId="0" applyNumberFormat="1" applyFont="1"/>
    <xf numFmtId="4" fontId="4" fillId="10" borderId="41" xfId="0" applyNumberFormat="1" applyFont="1" applyFill="1" applyBorder="1" applyAlignment="1">
      <alignment horizontal="center" vertical="center" wrapText="1"/>
    </xf>
    <xf numFmtId="4" fontId="59" fillId="10" borderId="42" xfId="0" applyNumberFormat="1" applyFont="1" applyFill="1" applyBorder="1"/>
    <xf numFmtId="4" fontId="9" fillId="9" borderId="41" xfId="0" applyNumberFormat="1" applyFont="1" applyFill="1" applyBorder="1" applyAlignment="1">
      <alignment horizontal="center"/>
    </xf>
    <xf numFmtId="4" fontId="59" fillId="9" borderId="42" xfId="0" applyNumberFormat="1" applyFont="1" applyFill="1" applyBorder="1"/>
    <xf numFmtId="4" fontId="0" fillId="0" borderId="11" xfId="0" applyNumberFormat="1" applyBorder="1"/>
    <xf numFmtId="3" fontId="9" fillId="9" borderId="41" xfId="0" applyNumberFormat="1" applyFont="1" applyFill="1" applyBorder="1" applyAlignment="1">
      <alignment horizontal="center" vertical="center"/>
    </xf>
    <xf numFmtId="4" fontId="4" fillId="9" borderId="42" xfId="0" applyNumberFormat="1" applyFont="1" applyFill="1" applyBorder="1"/>
    <xf numFmtId="0" fontId="16" fillId="10" borderId="10" xfId="0" applyFont="1" applyFill="1" applyBorder="1" applyAlignment="1">
      <alignment horizontal="left" wrapText="1"/>
    </xf>
    <xf numFmtId="0" fontId="16" fillId="10" borderId="26" xfId="0" applyFont="1" applyFill="1" applyBorder="1" applyAlignment="1">
      <alignment horizontal="left" wrapText="1"/>
    </xf>
    <xf numFmtId="164" fontId="16" fillId="10" borderId="9" xfId="0" applyNumberFormat="1" applyFont="1" applyFill="1" applyBorder="1" applyAlignment="1">
      <alignment horizontal="center" vertical="center" wrapText="1"/>
    </xf>
    <xf numFmtId="3" fontId="16" fillId="10" borderId="11" xfId="0" applyNumberFormat="1" applyFont="1" applyFill="1" applyBorder="1" applyAlignment="1">
      <alignment horizontal="center" vertical="center" wrapText="1"/>
    </xf>
    <xf numFmtId="3" fontId="16" fillId="10" borderId="41" xfId="0" applyNumberFormat="1" applyFont="1" applyFill="1" applyBorder="1" applyAlignment="1">
      <alignment horizontal="center" vertical="center" wrapText="1"/>
    </xf>
    <xf numFmtId="0" fontId="8" fillId="9" borderId="10" xfId="0" applyFont="1" applyFill="1" applyBorder="1" applyAlignment="1">
      <alignment horizontal="left" vertical="center" wrapText="1"/>
    </xf>
    <xf numFmtId="0" fontId="8" fillId="9" borderId="17" xfId="0" applyFont="1" applyFill="1" applyBorder="1" applyAlignment="1">
      <alignment horizontal="left" vertical="center" wrapText="1"/>
    </xf>
    <xf numFmtId="3" fontId="9" fillId="9" borderId="41" xfId="0" applyNumberFormat="1" applyFont="1" applyFill="1" applyBorder="1" applyAlignment="1">
      <alignment horizontal="center"/>
    </xf>
    <xf numFmtId="3" fontId="9" fillId="9" borderId="16" xfId="0" applyNumberFormat="1" applyFont="1" applyFill="1" applyBorder="1" applyAlignment="1">
      <alignment horizontal="center"/>
    </xf>
    <xf numFmtId="4" fontId="59" fillId="10" borderId="49" xfId="0" applyNumberFormat="1" applyFont="1" applyFill="1" applyBorder="1"/>
    <xf numFmtId="0" fontId="2" fillId="0" borderId="0" xfId="0" applyFont="1"/>
    <xf numFmtId="4" fontId="2" fillId="0" borderId="0" xfId="0" applyNumberFormat="1" applyFont="1"/>
    <xf numFmtId="0" fontId="6" fillId="2" borderId="11" xfId="0" applyFont="1" applyFill="1" applyBorder="1" applyAlignment="1">
      <alignment horizontal="center" vertical="center" wrapText="1"/>
    </xf>
    <xf numFmtId="0" fontId="8" fillId="0" borderId="53" xfId="1" applyFont="1" applyBorder="1" applyAlignment="1">
      <alignment vertical="center" wrapText="1"/>
    </xf>
    <xf numFmtId="2" fontId="8" fillId="0" borderId="54" xfId="1" applyNumberFormat="1" applyFont="1" applyBorder="1" applyAlignment="1">
      <alignment horizontal="center" vertical="center"/>
    </xf>
    <xf numFmtId="4" fontId="9" fillId="0" borderId="11" xfId="0" applyNumberFormat="1" applyFont="1" applyBorder="1" applyAlignment="1">
      <alignment horizontal="center" vertical="center"/>
    </xf>
    <xf numFmtId="4" fontId="9" fillId="0" borderId="41" xfId="0" applyNumberFormat="1" applyFont="1" applyBorder="1" applyAlignment="1">
      <alignment horizontal="center" vertical="center"/>
    </xf>
    <xf numFmtId="2" fontId="9" fillId="0" borderId="54" xfId="1" applyNumberFormat="1" applyFont="1" applyBorder="1" applyAlignment="1">
      <alignment horizontal="center" vertical="center"/>
    </xf>
    <xf numFmtId="0" fontId="9" fillId="0" borderId="11" xfId="1" applyFont="1" applyBorder="1" applyAlignment="1">
      <alignment vertical="center" wrapText="1"/>
    </xf>
    <xf numFmtId="49" fontId="8" fillId="0" borderId="11" xfId="1" applyNumberFormat="1" applyFont="1" applyBorder="1" applyAlignment="1">
      <alignment horizontal="center" vertical="center" wrapText="1"/>
    </xf>
    <xf numFmtId="2" fontId="9" fillId="0" borderId="11" xfId="0" quotePrefix="1" applyNumberFormat="1" applyFont="1" applyBorder="1" applyAlignment="1">
      <alignment horizontal="center" vertical="center"/>
    </xf>
    <xf numFmtId="4" fontId="9" fillId="0" borderId="11" xfId="0" applyNumberFormat="1" applyFont="1" applyBorder="1" applyAlignment="1">
      <alignment horizontal="center"/>
    </xf>
    <xf numFmtId="0" fontId="8" fillId="0" borderId="11" xfId="1" applyFont="1" applyBorder="1" applyAlignment="1">
      <alignment vertical="center" wrapText="1"/>
    </xf>
    <xf numFmtId="0" fontId="8" fillId="0" borderId="11" xfId="1" applyFont="1" applyBorder="1" applyAlignment="1">
      <alignment horizontal="center" vertical="center" wrapText="1"/>
    </xf>
    <xf numFmtId="2" fontId="8" fillId="0" borderId="11" xfId="1" applyNumberFormat="1" applyFont="1" applyBorder="1" applyAlignment="1">
      <alignment horizontal="center" vertical="center"/>
    </xf>
    <xf numFmtId="4" fontId="8" fillId="0" borderId="11" xfId="1" applyNumberFormat="1" applyFont="1" applyBorder="1" applyAlignment="1">
      <alignment horizontal="center" vertical="center" wrapText="1"/>
    </xf>
    <xf numFmtId="4" fontId="9" fillId="0" borderId="11" xfId="0" applyNumberFormat="1" applyFont="1" applyBorder="1"/>
    <xf numFmtId="4" fontId="17" fillId="0" borderId="11" xfId="0" applyNumberFormat="1" applyFont="1" applyBorder="1" applyAlignment="1">
      <alignment horizontal="center" vertical="center"/>
    </xf>
    <xf numFmtId="49" fontId="9" fillId="0" borderId="10" xfId="0" applyNumberFormat="1" applyFont="1" applyBorder="1" applyAlignment="1">
      <alignment horizontal="left" wrapText="1"/>
    </xf>
    <xf numFmtId="4" fontId="4" fillId="10" borderId="11" xfId="0" applyNumberFormat="1" applyFont="1" applyFill="1" applyBorder="1" applyAlignment="1">
      <alignment horizontal="center" vertical="center" wrapText="1"/>
    </xf>
    <xf numFmtId="4" fontId="59" fillId="10" borderId="11" xfId="0" applyNumberFormat="1" applyFont="1" applyFill="1" applyBorder="1"/>
    <xf numFmtId="4" fontId="9" fillId="9" borderId="11" xfId="0" applyNumberFormat="1" applyFont="1" applyFill="1" applyBorder="1" applyAlignment="1">
      <alignment horizontal="center"/>
    </xf>
    <xf numFmtId="4" fontId="59" fillId="9" borderId="11" xfId="0" applyNumberFormat="1" applyFont="1" applyFill="1" applyBorder="1"/>
    <xf numFmtId="4" fontId="3" fillId="0" borderId="11" xfId="0" applyNumberFormat="1" applyFont="1" applyBorder="1"/>
    <xf numFmtId="0" fontId="3" fillId="0" borderId="11" xfId="0" applyFont="1" applyBorder="1" applyAlignment="1">
      <alignment wrapText="1"/>
    </xf>
    <xf numFmtId="49" fontId="3" fillId="0" borderId="11" xfId="0" applyNumberFormat="1" applyFont="1" applyBorder="1" applyAlignment="1">
      <alignment horizontal="center" wrapText="1"/>
    </xf>
    <xf numFmtId="2" fontId="9" fillId="0" borderId="11" xfId="1" applyNumberFormat="1" applyFont="1" applyBorder="1" applyAlignment="1">
      <alignment horizontal="center" vertical="center"/>
    </xf>
    <xf numFmtId="0" fontId="9" fillId="0" borderId="11" xfId="1" applyFont="1" applyBorder="1" applyAlignment="1">
      <alignment vertical="center"/>
    </xf>
    <xf numFmtId="0" fontId="3" fillId="0" borderId="11" xfId="0" applyFont="1" applyBorder="1" applyAlignment="1">
      <alignment horizontal="center" wrapText="1"/>
    </xf>
    <xf numFmtId="2" fontId="9" fillId="0" borderId="11" xfId="0" applyNumberFormat="1" applyFont="1" applyBorder="1" applyAlignment="1">
      <alignment horizontal="center" vertical="center"/>
    </xf>
    <xf numFmtId="3" fontId="16" fillId="9" borderId="11" xfId="0" applyNumberFormat="1" applyFont="1" applyFill="1" applyBorder="1" applyAlignment="1">
      <alignment horizontal="center"/>
    </xf>
    <xf numFmtId="49" fontId="9" fillId="0" borderId="11" xfId="0" applyNumberFormat="1" applyFont="1" applyBorder="1" applyAlignment="1">
      <alignment horizontal="left" wrapText="1"/>
    </xf>
    <xf numFmtId="49" fontId="9" fillId="0" borderId="11" xfId="0" applyNumberFormat="1" applyFont="1" applyBorder="1" applyAlignment="1">
      <alignment horizontal="center" wrapText="1"/>
    </xf>
    <xf numFmtId="49" fontId="8" fillId="0" borderId="11" xfId="0" applyNumberFormat="1" applyFont="1" applyBorder="1" applyAlignment="1">
      <alignment horizontal="center" wrapText="1"/>
    </xf>
    <xf numFmtId="0" fontId="17" fillId="10" borderId="11" xfId="0" applyFont="1" applyFill="1" applyBorder="1" applyAlignment="1">
      <alignment horizontal="center" vertical="center"/>
    </xf>
    <xf numFmtId="4" fontId="59" fillId="11" borderId="49" xfId="0" applyNumberFormat="1" applyFont="1" applyFill="1" applyBorder="1"/>
    <xf numFmtId="0" fontId="0" fillId="7" borderId="42" xfId="0" applyFill="1" applyBorder="1"/>
    <xf numFmtId="0" fontId="0" fillId="0" borderId="42" xfId="0" applyBorder="1"/>
    <xf numFmtId="0" fontId="2" fillId="10" borderId="6" xfId="0" applyFont="1" applyFill="1" applyBorder="1" applyAlignment="1">
      <alignment horizontal="center" vertical="center"/>
    </xf>
    <xf numFmtId="3" fontId="2" fillId="10" borderId="48" xfId="0" applyNumberFormat="1" applyFont="1" applyFill="1" applyBorder="1" applyAlignment="1">
      <alignment horizontal="center" vertical="center"/>
    </xf>
    <xf numFmtId="0" fontId="3" fillId="9" borderId="17" xfId="0" applyFont="1" applyFill="1" applyBorder="1" applyAlignment="1">
      <alignment horizontal="center" vertical="center" wrapText="1"/>
    </xf>
    <xf numFmtId="0" fontId="8" fillId="9" borderId="17" xfId="0" applyFont="1" applyFill="1" applyBorder="1" applyAlignment="1">
      <alignment horizontal="center" vertical="center" wrapText="1"/>
    </xf>
    <xf numFmtId="0" fontId="93" fillId="0" borderId="17" xfId="19" applyFont="1" applyBorder="1" applyAlignment="1">
      <alignment horizontal="center" wrapText="1"/>
    </xf>
    <xf numFmtId="0" fontId="8" fillId="0" borderId="58" xfId="1" applyFont="1" applyBorder="1" applyAlignment="1">
      <alignment horizontal="center" vertical="center" wrapText="1"/>
    </xf>
    <xf numFmtId="0" fontId="93" fillId="0" borderId="17" xfId="19" applyFont="1" applyBorder="1" applyAlignment="1">
      <alignment horizontal="center"/>
    </xf>
    <xf numFmtId="0" fontId="18" fillId="0" borderId="17" xfId="19" applyFont="1" applyBorder="1" applyAlignment="1">
      <alignment horizontal="center" wrapText="1"/>
    </xf>
    <xf numFmtId="0" fontId="8" fillId="0" borderId="59" xfId="1" applyFont="1" applyBorder="1" applyAlignment="1">
      <alignment vertical="center" wrapText="1"/>
    </xf>
    <xf numFmtId="0" fontId="18" fillId="0" borderId="11" xfId="19" applyFont="1" applyBorder="1" applyAlignment="1">
      <alignment horizontal="center"/>
    </xf>
    <xf numFmtId="0" fontId="9" fillId="0" borderId="59" xfId="1" applyFont="1" applyBorder="1" applyAlignment="1">
      <alignment vertical="center" wrapText="1"/>
    </xf>
    <xf numFmtId="0" fontId="9" fillId="0" borderId="11" xfId="1" applyFont="1" applyBorder="1" applyAlignment="1">
      <alignment horizontal="center" vertical="center" wrapText="1"/>
    </xf>
    <xf numFmtId="0" fontId="9" fillId="0" borderId="58" xfId="1" applyFont="1" applyBorder="1" applyAlignment="1">
      <alignment horizontal="center" vertical="center" wrapText="1"/>
    </xf>
    <xf numFmtId="2" fontId="8" fillId="0" borderId="58" xfId="1" applyNumberFormat="1" applyFont="1" applyBorder="1" applyAlignment="1">
      <alignment horizontal="center" vertical="center"/>
    </xf>
    <xf numFmtId="2" fontId="9" fillId="0" borderId="58" xfId="1" applyNumberFormat="1" applyFont="1" applyBorder="1" applyAlignment="1">
      <alignment horizontal="center" vertical="center"/>
    </xf>
    <xf numFmtId="0" fontId="9" fillId="0" borderId="59" xfId="1" applyFont="1" applyBorder="1" applyAlignment="1">
      <alignment vertical="center"/>
    </xf>
    <xf numFmtId="0" fontId="9" fillId="0" borderId="11" xfId="1" applyFont="1" applyBorder="1" applyAlignment="1">
      <alignment horizontal="center" vertical="center"/>
    </xf>
    <xf numFmtId="49" fontId="9" fillId="0" borderId="60" xfId="0" applyNumberFormat="1" applyFont="1" applyBorder="1" applyAlignment="1">
      <alignment horizontal="left" wrapText="1"/>
    </xf>
    <xf numFmtId="2" fontId="9" fillId="0" borderId="56" xfId="0" applyNumberFormat="1" applyFont="1" applyBorder="1" applyAlignment="1">
      <alignment horizontal="center" vertical="center"/>
    </xf>
    <xf numFmtId="0" fontId="8" fillId="0" borderId="12" xfId="1" applyFont="1" applyBorder="1" applyAlignment="1">
      <alignment horizontal="center" vertical="center" wrapText="1"/>
    </xf>
    <xf numFmtId="0" fontId="18" fillId="0" borderId="55" xfId="19" applyFont="1" applyBorder="1" applyAlignment="1">
      <alignment horizontal="center" vertical="center"/>
    </xf>
    <xf numFmtId="49" fontId="9" fillId="0" borderId="62" xfId="0" applyNumberFormat="1" applyFont="1" applyBorder="1" applyAlignment="1">
      <alignment horizontal="left" wrapText="1"/>
    </xf>
    <xf numFmtId="49" fontId="9" fillId="0" borderId="12" xfId="0" applyNumberFormat="1" applyFont="1" applyBorder="1" applyAlignment="1">
      <alignment horizontal="center" wrapText="1"/>
    </xf>
    <xf numFmtId="2" fontId="9" fillId="0" borderId="12" xfId="0" applyNumberFormat="1" applyFont="1" applyBorder="1" applyAlignment="1">
      <alignment horizontal="center" vertical="center"/>
    </xf>
    <xf numFmtId="4" fontId="9" fillId="0" borderId="20" xfId="0" applyNumberFormat="1" applyFont="1" applyBorder="1" applyAlignment="1">
      <alignment horizontal="center" vertical="center"/>
    </xf>
    <xf numFmtId="0" fontId="16" fillId="10" borderId="26" xfId="0" applyFont="1" applyFill="1" applyBorder="1" applyAlignment="1">
      <alignment horizontal="center" wrapText="1"/>
    </xf>
    <xf numFmtId="0" fontId="8" fillId="0" borderId="63" xfId="1" applyFont="1" applyBorder="1" applyAlignment="1">
      <alignment horizontal="center" vertical="center" wrapText="1"/>
    </xf>
    <xf numFmtId="0" fontId="8" fillId="0" borderId="64" xfId="1" applyFont="1" applyBorder="1" applyAlignment="1">
      <alignment horizontal="center" vertical="center" wrapText="1"/>
    </xf>
    <xf numFmtId="0" fontId="127" fillId="0" borderId="0" xfId="3" applyFont="1"/>
    <xf numFmtId="4" fontId="16" fillId="22" borderId="11" xfId="3" applyNumberFormat="1" applyFont="1" applyFill="1" applyBorder="1" applyAlignment="1">
      <alignment horizontal="center" wrapText="1"/>
    </xf>
    <xf numFmtId="4" fontId="9" fillId="5" borderId="11" xfId="0" applyNumberFormat="1" applyFont="1" applyFill="1" applyBorder="1" applyAlignment="1">
      <alignment horizontal="center"/>
    </xf>
    <xf numFmtId="4" fontId="9" fillId="0" borderId="11" xfId="3" applyNumberFormat="1" applyFont="1" applyBorder="1" applyAlignment="1">
      <alignment horizontal="center"/>
    </xf>
    <xf numFmtId="2" fontId="9" fillId="0" borderId="11" xfId="3" applyNumberFormat="1" applyFont="1" applyBorder="1" applyAlignment="1">
      <alignment horizontal="center"/>
    </xf>
    <xf numFmtId="3" fontId="9" fillId="5" borderId="11" xfId="0" applyNumberFormat="1" applyFont="1" applyFill="1" applyBorder="1" applyAlignment="1">
      <alignment horizontal="center"/>
    </xf>
    <xf numFmtId="3" fontId="9" fillId="0" borderId="11" xfId="3" applyNumberFormat="1" applyFont="1" applyBorder="1" applyAlignment="1">
      <alignment horizontal="center"/>
    </xf>
    <xf numFmtId="3" fontId="98" fillId="0" borderId="11" xfId="3" applyNumberFormat="1" applyFont="1" applyBorder="1" applyAlignment="1">
      <alignment horizontal="center"/>
    </xf>
    <xf numFmtId="2" fontId="98" fillId="0" borderId="11" xfId="3" applyNumberFormat="1" applyFont="1" applyBorder="1" applyAlignment="1">
      <alignment horizontal="center"/>
    </xf>
    <xf numFmtId="3" fontId="98" fillId="5" borderId="11" xfId="0" applyNumberFormat="1" applyFont="1" applyFill="1" applyBorder="1" applyAlignment="1">
      <alignment horizontal="center"/>
    </xf>
    <xf numFmtId="4" fontId="98" fillId="0" borderId="11" xfId="3" applyNumberFormat="1" applyFont="1" applyBorder="1" applyAlignment="1">
      <alignment horizontal="center"/>
    </xf>
    <xf numFmtId="3" fontId="16" fillId="22" borderId="11" xfId="3" applyNumberFormat="1" applyFont="1" applyFill="1" applyBorder="1" applyAlignment="1">
      <alignment horizontal="center" wrapText="1"/>
    </xf>
    <xf numFmtId="0" fontId="9" fillId="30" borderId="11" xfId="5" applyFont="1" applyFill="1" applyBorder="1" applyAlignment="1">
      <alignment horizontal="left" vertical="center" wrapText="1"/>
    </xf>
    <xf numFmtId="2" fontId="9" fillId="30" borderId="11" xfId="5" applyNumberFormat="1" applyFont="1" applyFill="1" applyBorder="1" applyAlignment="1">
      <alignment horizontal="center" wrapText="1"/>
    </xf>
    <xf numFmtId="2" fontId="9" fillId="0" borderId="11" xfId="0" applyNumberFormat="1" applyFont="1" applyBorder="1" applyAlignment="1">
      <alignment horizontal="center"/>
    </xf>
    <xf numFmtId="4" fontId="4" fillId="22" borderId="11" xfId="3" applyNumberFormat="1" applyFont="1" applyFill="1" applyBorder="1" applyAlignment="1">
      <alignment horizontal="center" wrapText="1"/>
    </xf>
    <xf numFmtId="4" fontId="3" fillId="5" borderId="11" xfId="0" applyNumberFormat="1" applyFont="1" applyFill="1" applyBorder="1" applyAlignment="1">
      <alignment horizontal="center"/>
    </xf>
    <xf numFmtId="2" fontId="3" fillId="0" borderId="11" xfId="0" applyNumberFormat="1" applyFont="1" applyBorder="1" applyAlignment="1">
      <alignment horizontal="center"/>
    </xf>
    <xf numFmtId="4" fontId="18" fillId="22" borderId="11" xfId="3" applyNumberFormat="1" applyFont="1" applyFill="1" applyBorder="1" applyAlignment="1">
      <alignment horizontal="right" vertical="center" wrapText="1"/>
    </xf>
    <xf numFmtId="4" fontId="3" fillId="5" borderId="11" xfId="3" applyNumberFormat="1" applyFont="1" applyFill="1" applyBorder="1" applyAlignment="1">
      <alignment horizontal="center"/>
    </xf>
    <xf numFmtId="2" fontId="3" fillId="5" borderId="11" xfId="3" applyNumberFormat="1" applyFont="1" applyFill="1" applyBorder="1" applyAlignment="1">
      <alignment horizontal="center"/>
    </xf>
    <xf numFmtId="4" fontId="2" fillId="0" borderId="0" xfId="3" applyNumberFormat="1" applyFont="1"/>
    <xf numFmtId="0" fontId="3" fillId="0" borderId="11" xfId="19" applyFont="1" applyBorder="1" applyAlignment="1">
      <alignment horizontal="left" wrapText="1" shrinkToFit="1"/>
    </xf>
    <xf numFmtId="0" fontId="3" fillId="0" borderId="11" xfId="19" applyFont="1" applyBorder="1" applyAlignment="1">
      <alignment wrapText="1" shrinkToFit="1"/>
    </xf>
    <xf numFmtId="0" fontId="3" fillId="0" borderId="11" xfId="19" applyFont="1" applyBorder="1" applyAlignment="1">
      <alignment horizontal="left" vertical="center" wrapText="1" shrinkToFit="1"/>
    </xf>
    <xf numFmtId="2" fontId="9" fillId="0" borderId="11" xfId="5" quotePrefix="1" applyNumberFormat="1" applyFont="1" applyBorder="1" applyAlignment="1">
      <alignment horizontal="center"/>
    </xf>
    <xf numFmtId="2" fontId="9" fillId="0" borderId="11" xfId="5" applyNumberFormat="1" applyFont="1" applyBorder="1" applyAlignment="1">
      <alignment horizontal="center"/>
    </xf>
    <xf numFmtId="2" fontId="3" fillId="0" borderId="11" xfId="5" applyNumberFormat="1" applyFont="1" applyBorder="1" applyAlignment="1">
      <alignment horizontal="center"/>
    </xf>
    <xf numFmtId="2" fontId="3" fillId="0" borderId="11" xfId="5" quotePrefix="1" applyNumberFormat="1" applyFont="1" applyBorder="1" applyAlignment="1">
      <alignment horizontal="center"/>
    </xf>
    <xf numFmtId="4" fontId="3" fillId="0" borderId="11" xfId="5" applyNumberFormat="1" applyFont="1" applyBorder="1" applyAlignment="1">
      <alignment horizontal="center"/>
    </xf>
    <xf numFmtId="4" fontId="9" fillId="0" borderId="11" xfId="5" applyNumberFormat="1" applyFont="1" applyBorder="1" applyAlignment="1">
      <alignment horizontal="center"/>
    </xf>
    <xf numFmtId="0" fontId="9" fillId="0" borderId="11" xfId="19" applyFont="1" applyBorder="1" applyAlignment="1">
      <alignment horizontal="center" wrapText="1"/>
    </xf>
    <xf numFmtId="0" fontId="9" fillId="0" borderId="11" xfId="5" applyFont="1" applyBorder="1" applyAlignment="1">
      <alignment horizontal="center"/>
    </xf>
    <xf numFmtId="0" fontId="9" fillId="0" borderId="11" xfId="19" applyFont="1" applyBorder="1" applyAlignment="1">
      <alignment wrapText="1"/>
    </xf>
    <xf numFmtId="0" fontId="9" fillId="0" borderId="11" xfId="0" applyFont="1" applyBorder="1" applyAlignment="1">
      <alignment horizontal="center"/>
    </xf>
    <xf numFmtId="0" fontId="3" fillId="0" borderId="11" xfId="5" applyFont="1" applyBorder="1"/>
    <xf numFmtId="0" fontId="9" fillId="0" borderId="11" xfId="19" applyFont="1" applyBorder="1" applyAlignment="1">
      <alignment horizontal="left" vertical="center" wrapText="1" shrinkToFit="1"/>
    </xf>
    <xf numFmtId="0" fontId="9" fillId="0" borderId="11" xfId="19" applyFont="1" applyBorder="1" applyAlignment="1">
      <alignment horizontal="center" vertical="center"/>
    </xf>
    <xf numFmtId="0" fontId="9" fillId="0" borderId="11" xfId="19" applyFont="1" applyBorder="1" applyAlignment="1">
      <alignment horizontal="center" vertical="center" wrapText="1"/>
    </xf>
    <xf numFmtId="0" fontId="9" fillId="0" borderId="11" xfId="19" applyFont="1" applyBorder="1" applyAlignment="1">
      <alignment horizontal="left" vertical="center"/>
    </xf>
    <xf numFmtId="0" fontId="9" fillId="0" borderId="11" xfId="19" applyFont="1" applyBorder="1" applyAlignment="1">
      <alignment horizontal="left"/>
    </xf>
    <xf numFmtId="0" fontId="3" fillId="0" borderId="11" xfId="5" quotePrefix="1" applyFont="1" applyBorder="1" applyAlignment="1">
      <alignment horizontal="center"/>
    </xf>
    <xf numFmtId="0" fontId="3" fillId="0" borderId="11" xfId="19" applyFont="1" applyBorder="1" applyAlignment="1">
      <alignment horizontal="left" vertical="center"/>
    </xf>
    <xf numFmtId="4" fontId="3" fillId="0" borderId="11" xfId="19" applyNumberFormat="1" applyFont="1" applyBorder="1" applyAlignment="1">
      <alignment horizontal="center"/>
    </xf>
    <xf numFmtId="0" fontId="3" fillId="0" borderId="11" xfId="19" applyFont="1" applyBorder="1"/>
    <xf numFmtId="4" fontId="3" fillId="0" borderId="11" xfId="19" applyNumberFormat="1" applyFont="1" applyBorder="1" applyAlignment="1">
      <alignment horizontal="right"/>
    </xf>
    <xf numFmtId="4" fontId="3" fillId="0" borderId="11" xfId="3" applyNumberFormat="1" applyFont="1" applyBorder="1" applyAlignment="1">
      <alignment horizontal="center"/>
    </xf>
    <xf numFmtId="0" fontId="3" fillId="0" borderId="11" xfId="0" applyFont="1" applyBorder="1" applyAlignment="1">
      <alignment vertical="center"/>
    </xf>
    <xf numFmtId="49" fontId="3" fillId="0" borderId="11" xfId="0" applyNumberFormat="1" applyFont="1" applyBorder="1" applyAlignment="1">
      <alignment horizontal="center" vertical="center"/>
    </xf>
    <xf numFmtId="4" fontId="3" fillId="0" borderId="11" xfId="3" quotePrefix="1" applyNumberFormat="1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1" xfId="19" applyFont="1" applyBorder="1" applyAlignment="1">
      <alignment horizontal="center" vertical="top" wrapText="1"/>
    </xf>
    <xf numFmtId="0" fontId="4" fillId="23" borderId="11" xfId="0" applyFont="1" applyFill="1" applyBorder="1" applyAlignment="1">
      <alignment horizontal="center" vertical="center"/>
    </xf>
    <xf numFmtId="4" fontId="98" fillId="0" borderId="11" xfId="0" applyNumberFormat="1" applyFont="1" applyBorder="1" applyAlignment="1">
      <alignment horizontal="center"/>
    </xf>
    <xf numFmtId="4" fontId="98" fillId="5" borderId="11" xfId="0" applyNumberFormat="1" applyFont="1" applyFill="1" applyBorder="1" applyAlignment="1">
      <alignment horizontal="center"/>
    </xf>
    <xf numFmtId="0" fontId="4" fillId="0" borderId="11" xfId="0" applyFont="1" applyBorder="1" applyAlignment="1">
      <alignment vertical="center"/>
    </xf>
    <xf numFmtId="4" fontId="128" fillId="0" borderId="11" xfId="3" applyNumberFormat="1" applyFont="1" applyBorder="1" applyAlignment="1">
      <alignment horizontal="center"/>
    </xf>
    <xf numFmtId="0" fontId="3" fillId="0" borderId="11" xfId="3" applyFont="1" applyBorder="1" applyAlignment="1">
      <alignment horizontal="center"/>
    </xf>
    <xf numFmtId="0" fontId="3" fillId="0" borderId="11" xfId="19" applyFont="1" applyBorder="1" applyAlignment="1">
      <alignment vertical="top" wrapText="1"/>
    </xf>
    <xf numFmtId="0" fontId="8" fillId="0" borderId="11" xfId="19" applyFont="1" applyBorder="1"/>
    <xf numFmtId="0" fontId="9" fillId="0" borderId="11" xfId="19" applyFont="1" applyBorder="1" applyAlignment="1">
      <alignment horizontal="center"/>
    </xf>
    <xf numFmtId="0" fontId="8" fillId="0" borderId="11" xfId="19" applyFont="1" applyBorder="1" applyAlignment="1">
      <alignment horizontal="left" vertical="center"/>
    </xf>
    <xf numFmtId="0" fontId="8" fillId="0" borderId="11" xfId="19" applyFont="1" applyBorder="1" applyAlignment="1">
      <alignment horizontal="left" vertical="center" wrapText="1"/>
    </xf>
    <xf numFmtId="4" fontId="3" fillId="0" borderId="11" xfId="0" applyNumberFormat="1" applyFont="1" applyBorder="1" applyAlignment="1">
      <alignment horizontal="right" vertical="center"/>
    </xf>
    <xf numFmtId="0" fontId="3" fillId="0" borderId="11" xfId="3" applyFont="1" applyBorder="1" applyAlignment="1">
      <alignment horizontal="left"/>
    </xf>
    <xf numFmtId="0" fontId="16" fillId="23" borderId="11" xfId="0" applyFont="1" applyFill="1" applyBorder="1" applyAlignment="1">
      <alignment horizontal="center" vertical="center"/>
    </xf>
    <xf numFmtId="2" fontId="12" fillId="0" borderId="11" xfId="3" applyNumberFormat="1" applyFont="1" applyBorder="1" applyAlignment="1">
      <alignment horizontal="center" vertical="center"/>
    </xf>
    <xf numFmtId="0" fontId="12" fillId="0" borderId="11" xfId="3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3" fontId="17" fillId="0" borderId="11" xfId="3" applyNumberFormat="1" applyFont="1" applyBorder="1" applyAlignment="1">
      <alignment horizontal="center"/>
    </xf>
    <xf numFmtId="4" fontId="17" fillId="0" borderId="11" xfId="3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0" fontId="6" fillId="10" borderId="11" xfId="0" applyFont="1" applyFill="1" applyBorder="1" applyAlignment="1">
      <alignment horizontal="center"/>
    </xf>
    <xf numFmtId="2" fontId="15" fillId="10" borderId="11" xfId="0" applyNumberFormat="1" applyFont="1" applyFill="1" applyBorder="1"/>
    <xf numFmtId="4" fontId="129" fillId="10" borderId="11" xfId="3" applyNumberFormat="1" applyFont="1" applyFill="1" applyBorder="1" applyAlignment="1">
      <alignment horizontal="center" vertical="center"/>
    </xf>
    <xf numFmtId="3" fontId="2" fillId="0" borderId="11" xfId="3" applyNumberFormat="1" applyFont="1" applyBorder="1" applyAlignment="1">
      <alignment horizontal="center" vertical="center"/>
    </xf>
    <xf numFmtId="4" fontId="2" fillId="0" borderId="11" xfId="3" applyNumberFormat="1" applyFont="1" applyBorder="1"/>
    <xf numFmtId="168" fontId="15" fillId="10" borderId="11" xfId="0" applyNumberFormat="1" applyFont="1" applyFill="1" applyBorder="1"/>
    <xf numFmtId="0" fontId="2" fillId="10" borderId="11" xfId="3" applyFont="1" applyFill="1" applyBorder="1" applyAlignment="1">
      <alignment horizontal="center" vertical="center"/>
    </xf>
    <xf numFmtId="4" fontId="2" fillId="10" borderId="11" xfId="0" applyNumberFormat="1" applyFont="1" applyFill="1" applyBorder="1" applyAlignment="1">
      <alignment horizontal="center"/>
    </xf>
    <xf numFmtId="0" fontId="17" fillId="10" borderId="11" xfId="3" applyFont="1" applyFill="1" applyBorder="1" applyAlignment="1">
      <alignment horizontal="right" vertical="center"/>
    </xf>
    <xf numFmtId="3" fontId="2" fillId="10" borderId="11" xfId="3" applyNumberFormat="1" applyFont="1" applyFill="1" applyBorder="1" applyAlignment="1">
      <alignment horizontal="right" vertical="center"/>
    </xf>
    <xf numFmtId="4" fontId="20" fillId="0" borderId="11" xfId="2" applyNumberFormat="1" applyFont="1" applyFill="1" applyBorder="1" applyAlignment="1">
      <alignment horizontal="right"/>
    </xf>
    <xf numFmtId="0" fontId="0" fillId="0" borderId="11" xfId="0" applyBorder="1" applyAlignment="1">
      <alignment horizontal="center" vertical="center"/>
    </xf>
    <xf numFmtId="2" fontId="3" fillId="0" borderId="11" xfId="3" applyNumberFormat="1" applyFont="1" applyBorder="1" applyAlignment="1">
      <alignment horizontal="center"/>
    </xf>
    <xf numFmtId="0" fontId="0" fillId="7" borderId="11" xfId="0" applyFill="1" applyBorder="1"/>
    <xf numFmtId="0" fontId="0" fillId="10" borderId="11" xfId="0" applyFill="1" applyBorder="1"/>
    <xf numFmtId="0" fontId="0" fillId="9" borderId="11" xfId="0" applyFill="1" applyBorder="1"/>
    <xf numFmtId="0" fontId="8" fillId="0" borderId="11" xfId="1" applyFont="1" applyBorder="1" applyAlignment="1">
      <alignment wrapText="1"/>
    </xf>
    <xf numFmtId="0" fontId="8" fillId="0" borderId="11" xfId="1" applyFont="1" applyBorder="1" applyAlignment="1">
      <alignment horizontal="center" wrapText="1"/>
    </xf>
    <xf numFmtId="2" fontId="8" fillId="0" borderId="11" xfId="1" applyNumberFormat="1" applyFont="1" applyBorder="1" applyAlignment="1">
      <alignment horizontal="center"/>
    </xf>
    <xf numFmtId="4" fontId="8" fillId="0" borderId="11" xfId="0" applyNumberFormat="1" applyFont="1" applyBorder="1" applyAlignment="1">
      <alignment horizontal="center"/>
    </xf>
    <xf numFmtId="0" fontId="3" fillId="9" borderId="11" xfId="3" applyFont="1" applyFill="1" applyBorder="1" applyAlignment="1">
      <alignment horizontal="left" wrapText="1"/>
    </xf>
    <xf numFmtId="4" fontId="3" fillId="9" borderId="11" xfId="0" applyNumberFormat="1" applyFont="1" applyFill="1" applyBorder="1"/>
    <xf numFmtId="0" fontId="3" fillId="9" borderId="11" xfId="0" applyFont="1" applyFill="1" applyBorder="1" applyAlignment="1">
      <alignment horizontal="left" wrapText="1"/>
    </xf>
    <xf numFmtId="0" fontId="9" fillId="0" borderId="11" xfId="1" applyFont="1" applyBorder="1" applyAlignment="1">
      <alignment wrapText="1"/>
    </xf>
    <xf numFmtId="2" fontId="9" fillId="0" borderId="11" xfId="1" applyNumberFormat="1" applyFont="1" applyBorder="1" applyAlignment="1">
      <alignment horizontal="center"/>
    </xf>
    <xf numFmtId="0" fontId="2" fillId="10" borderId="11" xfId="0" applyFont="1" applyFill="1" applyBorder="1" applyAlignment="1">
      <alignment horizontal="center"/>
    </xf>
    <xf numFmtId="2" fontId="2" fillId="10" borderId="11" xfId="0" applyNumberFormat="1" applyFont="1" applyFill="1" applyBorder="1" applyAlignment="1">
      <alignment horizontal="center"/>
    </xf>
    <xf numFmtId="0" fontId="17" fillId="10" borderId="11" xfId="0" applyFont="1" applyFill="1" applyBorder="1" applyAlignment="1">
      <alignment horizontal="center"/>
    </xf>
    <xf numFmtId="4" fontId="2" fillId="8" borderId="11" xfId="0" applyNumberFormat="1" applyFont="1" applyFill="1" applyBorder="1" applyAlignment="1">
      <alignment horizontal="right" vertical="center" wrapText="1"/>
    </xf>
    <xf numFmtId="1" fontId="0" fillId="0" borderId="0" xfId="0" applyNumberFormat="1"/>
    <xf numFmtId="49" fontId="31" fillId="0" borderId="21" xfId="0" applyNumberFormat="1" applyFont="1" applyBorder="1" applyAlignment="1">
      <alignment horizontal="left" vertical="top" wrapText="1"/>
    </xf>
    <xf numFmtId="0" fontId="33" fillId="0" borderId="0" xfId="0" applyFont="1" applyAlignment="1">
      <alignment horizontal="left" wrapText="1"/>
    </xf>
    <xf numFmtId="0" fontId="46" fillId="0" borderId="0" xfId="0" applyFont="1" applyAlignment="1">
      <alignment vertical="center" wrapText="1"/>
    </xf>
    <xf numFmtId="0" fontId="15" fillId="0" borderId="0" xfId="0" applyFont="1" applyAlignment="1">
      <alignment vertical="center" wrapText="1"/>
    </xf>
    <xf numFmtId="49" fontId="38" fillId="0" borderId="0" xfId="0" applyNumberFormat="1" applyFont="1" applyAlignment="1">
      <alignment horizontal="center" vertical="top" wrapText="1"/>
    </xf>
    <xf numFmtId="49" fontId="41" fillId="0" borderId="0" xfId="0" applyNumberFormat="1" applyFont="1" applyAlignment="1">
      <alignment horizontal="right" vertical="top"/>
    </xf>
    <xf numFmtId="49" fontId="38" fillId="0" borderId="0" xfId="0" applyNumberFormat="1" applyFont="1" applyAlignment="1">
      <alignment horizontal="left" vertical="top" wrapText="1" indent="2"/>
    </xf>
    <xf numFmtId="49" fontId="8" fillId="0" borderId="0" xfId="0" applyNumberFormat="1" applyFont="1" applyAlignment="1">
      <alignment horizontal="center" vertical="top" wrapText="1"/>
    </xf>
    <xf numFmtId="2" fontId="15" fillId="0" borderId="0" xfId="0" applyNumberFormat="1" applyFont="1" applyAlignment="1">
      <alignment horizontal="left" vertical="top" wrapText="1" indent="1"/>
    </xf>
    <xf numFmtId="49" fontId="45" fillId="0" borderId="0" xfId="0" applyNumberFormat="1" applyFont="1" applyAlignment="1">
      <alignment horizontal="left" vertical="top" wrapText="1" indent="1"/>
    </xf>
    <xf numFmtId="0" fontId="30" fillId="0" borderId="0" xfId="4" applyFont="1" applyBorder="1" applyAlignment="1">
      <alignment horizontal="center" vertical="top" wrapText="1"/>
    </xf>
    <xf numFmtId="0" fontId="15" fillId="0" borderId="0" xfId="0" applyFont="1" applyAlignment="1">
      <alignment horizontal="left" vertical="top" wrapText="1"/>
    </xf>
    <xf numFmtId="0" fontId="15" fillId="0" borderId="0" xfId="0" applyFont="1" applyAlignment="1">
      <alignment horizontal="left" wrapText="1"/>
    </xf>
    <xf numFmtId="0" fontId="15" fillId="0" borderId="0" xfId="4" applyFont="1" applyBorder="1" applyAlignment="1">
      <alignment horizontal="left" vertical="top" wrapText="1"/>
    </xf>
    <xf numFmtId="0" fontId="15" fillId="0" borderId="0" xfId="4" applyFont="1" applyBorder="1" applyAlignment="1">
      <alignment horizontal="justify" vertical="center" wrapText="1"/>
    </xf>
    <xf numFmtId="3" fontId="63" fillId="0" borderId="0" xfId="0" applyNumberFormat="1" applyFont="1" applyAlignment="1">
      <alignment horizontal="right" vertical="center" wrapText="1"/>
    </xf>
    <xf numFmtId="0" fontId="37" fillId="0" borderId="0" xfId="0" quotePrefix="1" applyFont="1" applyAlignment="1">
      <alignment horizontal="right" wrapText="1"/>
    </xf>
    <xf numFmtId="2" fontId="22" fillId="0" borderId="0" xfId="0" applyNumberFormat="1" applyFont="1" applyAlignment="1">
      <alignment horizontal="left" vertical="top" wrapText="1" indent="1"/>
    </xf>
    <xf numFmtId="0" fontId="60" fillId="18" borderId="0" xfId="0" applyFont="1" applyFill="1" applyAlignment="1">
      <alignment horizontal="center" vertical="center" wrapText="1"/>
    </xf>
    <xf numFmtId="3" fontId="77" fillId="19" borderId="0" xfId="0" applyNumberFormat="1" applyFont="1" applyFill="1" applyAlignment="1">
      <alignment horizontal="center" vertical="center" wrapText="1"/>
    </xf>
    <xf numFmtId="0" fontId="37" fillId="0" borderId="0" xfId="0" quotePrefix="1" applyFont="1" applyAlignment="1">
      <alignment horizontal="right" vertical="center" wrapText="1"/>
    </xf>
    <xf numFmtId="49" fontId="8" fillId="0" borderId="0" xfId="0" applyNumberFormat="1" applyFont="1" applyAlignment="1">
      <alignment horizontal="left" vertical="top" wrapText="1"/>
    </xf>
    <xf numFmtId="3" fontId="41" fillId="0" borderId="0" xfId="0" quotePrefix="1" applyNumberFormat="1" applyFont="1" applyAlignment="1">
      <alignment horizontal="right" vertical="center" wrapText="1"/>
    </xf>
    <xf numFmtId="0" fontId="40" fillId="0" borderId="0" xfId="0" applyFont="1" applyAlignment="1">
      <alignment horizontal="center" wrapText="1"/>
    </xf>
    <xf numFmtId="0" fontId="61" fillId="0" borderId="0" xfId="0" applyFont="1" applyAlignment="1">
      <alignment horizontal="center" vertical="center" wrapText="1"/>
    </xf>
    <xf numFmtId="49" fontId="22" fillId="0" borderId="0" xfId="0" applyNumberFormat="1" applyFont="1" applyAlignment="1">
      <alignment horizontal="left" vertical="top"/>
    </xf>
    <xf numFmtId="49" fontId="35" fillId="0" borderId="0" xfId="0" applyNumberFormat="1" applyFont="1" applyAlignment="1">
      <alignment horizontal="right" vertical="top"/>
    </xf>
    <xf numFmtId="49" fontId="15" fillId="0" borderId="0" xfId="0" applyNumberFormat="1" applyFont="1" applyAlignment="1">
      <alignment horizontal="left" vertical="top" wrapText="1" indent="1"/>
    </xf>
    <xf numFmtId="0" fontId="34" fillId="18" borderId="0" xfId="0" applyFont="1" applyFill="1" applyAlignment="1">
      <alignment horizontal="center" vertical="center" wrapText="1"/>
    </xf>
    <xf numFmtId="0" fontId="66" fillId="0" borderId="0" xfId="0" applyFont="1" applyAlignment="1">
      <alignment horizontal="center" vertical="center" wrapText="1"/>
    </xf>
    <xf numFmtId="3" fontId="16" fillId="0" borderId="0" xfId="0" applyNumberFormat="1" applyFont="1" applyAlignment="1">
      <alignment horizontal="right" vertical="center" wrapText="1"/>
    </xf>
    <xf numFmtId="4" fontId="40" fillId="0" borderId="0" xfId="0" applyNumberFormat="1" applyFont="1" applyAlignment="1">
      <alignment horizontal="center" wrapText="1"/>
    </xf>
    <xf numFmtId="2" fontId="45" fillId="0" borderId="0" xfId="0" applyNumberFormat="1" applyFont="1" applyAlignment="1">
      <alignment horizontal="left" vertical="top" wrapText="1" indent="1"/>
    </xf>
    <xf numFmtId="3" fontId="69" fillId="0" borderId="0" xfId="0" applyNumberFormat="1" applyFont="1" applyAlignment="1">
      <alignment horizontal="center" vertical="center" wrapText="1"/>
    </xf>
    <xf numFmtId="4" fontId="11" fillId="0" borderId="0" xfId="0" applyNumberFormat="1" applyFont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4" fontId="25" fillId="0" borderId="11" xfId="0" applyNumberFormat="1" applyFont="1" applyBorder="1" applyAlignment="1">
      <alignment horizontal="left" wrapText="1"/>
    </xf>
    <xf numFmtId="0" fontId="30" fillId="0" borderId="38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wrapText="1" readingOrder="1"/>
    </xf>
    <xf numFmtId="0" fontId="11" fillId="0" borderId="36" xfId="0" applyFont="1" applyBorder="1" applyAlignment="1">
      <alignment horizontal="center" wrapText="1" readingOrder="1"/>
    </xf>
    <xf numFmtId="0" fontId="11" fillId="0" borderId="37" xfId="0" applyFont="1" applyBorder="1" applyAlignment="1">
      <alignment horizontal="center" wrapText="1" readingOrder="1"/>
    </xf>
    <xf numFmtId="0" fontId="30" fillId="0" borderId="11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right"/>
    </xf>
    <xf numFmtId="0" fontId="11" fillId="0" borderId="25" xfId="0" applyFont="1" applyBorder="1" applyAlignment="1">
      <alignment horizontal="right"/>
    </xf>
    <xf numFmtId="4" fontId="30" fillId="0" borderId="12" xfId="0" applyNumberFormat="1" applyFont="1" applyBorder="1" applyAlignment="1">
      <alignment horizontal="center" vertical="center" wrapText="1"/>
    </xf>
    <xf numFmtId="4" fontId="30" fillId="0" borderId="9" xfId="0" applyNumberFormat="1" applyFont="1" applyBorder="1" applyAlignment="1">
      <alignment horizontal="center" vertical="center" wrapText="1"/>
    </xf>
    <xf numFmtId="14" fontId="88" fillId="0" borderId="0" xfId="0" quotePrefix="1" applyNumberFormat="1" applyFont="1" applyAlignment="1">
      <alignment horizontal="left" wrapText="1"/>
    </xf>
    <xf numFmtId="0" fontId="103" fillId="0" borderId="0" xfId="0" applyFont="1" applyAlignment="1">
      <alignment horizontal="right"/>
    </xf>
    <xf numFmtId="3" fontId="25" fillId="0" borderId="0" xfId="0" applyNumberFormat="1" applyFont="1" applyAlignment="1">
      <alignment horizontal="right" vertical="center" wrapText="1"/>
    </xf>
    <xf numFmtId="4" fontId="30" fillId="0" borderId="11" xfId="0" applyNumberFormat="1" applyFont="1" applyBorder="1" applyAlignment="1">
      <alignment horizontal="center" vertical="center" wrapText="1"/>
    </xf>
    <xf numFmtId="0" fontId="30" fillId="0" borderId="0" xfId="0" applyFont="1" applyAlignment="1">
      <alignment horizontal="center"/>
    </xf>
    <xf numFmtId="4" fontId="30" fillId="0" borderId="38" xfId="0" applyNumberFormat="1" applyFont="1" applyBorder="1" applyAlignment="1">
      <alignment horizontal="center" vertical="center" wrapText="1"/>
    </xf>
    <xf numFmtId="0" fontId="30" fillId="5" borderId="38" xfId="0" applyFont="1" applyFill="1" applyBorder="1" applyAlignment="1">
      <alignment horizontal="left" vertical="center" wrapText="1"/>
    </xf>
    <xf numFmtId="0" fontId="30" fillId="5" borderId="9" xfId="0" applyFont="1" applyFill="1" applyBorder="1" applyAlignment="1">
      <alignment horizontal="left" vertical="center" wrapText="1"/>
    </xf>
    <xf numFmtId="165" fontId="107" fillId="25" borderId="11" xfId="2" quotePrefix="1" applyNumberFormat="1" applyFont="1" applyFill="1" applyBorder="1" applyAlignment="1">
      <alignment horizontal="center" vertical="center" wrapText="1"/>
    </xf>
    <xf numFmtId="165" fontId="0" fillId="0" borderId="11" xfId="2" applyNumberFormat="1" applyFont="1" applyBorder="1" applyAlignment="1"/>
    <xf numFmtId="4" fontId="107" fillId="0" borderId="11" xfId="0" applyNumberFormat="1" applyFont="1" applyBorder="1" applyAlignment="1">
      <alignment horizontal="center" vertical="center" wrapText="1"/>
    </xf>
    <xf numFmtId="0" fontId="107" fillId="0" borderId="11" xfId="0" applyFont="1" applyBorder="1" applyAlignment="1">
      <alignment horizontal="center" vertical="center" wrapText="1"/>
    </xf>
    <xf numFmtId="165" fontId="107" fillId="25" borderId="11" xfId="2" applyNumberFormat="1" applyFont="1" applyFill="1" applyBorder="1" applyAlignment="1">
      <alignment horizontal="center" vertical="center" wrapText="1"/>
    </xf>
    <xf numFmtId="0" fontId="0" fillId="0" borderId="11" xfId="0" applyBorder="1"/>
    <xf numFmtId="165" fontId="107" fillId="0" borderId="11" xfId="2" quotePrefix="1" applyNumberFormat="1" applyFont="1" applyBorder="1" applyAlignment="1">
      <alignment horizontal="center" vertical="center" wrapText="1"/>
    </xf>
    <xf numFmtId="3" fontId="83" fillId="0" borderId="0" xfId="0" applyNumberFormat="1" applyFont="1" applyAlignment="1">
      <alignment horizontal="right" vertical="center" wrapText="1"/>
    </xf>
    <xf numFmtId="4" fontId="16" fillId="0" borderId="0" xfId="0" applyNumberFormat="1" applyFont="1" applyAlignment="1">
      <alignment horizontal="center"/>
    </xf>
    <xf numFmtId="0" fontId="15" fillId="0" borderId="41" xfId="0" applyFont="1" applyBorder="1" applyAlignment="1">
      <alignment horizontal="center" vertical="top" wrapText="1"/>
    </xf>
    <xf numFmtId="0" fontId="15" fillId="0" borderId="17" xfId="0" applyFont="1" applyBorder="1" applyAlignment="1">
      <alignment horizontal="center" vertical="top" wrapText="1"/>
    </xf>
    <xf numFmtId="0" fontId="15" fillId="14" borderId="41" xfId="0" applyFont="1" applyFill="1" applyBorder="1" applyAlignment="1">
      <alignment horizontal="center" vertical="top" wrapText="1"/>
    </xf>
    <xf numFmtId="0" fontId="15" fillId="14" borderId="17" xfId="0" applyFont="1" applyFill="1" applyBorder="1" applyAlignment="1">
      <alignment horizontal="center" vertical="top" wrapText="1"/>
    </xf>
    <xf numFmtId="0" fontId="27" fillId="0" borderId="11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3" fontId="24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horizontal="left" vertical="center" wrapText="1"/>
    </xf>
    <xf numFmtId="2" fontId="15" fillId="0" borderId="0" xfId="0" applyNumberFormat="1" applyFont="1" applyAlignment="1">
      <alignment horizontal="center" vertical="center" wrapText="1"/>
    </xf>
    <xf numFmtId="3" fontId="121" fillId="0" borderId="0" xfId="0" applyNumberFormat="1" applyFont="1" applyAlignment="1">
      <alignment horizontal="center" vertical="center" wrapText="1"/>
    </xf>
    <xf numFmtId="0" fontId="121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3" fontId="119" fillId="26" borderId="11" xfId="0" applyNumberFormat="1" applyFont="1" applyFill="1" applyBorder="1" applyAlignment="1">
      <alignment horizontal="right" vertical="center" wrapText="1"/>
    </xf>
    <xf numFmtId="0" fontId="1" fillId="26" borderId="11" xfId="0" applyFont="1" applyFill="1" applyBorder="1" applyAlignment="1">
      <alignment horizontal="right" vertical="center" wrapText="1"/>
    </xf>
    <xf numFmtId="0" fontId="120" fillId="26" borderId="35" xfId="0" applyFont="1" applyFill="1" applyBorder="1" applyAlignment="1">
      <alignment horizontal="center" vertical="center" wrapText="1"/>
    </xf>
    <xf numFmtId="0" fontId="0" fillId="26" borderId="16" xfId="0" applyFill="1" applyBorder="1" applyAlignment="1">
      <alignment vertical="center" wrapText="1"/>
    </xf>
    <xf numFmtId="0" fontId="0" fillId="26" borderId="17" xfId="0" applyFill="1" applyBorder="1" applyAlignment="1">
      <alignment vertical="center" wrapText="1"/>
    </xf>
    <xf numFmtId="3" fontId="116" fillId="0" borderId="0" xfId="0" applyNumberFormat="1" applyFont="1" applyAlignment="1">
      <alignment horizontal="left" vertical="center" wrapText="1"/>
    </xf>
    <xf numFmtId="0" fontId="24" fillId="0" borderId="11" xfId="0" applyFont="1" applyBorder="1" applyAlignment="1">
      <alignment horizontal="right" vertical="center" wrapText="1"/>
    </xf>
    <xf numFmtId="164" fontId="112" fillId="0" borderId="11" xfId="0" applyNumberFormat="1" applyFont="1" applyBorder="1" applyAlignment="1">
      <alignment horizontal="right" vertical="center" wrapText="1"/>
    </xf>
    <xf numFmtId="0" fontId="0" fillId="0" borderId="11" xfId="0" applyBorder="1" applyAlignment="1">
      <alignment horizontal="right" vertical="center" wrapText="1"/>
    </xf>
    <xf numFmtId="164" fontId="112" fillId="0" borderId="35" xfId="0" applyNumberFormat="1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164" fontId="112" fillId="0" borderId="11" xfId="0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18" fillId="0" borderId="11" xfId="0" applyFont="1" applyBorder="1" applyAlignment="1">
      <alignment horizontal="right" vertical="center" wrapText="1"/>
    </xf>
    <xf numFmtId="0" fontId="117" fillId="0" borderId="35" xfId="0" applyFont="1" applyBorder="1" applyAlignment="1">
      <alignment horizontal="center" vertical="center" wrapText="1"/>
    </xf>
    <xf numFmtId="0" fontId="0" fillId="0" borderId="16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3" fontId="110" fillId="0" borderId="0" xfId="0" applyNumberFormat="1" applyFont="1" applyAlignment="1">
      <alignment horizontal="right" vertical="center" wrapText="1"/>
    </xf>
    <xf numFmtId="0" fontId="111" fillId="0" borderId="0" xfId="0" applyFont="1" applyAlignment="1">
      <alignment vertical="center" wrapText="1"/>
    </xf>
    <xf numFmtId="4" fontId="113" fillId="27" borderId="32" xfId="0" applyNumberFormat="1" applyFont="1" applyFill="1" applyBorder="1" applyAlignment="1">
      <alignment horizontal="center"/>
    </xf>
    <xf numFmtId="0" fontId="16" fillId="28" borderId="33" xfId="0" applyFont="1" applyFill="1" applyBorder="1" applyAlignment="1">
      <alignment horizontal="center" vertical="top" wrapText="1"/>
    </xf>
    <xf numFmtId="0" fontId="113" fillId="0" borderId="34" xfId="0" applyFont="1" applyBorder="1" applyAlignment="1">
      <alignment horizontal="center" vertical="center" wrapText="1"/>
    </xf>
    <xf numFmtId="0" fontId="113" fillId="29" borderId="34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0" fontId="4" fillId="7" borderId="41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left" vertical="center" wrapText="1"/>
    </xf>
    <xf numFmtId="0" fontId="4" fillId="4" borderId="36" xfId="0" applyFont="1" applyFill="1" applyBorder="1" applyAlignment="1">
      <alignment horizontal="left" vertical="center" wrapText="1"/>
    </xf>
    <xf numFmtId="16" fontId="4" fillId="5" borderId="15" xfId="0" quotePrefix="1" applyNumberFormat="1" applyFont="1" applyFill="1" applyBorder="1" applyAlignment="1">
      <alignment horizontal="left"/>
    </xf>
    <xf numFmtId="16" fontId="4" fillId="5" borderId="36" xfId="0" quotePrefix="1" applyNumberFormat="1" applyFont="1" applyFill="1" applyBorder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39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4" fillId="3" borderId="4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1" xfId="0" applyNumberFormat="1" applyFont="1" applyBorder="1" applyAlignment="1">
      <alignment horizontal="center" vertical="center" wrapText="1"/>
    </xf>
    <xf numFmtId="4" fontId="4" fillId="7" borderId="28" xfId="3" applyNumberFormat="1" applyFont="1" applyFill="1" applyBorder="1" applyAlignment="1">
      <alignment horizontal="center" vertical="center"/>
    </xf>
    <xf numFmtId="4" fontId="4" fillId="7" borderId="29" xfId="3" applyNumberFormat="1" applyFont="1" applyFill="1" applyBorder="1" applyAlignment="1">
      <alignment horizontal="center" vertical="center"/>
    </xf>
    <xf numFmtId="4" fontId="4" fillId="7" borderId="46" xfId="3" applyNumberFormat="1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left" vertical="center" wrapText="1"/>
    </xf>
    <xf numFmtId="0" fontId="5" fillId="4" borderId="19" xfId="0" applyFont="1" applyFill="1" applyBorder="1" applyAlignment="1">
      <alignment horizontal="left" vertical="center" wrapText="1"/>
    </xf>
    <xf numFmtId="0" fontId="5" fillId="4" borderId="26" xfId="0" applyFont="1" applyFill="1" applyBorder="1" applyAlignment="1">
      <alignment horizontal="left" vertical="center" wrapText="1"/>
    </xf>
    <xf numFmtId="0" fontId="5" fillId="4" borderId="11" xfId="0" applyFont="1" applyFill="1" applyBorder="1" applyAlignment="1">
      <alignment horizontal="left" vertical="center" wrapText="1"/>
    </xf>
    <xf numFmtId="0" fontId="19" fillId="0" borderId="0" xfId="0" applyFont="1" applyAlignment="1">
      <alignment horizontal="center" vertical="center" wrapText="1"/>
    </xf>
    <xf numFmtId="0" fontId="11" fillId="0" borderId="11" xfId="0" applyFont="1" applyBorder="1" applyAlignment="1">
      <alignment horizontal="center"/>
    </xf>
    <xf numFmtId="0" fontId="12" fillId="0" borderId="11" xfId="0" applyFont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164" fontId="12" fillId="0" borderId="11" xfId="0" applyNumberFormat="1" applyFont="1" applyBorder="1" applyAlignment="1">
      <alignment horizontal="center" vertical="center" wrapText="1"/>
    </xf>
    <xf numFmtId="0" fontId="4" fillId="7" borderId="13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0" fontId="4" fillId="7" borderId="61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left" vertical="center" wrapText="1"/>
    </xf>
    <xf numFmtId="0" fontId="5" fillId="4" borderId="8" xfId="0" applyFont="1" applyFill="1" applyBorder="1" applyAlignment="1">
      <alignment horizontal="left" vertical="center" wrapText="1"/>
    </xf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57" xfId="0" applyFont="1" applyBorder="1" applyAlignment="1">
      <alignment horizontal="center"/>
    </xf>
    <xf numFmtId="0" fontId="12" fillId="0" borderId="38" xfId="0" applyFont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0" fontId="12" fillId="0" borderId="51" xfId="0" applyFont="1" applyBorder="1" applyAlignment="1">
      <alignment horizontal="center" vertical="center" wrapText="1"/>
    </xf>
    <xf numFmtId="0" fontId="4" fillId="3" borderId="50" xfId="0" applyFont="1" applyFill="1" applyBorder="1" applyAlignment="1">
      <alignment horizontal="center" vertical="center" wrapText="1"/>
    </xf>
    <xf numFmtId="0" fontId="4" fillId="3" borderId="52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47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164" fontId="12" fillId="0" borderId="38" xfId="0" applyNumberFormat="1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164" fontId="12" fillId="0" borderId="12" xfId="0" applyNumberFormat="1" applyFont="1" applyBorder="1" applyAlignment="1">
      <alignment horizontal="center" vertical="center" wrapText="1"/>
    </xf>
    <xf numFmtId="0" fontId="12" fillId="0" borderId="11" xfId="3" applyFont="1" applyBorder="1" applyAlignment="1">
      <alignment horizontal="center" vertical="center" wrapText="1"/>
    </xf>
    <xf numFmtId="0" fontId="102" fillId="3" borderId="11" xfId="0" applyFont="1" applyFill="1" applyBorder="1" applyAlignment="1">
      <alignment horizontal="center" vertical="center" wrapText="1"/>
    </xf>
    <xf numFmtId="0" fontId="96" fillId="3" borderId="11" xfId="0" applyFont="1" applyFill="1" applyBorder="1" applyAlignment="1">
      <alignment horizontal="center" vertical="center" wrapText="1"/>
    </xf>
    <xf numFmtId="0" fontId="97" fillId="15" borderId="11" xfId="0" applyFont="1" applyFill="1" applyBorder="1" applyAlignment="1">
      <alignment horizontal="center" vertical="center" wrapText="1"/>
    </xf>
    <xf numFmtId="0" fontId="100" fillId="15" borderId="11" xfId="0" applyFont="1" applyFill="1" applyBorder="1" applyAlignment="1">
      <alignment horizontal="center" vertical="center" wrapText="1"/>
    </xf>
    <xf numFmtId="0" fontId="99" fillId="15" borderId="11" xfId="0" applyFont="1" applyFill="1" applyBorder="1" applyAlignment="1">
      <alignment horizontal="center" vertical="center" wrapText="1"/>
    </xf>
    <xf numFmtId="0" fontId="11" fillId="0" borderId="0" xfId="3" applyFont="1" applyAlignment="1">
      <alignment horizontal="center" wrapText="1"/>
    </xf>
    <xf numFmtId="0" fontId="11" fillId="0" borderId="11" xfId="3" applyFont="1" applyBorder="1" applyAlignment="1">
      <alignment horizontal="center"/>
    </xf>
    <xf numFmtId="0" fontId="4" fillId="10" borderId="11" xfId="0" applyFont="1" applyFill="1" applyBorder="1" applyAlignment="1">
      <alignment horizontal="left" wrapText="1"/>
    </xf>
    <xf numFmtId="4" fontId="12" fillId="0" borderId="11" xfId="3" applyNumberFormat="1" applyFont="1" applyBorder="1" applyAlignment="1">
      <alignment horizontal="center" vertical="center" wrapText="1"/>
    </xf>
    <xf numFmtId="0" fontId="59" fillId="0" borderId="0" xfId="0" applyFont="1" applyAlignment="1">
      <alignment horizontal="center" wrapText="1"/>
    </xf>
  </cellXfs>
  <cellStyles count="20">
    <cellStyle name="Excel Built-in Normal" xfId="1" xr:uid="{14C84ADE-DD2B-4C23-953D-93DA5ECCB0BA}"/>
    <cellStyle name="Normal" xfId="0" builtinId="0"/>
    <cellStyle name="Normal 10 2" xfId="13" xr:uid="{366D8435-2694-4E3E-8552-A8503A34C34E}"/>
    <cellStyle name="Normal 14 2" xfId="11" xr:uid="{62013C79-685B-4EB1-81D3-06CF6DA1A7A6}"/>
    <cellStyle name="Normal 2" xfId="3" xr:uid="{B922C458-E73B-44A0-9912-D6193DD7A699}"/>
    <cellStyle name="Normal 2 2 2" xfId="5" xr:uid="{E3BE130D-48B6-4268-BA72-B5F020B49AE5}"/>
    <cellStyle name="Normal 2 2 2 2" xfId="9" xr:uid="{940F33D7-95EA-44DD-ADDE-1E5125BC0603}"/>
    <cellStyle name="Normal 2 3" xfId="6" xr:uid="{0C4E759A-E679-4B9E-8218-EEA7E5189F9D}"/>
    <cellStyle name="Normal 24 2 3 4 2 2 3 6 2" xfId="18" xr:uid="{86BBE06E-67BD-4B07-A427-8AFE2A2D9CBB}"/>
    <cellStyle name="Normal 24 2 3 4 2 2 3 6 3" xfId="15" xr:uid="{798B172C-2014-49CC-8D78-13BE4276FAE7}"/>
    <cellStyle name="Normal 24 2 3 4 2 2 7 3 2 2 4" xfId="17" xr:uid="{6CBCB452-5F45-4B06-BC33-0ABEC8C6FB2F}"/>
    <cellStyle name="Normal 24 2 3 4 2 2 7 3 2 4" xfId="16" xr:uid="{5078D0A5-7C44-44A4-B2BF-446E36FE8D76}"/>
    <cellStyle name="Normal 24 2 3 4 2 3 6 2 3 2 2 5" xfId="14" xr:uid="{DC7B9B23-86C9-4907-9890-B94195AC599A}"/>
    <cellStyle name="Normal 3" xfId="10" xr:uid="{74C3F255-FFFD-4C52-B762-75414AD83E1D}"/>
    <cellStyle name="Normal 3 2" xfId="19" xr:uid="{DC395197-D7D0-4D8D-8518-C0747557AE9D}"/>
    <cellStyle name="Normal 4" xfId="8" xr:uid="{DB1F6146-BC69-4316-9511-C05E9AAF58BE}"/>
    <cellStyle name="Normal 5" xfId="7" xr:uid="{80AF9E37-B077-40F3-B5C3-C118354B4063}"/>
    <cellStyle name="Normal 92" xfId="12" xr:uid="{779A7C70-2F8C-4241-BAB8-5F00FE4F47F6}"/>
    <cellStyle name="Normal_Sheet1 2" xfId="4" xr:uid="{F16DE1DF-8ACC-425F-8713-96237E6BA353}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edirect_profiles/VM_Sandra_Kasparenko/My%20Documents/Budzets_2019/Budzeta_projekts/Prioritarie_pasakumi_2019-2021/VMvestp1_xx0818_PP_2019-2021%20PROJ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VM_Liene_Abola\Downloads\DS_modelesana_2024-2026%20jaunais%20excelis%20GALA%20!!!%20prec%20(1).xlsx" TargetMode="External"/><Relationship Id="rId1" Type="http://schemas.openxmlformats.org/officeDocument/2006/relationships/externalLinkPath" Target="file:///C:\Users\VM_Liene_Abola\Downloads\DS_modelesana_2024-2026%20jaunais%20excelis%20GALA%20!!!%20prec%20(1)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vnozare.pri\vm\Redirect_profiles\VM_Liene_Abola\My%20Documents\MK_Noteikumi_Nr.851\2023_feb_no_01.04.2023\PP_darba_samaksa_aprekini\VMvestp4_aprek_DS_AP_parejie_tarifi_rezid%20PREC.xlsx" TargetMode="External"/><Relationship Id="rId1" Type="http://schemas.openxmlformats.org/officeDocument/2006/relationships/externalLinkPath" Target="/Redirect_profiles/VM_Liene_Abola/My%20Documents/MK_Noteikumi_Nr.851/2023_feb_no_01.04.2023/PP_darba_samaksa_aprekini/VMvestp4_aprek_DS_AP_parejie_tarifi_rezid%20PREC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vnozare.pri\vm\Redirect_profiles\VM_Liene_Abola\My%20Documents\MK_Noteikumi_Nr.851\2023_nov_no_01.01.2024\GALS_Preciz_27112023\Padotibas_iest_citas_ministrijas_271123.xlsx" TargetMode="External"/><Relationship Id="rId1" Type="http://schemas.openxmlformats.org/officeDocument/2006/relationships/externalLinkPath" Target="/Redirect_profiles/VM_Liene_Abola/My%20Documents/MK_Noteikumi_Nr.851/2023_nov_no_01.01.2024/GALS_Preciz_27112023/Padotibas_iest_citas_ministrijas_2711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Šabloni"/>
      <sheetName val="01_H"/>
      <sheetName val="02_H"/>
      <sheetName val="01_P"/>
      <sheetName val="02_P"/>
      <sheetName val="03_P"/>
      <sheetName val="04_P"/>
      <sheetName val="05_P"/>
      <sheetName val="06_P"/>
      <sheetName val="07_P"/>
      <sheetName val="08_P"/>
      <sheetName val="09_P"/>
      <sheetName val="10_P"/>
      <sheetName val="11_P"/>
      <sheetName val="12_P"/>
      <sheetName val="13_P"/>
      <sheetName val="14_P"/>
      <sheetName val="15_P"/>
      <sheetName val="16_P"/>
      <sheetName val="17_P"/>
      <sheetName val="18_P"/>
      <sheetName val="19_P"/>
      <sheetName val="20_P"/>
      <sheetName val="21_P"/>
      <sheetName val="22_P"/>
      <sheetName val="23_P"/>
      <sheetName val="24_P"/>
      <sheetName val="25_P"/>
      <sheetName val="26_P"/>
      <sheetName val="27_P"/>
      <sheetName val="28_P"/>
      <sheetName val="29_P"/>
      <sheetName val="30_P"/>
      <sheetName val="31_P"/>
      <sheetName val="32_P"/>
      <sheetName val="33_P"/>
      <sheetName val="34_P"/>
      <sheetName val="35_P"/>
      <sheetName val="36_P"/>
      <sheetName val="37_P"/>
      <sheetName val="38_P"/>
      <sheetName val="39_P"/>
      <sheetName val="40_P"/>
      <sheetName val="41_P"/>
      <sheetName val="42_P"/>
      <sheetName val="43_P"/>
      <sheetName val="44_P"/>
      <sheetName val="45_P"/>
      <sheetName val="46_P"/>
      <sheetName val="46_P (2)"/>
      <sheetName val="46_P (3)"/>
      <sheetName val="47_P"/>
      <sheetName val="48_P"/>
      <sheetName val="49_P"/>
      <sheetName val="KOP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.v. - ņemam mērķa DS un 60-40"/>
      <sheetName val="33.00 sadalījums"/>
      <sheetName val="33.00 sadalījums ņemts vērā NVD"/>
      <sheetName val="sadalīj priekš 275M ziņ"/>
      <sheetName val="Sheet1"/>
      <sheetName val="no ziņojuma un SVP summām"/>
      <sheetName val="no SVP summām 60M"/>
      <sheetName val="prieš PP veidl APRĒĶINI"/>
      <sheetName val="prieš PP veidl APRĒĶINI PREC"/>
      <sheetName val="tarifi"/>
      <sheetName val="tarifi (2)"/>
      <sheetName val="tarifi (3)"/>
      <sheetName val="tarifi (4)"/>
      <sheetName val="tarifi (5)"/>
      <sheetName val="tarifi (6)"/>
      <sheetName val="tarifi (7)"/>
      <sheetName val="modelēšana EUR"/>
    </sheetNames>
    <sheetDataSet>
      <sheetData sheetId="0">
        <row r="39">
          <cell r="D39">
            <v>1.1060000000000001</v>
          </cell>
        </row>
        <row r="40">
          <cell r="D40">
            <v>1.0649999999999999</v>
          </cell>
        </row>
        <row r="41">
          <cell r="D41">
            <v>1.069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kopsavilkums"/>
      <sheetName val="tarifi 2023"/>
      <sheetName val="tarifi 2024 "/>
      <sheetName val="valsts apmak rezidenti"/>
      <sheetName val="maksas rezidenti"/>
    </sheetNames>
    <sheetDataSet>
      <sheetData sheetId="0">
        <row r="10">
          <cell r="A10" t="str">
            <v>33.12.00 "Reto slimību ārstēšana"</v>
          </cell>
        </row>
        <row r="12">
          <cell r="A12" t="str">
            <v>33.14.00 "Primārās ambulatorās veselības aprūpes nodrošināšana"</v>
          </cell>
        </row>
        <row r="14">
          <cell r="A14" t="str">
            <v>33.15.00 "Laboratorisko izmeklējumu nodrošināšana ambulatorajā aprūpē"</v>
          </cell>
        </row>
        <row r="16">
          <cell r="A16" t="str">
            <v>33.16.00 "Pārējo ambulatoro veselības aprūpes pakalpojumu nodrošināšana"</v>
          </cell>
        </row>
        <row r="18">
          <cell r="A18" t="str">
            <v>33.17.00 "Neatliekamās medicīniskās palīdzības nodrošināšana stacionārās ārstniecības iestādēs"</v>
          </cell>
        </row>
        <row r="20">
          <cell r="A20" t="str">
            <v>33.18.00 "Plānveida stacionāro veselības aprūpes pakalpojumu nodrošināšana"</v>
          </cell>
        </row>
        <row r="29">
          <cell r="A29" t="str">
            <v>45.01.00 "Veselības aprūpes finansējuma administrēšana un ekonomiskā novērtēšana"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9_01_H_2020"/>
      <sheetName val="Pārējās ministrijas MK361"/>
      <sheetName val="Pārējās ministrijas MK851"/>
      <sheetName val="Pārējās ministrijas MK509"/>
      <sheetName val="VM padotibas iest MK361"/>
      <sheetName val="VM NMPD MK851"/>
      <sheetName val="VM VADC MK851"/>
      <sheetName val="VM VTMEC MK851"/>
      <sheetName val="LM_līgumorg_851"/>
      <sheetName val="IEM_kapitsab_851"/>
      <sheetName val="IZM_pašv_1"/>
      <sheetName val="IZM_pašv_2"/>
    </sheetNames>
    <sheetDataSet>
      <sheetData sheetId="0">
        <row r="9">
          <cell r="O9">
            <v>0.106</v>
          </cell>
        </row>
        <row r="13">
          <cell r="O13">
            <v>6.5000000000000002E-2</v>
          </cell>
        </row>
        <row r="16">
          <cell r="O16">
            <v>6.9000000000000006E-2</v>
          </cell>
        </row>
        <row r="24">
          <cell r="O24">
            <v>0.2359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A15F3-ED32-4F97-B1A6-9E329E372FA7}">
  <sheetPr>
    <tabColor rgb="FF92D050"/>
  </sheetPr>
  <dimension ref="A1:W84"/>
  <sheetViews>
    <sheetView topLeftCell="C2" workbookViewId="0">
      <selection activeCell="G28" sqref="G28"/>
    </sheetView>
  </sheetViews>
  <sheetFormatPr defaultColWidth="8.85546875" defaultRowHeight="12.75" x14ac:dyDescent="0.2"/>
  <cols>
    <col min="1" max="1" width="1" style="58" customWidth="1"/>
    <col min="2" max="2" width="25.7109375" style="58" customWidth="1"/>
    <col min="3" max="3" width="13.7109375" style="58" customWidth="1"/>
    <col min="4" max="4" width="10.7109375" style="58" customWidth="1"/>
    <col min="5" max="8" width="14.28515625" style="58" customWidth="1"/>
    <col min="9" max="9" width="12.28515625" style="58" customWidth="1"/>
    <col min="10" max="11" width="8.85546875" style="58" customWidth="1"/>
    <col min="12" max="12" width="9.5703125" style="58" customWidth="1"/>
    <col min="13" max="13" width="8.85546875" style="58" customWidth="1"/>
    <col min="14" max="14" width="8.85546875" style="58"/>
    <col min="15" max="15" width="17.140625" style="58" customWidth="1"/>
    <col min="16" max="16" width="11.7109375" style="58" bestFit="1" customWidth="1"/>
    <col min="17" max="19" width="11.7109375" style="58" customWidth="1"/>
    <col min="20" max="16384" width="8.85546875" style="58"/>
  </cols>
  <sheetData>
    <row r="1" spans="1:23" hidden="1" x14ac:dyDescent="0.2">
      <c r="A1" s="57" t="s">
        <v>112</v>
      </c>
      <c r="B1" s="57"/>
      <c r="C1" s="57"/>
      <c r="D1" s="57"/>
      <c r="E1" s="57"/>
      <c r="F1" s="57"/>
      <c r="G1" s="57"/>
      <c r="K1" s="57" t="s">
        <v>113</v>
      </c>
      <c r="L1" s="57" t="s">
        <v>114</v>
      </c>
    </row>
    <row r="2" spans="1:23" ht="15.75" customHeight="1" x14ac:dyDescent="0.2">
      <c r="B2" s="657"/>
      <c r="C2" s="657"/>
      <c r="D2" s="657"/>
      <c r="E2" s="657"/>
      <c r="F2" s="657"/>
      <c r="G2" s="657"/>
      <c r="H2" s="657"/>
    </row>
    <row r="3" spans="1:23" ht="13.5" customHeight="1" x14ac:dyDescent="0.2">
      <c r="A3" s="59"/>
      <c r="B3" s="140"/>
      <c r="C3" s="140"/>
      <c r="D3" s="140"/>
      <c r="E3" s="140"/>
      <c r="F3" s="140"/>
      <c r="G3" s="140"/>
      <c r="H3" s="141"/>
      <c r="K3" s="99"/>
      <c r="L3" s="100"/>
      <c r="M3" s="98"/>
      <c r="O3" s="60"/>
    </row>
    <row r="4" spans="1:23" ht="13.5" customHeight="1" x14ac:dyDescent="0.2">
      <c r="A4" s="59"/>
      <c r="B4" s="658"/>
      <c r="C4" s="658"/>
      <c r="D4" s="659"/>
      <c r="E4" s="659"/>
      <c r="F4" s="659"/>
      <c r="G4" s="659"/>
      <c r="H4" s="60"/>
      <c r="I4" s="60"/>
      <c r="K4" s="101"/>
      <c r="L4" s="100"/>
      <c r="M4" s="98"/>
    </row>
    <row r="5" spans="1:23" ht="18.75" customHeight="1" x14ac:dyDescent="0.25">
      <c r="A5" s="59"/>
      <c r="B5" s="660"/>
      <c r="C5" s="660"/>
      <c r="D5" s="661"/>
      <c r="E5" s="661"/>
      <c r="F5" s="661"/>
      <c r="G5" s="661"/>
      <c r="H5" s="661"/>
      <c r="K5" s="102"/>
      <c r="L5" s="100"/>
      <c r="M5" s="98"/>
    </row>
    <row r="6" spans="1:23" ht="12.75" customHeight="1" x14ac:dyDescent="0.25">
      <c r="A6" s="59"/>
      <c r="B6" s="87"/>
      <c r="C6" s="142"/>
      <c r="D6" s="143"/>
      <c r="E6" s="144"/>
      <c r="F6" s="144"/>
      <c r="G6" s="144"/>
      <c r="H6" s="144"/>
      <c r="J6" s="60"/>
      <c r="K6" s="102"/>
      <c r="L6" s="103"/>
      <c r="M6" s="98"/>
    </row>
    <row r="7" spans="1:23" x14ac:dyDescent="0.2">
      <c r="A7" s="59"/>
      <c r="B7" s="145"/>
      <c r="C7" s="145"/>
      <c r="I7" s="146"/>
      <c r="J7" s="60"/>
    </row>
    <row r="8" spans="1:23" ht="61.5" customHeight="1" x14ac:dyDescent="0.2">
      <c r="A8" s="647"/>
      <c r="B8" s="648"/>
      <c r="C8" s="648"/>
      <c r="D8" s="648"/>
      <c r="E8" s="61"/>
      <c r="F8" s="61"/>
      <c r="G8" s="61"/>
      <c r="H8" s="61"/>
      <c r="I8" s="61"/>
      <c r="J8" s="61"/>
      <c r="K8" s="61"/>
      <c r="L8" s="61"/>
      <c r="M8" s="61"/>
      <c r="O8" s="62" t="s">
        <v>167</v>
      </c>
    </row>
    <row r="9" spans="1:23" hidden="1" x14ac:dyDescent="0.2">
      <c r="A9" s="647"/>
      <c r="B9" s="649"/>
      <c r="C9" s="649"/>
      <c r="D9" s="649"/>
      <c r="E9" s="147"/>
      <c r="F9" s="148"/>
      <c r="G9" s="148"/>
      <c r="H9" s="61"/>
      <c r="I9" s="61"/>
      <c r="J9" s="61"/>
      <c r="K9" s="63"/>
      <c r="L9" s="63"/>
      <c r="M9" s="61"/>
      <c r="N9" s="64"/>
    </row>
    <row r="10" spans="1:23" ht="15.75" customHeight="1" x14ac:dyDescent="0.2">
      <c r="A10" s="647"/>
      <c r="B10" s="650"/>
      <c r="C10" s="650"/>
      <c r="D10" s="650"/>
      <c r="E10" s="149"/>
      <c r="F10" s="149"/>
      <c r="G10" s="149"/>
      <c r="H10" s="149"/>
      <c r="I10" s="150"/>
      <c r="J10" s="662" t="s">
        <v>261</v>
      </c>
      <c r="K10" s="662"/>
      <c r="L10" s="662"/>
      <c r="M10" s="662"/>
      <c r="N10" s="662"/>
      <c r="O10" s="108">
        <v>4.3999999999999997E-2</v>
      </c>
      <c r="P10" s="665" t="s">
        <v>204</v>
      </c>
      <c r="Q10" s="665"/>
      <c r="R10" s="665"/>
      <c r="S10" s="671" t="s">
        <v>168</v>
      </c>
      <c r="T10" s="671"/>
      <c r="U10" s="671"/>
      <c r="V10" s="671"/>
      <c r="W10" s="671"/>
    </row>
    <row r="11" spans="1:23" s="66" customFormat="1" ht="13.5" customHeight="1" x14ac:dyDescent="0.25">
      <c r="A11" s="647"/>
      <c r="B11" s="672"/>
      <c r="C11" s="672"/>
      <c r="D11" s="672"/>
      <c r="E11" s="151"/>
      <c r="F11" s="151"/>
      <c r="G11" s="151"/>
      <c r="H11" s="151"/>
      <c r="I11" s="152"/>
      <c r="J11" s="662"/>
      <c r="K11" s="662"/>
      <c r="L11" s="662"/>
      <c r="M11" s="662"/>
      <c r="N11" s="662"/>
      <c r="O11" s="95"/>
      <c r="P11" s="665"/>
      <c r="Q11" s="665"/>
      <c r="R11" s="665"/>
      <c r="S11" s="671"/>
      <c r="T11" s="671"/>
      <c r="U11" s="671"/>
      <c r="V11" s="671"/>
      <c r="W11" s="671"/>
    </row>
    <row r="12" spans="1:23" s="67" customFormat="1" ht="13.5" customHeight="1" x14ac:dyDescent="0.25">
      <c r="A12" s="647"/>
      <c r="B12" s="673"/>
      <c r="C12" s="673"/>
      <c r="D12" s="673"/>
      <c r="E12" s="153"/>
      <c r="F12" s="153"/>
      <c r="G12" s="153"/>
      <c r="H12" s="153"/>
      <c r="I12" s="152"/>
      <c r="J12" s="662"/>
      <c r="K12" s="662"/>
      <c r="L12" s="662"/>
      <c r="M12" s="662"/>
      <c r="N12" s="662"/>
      <c r="O12" s="95"/>
      <c r="P12" s="665"/>
      <c r="Q12" s="665"/>
      <c r="R12" s="665"/>
      <c r="S12" s="671"/>
      <c r="T12" s="671"/>
      <c r="U12" s="671"/>
      <c r="V12" s="671"/>
      <c r="W12" s="671"/>
    </row>
    <row r="13" spans="1:23" ht="13.5" customHeight="1" x14ac:dyDescent="0.2">
      <c r="A13" s="647"/>
      <c r="B13" s="674"/>
      <c r="C13" s="674"/>
      <c r="D13" s="674"/>
      <c r="E13" s="149"/>
      <c r="F13" s="149"/>
      <c r="G13" s="149"/>
      <c r="H13" s="149"/>
      <c r="I13" s="154"/>
      <c r="O13" s="96"/>
      <c r="S13" s="671"/>
      <c r="T13" s="671"/>
      <c r="U13" s="671"/>
      <c r="V13" s="671"/>
      <c r="W13" s="671"/>
    </row>
    <row r="14" spans="1:23" s="66" customFormat="1" ht="30.75" customHeight="1" x14ac:dyDescent="0.25">
      <c r="A14" s="647"/>
      <c r="B14" s="664"/>
      <c r="C14" s="664"/>
      <c r="D14" s="664"/>
      <c r="E14" s="151"/>
      <c r="F14" s="151"/>
      <c r="G14" s="151"/>
      <c r="H14" s="151"/>
      <c r="I14" s="152"/>
      <c r="J14" s="662" t="s">
        <v>262</v>
      </c>
      <c r="K14" s="662"/>
      <c r="L14" s="662"/>
      <c r="M14" s="662"/>
      <c r="N14" s="662"/>
      <c r="O14" s="108">
        <v>4.7399999999999998E-2</v>
      </c>
      <c r="P14" s="675" t="s">
        <v>264</v>
      </c>
      <c r="Q14" s="675"/>
      <c r="R14" s="675"/>
      <c r="S14" s="671"/>
      <c r="T14" s="671"/>
      <c r="U14" s="671"/>
      <c r="V14" s="671"/>
      <c r="W14" s="671"/>
    </row>
    <row r="15" spans="1:23" s="69" customFormat="1" ht="13.5" customHeight="1" x14ac:dyDescent="0.2">
      <c r="A15" s="647"/>
      <c r="B15" s="653"/>
      <c r="C15" s="653"/>
      <c r="D15" s="653"/>
      <c r="E15" s="155"/>
      <c r="F15" s="155"/>
      <c r="G15" s="155"/>
      <c r="H15" s="155"/>
      <c r="I15" s="68"/>
      <c r="J15" s="662"/>
      <c r="K15" s="662"/>
      <c r="L15" s="662"/>
      <c r="M15" s="662"/>
      <c r="N15" s="662"/>
      <c r="O15" s="65"/>
      <c r="P15" s="675"/>
      <c r="Q15" s="675"/>
      <c r="R15" s="675"/>
      <c r="S15" s="671"/>
      <c r="T15" s="671"/>
      <c r="U15" s="671"/>
      <c r="V15" s="671"/>
      <c r="W15" s="671"/>
    </row>
    <row r="16" spans="1:23" s="69" customFormat="1" ht="13.5" customHeight="1" x14ac:dyDescent="0.2">
      <c r="A16" s="647"/>
      <c r="B16" s="651"/>
      <c r="C16" s="651"/>
      <c r="D16" s="651"/>
      <c r="E16" s="70"/>
      <c r="F16" s="70"/>
      <c r="G16" s="70"/>
      <c r="H16" s="71"/>
      <c r="I16" s="68"/>
      <c r="J16" s="68"/>
      <c r="K16" s="70"/>
      <c r="L16" s="70"/>
      <c r="M16" s="71"/>
    </row>
    <row r="17" spans="1:23" s="69" customFormat="1" ht="13.5" customHeight="1" x14ac:dyDescent="0.2">
      <c r="A17" s="647"/>
      <c r="B17" s="651"/>
      <c r="C17" s="651"/>
      <c r="D17" s="651"/>
      <c r="E17" s="70"/>
      <c r="F17" s="70"/>
      <c r="G17" s="70"/>
      <c r="H17" s="71"/>
      <c r="I17" s="68"/>
      <c r="J17" s="662" t="s">
        <v>263</v>
      </c>
      <c r="K17" s="662"/>
      <c r="L17" s="662"/>
      <c r="M17" s="662"/>
      <c r="N17" s="662"/>
      <c r="O17" s="65">
        <v>0</v>
      </c>
      <c r="P17" s="670" t="s">
        <v>265</v>
      </c>
      <c r="Q17" s="670"/>
      <c r="R17" s="670"/>
    </row>
    <row r="18" spans="1:23" s="69" customFormat="1" ht="13.5" customHeight="1" x14ac:dyDescent="0.2">
      <c r="A18" s="647"/>
      <c r="B18" s="651"/>
      <c r="C18" s="651"/>
      <c r="D18" s="651"/>
      <c r="E18" s="70"/>
      <c r="F18" s="70"/>
      <c r="G18" s="70"/>
      <c r="H18" s="71"/>
      <c r="I18" s="68"/>
      <c r="J18" s="662"/>
      <c r="K18" s="662"/>
      <c r="L18" s="662"/>
      <c r="M18" s="662"/>
      <c r="N18" s="662"/>
      <c r="O18" s="107"/>
      <c r="P18" s="670"/>
      <c r="Q18" s="670"/>
      <c r="R18" s="670"/>
    </row>
    <row r="19" spans="1:23" s="69" customFormat="1" ht="13.5" customHeight="1" x14ac:dyDescent="0.2">
      <c r="A19" s="647"/>
      <c r="B19" s="651"/>
      <c r="C19" s="651"/>
      <c r="D19" s="651"/>
      <c r="E19" s="70"/>
      <c r="F19" s="70"/>
      <c r="G19" s="70"/>
      <c r="H19" s="71"/>
      <c r="I19" s="68"/>
      <c r="J19" s="68"/>
      <c r="K19" s="70"/>
      <c r="L19" s="70"/>
      <c r="M19" s="71"/>
    </row>
    <row r="20" spans="1:23" s="69" customFormat="1" ht="13.5" customHeight="1" x14ac:dyDescent="0.2">
      <c r="A20" s="647"/>
      <c r="B20" s="651"/>
      <c r="C20" s="651"/>
      <c r="D20" s="651"/>
      <c r="E20" s="70"/>
      <c r="F20" s="70"/>
      <c r="G20" s="70"/>
      <c r="H20" s="71"/>
      <c r="I20" s="68"/>
      <c r="J20" s="68"/>
      <c r="K20" s="70"/>
      <c r="L20" s="70"/>
      <c r="M20" s="71"/>
    </row>
    <row r="21" spans="1:23" s="69" customFormat="1" ht="13.5" customHeight="1" x14ac:dyDescent="0.2">
      <c r="A21" s="647"/>
      <c r="B21" s="653"/>
      <c r="C21" s="653"/>
      <c r="D21" s="653"/>
      <c r="E21" s="70"/>
      <c r="F21" s="70"/>
      <c r="G21" s="70"/>
      <c r="H21" s="71"/>
      <c r="I21" s="68"/>
      <c r="J21" s="68"/>
      <c r="K21" s="70"/>
      <c r="L21" s="70"/>
      <c r="M21" s="71"/>
    </row>
    <row r="22" spans="1:23" s="69" customFormat="1" ht="13.5" customHeight="1" x14ac:dyDescent="0.2">
      <c r="A22" s="647"/>
      <c r="B22" s="664"/>
      <c r="C22" s="664"/>
      <c r="D22" s="664"/>
      <c r="E22" s="151"/>
      <c r="F22" s="151"/>
      <c r="G22" s="151"/>
      <c r="H22" s="151"/>
      <c r="I22" s="68"/>
      <c r="J22" s="68"/>
      <c r="K22" s="70"/>
      <c r="L22" s="70"/>
      <c r="M22" s="71"/>
    </row>
    <row r="23" spans="1:23" s="69" customFormat="1" ht="13.5" customHeight="1" x14ac:dyDescent="0.2">
      <c r="A23" s="647"/>
      <c r="B23" s="653"/>
      <c r="C23" s="653"/>
      <c r="D23" s="653"/>
      <c r="E23" s="70"/>
      <c r="F23" s="70"/>
      <c r="G23" s="70"/>
      <c r="H23" s="70"/>
      <c r="I23" s="68"/>
      <c r="J23" s="68"/>
      <c r="K23" s="70"/>
      <c r="L23" s="70"/>
      <c r="M23" s="71"/>
    </row>
    <row r="24" spans="1:23" s="69" customFormat="1" ht="13.5" customHeight="1" x14ac:dyDescent="0.2">
      <c r="A24" s="647"/>
      <c r="B24" s="652"/>
      <c r="C24" s="652"/>
      <c r="D24" s="652"/>
      <c r="E24" s="156"/>
      <c r="F24" s="156"/>
      <c r="G24" s="156"/>
      <c r="H24" s="156"/>
      <c r="I24" s="68"/>
      <c r="J24" s="68"/>
      <c r="K24" s="70"/>
      <c r="L24" s="70"/>
      <c r="M24" s="71"/>
    </row>
    <row r="25" spans="1:23" s="69" customFormat="1" ht="13.5" customHeight="1" x14ac:dyDescent="0.2">
      <c r="A25" s="647"/>
      <c r="B25" s="664"/>
      <c r="C25" s="664"/>
      <c r="D25" s="664"/>
      <c r="E25" s="151"/>
      <c r="F25" s="151"/>
      <c r="G25" s="151"/>
      <c r="H25" s="151"/>
      <c r="I25" s="68"/>
      <c r="J25" s="68"/>
      <c r="K25" s="666" t="s">
        <v>203</v>
      </c>
      <c r="L25" s="666"/>
      <c r="M25" s="666"/>
      <c r="N25" s="666"/>
      <c r="O25" s="97">
        <v>0.2359</v>
      </c>
    </row>
    <row r="26" spans="1:23" s="69" customFormat="1" ht="13.5" customHeight="1" x14ac:dyDescent="0.2">
      <c r="A26" s="647"/>
      <c r="B26" s="653"/>
      <c r="C26" s="653"/>
      <c r="D26" s="653"/>
      <c r="E26" s="70"/>
      <c r="F26" s="70"/>
      <c r="G26" s="70"/>
      <c r="H26" s="71"/>
      <c r="I26" s="157"/>
      <c r="J26" s="68"/>
      <c r="K26" s="70"/>
      <c r="L26" s="70"/>
      <c r="M26" s="71"/>
      <c r="Q26" s="72"/>
      <c r="R26" s="72"/>
      <c r="S26" s="72"/>
    </row>
    <row r="27" spans="1:23" s="69" customFormat="1" ht="13.5" customHeight="1" x14ac:dyDescent="0.2">
      <c r="A27" s="647"/>
      <c r="B27" s="653"/>
      <c r="C27" s="653"/>
      <c r="D27" s="653"/>
      <c r="E27" s="70"/>
      <c r="F27" s="70"/>
      <c r="G27" s="70"/>
      <c r="H27" s="71"/>
      <c r="I27" s="68"/>
      <c r="J27" s="68"/>
      <c r="K27" s="70"/>
      <c r="L27" s="70"/>
      <c r="M27" s="71"/>
      <c r="Q27" s="73"/>
      <c r="R27" s="74"/>
      <c r="S27" s="74"/>
    </row>
    <row r="28" spans="1:23" s="69" customFormat="1" ht="13.5" customHeight="1" x14ac:dyDescent="0.2">
      <c r="A28" s="647"/>
      <c r="B28" s="652"/>
      <c r="C28" s="652"/>
      <c r="D28" s="652"/>
      <c r="E28" s="156"/>
      <c r="F28" s="156"/>
      <c r="G28" s="156"/>
      <c r="H28" s="156"/>
      <c r="I28" s="68"/>
      <c r="J28" s="68"/>
      <c r="K28" s="70"/>
      <c r="L28" s="70"/>
    </row>
    <row r="29" spans="1:23" s="69" customFormat="1" ht="26.25" customHeight="1" x14ac:dyDescent="0.2">
      <c r="A29" s="647"/>
      <c r="B29" s="664"/>
      <c r="C29" s="664"/>
      <c r="D29" s="664"/>
      <c r="E29" s="149"/>
      <c r="F29" s="149"/>
      <c r="G29" s="149"/>
      <c r="H29" s="149"/>
      <c r="I29" s="68"/>
      <c r="J29" s="677"/>
      <c r="K29" s="677"/>
      <c r="L29" s="677"/>
      <c r="M29" s="677"/>
      <c r="N29" s="677"/>
      <c r="O29" s="677"/>
      <c r="P29" s="677"/>
      <c r="Q29" s="162"/>
      <c r="R29" s="162"/>
      <c r="S29" s="162"/>
    </row>
    <row r="30" spans="1:23" s="66" customFormat="1" ht="13.5" x14ac:dyDescent="0.25">
      <c r="A30" s="647"/>
      <c r="B30" s="652"/>
      <c r="C30" s="652"/>
      <c r="D30" s="652"/>
      <c r="E30" s="156"/>
      <c r="F30" s="156"/>
      <c r="G30" s="156"/>
      <c r="H30" s="156"/>
      <c r="I30" s="152"/>
      <c r="J30" s="669"/>
      <c r="K30" s="669"/>
      <c r="L30" s="669"/>
      <c r="M30" s="669"/>
      <c r="N30" s="669"/>
      <c r="O30" s="669"/>
      <c r="P30" s="669"/>
      <c r="Q30" s="163"/>
      <c r="R30" s="163"/>
      <c r="S30" s="163"/>
    </row>
    <row r="31" spans="1:23" s="69" customFormat="1" ht="13.5" customHeight="1" x14ac:dyDescent="0.25">
      <c r="A31" s="647"/>
      <c r="B31" s="653"/>
      <c r="C31" s="653"/>
      <c r="D31" s="653"/>
      <c r="E31" s="158"/>
      <c r="F31" s="158"/>
      <c r="G31" s="158"/>
      <c r="H31" s="72"/>
      <c r="I31" s="68"/>
      <c r="J31" s="663"/>
      <c r="K31" s="663"/>
      <c r="L31" s="663"/>
      <c r="M31" s="663"/>
      <c r="N31" s="663"/>
      <c r="O31" s="663"/>
      <c r="P31" s="663"/>
      <c r="Q31" s="164"/>
      <c r="R31" s="164"/>
      <c r="S31" s="164"/>
      <c r="T31" s="676"/>
      <c r="U31" s="676"/>
      <c r="V31" s="676"/>
      <c r="W31" s="676"/>
    </row>
    <row r="32" spans="1:23" s="75" customFormat="1" ht="12" customHeight="1" x14ac:dyDescent="0.2">
      <c r="A32" s="647"/>
      <c r="B32" s="652"/>
      <c r="C32" s="652"/>
      <c r="D32" s="652"/>
      <c r="E32" s="156"/>
      <c r="F32" s="156"/>
      <c r="G32" s="156"/>
      <c r="H32" s="159"/>
      <c r="I32" s="160"/>
      <c r="J32" s="165"/>
      <c r="K32" s="70"/>
      <c r="L32" s="70"/>
      <c r="M32" s="70"/>
      <c r="N32" s="166"/>
      <c r="O32" s="166"/>
      <c r="Q32" s="166"/>
      <c r="R32" s="166"/>
      <c r="S32" s="166"/>
      <c r="T32" s="676"/>
      <c r="U32" s="676"/>
      <c r="V32" s="676"/>
      <c r="W32" s="676"/>
    </row>
    <row r="33" spans="1:23" s="66" customFormat="1" ht="30" customHeight="1" x14ac:dyDescent="0.25">
      <c r="A33" s="647"/>
      <c r="B33" s="653"/>
      <c r="C33" s="653"/>
      <c r="D33" s="653"/>
      <c r="E33" s="158"/>
      <c r="F33" s="158"/>
      <c r="G33" s="158"/>
      <c r="H33" s="72"/>
      <c r="I33" s="152"/>
      <c r="J33" s="167"/>
      <c r="K33" s="151"/>
      <c r="L33" s="151"/>
      <c r="M33" s="151"/>
      <c r="T33" s="676"/>
      <c r="U33" s="676"/>
      <c r="V33" s="676"/>
      <c r="W33" s="676"/>
    </row>
    <row r="34" spans="1:23" s="69" customFormat="1" ht="13.5" customHeight="1" x14ac:dyDescent="0.2">
      <c r="A34" s="647"/>
      <c r="B34" s="652"/>
      <c r="C34" s="652"/>
      <c r="D34" s="652"/>
      <c r="E34" s="156"/>
      <c r="F34" s="156"/>
      <c r="G34" s="156"/>
      <c r="H34" s="156"/>
      <c r="I34" s="68"/>
      <c r="J34" s="168"/>
      <c r="K34" s="70"/>
      <c r="L34" s="70"/>
      <c r="M34" s="71"/>
      <c r="T34" s="676"/>
      <c r="U34" s="676"/>
      <c r="V34" s="676"/>
      <c r="W34" s="676"/>
    </row>
    <row r="35" spans="1:23" s="69" customFormat="1" ht="13.5" customHeight="1" x14ac:dyDescent="0.2">
      <c r="A35" s="647"/>
      <c r="B35" s="653"/>
      <c r="C35" s="653"/>
      <c r="D35" s="653"/>
      <c r="E35" s="158"/>
      <c r="F35" s="158"/>
      <c r="G35" s="158"/>
      <c r="H35" s="72"/>
      <c r="I35" s="68"/>
      <c r="J35" s="168"/>
      <c r="K35" s="70"/>
      <c r="L35" s="70"/>
      <c r="M35" s="71"/>
      <c r="T35" s="676"/>
      <c r="U35" s="676"/>
      <c r="V35" s="676"/>
      <c r="W35" s="676"/>
    </row>
    <row r="36" spans="1:23" s="75" customFormat="1" ht="12" customHeight="1" x14ac:dyDescent="0.2">
      <c r="A36" s="647"/>
      <c r="B36" s="652"/>
      <c r="C36" s="652"/>
      <c r="D36" s="652"/>
      <c r="E36" s="156"/>
      <c r="F36" s="156"/>
      <c r="G36" s="156"/>
      <c r="H36" s="156"/>
      <c r="I36" s="160"/>
      <c r="J36" s="165"/>
      <c r="K36" s="70"/>
      <c r="L36" s="70"/>
      <c r="M36" s="70"/>
      <c r="N36" s="166"/>
      <c r="O36" s="166"/>
      <c r="Q36" s="166"/>
      <c r="R36" s="166"/>
      <c r="S36" s="166"/>
      <c r="T36" s="676"/>
      <c r="U36" s="676"/>
      <c r="V36" s="676"/>
      <c r="W36" s="676"/>
    </row>
    <row r="37" spans="1:23" s="66" customFormat="1" ht="28.5" customHeight="1" x14ac:dyDescent="0.2">
      <c r="A37" s="647"/>
      <c r="B37" s="653"/>
      <c r="C37" s="653"/>
      <c r="D37" s="653"/>
      <c r="E37" s="158"/>
      <c r="F37" s="158"/>
      <c r="G37" s="158"/>
      <c r="H37" s="158"/>
      <c r="I37" s="161"/>
      <c r="J37" s="667"/>
      <c r="K37" s="667"/>
      <c r="L37" s="667"/>
      <c r="M37" s="667"/>
      <c r="N37" s="667"/>
      <c r="O37" s="667"/>
      <c r="P37" s="667"/>
      <c r="Q37" s="169"/>
      <c r="R37" s="169"/>
      <c r="S37" s="169"/>
      <c r="T37" s="676"/>
      <c r="U37" s="676"/>
      <c r="V37" s="676"/>
      <c r="W37" s="676"/>
    </row>
    <row r="38" spans="1:23" s="75" customFormat="1" ht="12" x14ac:dyDescent="0.2">
      <c r="A38" s="647"/>
      <c r="B38" s="652"/>
      <c r="C38" s="652"/>
      <c r="D38" s="652"/>
      <c r="E38" s="156"/>
      <c r="F38" s="156"/>
      <c r="G38" s="156"/>
      <c r="H38" s="156"/>
      <c r="I38" s="160"/>
      <c r="J38" s="165"/>
      <c r="K38" s="156"/>
      <c r="L38" s="156"/>
      <c r="M38" s="156"/>
      <c r="N38" s="166"/>
      <c r="O38" s="166"/>
      <c r="Q38" s="166"/>
      <c r="R38" s="166"/>
      <c r="S38" s="166"/>
    </row>
    <row r="39" spans="1:23" s="69" customFormat="1" ht="12.75" customHeight="1" x14ac:dyDescent="0.2">
      <c r="A39" s="647"/>
      <c r="B39" s="653"/>
      <c r="C39" s="653"/>
      <c r="D39" s="653"/>
      <c r="E39" s="158"/>
      <c r="F39" s="158"/>
      <c r="G39" s="158"/>
      <c r="H39" s="72"/>
      <c r="I39" s="160"/>
      <c r="J39" s="667"/>
      <c r="K39" s="667"/>
      <c r="L39" s="667"/>
      <c r="M39" s="667"/>
      <c r="N39" s="667"/>
      <c r="O39" s="667"/>
      <c r="P39" s="667"/>
      <c r="Q39" s="170"/>
      <c r="R39" s="170"/>
      <c r="S39" s="170"/>
    </row>
    <row r="40" spans="1:23" s="69" customFormat="1" ht="12.75" customHeight="1" x14ac:dyDescent="0.2">
      <c r="A40" s="647"/>
      <c r="B40" s="652"/>
      <c r="C40" s="652"/>
      <c r="D40" s="652"/>
      <c r="E40" s="156"/>
      <c r="F40" s="156"/>
      <c r="G40" s="156"/>
      <c r="H40" s="156"/>
      <c r="I40" s="68"/>
      <c r="J40" s="669"/>
      <c r="K40" s="669"/>
      <c r="L40" s="669"/>
      <c r="M40" s="669"/>
      <c r="N40" s="669"/>
      <c r="O40" s="669"/>
      <c r="P40" s="669"/>
      <c r="Q40" s="171"/>
      <c r="R40" s="171"/>
      <c r="S40" s="171"/>
    </row>
    <row r="41" spans="1:23" s="69" customFormat="1" ht="13.5" customHeight="1" x14ac:dyDescent="0.25">
      <c r="A41" s="647"/>
      <c r="B41" s="653"/>
      <c r="C41" s="653"/>
      <c r="D41" s="653"/>
      <c r="E41" s="158"/>
      <c r="F41" s="158"/>
      <c r="G41" s="158"/>
      <c r="H41" s="72"/>
      <c r="I41" s="152"/>
      <c r="J41" s="168"/>
      <c r="K41" s="158"/>
      <c r="L41" s="72"/>
      <c r="M41" s="72"/>
      <c r="O41" s="172"/>
    </row>
    <row r="42" spans="1:23" s="69" customFormat="1" ht="13.5" customHeight="1" x14ac:dyDescent="0.25">
      <c r="A42" s="647"/>
      <c r="B42" s="652"/>
      <c r="C42" s="652"/>
      <c r="D42" s="652"/>
      <c r="E42" s="156"/>
      <c r="F42" s="156"/>
      <c r="G42" s="156"/>
      <c r="H42" s="156"/>
      <c r="I42" s="152"/>
      <c r="J42" s="667"/>
      <c r="K42" s="667"/>
      <c r="L42" s="667"/>
      <c r="M42" s="667"/>
      <c r="N42" s="667"/>
      <c r="O42" s="667"/>
      <c r="P42" s="667"/>
      <c r="Q42" s="170"/>
      <c r="R42" s="170"/>
      <c r="S42" s="170"/>
    </row>
    <row r="43" spans="1:23" s="69" customFormat="1" ht="13.5" customHeight="1" x14ac:dyDescent="0.2">
      <c r="A43" s="647"/>
      <c r="B43" s="655"/>
      <c r="C43" s="655"/>
      <c r="D43" s="655"/>
      <c r="E43" s="149"/>
      <c r="F43" s="149"/>
      <c r="G43" s="149"/>
      <c r="H43" s="149"/>
      <c r="I43" s="68"/>
      <c r="J43" s="669"/>
      <c r="K43" s="669"/>
      <c r="L43" s="669"/>
      <c r="M43" s="669"/>
      <c r="N43" s="669"/>
      <c r="O43" s="669"/>
      <c r="P43" s="669"/>
      <c r="Q43" s="171"/>
      <c r="R43" s="171"/>
      <c r="S43" s="171"/>
    </row>
    <row r="44" spans="1:23" s="69" customFormat="1" ht="13.5" customHeight="1" x14ac:dyDescent="0.2">
      <c r="A44" s="647"/>
      <c r="B44" s="656"/>
      <c r="C44" s="656"/>
      <c r="D44" s="656"/>
      <c r="E44" s="149"/>
      <c r="F44" s="149"/>
      <c r="G44" s="149"/>
      <c r="H44" s="149"/>
      <c r="I44" s="68"/>
      <c r="J44" s="168"/>
      <c r="K44" s="156"/>
      <c r="L44" s="156"/>
      <c r="M44" s="156"/>
    </row>
    <row r="45" spans="1:23" s="69" customFormat="1" ht="25.5" customHeight="1" x14ac:dyDescent="0.2">
      <c r="A45" s="647"/>
      <c r="B45" s="668"/>
      <c r="C45" s="668"/>
      <c r="D45" s="668"/>
      <c r="E45" s="72"/>
      <c r="F45" s="72"/>
      <c r="G45" s="72"/>
      <c r="H45" s="72"/>
      <c r="I45" s="68"/>
      <c r="J45" s="168"/>
      <c r="K45" s="158"/>
      <c r="L45" s="158"/>
      <c r="M45" s="72"/>
    </row>
    <row r="46" spans="1:23" s="69" customFormat="1" ht="15.75" customHeight="1" x14ac:dyDescent="0.2">
      <c r="A46" s="647"/>
      <c r="B46" s="652"/>
      <c r="C46" s="652"/>
      <c r="D46" s="652"/>
      <c r="E46" s="156"/>
      <c r="F46" s="156"/>
      <c r="G46" s="156"/>
      <c r="H46" s="156"/>
      <c r="I46" s="68"/>
      <c r="J46" s="168"/>
      <c r="K46" s="680"/>
      <c r="L46" s="680"/>
      <c r="M46" s="680"/>
      <c r="N46" s="680"/>
      <c r="O46" s="680"/>
    </row>
    <row r="47" spans="1:23" s="69" customFormat="1" ht="13.5" customHeight="1" x14ac:dyDescent="0.2">
      <c r="A47" s="647"/>
      <c r="B47" s="679"/>
      <c r="C47" s="679"/>
      <c r="D47" s="679"/>
      <c r="E47" s="149"/>
      <c r="F47" s="149"/>
      <c r="G47" s="149"/>
      <c r="H47" s="149"/>
      <c r="I47" s="68"/>
      <c r="J47" s="168"/>
      <c r="K47" s="158"/>
      <c r="L47" s="158"/>
      <c r="M47" s="72"/>
      <c r="N47" s="670"/>
      <c r="O47" s="670"/>
    </row>
    <row r="48" spans="1:23" s="69" customFormat="1" ht="13.5" customHeight="1" x14ac:dyDescent="0.2">
      <c r="A48" s="647"/>
      <c r="B48" s="654"/>
      <c r="C48" s="654"/>
      <c r="D48" s="654"/>
      <c r="E48" s="72"/>
      <c r="F48" s="72"/>
      <c r="G48" s="72"/>
      <c r="H48" s="72"/>
      <c r="I48" s="68"/>
      <c r="J48" s="168"/>
      <c r="K48" s="173"/>
      <c r="L48" s="156"/>
      <c r="M48" s="156"/>
    </row>
    <row r="49" spans="1:16" s="69" customFormat="1" ht="12.75" customHeight="1" x14ac:dyDescent="0.2">
      <c r="A49" s="647"/>
      <c r="B49" s="652"/>
      <c r="C49" s="652"/>
      <c r="D49" s="652"/>
      <c r="E49" s="156"/>
      <c r="F49" s="156"/>
      <c r="G49" s="156"/>
      <c r="H49" s="156"/>
      <c r="I49" s="68"/>
      <c r="J49" s="168"/>
      <c r="K49" s="174"/>
      <c r="L49" s="175"/>
      <c r="M49" s="176"/>
      <c r="N49" s="678"/>
      <c r="O49" s="678"/>
    </row>
    <row r="50" spans="1:16" s="69" customFormat="1" ht="12.75" customHeight="1" x14ac:dyDescent="0.2">
      <c r="A50" s="647"/>
      <c r="B50" s="654"/>
      <c r="C50" s="654"/>
      <c r="D50" s="654"/>
      <c r="E50" s="72"/>
      <c r="F50" s="72"/>
      <c r="G50" s="72"/>
      <c r="H50" s="72"/>
      <c r="I50" s="68"/>
      <c r="J50" s="168"/>
      <c r="K50" s="174"/>
      <c r="L50" s="177"/>
      <c r="M50" s="178"/>
      <c r="N50" s="678"/>
      <c r="O50" s="678"/>
    </row>
    <row r="51" spans="1:16" s="76" customFormat="1" ht="30.75" customHeight="1" x14ac:dyDescent="0.2">
      <c r="A51" s="647"/>
      <c r="B51" s="652"/>
      <c r="C51" s="652"/>
      <c r="D51" s="652"/>
      <c r="E51" s="156"/>
      <c r="F51" s="156"/>
      <c r="G51" s="156"/>
      <c r="H51" s="156"/>
      <c r="I51" s="161"/>
      <c r="J51" s="179"/>
      <c r="K51" s="180"/>
      <c r="L51" s="181"/>
      <c r="M51" s="181"/>
      <c r="N51" s="678"/>
      <c r="O51" s="678"/>
    </row>
    <row r="52" spans="1:16" s="76" customFormat="1" x14ac:dyDescent="0.2">
      <c r="A52" s="647"/>
      <c r="B52" s="654"/>
      <c r="C52" s="654"/>
      <c r="D52" s="654"/>
      <c r="E52" s="72"/>
      <c r="F52" s="72"/>
      <c r="G52" s="72"/>
      <c r="H52" s="72"/>
      <c r="I52" s="161"/>
      <c r="J52" s="179"/>
      <c r="K52" s="180"/>
      <c r="L52" s="181"/>
      <c r="M52" s="181"/>
      <c r="N52" s="678"/>
      <c r="O52" s="678"/>
    </row>
    <row r="53" spans="1:16" s="76" customFormat="1" ht="28.5" customHeight="1" x14ac:dyDescent="0.2">
      <c r="A53" s="647"/>
      <c r="B53" s="652"/>
      <c r="C53" s="652"/>
      <c r="D53" s="652"/>
      <c r="E53" s="156"/>
      <c r="F53" s="156"/>
      <c r="G53" s="156"/>
      <c r="H53" s="156"/>
      <c r="I53" s="161"/>
      <c r="J53" s="179"/>
      <c r="K53" s="180"/>
      <c r="L53" s="181"/>
      <c r="M53" s="181"/>
      <c r="N53" s="678"/>
      <c r="O53" s="678"/>
    </row>
    <row r="54" spans="1:16" s="76" customFormat="1" x14ac:dyDescent="0.2">
      <c r="A54" s="647"/>
      <c r="B54" s="654"/>
      <c r="C54" s="654"/>
      <c r="D54" s="654"/>
      <c r="E54" s="72"/>
      <c r="F54" s="72"/>
      <c r="G54" s="72"/>
      <c r="H54" s="72"/>
      <c r="I54" s="161"/>
      <c r="J54" s="179"/>
      <c r="K54" s="156"/>
      <c r="L54" s="182"/>
      <c r="M54" s="182"/>
      <c r="N54" s="678"/>
      <c r="O54" s="678"/>
    </row>
    <row r="55" spans="1:16" ht="27" customHeight="1" x14ac:dyDescent="0.2">
      <c r="A55" s="647"/>
      <c r="B55" s="652"/>
      <c r="C55" s="652"/>
      <c r="D55" s="652"/>
      <c r="E55" s="156"/>
      <c r="F55" s="156"/>
      <c r="G55" s="156"/>
      <c r="H55" s="156"/>
      <c r="I55" s="154"/>
      <c r="J55" s="183"/>
      <c r="K55" s="149"/>
      <c r="L55" s="181"/>
      <c r="M55" s="181"/>
      <c r="N55" s="678"/>
      <c r="O55" s="678"/>
    </row>
    <row r="56" spans="1:16" ht="13.5" customHeight="1" x14ac:dyDescent="0.2">
      <c r="A56" s="647"/>
      <c r="B56" s="656"/>
      <c r="C56" s="656"/>
      <c r="D56" s="656"/>
      <c r="E56" s="149"/>
      <c r="F56" s="149"/>
      <c r="G56" s="149"/>
      <c r="H56" s="149"/>
      <c r="I56" s="154"/>
      <c r="J56" s="183"/>
      <c r="K56" s="180"/>
      <c r="L56" s="181"/>
      <c r="M56" s="181"/>
      <c r="N56" s="678"/>
      <c r="O56" s="678"/>
    </row>
    <row r="57" spans="1:16" s="75" customFormat="1" x14ac:dyDescent="0.2">
      <c r="A57" s="647"/>
      <c r="B57" s="654"/>
      <c r="C57" s="654"/>
      <c r="D57" s="654"/>
      <c r="E57" s="72"/>
      <c r="F57" s="72"/>
      <c r="G57" s="72"/>
      <c r="H57" s="72"/>
      <c r="I57" s="160"/>
      <c r="J57" s="165"/>
      <c r="K57" s="174"/>
      <c r="L57" s="182"/>
      <c r="M57" s="182"/>
      <c r="N57" s="678"/>
      <c r="O57" s="678"/>
      <c r="P57" s="166"/>
    </row>
    <row r="58" spans="1:16" ht="13.5" customHeight="1" x14ac:dyDescent="0.2">
      <c r="A58" s="647"/>
      <c r="B58" s="652"/>
      <c r="C58" s="652"/>
      <c r="D58" s="652"/>
      <c r="E58" s="156"/>
      <c r="F58" s="156"/>
      <c r="G58" s="156"/>
      <c r="H58" s="156"/>
      <c r="I58" s="154"/>
      <c r="J58" s="183"/>
      <c r="K58" s="180"/>
      <c r="L58" s="181"/>
      <c r="M58" s="181"/>
      <c r="N58" s="678"/>
      <c r="O58" s="678"/>
    </row>
    <row r="59" spans="1:16" s="75" customFormat="1" x14ac:dyDescent="0.2">
      <c r="A59" s="647"/>
      <c r="B59" s="654"/>
      <c r="C59" s="654"/>
      <c r="D59" s="654"/>
      <c r="E59" s="72"/>
      <c r="F59" s="72"/>
      <c r="G59" s="72"/>
      <c r="H59" s="72"/>
      <c r="I59" s="160"/>
      <c r="J59" s="165"/>
      <c r="K59" s="174"/>
      <c r="L59" s="182"/>
      <c r="M59" s="182"/>
      <c r="N59" s="678"/>
      <c r="O59" s="678"/>
      <c r="P59" s="166"/>
    </row>
    <row r="60" spans="1:16" ht="13.5" customHeight="1" x14ac:dyDescent="0.2">
      <c r="A60" s="647"/>
      <c r="B60" s="652"/>
      <c r="C60" s="652"/>
      <c r="D60" s="652"/>
      <c r="E60" s="156"/>
      <c r="F60" s="156"/>
      <c r="G60" s="156"/>
      <c r="H60" s="156"/>
      <c r="I60" s="154"/>
      <c r="J60" s="183"/>
      <c r="K60" s="180"/>
      <c r="L60" s="181"/>
      <c r="M60" s="181"/>
      <c r="N60" s="678"/>
      <c r="O60" s="678"/>
    </row>
    <row r="61" spans="1:16" s="75" customFormat="1" x14ac:dyDescent="0.2">
      <c r="A61" s="647"/>
      <c r="B61" s="654"/>
      <c r="C61" s="654"/>
      <c r="D61" s="654"/>
      <c r="E61" s="72"/>
      <c r="F61" s="72"/>
      <c r="G61" s="72"/>
      <c r="H61" s="72"/>
      <c r="I61" s="160"/>
      <c r="J61" s="165"/>
      <c r="K61" s="174"/>
      <c r="L61" s="182"/>
      <c r="M61" s="182"/>
      <c r="N61" s="678"/>
      <c r="O61" s="678"/>
      <c r="P61" s="166"/>
    </row>
    <row r="62" spans="1:16" ht="13.5" customHeight="1" x14ac:dyDescent="0.2">
      <c r="A62" s="647"/>
      <c r="B62" s="652"/>
      <c r="C62" s="652"/>
      <c r="D62" s="652"/>
      <c r="E62" s="156"/>
      <c r="F62" s="156"/>
      <c r="G62" s="156"/>
      <c r="H62" s="156"/>
      <c r="I62" s="154"/>
      <c r="J62" s="183"/>
      <c r="K62" s="72"/>
      <c r="L62" s="72"/>
      <c r="M62" s="72"/>
    </row>
    <row r="63" spans="1:16" s="75" customFormat="1" x14ac:dyDescent="0.2">
      <c r="A63" s="647"/>
      <c r="B63" s="654"/>
      <c r="C63" s="654"/>
      <c r="D63" s="654"/>
      <c r="E63" s="72"/>
      <c r="F63" s="72"/>
      <c r="G63" s="72"/>
      <c r="H63" s="72"/>
      <c r="I63" s="160"/>
      <c r="J63" s="165"/>
      <c r="K63" s="156"/>
      <c r="L63" s="156"/>
      <c r="M63" s="156"/>
      <c r="N63" s="166"/>
      <c r="O63" s="166"/>
      <c r="P63" s="166"/>
    </row>
    <row r="64" spans="1:16" s="76" customFormat="1" ht="13.5" customHeight="1" x14ac:dyDescent="0.2">
      <c r="A64" s="647"/>
      <c r="B64" s="656"/>
      <c r="C64" s="656"/>
      <c r="D64" s="656"/>
      <c r="E64" s="149"/>
      <c r="F64" s="149"/>
      <c r="G64" s="149"/>
      <c r="H64" s="149"/>
      <c r="I64" s="161"/>
      <c r="J64" s="179"/>
      <c r="K64" s="149"/>
      <c r="L64" s="149"/>
      <c r="M64" s="149"/>
    </row>
    <row r="65" spans="1:16" ht="29.25" customHeight="1" x14ac:dyDescent="0.2">
      <c r="A65" s="647"/>
      <c r="B65" s="654"/>
      <c r="C65" s="654"/>
      <c r="D65" s="654"/>
      <c r="E65" s="72"/>
      <c r="F65" s="72"/>
      <c r="G65" s="72"/>
      <c r="H65" s="72"/>
      <c r="I65" s="154"/>
      <c r="J65" s="183"/>
      <c r="K65" s="72"/>
      <c r="L65" s="72"/>
      <c r="M65" s="72"/>
    </row>
    <row r="66" spans="1:16" s="75" customFormat="1" ht="12" x14ac:dyDescent="0.2">
      <c r="A66" s="647"/>
      <c r="B66" s="652"/>
      <c r="C66" s="652"/>
      <c r="D66" s="652"/>
      <c r="E66" s="156"/>
      <c r="F66" s="156"/>
      <c r="G66" s="156"/>
      <c r="H66" s="156"/>
      <c r="I66" s="160"/>
      <c r="J66" s="165"/>
      <c r="K66" s="156"/>
      <c r="L66" s="156"/>
      <c r="M66" s="156"/>
      <c r="N66" s="166"/>
      <c r="O66" s="166"/>
      <c r="P66" s="166"/>
    </row>
    <row r="67" spans="1:16" ht="17.25" customHeight="1" x14ac:dyDescent="0.2">
      <c r="A67" s="647"/>
      <c r="B67" s="656"/>
      <c r="C67" s="656"/>
      <c r="D67" s="656"/>
      <c r="E67" s="149"/>
      <c r="F67" s="149"/>
      <c r="G67" s="149"/>
      <c r="H67" s="149"/>
      <c r="I67" s="154"/>
      <c r="J67" s="183"/>
      <c r="K67" s="72"/>
      <c r="L67" s="72"/>
      <c r="M67" s="72"/>
    </row>
    <row r="68" spans="1:16" s="75" customFormat="1" x14ac:dyDescent="0.2">
      <c r="A68" s="647"/>
      <c r="B68" s="654"/>
      <c r="C68" s="654"/>
      <c r="D68" s="654"/>
      <c r="E68" s="72"/>
      <c r="F68" s="72"/>
      <c r="G68" s="72"/>
      <c r="H68" s="72"/>
      <c r="I68" s="160"/>
      <c r="J68" s="165"/>
      <c r="K68" s="156"/>
      <c r="L68" s="156"/>
      <c r="M68" s="156"/>
      <c r="N68" s="166"/>
      <c r="O68" s="184"/>
      <c r="P68" s="166"/>
    </row>
    <row r="69" spans="1:16" ht="41.25" customHeight="1" x14ac:dyDescent="0.2">
      <c r="A69" s="647"/>
      <c r="B69" s="652"/>
      <c r="C69" s="652"/>
      <c r="D69" s="652"/>
      <c r="E69" s="156"/>
      <c r="F69" s="156"/>
      <c r="G69" s="156"/>
      <c r="H69" s="156"/>
      <c r="I69" s="154"/>
      <c r="J69" s="183"/>
      <c r="K69" s="72"/>
      <c r="L69" s="72"/>
      <c r="M69" s="72"/>
    </row>
    <row r="70" spans="1:16" s="75" customFormat="1" x14ac:dyDescent="0.2">
      <c r="A70" s="647"/>
      <c r="B70" s="654"/>
      <c r="C70" s="654"/>
      <c r="D70" s="654"/>
      <c r="E70" s="72"/>
      <c r="F70" s="72"/>
      <c r="G70" s="72"/>
      <c r="H70" s="72"/>
      <c r="I70" s="160"/>
      <c r="J70" s="165"/>
      <c r="K70" s="156"/>
      <c r="L70" s="156"/>
      <c r="M70" s="156"/>
      <c r="N70" s="166"/>
      <c r="O70" s="166"/>
      <c r="P70" s="166"/>
    </row>
    <row r="71" spans="1:16" ht="27.75" customHeight="1" x14ac:dyDescent="0.2">
      <c r="A71" s="647"/>
      <c r="B71" s="652"/>
      <c r="C71" s="652"/>
      <c r="D71" s="652"/>
      <c r="E71" s="156"/>
      <c r="F71" s="156"/>
      <c r="G71" s="156"/>
      <c r="H71" s="156"/>
      <c r="I71" s="154"/>
      <c r="J71" s="183"/>
      <c r="K71" s="72"/>
      <c r="L71" s="72"/>
      <c r="M71" s="72"/>
    </row>
    <row r="72" spans="1:16" s="75" customFormat="1" x14ac:dyDescent="0.2">
      <c r="A72" s="647"/>
      <c r="B72" s="654"/>
      <c r="C72" s="654"/>
      <c r="D72" s="654"/>
      <c r="E72" s="72"/>
      <c r="F72" s="72"/>
      <c r="G72" s="72"/>
      <c r="H72" s="72"/>
      <c r="I72" s="160"/>
      <c r="J72" s="165"/>
      <c r="K72" s="156"/>
      <c r="L72" s="156"/>
      <c r="M72" s="156"/>
      <c r="N72" s="166"/>
      <c r="O72" s="166"/>
      <c r="P72" s="166"/>
    </row>
    <row r="73" spans="1:16" ht="27.75" customHeight="1" x14ac:dyDescent="0.2">
      <c r="A73" s="647"/>
      <c r="B73" s="652"/>
      <c r="C73" s="652"/>
      <c r="D73" s="652"/>
      <c r="E73" s="156"/>
      <c r="F73" s="156"/>
      <c r="G73" s="156"/>
      <c r="H73" s="156"/>
      <c r="I73" s="154"/>
      <c r="J73" s="183"/>
      <c r="K73" s="72"/>
      <c r="L73" s="72"/>
      <c r="M73" s="72"/>
    </row>
    <row r="75" spans="1:16" x14ac:dyDescent="0.2">
      <c r="D75" s="60"/>
      <c r="G75" s="60"/>
      <c r="I75" s="60"/>
    </row>
    <row r="76" spans="1:16" x14ac:dyDescent="0.2">
      <c r="I76" s="60"/>
    </row>
    <row r="77" spans="1:16" x14ac:dyDescent="0.2">
      <c r="E77" s="60"/>
      <c r="F77" s="60"/>
      <c r="I77" s="69"/>
    </row>
    <row r="78" spans="1:16" x14ac:dyDescent="0.2">
      <c r="I78" s="69"/>
    </row>
    <row r="79" spans="1:16" x14ac:dyDescent="0.2">
      <c r="I79" s="69"/>
    </row>
    <row r="80" spans="1:16" x14ac:dyDescent="0.2">
      <c r="I80" s="69"/>
    </row>
    <row r="82" spans="6:6" x14ac:dyDescent="0.2">
      <c r="F82" s="60"/>
    </row>
    <row r="84" spans="6:6" x14ac:dyDescent="0.2">
      <c r="F84" s="60"/>
    </row>
  </sheetData>
  <mergeCells count="104">
    <mergeCell ref="N61:O61"/>
    <mergeCell ref="N51:O51"/>
    <mergeCell ref="N50:O50"/>
    <mergeCell ref="N49:O49"/>
    <mergeCell ref="K46:O46"/>
    <mergeCell ref="N57:O57"/>
    <mergeCell ref="N58:O58"/>
    <mergeCell ref="N59:O59"/>
    <mergeCell ref="N60:O60"/>
    <mergeCell ref="B72:D72"/>
    <mergeCell ref="B73:D73"/>
    <mergeCell ref="B65:D65"/>
    <mergeCell ref="B66:D66"/>
    <mergeCell ref="B67:D67"/>
    <mergeCell ref="B68:D68"/>
    <mergeCell ref="B69:D69"/>
    <mergeCell ref="B70:D70"/>
    <mergeCell ref="J17:N18"/>
    <mergeCell ref="B55:D55"/>
    <mergeCell ref="B56:D56"/>
    <mergeCell ref="B57:D57"/>
    <mergeCell ref="B61:D61"/>
    <mergeCell ref="B62:D62"/>
    <mergeCell ref="B63:D63"/>
    <mergeCell ref="B71:D71"/>
    <mergeCell ref="B22:D22"/>
    <mergeCell ref="N56:O56"/>
    <mergeCell ref="N55:O55"/>
    <mergeCell ref="N54:O54"/>
    <mergeCell ref="N53:O53"/>
    <mergeCell ref="N52:O52"/>
    <mergeCell ref="B47:D47"/>
    <mergeCell ref="B35:D35"/>
    <mergeCell ref="S10:W15"/>
    <mergeCell ref="B11:D11"/>
    <mergeCell ref="B12:D12"/>
    <mergeCell ref="B13:D13"/>
    <mergeCell ref="B14:D14"/>
    <mergeCell ref="J14:N15"/>
    <mergeCell ref="P14:R15"/>
    <mergeCell ref="B15:D15"/>
    <mergeCell ref="T31:W37"/>
    <mergeCell ref="B24:D24"/>
    <mergeCell ref="B25:D25"/>
    <mergeCell ref="B26:D26"/>
    <mergeCell ref="B27:D27"/>
    <mergeCell ref="B28:D28"/>
    <mergeCell ref="J29:P29"/>
    <mergeCell ref="P17:R18"/>
    <mergeCell ref="J37:P37"/>
    <mergeCell ref="B30:D30"/>
    <mergeCell ref="B31:D31"/>
    <mergeCell ref="B36:D36"/>
    <mergeCell ref="B37:D37"/>
    <mergeCell ref="J30:P30"/>
    <mergeCell ref="J39:P39"/>
    <mergeCell ref="B45:D45"/>
    <mergeCell ref="B48:D48"/>
    <mergeCell ref="B49:D49"/>
    <mergeCell ref="B60:D60"/>
    <mergeCell ref="B50:D50"/>
    <mergeCell ref="B51:D51"/>
    <mergeCell ref="B52:D52"/>
    <mergeCell ref="B53:D53"/>
    <mergeCell ref="B46:D46"/>
    <mergeCell ref="J43:P43"/>
    <mergeCell ref="J40:P40"/>
    <mergeCell ref="J42:P42"/>
    <mergeCell ref="N47:O47"/>
    <mergeCell ref="B2:H2"/>
    <mergeCell ref="B4:C4"/>
    <mergeCell ref="D4:G4"/>
    <mergeCell ref="B5:C5"/>
    <mergeCell ref="D5:H5"/>
    <mergeCell ref="J10:N12"/>
    <mergeCell ref="B23:D23"/>
    <mergeCell ref="J31:P31"/>
    <mergeCell ref="B29:D29"/>
    <mergeCell ref="P10:R12"/>
    <mergeCell ref="K25:N25"/>
    <mergeCell ref="A8:A73"/>
    <mergeCell ref="B8:D8"/>
    <mergeCell ref="B9:D9"/>
    <mergeCell ref="B10:D10"/>
    <mergeCell ref="B16:D16"/>
    <mergeCell ref="B32:D32"/>
    <mergeCell ref="B42:D42"/>
    <mergeCell ref="B33:D33"/>
    <mergeCell ref="B34:D34"/>
    <mergeCell ref="B38:D38"/>
    <mergeCell ref="B39:D39"/>
    <mergeCell ref="B40:D40"/>
    <mergeCell ref="B41:D41"/>
    <mergeCell ref="B54:D54"/>
    <mergeCell ref="B43:D43"/>
    <mergeCell ref="B44:D44"/>
    <mergeCell ref="B58:D58"/>
    <mergeCell ref="B59:D59"/>
    <mergeCell ref="B17:D17"/>
    <mergeCell ref="B18:D18"/>
    <mergeCell ref="B19:D19"/>
    <mergeCell ref="B20:D20"/>
    <mergeCell ref="B21:D21"/>
    <mergeCell ref="B64:D64"/>
  </mergeCells>
  <phoneticPr fontId="73" type="noConversion"/>
  <dataValidations count="3">
    <dataValidation type="whole" errorStyle="information" allowBlank="1" showInputMessage="1" showErrorMessage="1" error="Jāievada skaitlis" sqref="E10:H10" xr:uid="{54316FD0-20E5-4189-897B-1E7854C65D37}">
      <formula1>-1000000000000</formula1>
      <formula2>1000000000000</formula2>
    </dataValidation>
    <dataValidation errorStyle="information" allowBlank="1" showInputMessage="1" showErrorMessage="1" sqref="D5:H5" xr:uid="{BB2C0110-A120-42ED-9266-39010BEFEDDC}"/>
    <dataValidation type="whole" errorStyle="information" allowBlank="1" showInputMessage="1" showErrorMessage="1" error="Jāievada skaitlis" sqref="J10 Q26:S26 L26:M27 K28:L28 J29:J30 K32:M38 K41:M41 J40 J43 K44:K73 L44:M45 L47:M48 L19:M24 J14 K16:M16 K19:K27 J17 L50:M73 E11:H73" xr:uid="{94CBB079-0E11-4735-93FD-8B968249178E}">
      <formula1>-100000000000000</formula1>
      <formula2>100000000000000</formula2>
    </dataValidation>
  </dataValidations>
  <pageMargins left="0.70866141732283472" right="0.70866141732283472" top="0.74803149606299213" bottom="0.74803149606299213" header="0.31496062992125984" footer="0.31496062992125984"/>
  <pageSetup paperSize="9" scale="65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 error="iespējama kļūda" prompt="Izvēlieties no saraksta iestādi" xr:uid="{43CE8B08-63A3-429A-9006-DB78BFCF9E1A}">
          <x14:formula1>
            <xm:f>'\\vnozare.pri\vm\Redirect_profiles\VM_Sandra_Kasparenko\My Documents\Budzets_2019\Budzeta_projekts\Prioritarie_pasakumi_2019-2021\[VMvestp1_xx0818_PP_2019-2021 PROJ.xlsx]Šabloni'!#REF!</xm:f>
          </x14:formula1>
          <xm:sqref>D4:G4 K4:L4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C4D5B-896F-48CF-8336-1E389F70A7E9}">
  <sheetPr>
    <tabColor theme="5" tint="0.59999389629810485"/>
  </sheetPr>
  <dimension ref="A1:J48"/>
  <sheetViews>
    <sheetView tabSelected="1" zoomScaleNormal="100" workbookViewId="0">
      <pane ySplit="5" topLeftCell="A6" activePane="bottomLeft" state="frozen"/>
      <selection pane="bottomLeft" activeCell="C14" sqref="C14"/>
    </sheetView>
  </sheetViews>
  <sheetFormatPr defaultColWidth="9.140625" defaultRowHeight="15" x14ac:dyDescent="0.25"/>
  <cols>
    <col min="1" max="1" width="37.28515625" style="109" customWidth="1"/>
    <col min="2" max="2" width="25.28515625" style="110" customWidth="1"/>
    <col min="3" max="3" width="22.28515625" style="110" customWidth="1"/>
    <col min="4" max="4" width="15.42578125" style="110" customWidth="1"/>
    <col min="5" max="5" width="13.28515625" style="110" customWidth="1"/>
    <col min="6" max="6" width="11.7109375" style="110" customWidth="1"/>
    <col min="7" max="7" width="12.28515625" style="110" customWidth="1"/>
    <col min="8" max="8" width="10.85546875" style="110" bestFit="1" customWidth="1"/>
    <col min="9" max="10" width="9.140625" style="110"/>
    <col min="11" max="16384" width="9.140625" style="109"/>
  </cols>
  <sheetData>
    <row r="1" spans="1:10" x14ac:dyDescent="0.25">
      <c r="B1" s="111"/>
      <c r="C1" s="309" t="s">
        <v>513</v>
      </c>
    </row>
    <row r="2" spans="1:10" ht="34.5" customHeight="1" x14ac:dyDescent="0.25">
      <c r="A2" s="681" t="s">
        <v>512</v>
      </c>
      <c r="B2" s="681"/>
      <c r="C2" s="681"/>
    </row>
    <row r="3" spans="1:10" ht="15.75" x14ac:dyDescent="0.25">
      <c r="A3" s="138"/>
      <c r="B3" s="138"/>
      <c r="C3" s="138"/>
    </row>
    <row r="4" spans="1:10" ht="96" customHeight="1" x14ac:dyDescent="0.25">
      <c r="A4" s="373" t="s">
        <v>205</v>
      </c>
      <c r="B4" s="376" t="s">
        <v>511</v>
      </c>
      <c r="J4" s="109"/>
    </row>
    <row r="5" spans="1:10" s="137" customFormat="1" ht="20.25" customHeight="1" x14ac:dyDescent="0.25">
      <c r="A5" s="645" t="s">
        <v>198</v>
      </c>
      <c r="B5" s="377">
        <f>B6+B30</f>
        <v>63484386</v>
      </c>
      <c r="C5" s="112"/>
      <c r="D5" s="112"/>
      <c r="E5" s="112"/>
      <c r="F5" s="112"/>
      <c r="G5" s="112"/>
      <c r="H5" s="112"/>
      <c r="I5" s="112"/>
    </row>
    <row r="6" spans="1:10" s="137" customFormat="1" ht="14.25" x14ac:dyDescent="0.25">
      <c r="A6" s="372" t="s">
        <v>115</v>
      </c>
      <c r="B6" s="378">
        <f>B7+B9+B11+B13+B15+B17+B19+B21+B24+B26+B28</f>
        <v>62100311</v>
      </c>
      <c r="D6" s="112"/>
      <c r="E6" s="112"/>
      <c r="F6" s="112"/>
      <c r="G6" s="112"/>
      <c r="H6" s="112"/>
      <c r="I6" s="112"/>
    </row>
    <row r="7" spans="1:10" x14ac:dyDescent="0.25">
      <c r="A7" s="373" t="s">
        <v>206</v>
      </c>
      <c r="B7" s="376">
        <f>B8</f>
        <v>3559713</v>
      </c>
      <c r="J7" s="109"/>
    </row>
    <row r="8" spans="1:10" s="114" customFormat="1" x14ac:dyDescent="0.25">
      <c r="A8" s="374" t="s">
        <v>207</v>
      </c>
      <c r="B8" s="379">
        <f>'rezidenti_fin (valsts_apmaks)'!M19+'rezidenti_fin (maksas)'!K22</f>
        <v>3559713</v>
      </c>
      <c r="C8" s="110"/>
      <c r="D8" s="113"/>
      <c r="E8" s="113"/>
      <c r="F8" s="113"/>
      <c r="G8" s="113"/>
      <c r="H8" s="113"/>
      <c r="I8" s="113"/>
    </row>
    <row r="9" spans="1:10" s="114" customFormat="1" x14ac:dyDescent="0.25">
      <c r="A9" s="373" t="s">
        <v>509</v>
      </c>
      <c r="B9" s="376">
        <f>B10</f>
        <v>7823</v>
      </c>
      <c r="C9" s="110"/>
      <c r="D9" s="113"/>
      <c r="E9" s="113"/>
      <c r="F9" s="113"/>
      <c r="G9" s="113"/>
      <c r="H9" s="113"/>
      <c r="I9" s="113"/>
    </row>
    <row r="10" spans="1:10" s="114" customFormat="1" x14ac:dyDescent="0.25">
      <c r="A10" s="374" t="s">
        <v>209</v>
      </c>
      <c r="B10" s="380">
        <f>'caur tarifiem'!E35</f>
        <v>7823</v>
      </c>
      <c r="C10" s="110"/>
      <c r="D10" s="113"/>
      <c r="E10" s="113"/>
      <c r="F10" s="113"/>
      <c r="G10" s="113"/>
      <c r="H10" s="113"/>
      <c r="I10" s="113"/>
    </row>
    <row r="11" spans="1:10" ht="30" x14ac:dyDescent="0.25">
      <c r="A11" s="373" t="s">
        <v>208</v>
      </c>
      <c r="B11" s="376">
        <f>B12</f>
        <v>8446369</v>
      </c>
      <c r="F11" s="139"/>
      <c r="G11" s="139"/>
      <c r="J11" s="109"/>
    </row>
    <row r="12" spans="1:10" s="117" customFormat="1" x14ac:dyDescent="0.25">
      <c r="A12" s="374" t="s">
        <v>209</v>
      </c>
      <c r="B12" s="380">
        <f>'caur tarifiem'!E36</f>
        <v>8446369</v>
      </c>
      <c r="C12" s="110"/>
      <c r="D12" s="139"/>
      <c r="E12" s="110"/>
      <c r="F12" s="139"/>
      <c r="G12" s="139"/>
      <c r="H12" s="115"/>
      <c r="I12" s="115"/>
    </row>
    <row r="13" spans="1:10" ht="30" x14ac:dyDescent="0.25">
      <c r="A13" s="373" t="s">
        <v>210</v>
      </c>
      <c r="B13" s="376">
        <f>B14</f>
        <v>1096382</v>
      </c>
      <c r="D13" s="139"/>
      <c r="F13" s="139"/>
      <c r="G13" s="139"/>
      <c r="J13" s="109"/>
    </row>
    <row r="14" spans="1:10" s="117" customFormat="1" x14ac:dyDescent="0.25">
      <c r="A14" s="374" t="s">
        <v>209</v>
      </c>
      <c r="B14" s="380">
        <f>'caur tarifiem'!E37</f>
        <v>1096382</v>
      </c>
      <c r="C14" s="110"/>
      <c r="D14" s="139"/>
      <c r="E14" s="110"/>
      <c r="F14" s="139"/>
      <c r="G14" s="139"/>
      <c r="H14" s="115"/>
      <c r="I14" s="115"/>
    </row>
    <row r="15" spans="1:10" ht="30" x14ac:dyDescent="0.25">
      <c r="A15" s="373" t="s">
        <v>211</v>
      </c>
      <c r="B15" s="376">
        <f>B16</f>
        <v>14212943</v>
      </c>
      <c r="D15" s="139"/>
      <c r="F15" s="139"/>
      <c r="G15" s="139"/>
      <c r="J15" s="109"/>
    </row>
    <row r="16" spans="1:10" s="117" customFormat="1" x14ac:dyDescent="0.25">
      <c r="A16" s="374" t="s">
        <v>209</v>
      </c>
      <c r="B16" s="380">
        <f>'caur tarifiem'!E38</f>
        <v>14212943</v>
      </c>
      <c r="C16" s="110"/>
      <c r="D16" s="139"/>
      <c r="E16" s="110"/>
      <c r="F16" s="139"/>
      <c r="G16" s="139"/>
      <c r="H16" s="115"/>
      <c r="I16" s="115"/>
    </row>
    <row r="17" spans="1:10" ht="45" x14ac:dyDescent="0.25">
      <c r="A17" s="373" t="s">
        <v>212</v>
      </c>
      <c r="B17" s="376">
        <f>B18</f>
        <v>17875318</v>
      </c>
      <c r="D17" s="139"/>
      <c r="F17" s="139"/>
      <c r="G17" s="139"/>
      <c r="J17" s="109"/>
    </row>
    <row r="18" spans="1:10" s="117" customFormat="1" x14ac:dyDescent="0.25">
      <c r="A18" s="374" t="s">
        <v>209</v>
      </c>
      <c r="B18" s="380">
        <f>'caur tarifiem'!E39</f>
        <v>17875318</v>
      </c>
      <c r="C18" s="110"/>
      <c r="D18" s="139"/>
      <c r="E18" s="110"/>
      <c r="F18" s="139"/>
      <c r="G18" s="139"/>
      <c r="H18" s="115"/>
      <c r="I18" s="115"/>
    </row>
    <row r="19" spans="1:10" ht="30" x14ac:dyDescent="0.25">
      <c r="A19" s="373" t="s">
        <v>213</v>
      </c>
      <c r="B19" s="376">
        <f>B20</f>
        <v>9850549</v>
      </c>
      <c r="D19" s="139"/>
      <c r="F19" s="139"/>
      <c r="G19" s="139"/>
      <c r="J19" s="109"/>
    </row>
    <row r="20" spans="1:10" s="117" customFormat="1" x14ac:dyDescent="0.25">
      <c r="A20" s="374" t="s">
        <v>209</v>
      </c>
      <c r="B20" s="380">
        <f>'caur tarifiem'!E40</f>
        <v>9850549</v>
      </c>
      <c r="C20" s="110"/>
      <c r="D20" s="116"/>
      <c r="E20" s="110"/>
      <c r="F20" s="116"/>
      <c r="G20" s="116"/>
      <c r="H20" s="115"/>
      <c r="I20" s="115"/>
    </row>
    <row r="21" spans="1:10" ht="30" x14ac:dyDescent="0.25">
      <c r="A21" s="373" t="s">
        <v>214</v>
      </c>
      <c r="B21" s="376">
        <f>B22+B23</f>
        <v>233172</v>
      </c>
      <c r="D21" s="116"/>
      <c r="E21" s="116"/>
      <c r="F21" s="116"/>
      <c r="G21" s="116"/>
      <c r="J21" s="109"/>
    </row>
    <row r="22" spans="1:10" s="117" customFormat="1" ht="12" x14ac:dyDescent="0.25">
      <c r="A22" s="374" t="s">
        <v>215</v>
      </c>
      <c r="B22" s="380">
        <f>ROUND('VM VADC MK851'!I62,0)</f>
        <v>200491</v>
      </c>
      <c r="D22" s="115"/>
      <c r="E22" s="115"/>
      <c r="F22" s="115"/>
      <c r="G22" s="115"/>
      <c r="H22" s="115"/>
      <c r="I22" s="115"/>
    </row>
    <row r="23" spans="1:10" s="117" customFormat="1" ht="12" x14ac:dyDescent="0.25">
      <c r="A23" s="374" t="s">
        <v>216</v>
      </c>
      <c r="B23" s="380">
        <f>ROUND('VM VADC MK851'!I75,0)</f>
        <v>32681</v>
      </c>
      <c r="D23" s="115"/>
      <c r="E23" s="115"/>
      <c r="F23" s="115"/>
      <c r="G23" s="115"/>
      <c r="H23" s="115"/>
      <c r="I23" s="115"/>
    </row>
    <row r="24" spans="1:10" ht="30" x14ac:dyDescent="0.25">
      <c r="A24" s="373" t="s">
        <v>217</v>
      </c>
      <c r="B24" s="376">
        <f>B25</f>
        <v>6608194</v>
      </c>
      <c r="J24" s="109"/>
    </row>
    <row r="25" spans="1:10" s="117" customFormat="1" ht="12" x14ac:dyDescent="0.25">
      <c r="A25" s="374" t="s">
        <v>215</v>
      </c>
      <c r="B25" s="380">
        <f>ROUND('VM NMPD MK851'!I111,0)</f>
        <v>6608194</v>
      </c>
      <c r="C25" s="115"/>
      <c r="D25" s="115"/>
      <c r="E25" s="115"/>
      <c r="F25" s="115"/>
      <c r="G25" s="115"/>
      <c r="H25" s="115"/>
      <c r="I25" s="115"/>
    </row>
    <row r="26" spans="1:10" x14ac:dyDescent="0.25">
      <c r="A26" s="373" t="s">
        <v>218</v>
      </c>
      <c r="B26" s="376">
        <f>B27</f>
        <v>191079</v>
      </c>
      <c r="J26" s="109"/>
    </row>
    <row r="27" spans="1:10" s="117" customFormat="1" ht="12" x14ac:dyDescent="0.25">
      <c r="A27" s="374" t="s">
        <v>215</v>
      </c>
      <c r="B27" s="380">
        <f>ROUND('VM VTMEC MK851'!I42,0)</f>
        <v>191079</v>
      </c>
      <c r="C27" s="115"/>
      <c r="D27" s="115"/>
      <c r="E27" s="115"/>
      <c r="F27" s="115"/>
      <c r="G27" s="115"/>
      <c r="H27" s="115"/>
      <c r="I27" s="115"/>
    </row>
    <row r="28" spans="1:10" ht="45" x14ac:dyDescent="0.25">
      <c r="A28" s="373" t="s">
        <v>219</v>
      </c>
      <c r="B28" s="376">
        <f>B29</f>
        <v>18769</v>
      </c>
      <c r="J28" s="109"/>
    </row>
    <row r="29" spans="1:10" x14ac:dyDescent="0.25">
      <c r="A29" s="374" t="s">
        <v>209</v>
      </c>
      <c r="B29" s="380">
        <f>'caur tarifiem'!E41</f>
        <v>18769</v>
      </c>
      <c r="J29" s="109"/>
    </row>
    <row r="30" spans="1:10" x14ac:dyDescent="0.25">
      <c r="A30" s="372" t="s">
        <v>220</v>
      </c>
      <c r="B30" s="378">
        <f>B31+B34+B41+B44</f>
        <v>1384075</v>
      </c>
      <c r="J30" s="109"/>
    </row>
    <row r="31" spans="1:10" x14ac:dyDescent="0.25">
      <c r="A31" s="375" t="s">
        <v>173</v>
      </c>
      <c r="B31" s="381">
        <f>B32</f>
        <v>182891</v>
      </c>
      <c r="J31" s="109"/>
    </row>
    <row r="32" spans="1:10" ht="45" x14ac:dyDescent="0.25">
      <c r="A32" s="373" t="s">
        <v>221</v>
      </c>
      <c r="B32" s="376">
        <f>B33</f>
        <v>182891</v>
      </c>
      <c r="J32" s="109"/>
    </row>
    <row r="33" spans="1:10" x14ac:dyDescent="0.25">
      <c r="A33" s="374" t="s">
        <v>215</v>
      </c>
      <c r="B33" s="380">
        <f>ROUND('Pārējās ministrijas MK851'!I247,0)</f>
        <v>182891</v>
      </c>
      <c r="J33" s="109"/>
    </row>
    <row r="34" spans="1:10" x14ac:dyDescent="0.25">
      <c r="A34" s="375" t="s">
        <v>222</v>
      </c>
      <c r="B34" s="381">
        <f>B35+B37+B39</f>
        <v>863517</v>
      </c>
    </row>
    <row r="35" spans="1:10" ht="30" x14ac:dyDescent="0.25">
      <c r="A35" s="373" t="s">
        <v>80</v>
      </c>
      <c r="B35" s="376">
        <f>B36</f>
        <v>534099</v>
      </c>
    </row>
    <row r="36" spans="1:10" x14ac:dyDescent="0.25">
      <c r="A36" s="374" t="s">
        <v>215</v>
      </c>
      <c r="B36" s="380">
        <f>ROUND(LM_līgumorg_851!J417,0)</f>
        <v>534099</v>
      </c>
    </row>
    <row r="37" spans="1:10" ht="60" x14ac:dyDescent="0.25">
      <c r="A37" s="373" t="s">
        <v>90</v>
      </c>
      <c r="B37" s="376">
        <f>B38</f>
        <v>108371</v>
      </c>
    </row>
    <row r="38" spans="1:10" x14ac:dyDescent="0.25">
      <c r="A38" s="374" t="s">
        <v>215</v>
      </c>
      <c r="B38" s="380">
        <f>ROUND(LM_līgumorg_851!J447,0)</f>
        <v>108371</v>
      </c>
    </row>
    <row r="39" spans="1:10" ht="45" x14ac:dyDescent="0.25">
      <c r="A39" s="373" t="s">
        <v>116</v>
      </c>
      <c r="B39" s="376">
        <f>B40</f>
        <v>221047</v>
      </c>
    </row>
    <row r="40" spans="1:10" x14ac:dyDescent="0.25">
      <c r="A40" s="374" t="s">
        <v>223</v>
      </c>
      <c r="B40" s="380">
        <f>ROUND(LM_līgumorg_851!J213,0)</f>
        <v>221047</v>
      </c>
    </row>
    <row r="41" spans="1:10" x14ac:dyDescent="0.25">
      <c r="A41" s="375" t="s">
        <v>224</v>
      </c>
      <c r="B41" s="381">
        <f>B42</f>
        <v>275700</v>
      </c>
    </row>
    <row r="42" spans="1:10" x14ac:dyDescent="0.25">
      <c r="A42" s="373" t="s">
        <v>117</v>
      </c>
      <c r="B42" s="376">
        <f>B43</f>
        <v>275700</v>
      </c>
    </row>
    <row r="43" spans="1:10" x14ac:dyDescent="0.25">
      <c r="A43" s="374" t="s">
        <v>215</v>
      </c>
      <c r="B43" s="380">
        <f>ROUND('Pārējās ministrijas MK851'!I144,0)</f>
        <v>275700</v>
      </c>
    </row>
    <row r="44" spans="1:10" x14ac:dyDescent="0.25">
      <c r="A44" s="375" t="s">
        <v>225</v>
      </c>
      <c r="B44" s="381">
        <f>B45+B47</f>
        <v>61967</v>
      </c>
    </row>
    <row r="45" spans="1:10" x14ac:dyDescent="0.25">
      <c r="A45" s="373" t="s">
        <v>510</v>
      </c>
      <c r="B45" s="376">
        <f>B46</f>
        <v>5929</v>
      </c>
    </row>
    <row r="46" spans="1:10" x14ac:dyDescent="0.25">
      <c r="A46" s="374" t="s">
        <v>215</v>
      </c>
      <c r="B46" s="380">
        <f>ROUND('Pārējās ministrijas MK851'!I255,0)</f>
        <v>5929</v>
      </c>
    </row>
    <row r="47" spans="1:10" ht="30" x14ac:dyDescent="0.25">
      <c r="A47" s="373" t="s">
        <v>752</v>
      </c>
      <c r="B47" s="376">
        <f>B48</f>
        <v>56038</v>
      </c>
    </row>
    <row r="48" spans="1:10" x14ac:dyDescent="0.25">
      <c r="A48" s="374" t="s">
        <v>226</v>
      </c>
      <c r="B48" s="380">
        <f>ROUND(IEM_kapitsab_851!J52,0)</f>
        <v>56038</v>
      </c>
    </row>
  </sheetData>
  <mergeCells count="1">
    <mergeCell ref="A2:C2"/>
  </mergeCells>
  <pageMargins left="0.70866141732283472" right="0.70866141732283472" top="0.74803149606299213" bottom="0.74803149606299213" header="0.31496062992125984" footer="0.31496062992125984"/>
  <pageSetup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4C300-BB5C-46B7-8DCB-C142025C0C06}">
  <sheetPr>
    <tabColor theme="9" tint="0.79998168889431442"/>
  </sheetPr>
  <dimension ref="A1:P54"/>
  <sheetViews>
    <sheetView topLeftCell="A10" zoomScale="80" zoomScaleNormal="80" workbookViewId="0">
      <selection activeCell="E35" sqref="E35:E40"/>
    </sheetView>
  </sheetViews>
  <sheetFormatPr defaultColWidth="9.140625" defaultRowHeight="15.75" x14ac:dyDescent="0.25"/>
  <cols>
    <col min="1" max="1" width="2.5703125" style="201" customWidth="1"/>
    <col min="2" max="2" width="16.85546875" style="201" customWidth="1"/>
    <col min="3" max="3" width="16.7109375" style="201" customWidth="1"/>
    <col min="4" max="4" width="17.140625" style="201" customWidth="1"/>
    <col min="5" max="5" width="21.140625" style="201" customWidth="1"/>
    <col min="6" max="6" width="15" style="201" customWidth="1"/>
    <col min="7" max="7" width="15.42578125" style="201" customWidth="1"/>
    <col min="8" max="9" width="15.5703125" style="201" customWidth="1"/>
    <col min="10" max="10" width="15.5703125" style="213" customWidth="1"/>
    <col min="11" max="11" width="9.140625" style="201"/>
    <col min="12" max="12" width="14.28515625" style="201" customWidth="1"/>
    <col min="13" max="19" width="12.140625" style="201" customWidth="1"/>
    <col min="20" max="16384" width="9.140625" style="201"/>
  </cols>
  <sheetData>
    <row r="1" spans="1:12" x14ac:dyDescent="0.25">
      <c r="I1" s="697"/>
      <c r="J1" s="697"/>
      <c r="K1" s="696" t="s">
        <v>514</v>
      </c>
      <c r="L1" s="696"/>
    </row>
    <row r="3" spans="1:12" x14ac:dyDescent="0.25">
      <c r="A3" s="47"/>
      <c r="B3" s="699" t="s">
        <v>515</v>
      </c>
      <c r="C3" s="699"/>
      <c r="D3" s="699"/>
      <c r="E3" s="699"/>
      <c r="F3" s="699"/>
      <c r="G3" s="699"/>
      <c r="H3" s="699"/>
      <c r="I3" s="699"/>
      <c r="J3" s="699"/>
    </row>
    <row r="4" spans="1:12" x14ac:dyDescent="0.25">
      <c r="A4" s="47"/>
      <c r="B4" s="202"/>
      <c r="C4" s="202"/>
      <c r="D4" s="202"/>
      <c r="E4" s="202"/>
      <c r="F4" s="202"/>
      <c r="G4" s="202"/>
      <c r="H4" s="202"/>
      <c r="I4" s="202"/>
      <c r="J4" s="202"/>
    </row>
    <row r="5" spans="1:12" x14ac:dyDescent="0.25">
      <c r="A5" s="47"/>
      <c r="B5" s="202"/>
      <c r="C5" s="202"/>
      <c r="D5" s="202"/>
      <c r="E5" s="202"/>
      <c r="F5" s="202"/>
      <c r="G5" s="202"/>
      <c r="H5" s="202"/>
      <c r="I5" s="202"/>
      <c r="J5" s="202"/>
    </row>
    <row r="6" spans="1:12" x14ac:dyDescent="0.25">
      <c r="B6" s="382">
        <f>'[2]1.v. - ņemam mērķa DS un 60-40'!D39</f>
        <v>1.1060000000000001</v>
      </c>
      <c r="C6" s="47">
        <v>1.5038</v>
      </c>
      <c r="D6" s="47"/>
      <c r="E6" s="203"/>
      <c r="J6" s="204"/>
    </row>
    <row r="7" spans="1:12" x14ac:dyDescent="0.25">
      <c r="B7" s="382">
        <f>'[2]1.v. - ņemam mērķa DS un 60-40'!D40</f>
        <v>1.0649999999999999</v>
      </c>
      <c r="C7" s="47">
        <v>1.5038</v>
      </c>
      <c r="D7" s="47"/>
      <c r="E7" s="203"/>
      <c r="J7" s="204"/>
    </row>
    <row r="8" spans="1:12" x14ac:dyDescent="0.25">
      <c r="B8" s="382">
        <f>'[2]1.v. - ņemam mērķa DS un 60-40'!D41</f>
        <v>1.069</v>
      </c>
      <c r="C8" s="47">
        <v>1.5038</v>
      </c>
      <c r="D8" s="47"/>
      <c r="E8" s="203"/>
      <c r="I8" s="205"/>
      <c r="J8" s="204"/>
    </row>
    <row r="9" spans="1:12" s="206" customFormat="1" ht="30" customHeight="1" x14ac:dyDescent="0.25">
      <c r="A9" s="47"/>
      <c r="B9" s="685" t="s">
        <v>20</v>
      </c>
      <c r="C9" s="700"/>
      <c r="D9" s="700" t="s">
        <v>21</v>
      </c>
      <c r="E9" s="685" t="s">
        <v>165</v>
      </c>
      <c r="F9" s="685" t="s">
        <v>153</v>
      </c>
      <c r="G9" s="685" t="s">
        <v>154</v>
      </c>
      <c r="H9" s="685" t="s">
        <v>155</v>
      </c>
      <c r="I9" s="685" t="s">
        <v>267</v>
      </c>
      <c r="J9" s="685" t="s">
        <v>156</v>
      </c>
      <c r="L9" s="682" t="s">
        <v>516</v>
      </c>
    </row>
    <row r="10" spans="1:12" s="206" customFormat="1" ht="45.75" customHeight="1" x14ac:dyDescent="0.25">
      <c r="A10" s="47"/>
      <c r="B10" s="686"/>
      <c r="C10" s="694"/>
      <c r="D10" s="694"/>
      <c r="E10" s="686"/>
      <c r="F10" s="686"/>
      <c r="G10" s="686"/>
      <c r="H10" s="686"/>
      <c r="I10" s="686"/>
      <c r="J10" s="686"/>
      <c r="L10" s="683"/>
    </row>
    <row r="11" spans="1:12" s="207" customFormat="1" x14ac:dyDescent="0.25">
      <c r="A11" s="47"/>
      <c r="B11" s="187"/>
      <c r="C11" s="187"/>
      <c r="D11" s="187"/>
      <c r="E11" s="187"/>
      <c r="F11" s="187"/>
      <c r="G11" s="187"/>
      <c r="H11" s="187"/>
      <c r="I11" s="187"/>
      <c r="J11" s="187"/>
      <c r="L11" s="187"/>
    </row>
    <row r="12" spans="1:12" s="208" customFormat="1" ht="15" hidden="1" customHeight="1" x14ac:dyDescent="0.25">
      <c r="A12" s="47"/>
      <c r="B12" s="701" t="s">
        <v>2</v>
      </c>
      <c r="C12" s="188"/>
      <c r="D12" s="188"/>
      <c r="E12" s="189"/>
      <c r="F12" s="189"/>
      <c r="G12" s="189"/>
      <c r="H12" s="189"/>
      <c r="I12" s="189"/>
      <c r="J12" s="190"/>
      <c r="L12" s="237"/>
    </row>
    <row r="13" spans="1:12" s="208" customFormat="1" ht="51.75" customHeight="1" x14ac:dyDescent="0.25">
      <c r="A13" s="47"/>
      <c r="B13" s="702"/>
      <c r="C13" s="191"/>
      <c r="D13" s="191">
        <f>D14+D15+D16</f>
        <v>7818.0029999999997</v>
      </c>
      <c r="E13" s="192"/>
      <c r="F13" s="192"/>
      <c r="G13" s="192"/>
      <c r="H13" s="192"/>
      <c r="I13" s="192"/>
      <c r="J13" s="192"/>
      <c r="L13" s="188"/>
    </row>
    <row r="14" spans="1:12" s="47" customFormat="1" x14ac:dyDescent="0.25">
      <c r="B14" s="193" t="s">
        <v>157</v>
      </c>
      <c r="C14" s="194"/>
      <c r="D14" s="195">
        <v>6069.62</v>
      </c>
      <c r="E14" s="193">
        <v>1639</v>
      </c>
      <c r="F14" s="196">
        <f>ROUND(E14*$B$6,0)</f>
        <v>1813</v>
      </c>
      <c r="G14" s="197">
        <f>F14-E14</f>
        <v>174</v>
      </c>
      <c r="H14" s="197">
        <f>ROUND(G14*D14*12,0)</f>
        <v>12673367</v>
      </c>
      <c r="I14" s="197">
        <f>ROUND(H14*$C$6,0)</f>
        <v>19058209</v>
      </c>
      <c r="J14" s="197">
        <f>ROUND(I14*1.2359,0)</f>
        <v>23554041</v>
      </c>
      <c r="L14" s="383">
        <f>F14/E14-1</f>
        <v>0.10616229408175726</v>
      </c>
    </row>
    <row r="15" spans="1:12" x14ac:dyDescent="0.25">
      <c r="A15" s="47"/>
      <c r="B15" s="193" t="s">
        <v>158</v>
      </c>
      <c r="C15" s="194"/>
      <c r="D15" s="195">
        <f>599.43+1040.383</f>
        <v>1639.8130000000001</v>
      </c>
      <c r="E15" s="193">
        <v>1453</v>
      </c>
      <c r="F15" s="196">
        <f t="shared" ref="F15" si="0">ROUND(E15*$B$6,0)</f>
        <v>1607</v>
      </c>
      <c r="G15" s="197">
        <f t="shared" ref="G15:G16" si="1">F15-E15</f>
        <v>154</v>
      </c>
      <c r="H15" s="197">
        <f>ROUND(G15*D15*12,0)</f>
        <v>3030374</v>
      </c>
      <c r="I15" s="197">
        <f>ROUND(H15*$C$6,0)</f>
        <v>4557076</v>
      </c>
      <c r="J15" s="197">
        <f t="shared" ref="J15" si="2">ROUND(I15*1.2359,0)</f>
        <v>5632090</v>
      </c>
      <c r="L15" s="383">
        <f>F15/E15-1</f>
        <v>0.10598761183757732</v>
      </c>
    </row>
    <row r="16" spans="1:12" x14ac:dyDescent="0.25">
      <c r="A16" s="47"/>
      <c r="B16" s="198" t="s">
        <v>159</v>
      </c>
      <c r="C16" s="194"/>
      <c r="D16" s="199">
        <f>108.57</f>
        <v>108.57</v>
      </c>
      <c r="E16" s="198">
        <v>1116</v>
      </c>
      <c r="F16" s="196">
        <f>ROUND(E16*$B$7,0)</f>
        <v>1189</v>
      </c>
      <c r="G16" s="197">
        <f t="shared" si="1"/>
        <v>73</v>
      </c>
      <c r="H16" s="197">
        <f>ROUND(G16*D16*12,0)</f>
        <v>95107</v>
      </c>
      <c r="I16" s="197">
        <f>ROUND(H16*$C$6,0)</f>
        <v>143022</v>
      </c>
      <c r="J16" s="197">
        <f>ROUND(I16*1.2359,0)</f>
        <v>176761</v>
      </c>
      <c r="L16" s="383">
        <f t="shared" ref="L16:L24" si="3">F16/E16-1</f>
        <v>6.5412186379928405E-2</v>
      </c>
    </row>
    <row r="17" spans="1:12" s="48" customFormat="1" ht="15" hidden="1" customHeight="1" x14ac:dyDescent="0.25">
      <c r="A17" s="47"/>
      <c r="B17" s="701" t="s">
        <v>4</v>
      </c>
      <c r="C17" s="191"/>
      <c r="D17" s="191"/>
      <c r="E17" s="190"/>
      <c r="F17" s="192"/>
      <c r="G17" s="197">
        <v>71</v>
      </c>
      <c r="H17" s="192"/>
      <c r="I17" s="192"/>
      <c r="J17" s="192"/>
      <c r="L17" s="383" t="e">
        <f t="shared" si="3"/>
        <v>#DIV/0!</v>
      </c>
    </row>
    <row r="18" spans="1:12" s="209" customFormat="1" ht="80.25" customHeight="1" x14ac:dyDescent="0.25">
      <c r="A18" s="47"/>
      <c r="B18" s="702"/>
      <c r="C18" s="191"/>
      <c r="D18" s="191">
        <f>D19+D20+D21</f>
        <v>11316.151</v>
      </c>
      <c r="E18" s="192"/>
      <c r="F18" s="192"/>
      <c r="G18" s="192"/>
      <c r="H18" s="192"/>
      <c r="I18" s="192"/>
      <c r="J18" s="192"/>
      <c r="L18" s="384"/>
    </row>
    <row r="19" spans="1:12" s="47" customFormat="1" x14ac:dyDescent="0.25">
      <c r="B19" s="193" t="s">
        <v>159</v>
      </c>
      <c r="C19" s="194"/>
      <c r="D19" s="199">
        <v>10970.186</v>
      </c>
      <c r="E19" s="198">
        <v>1116</v>
      </c>
      <c r="F19" s="196">
        <f>ROUND(E19*$B$7,0)</f>
        <v>1189</v>
      </c>
      <c r="G19" s="197">
        <f>F19-E19</f>
        <v>73</v>
      </c>
      <c r="H19" s="197">
        <f>ROUND(G19*D19*12,0)</f>
        <v>9609883</v>
      </c>
      <c r="I19" s="197">
        <f>ROUND(H19*$C$7,0)</f>
        <v>14451342</v>
      </c>
      <c r="J19" s="197">
        <f t="shared" ref="J19:J20" si="4">ROUND(I19*1.2359,0)</f>
        <v>17860414</v>
      </c>
      <c r="L19" s="383">
        <f t="shared" si="3"/>
        <v>6.5412186379928405E-2</v>
      </c>
    </row>
    <row r="20" spans="1:12" s="47" customFormat="1" x14ac:dyDescent="0.25">
      <c r="B20" s="193" t="s">
        <v>160</v>
      </c>
      <c r="C20" s="194"/>
      <c r="D20" s="199">
        <v>301</v>
      </c>
      <c r="E20" s="193">
        <v>992</v>
      </c>
      <c r="F20" s="196">
        <f t="shared" ref="F20:F21" si="5">ROUND(E20*$B$7,0)</f>
        <v>1056</v>
      </c>
      <c r="G20" s="197">
        <f t="shared" ref="G20:G21" si="6">F20-E20</f>
        <v>64</v>
      </c>
      <c r="H20" s="197">
        <f>ROUND(G20*D20*12,0)</f>
        <v>231168</v>
      </c>
      <c r="I20" s="197">
        <f>ROUND(H20*$C$7,0)</f>
        <v>347630</v>
      </c>
      <c r="J20" s="197">
        <f t="shared" si="4"/>
        <v>429636</v>
      </c>
      <c r="L20" s="383">
        <f t="shared" si="3"/>
        <v>6.4516129032258007E-2</v>
      </c>
    </row>
    <row r="21" spans="1:12" s="47" customFormat="1" x14ac:dyDescent="0.25">
      <c r="B21" s="193" t="s">
        <v>161</v>
      </c>
      <c r="C21" s="194"/>
      <c r="D21" s="195">
        <v>44.965000000000003</v>
      </c>
      <c r="E21" s="193">
        <v>893</v>
      </c>
      <c r="F21" s="196">
        <f t="shared" si="5"/>
        <v>951</v>
      </c>
      <c r="G21" s="197">
        <f t="shared" si="6"/>
        <v>58</v>
      </c>
      <c r="H21" s="197">
        <f>ROUND(G21*D21*12,0)</f>
        <v>31296</v>
      </c>
      <c r="I21" s="197">
        <f>ROUND(H21*$C$7,0)</f>
        <v>47063</v>
      </c>
      <c r="J21" s="197">
        <f>ROUND(I21*1.2359,0)</f>
        <v>58165</v>
      </c>
      <c r="L21" s="383">
        <f t="shared" si="3"/>
        <v>6.4949608062709885E-2</v>
      </c>
    </row>
    <row r="22" spans="1:12" s="48" customFormat="1" ht="15" hidden="1" customHeight="1" x14ac:dyDescent="0.25">
      <c r="A22" s="47"/>
      <c r="B22" s="701" t="s">
        <v>10</v>
      </c>
      <c r="C22" s="191"/>
      <c r="D22" s="191"/>
      <c r="E22" s="190"/>
      <c r="F22" s="192"/>
      <c r="G22" s="192"/>
      <c r="H22" s="192"/>
      <c r="I22" s="192"/>
      <c r="J22" s="192"/>
      <c r="L22" s="383" t="e">
        <f t="shared" si="3"/>
        <v>#DIV/0!</v>
      </c>
    </row>
    <row r="23" spans="1:12" s="48" customFormat="1" ht="78" customHeight="1" x14ac:dyDescent="0.25">
      <c r="A23" s="47"/>
      <c r="B23" s="702"/>
      <c r="C23" s="191"/>
      <c r="D23" s="191">
        <f>D24</f>
        <v>3040.2069999999999</v>
      </c>
      <c r="E23" s="192"/>
      <c r="F23" s="192"/>
      <c r="G23" s="192"/>
      <c r="H23" s="192"/>
      <c r="I23" s="192"/>
      <c r="J23" s="192"/>
      <c r="L23" s="384"/>
    </row>
    <row r="24" spans="1:12" s="47" customFormat="1" x14ac:dyDescent="0.25">
      <c r="B24" s="193" t="s">
        <v>162</v>
      </c>
      <c r="C24" s="200"/>
      <c r="D24" s="199">
        <v>3040.2069999999999</v>
      </c>
      <c r="E24" s="193">
        <v>807</v>
      </c>
      <c r="F24" s="197">
        <f>ROUND(E24*B8,0)</f>
        <v>863</v>
      </c>
      <c r="G24" s="197">
        <f>F24-E24</f>
        <v>56</v>
      </c>
      <c r="H24" s="197">
        <f>ROUND(G24*D24*12,0)</f>
        <v>2043019</v>
      </c>
      <c r="I24" s="197">
        <f>ROUND(H24*$C$8,0)</f>
        <v>3072292</v>
      </c>
      <c r="J24" s="197">
        <f>ROUND(I24*1.2359,0)</f>
        <v>3797046</v>
      </c>
      <c r="L24" s="383">
        <f t="shared" si="3"/>
        <v>6.9392812887236754E-2</v>
      </c>
    </row>
    <row r="25" spans="1:12" s="48" customFormat="1" ht="47.25" x14ac:dyDescent="0.25">
      <c r="A25" s="47"/>
      <c r="B25" s="118" t="s">
        <v>163</v>
      </c>
      <c r="C25" s="79"/>
      <c r="D25" s="79">
        <f>SUM(D23+D18+D13)</f>
        <v>22174.361000000001</v>
      </c>
      <c r="E25" s="80"/>
      <c r="F25" s="81"/>
      <c r="G25" s="81"/>
      <c r="H25" s="81">
        <f>H14+H15+H16+H19+H20+H21+H24</f>
        <v>27714214</v>
      </c>
      <c r="I25" s="81">
        <f>I14+I15+I16+I19+I20+I21+I24</f>
        <v>41676634</v>
      </c>
      <c r="J25" s="81">
        <f>J14+J15+J16+J19+J20+J21+J24</f>
        <v>51508153</v>
      </c>
      <c r="L25" s="238"/>
    </row>
    <row r="26" spans="1:12" x14ac:dyDescent="0.25">
      <c r="B26" s="210"/>
      <c r="C26" s="211"/>
      <c r="D26" s="211"/>
      <c r="E26" s="211"/>
      <c r="F26" s="212"/>
      <c r="I26" s="202"/>
    </row>
    <row r="27" spans="1:12" ht="15.75" customHeight="1" x14ac:dyDescent="0.25">
      <c r="A27" s="47"/>
      <c r="B27" s="699" t="s">
        <v>517</v>
      </c>
      <c r="C27" s="699"/>
      <c r="D27" s="699"/>
      <c r="E27" s="699"/>
      <c r="F27" s="699"/>
      <c r="G27" s="699"/>
      <c r="H27" s="699"/>
      <c r="I27" s="699"/>
      <c r="J27" s="699"/>
    </row>
    <row r="28" spans="1:12" ht="15.75" customHeight="1" x14ac:dyDescent="0.25">
      <c r="C28" s="204"/>
      <c r="D28" s="204"/>
      <c r="E28" s="204"/>
      <c r="F28" s="204"/>
    </row>
    <row r="29" spans="1:12" s="206" customFormat="1" ht="29.25" customHeight="1" x14ac:dyDescent="0.25">
      <c r="A29" s="47"/>
      <c r="B29" s="690" t="s">
        <v>20</v>
      </c>
      <c r="C29" s="698" t="s">
        <v>21</v>
      </c>
      <c r="D29" s="693"/>
      <c r="E29" s="690"/>
      <c r="F29" s="690"/>
      <c r="G29" s="690" t="s">
        <v>268</v>
      </c>
      <c r="H29" s="690" t="s">
        <v>155</v>
      </c>
      <c r="I29" s="690"/>
      <c r="J29" s="690" t="s">
        <v>156</v>
      </c>
    </row>
    <row r="30" spans="1:12" s="206" customFormat="1" ht="65.25" customHeight="1" x14ac:dyDescent="0.25">
      <c r="A30" s="47"/>
      <c r="B30" s="690"/>
      <c r="C30" s="698"/>
      <c r="D30" s="694"/>
      <c r="E30" s="690"/>
      <c r="F30" s="690"/>
      <c r="G30" s="690"/>
      <c r="H30" s="690"/>
      <c r="I30" s="690"/>
      <c r="J30" s="690"/>
    </row>
    <row r="31" spans="1:12" s="219" customFormat="1" ht="30" customHeight="1" x14ac:dyDescent="0.25">
      <c r="A31" s="214"/>
      <c r="B31" s="215" t="s">
        <v>164</v>
      </c>
      <c r="C31" s="186">
        <v>10822.518</v>
      </c>
      <c r="D31" s="186"/>
      <c r="E31" s="185"/>
      <c r="F31" s="185"/>
      <c r="G31" s="216">
        <v>40</v>
      </c>
      <c r="H31" s="217">
        <f>ROUND(G31*C31*12,0)</f>
        <v>5194809</v>
      </c>
      <c r="I31" s="217"/>
      <c r="J31" s="218">
        <f>ROUND(H31*1.2359,0)</f>
        <v>6420264</v>
      </c>
    </row>
    <row r="32" spans="1:12" s="219" customFormat="1" x14ac:dyDescent="0.25">
      <c r="A32" s="214"/>
      <c r="B32" s="220"/>
      <c r="C32" s="221"/>
      <c r="D32" s="221"/>
      <c r="E32" s="222"/>
      <c r="F32" s="222"/>
      <c r="G32" s="223"/>
      <c r="H32" s="224"/>
      <c r="I32" s="224"/>
      <c r="J32" s="225"/>
    </row>
    <row r="33" spans="1:16" s="203" customFormat="1" ht="19.5" customHeight="1" x14ac:dyDescent="0.25">
      <c r="B33" s="695" t="s">
        <v>508</v>
      </c>
      <c r="C33" s="695"/>
      <c r="D33" s="695"/>
      <c r="E33" s="695"/>
      <c r="F33" s="695"/>
      <c r="G33" s="695"/>
      <c r="H33" s="695"/>
      <c r="I33" s="695"/>
      <c r="J33" s="695"/>
    </row>
    <row r="34" spans="1:16" s="219" customFormat="1" ht="157.5" customHeight="1" x14ac:dyDescent="0.25">
      <c r="A34" s="214"/>
      <c r="B34" s="687"/>
      <c r="C34" s="688"/>
      <c r="D34" s="689"/>
      <c r="E34" s="226" t="s">
        <v>269</v>
      </c>
      <c r="G34" s="224"/>
      <c r="H34" s="224"/>
      <c r="I34" s="227"/>
      <c r="J34" s="307"/>
    </row>
    <row r="35" spans="1:16" x14ac:dyDescent="0.25">
      <c r="B35" s="684" t="str">
        <f>[3]kopsavilkums!A10</f>
        <v>33.12.00 "Reto slimību ārstēšana"</v>
      </c>
      <c r="C35" s="684"/>
      <c r="D35" s="684"/>
      <c r="E35" s="228">
        <v>7823</v>
      </c>
      <c r="G35" s="204"/>
      <c r="H35" s="204"/>
      <c r="J35" s="201"/>
    </row>
    <row r="36" spans="1:16" ht="30.75" customHeight="1" x14ac:dyDescent="0.25">
      <c r="B36" s="684" t="str">
        <f>[3]kopsavilkums!A12</f>
        <v>33.14.00 "Primārās ambulatorās veselības aprūpes nodrošināšana"</v>
      </c>
      <c r="C36" s="684"/>
      <c r="D36" s="684"/>
      <c r="E36" s="228">
        <v>8446369</v>
      </c>
      <c r="G36" s="204"/>
      <c r="H36" s="204"/>
      <c r="J36" s="201"/>
    </row>
    <row r="37" spans="1:16" ht="30.75" customHeight="1" x14ac:dyDescent="0.25">
      <c r="B37" s="684" t="str">
        <f>[3]kopsavilkums!A14</f>
        <v>33.15.00 "Laboratorisko izmeklējumu nodrošināšana ambulatorajā aprūpē"</v>
      </c>
      <c r="C37" s="684"/>
      <c r="D37" s="684"/>
      <c r="E37" s="228">
        <v>1096382</v>
      </c>
      <c r="G37" s="204"/>
      <c r="H37" s="204"/>
      <c r="J37" s="201"/>
    </row>
    <row r="38" spans="1:16" ht="30.75" customHeight="1" x14ac:dyDescent="0.25">
      <c r="B38" s="684" t="str">
        <f>[3]kopsavilkums!A16</f>
        <v>33.16.00 "Pārējo ambulatoro veselības aprūpes pakalpojumu nodrošināšana"</v>
      </c>
      <c r="C38" s="684"/>
      <c r="D38" s="684"/>
      <c r="E38" s="228">
        <v>14212943</v>
      </c>
      <c r="G38" s="204"/>
      <c r="H38" s="204"/>
      <c r="J38" s="212"/>
    </row>
    <row r="39" spans="1:16" ht="30.75" customHeight="1" x14ac:dyDescent="0.25">
      <c r="B39" s="684" t="str">
        <f>[3]kopsavilkums!A18</f>
        <v>33.17.00 "Neatliekamās medicīniskās palīdzības nodrošināšana stacionārās ārstniecības iestādēs"</v>
      </c>
      <c r="C39" s="684"/>
      <c r="D39" s="684"/>
      <c r="E39" s="228">
        <v>17875318</v>
      </c>
      <c r="G39" s="204"/>
      <c r="H39" s="204"/>
      <c r="J39" s="201"/>
    </row>
    <row r="40" spans="1:16" ht="30.75" customHeight="1" x14ac:dyDescent="0.25">
      <c r="B40" s="684" t="str">
        <f>[3]kopsavilkums!A20</f>
        <v>33.18.00 "Plānveida stacionāro veselības aprūpes pakalpojumu nodrošināšana"</v>
      </c>
      <c r="C40" s="684"/>
      <c r="D40" s="684"/>
      <c r="E40" s="228">
        <v>9850549</v>
      </c>
      <c r="G40" s="204"/>
      <c r="H40" s="204"/>
      <c r="J40" s="201"/>
    </row>
    <row r="41" spans="1:16" ht="30.75" customHeight="1" x14ac:dyDescent="0.25">
      <c r="B41" s="684" t="str">
        <f>[3]kopsavilkums!A29</f>
        <v>45.01.00 "Veselības aprūpes finansējuma administrēšana un ekonomiskā novērtēšana"</v>
      </c>
      <c r="C41" s="684"/>
      <c r="D41" s="684"/>
      <c r="E41" s="228">
        <v>18769</v>
      </c>
      <c r="G41" s="204"/>
      <c r="H41" s="204"/>
      <c r="J41" s="201"/>
    </row>
    <row r="42" spans="1:16" ht="15.75" customHeight="1" x14ac:dyDescent="0.25">
      <c r="B42" s="691" t="s">
        <v>14</v>
      </c>
      <c r="C42" s="691"/>
      <c r="D42" s="692"/>
      <c r="E42" s="229">
        <f>SUM(E35:E41)</f>
        <v>51508153</v>
      </c>
      <c r="F42" s="212"/>
      <c r="G42" s="204"/>
      <c r="H42" s="204"/>
      <c r="J42" s="201"/>
    </row>
    <row r="43" spans="1:16" ht="15.75" customHeight="1" x14ac:dyDescent="0.25">
      <c r="B43" s="28"/>
      <c r="C43" s="28"/>
      <c r="D43" s="28"/>
      <c r="E43" s="230"/>
      <c r="F43" s="230"/>
      <c r="G43" s="230"/>
      <c r="H43" s="204"/>
      <c r="I43" s="204"/>
      <c r="J43" s="201"/>
    </row>
    <row r="44" spans="1:16" ht="15.75" customHeight="1" x14ac:dyDescent="0.25">
      <c r="B44" s="231"/>
      <c r="C44" s="231"/>
      <c r="D44" s="231"/>
      <c r="E44" s="232"/>
      <c r="F44" s="204"/>
      <c r="G44" s="204"/>
      <c r="H44" s="204"/>
      <c r="I44" s="204"/>
      <c r="J44" s="201"/>
    </row>
    <row r="45" spans="1:16" x14ac:dyDescent="0.25">
      <c r="B45" s="231"/>
      <c r="C45" s="231"/>
      <c r="D45" s="231"/>
      <c r="E45" s="204"/>
      <c r="F45" s="204"/>
      <c r="G45" s="204"/>
      <c r="H45" s="204"/>
      <c r="I45" s="204"/>
      <c r="J45" s="201"/>
    </row>
    <row r="46" spans="1:16" x14ac:dyDescent="0.25">
      <c r="L46" s="231"/>
      <c r="M46" s="231"/>
      <c r="N46" s="233"/>
      <c r="O46" s="234"/>
      <c r="P46" s="213"/>
    </row>
    <row r="47" spans="1:16" ht="27.75" customHeight="1" x14ac:dyDescent="0.25">
      <c r="L47" s="235"/>
      <c r="M47" s="235"/>
      <c r="N47" s="235"/>
      <c r="P47" s="213"/>
    </row>
    <row r="48" spans="1:16" ht="50.25" customHeight="1" x14ac:dyDescent="0.25">
      <c r="L48" s="236"/>
      <c r="M48" s="236"/>
      <c r="N48" s="212"/>
      <c r="P48" s="213"/>
    </row>
    <row r="49" spans="3:4" ht="80.25" customHeight="1" x14ac:dyDescent="0.25"/>
    <row r="50" spans="3:4" x14ac:dyDescent="0.25">
      <c r="C50" s="212"/>
      <c r="D50" s="212"/>
    </row>
    <row r="51" spans="3:4" x14ac:dyDescent="0.25">
      <c r="C51" s="212"/>
      <c r="D51" s="212"/>
    </row>
    <row r="54" spans="3:4" ht="18.75" customHeight="1" x14ac:dyDescent="0.25"/>
  </sheetData>
  <mergeCells count="36">
    <mergeCell ref="K1:L1"/>
    <mergeCell ref="I1:J1"/>
    <mergeCell ref="C29:C30"/>
    <mergeCell ref="E29:E30"/>
    <mergeCell ref="F29:F30"/>
    <mergeCell ref="G29:G30"/>
    <mergeCell ref="B3:J3"/>
    <mergeCell ref="B9:B10"/>
    <mergeCell ref="C9:C10"/>
    <mergeCell ref="D9:D10"/>
    <mergeCell ref="E9:E10"/>
    <mergeCell ref="B12:B13"/>
    <mergeCell ref="B17:B18"/>
    <mergeCell ref="B22:B23"/>
    <mergeCell ref="B27:J27"/>
    <mergeCell ref="H29:H30"/>
    <mergeCell ref="B42:D42"/>
    <mergeCell ref="D29:D30"/>
    <mergeCell ref="B35:D35"/>
    <mergeCell ref="B36:D36"/>
    <mergeCell ref="B37:D37"/>
    <mergeCell ref="B33:J33"/>
    <mergeCell ref="B29:B30"/>
    <mergeCell ref="L9:L10"/>
    <mergeCell ref="B38:D38"/>
    <mergeCell ref="B39:D39"/>
    <mergeCell ref="B40:D40"/>
    <mergeCell ref="B41:D41"/>
    <mergeCell ref="F9:F10"/>
    <mergeCell ref="G9:G10"/>
    <mergeCell ref="H9:H10"/>
    <mergeCell ref="I9:I10"/>
    <mergeCell ref="J9:J10"/>
    <mergeCell ref="B34:D34"/>
    <mergeCell ref="I29:I30"/>
    <mergeCell ref="J29:J30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C01E1-396C-4A88-AFC9-8B9681AC3DF4}">
  <sheetPr>
    <tabColor theme="9" tint="0.79998168889431442"/>
  </sheetPr>
  <dimension ref="A1:M39"/>
  <sheetViews>
    <sheetView zoomScale="90" zoomScaleNormal="90" workbookViewId="0">
      <selection activeCell="Q14" sqref="Q14"/>
    </sheetView>
  </sheetViews>
  <sheetFormatPr defaultRowHeight="12.75" x14ac:dyDescent="0.2"/>
  <cols>
    <col min="1" max="1" width="9.7109375" style="52" customWidth="1"/>
    <col min="2" max="2" width="34" style="33" customWidth="1"/>
    <col min="3" max="4" width="15.5703125" style="33" customWidth="1"/>
    <col min="5" max="5" width="1.7109375" style="33" customWidth="1"/>
    <col min="6" max="7" width="15.5703125" style="33" customWidth="1"/>
    <col min="8" max="8" width="1.7109375" style="33" customWidth="1"/>
    <col min="9" max="10" width="15.5703125" style="33" customWidth="1"/>
    <col min="11" max="11" width="1.7109375" style="33" customWidth="1"/>
    <col min="12" max="13" width="15.5703125" style="33" customWidth="1"/>
    <col min="14" max="236" width="9.140625" style="33"/>
    <col min="237" max="237" width="9.7109375" style="33" customWidth="1"/>
    <col min="238" max="238" width="34" style="33" customWidth="1"/>
    <col min="239" max="242" width="15.5703125" style="33" customWidth="1"/>
    <col min="243" max="243" width="9.140625" style="33"/>
    <col min="244" max="246" width="27.85546875" style="33" customWidth="1"/>
    <col min="247" max="492" width="9.140625" style="33"/>
    <col min="493" max="493" width="9.7109375" style="33" customWidth="1"/>
    <col min="494" max="494" width="34" style="33" customWidth="1"/>
    <col min="495" max="498" width="15.5703125" style="33" customWidth="1"/>
    <col min="499" max="499" width="9.140625" style="33"/>
    <col min="500" max="502" width="27.85546875" style="33" customWidth="1"/>
    <col min="503" max="748" width="9.140625" style="33"/>
    <col min="749" max="749" width="9.7109375" style="33" customWidth="1"/>
    <col min="750" max="750" width="34" style="33" customWidth="1"/>
    <col min="751" max="754" width="15.5703125" style="33" customWidth="1"/>
    <col min="755" max="755" width="9.140625" style="33"/>
    <col min="756" max="758" width="27.85546875" style="33" customWidth="1"/>
    <col min="759" max="1004" width="9.140625" style="33"/>
    <col min="1005" max="1005" width="9.7109375" style="33" customWidth="1"/>
    <col min="1006" max="1006" width="34" style="33" customWidth="1"/>
    <col min="1007" max="1010" width="15.5703125" style="33" customWidth="1"/>
    <col min="1011" max="1011" width="9.140625" style="33"/>
    <col min="1012" max="1014" width="27.85546875" style="33" customWidth="1"/>
    <col min="1015" max="1260" width="9.140625" style="33"/>
    <col min="1261" max="1261" width="9.7109375" style="33" customWidth="1"/>
    <col min="1262" max="1262" width="34" style="33" customWidth="1"/>
    <col min="1263" max="1266" width="15.5703125" style="33" customWidth="1"/>
    <col min="1267" max="1267" width="9.140625" style="33"/>
    <col min="1268" max="1270" width="27.85546875" style="33" customWidth="1"/>
    <col min="1271" max="1516" width="9.140625" style="33"/>
    <col min="1517" max="1517" width="9.7109375" style="33" customWidth="1"/>
    <col min="1518" max="1518" width="34" style="33" customWidth="1"/>
    <col min="1519" max="1522" width="15.5703125" style="33" customWidth="1"/>
    <col min="1523" max="1523" width="9.140625" style="33"/>
    <col min="1524" max="1526" width="27.85546875" style="33" customWidth="1"/>
    <col min="1527" max="1772" width="9.140625" style="33"/>
    <col min="1773" max="1773" width="9.7109375" style="33" customWidth="1"/>
    <col min="1774" max="1774" width="34" style="33" customWidth="1"/>
    <col min="1775" max="1778" width="15.5703125" style="33" customWidth="1"/>
    <col min="1779" max="1779" width="9.140625" style="33"/>
    <col min="1780" max="1782" width="27.85546875" style="33" customWidth="1"/>
    <col min="1783" max="2028" width="9.140625" style="33"/>
    <col min="2029" max="2029" width="9.7109375" style="33" customWidth="1"/>
    <col min="2030" max="2030" width="34" style="33" customWidth="1"/>
    <col min="2031" max="2034" width="15.5703125" style="33" customWidth="1"/>
    <col min="2035" max="2035" width="9.140625" style="33"/>
    <col min="2036" max="2038" width="27.85546875" style="33" customWidth="1"/>
    <col min="2039" max="2284" width="9.140625" style="33"/>
    <col min="2285" max="2285" width="9.7109375" style="33" customWidth="1"/>
    <col min="2286" max="2286" width="34" style="33" customWidth="1"/>
    <col min="2287" max="2290" width="15.5703125" style="33" customWidth="1"/>
    <col min="2291" max="2291" width="9.140625" style="33"/>
    <col min="2292" max="2294" width="27.85546875" style="33" customWidth="1"/>
    <col min="2295" max="2540" width="9.140625" style="33"/>
    <col min="2541" max="2541" width="9.7109375" style="33" customWidth="1"/>
    <col min="2542" max="2542" width="34" style="33" customWidth="1"/>
    <col min="2543" max="2546" width="15.5703125" style="33" customWidth="1"/>
    <col min="2547" max="2547" width="9.140625" style="33"/>
    <col min="2548" max="2550" width="27.85546875" style="33" customWidth="1"/>
    <col min="2551" max="2796" width="9.140625" style="33"/>
    <col min="2797" max="2797" width="9.7109375" style="33" customWidth="1"/>
    <col min="2798" max="2798" width="34" style="33" customWidth="1"/>
    <col min="2799" max="2802" width="15.5703125" style="33" customWidth="1"/>
    <col min="2803" max="2803" width="9.140625" style="33"/>
    <col min="2804" max="2806" width="27.85546875" style="33" customWidth="1"/>
    <col min="2807" max="3052" width="9.140625" style="33"/>
    <col min="3053" max="3053" width="9.7109375" style="33" customWidth="1"/>
    <col min="3054" max="3054" width="34" style="33" customWidth="1"/>
    <col min="3055" max="3058" width="15.5703125" style="33" customWidth="1"/>
    <col min="3059" max="3059" width="9.140625" style="33"/>
    <col min="3060" max="3062" width="27.85546875" style="33" customWidth="1"/>
    <col min="3063" max="3308" width="9.140625" style="33"/>
    <col min="3309" max="3309" width="9.7109375" style="33" customWidth="1"/>
    <col min="3310" max="3310" width="34" style="33" customWidth="1"/>
    <col min="3311" max="3314" width="15.5703125" style="33" customWidth="1"/>
    <col min="3315" max="3315" width="9.140625" style="33"/>
    <col min="3316" max="3318" width="27.85546875" style="33" customWidth="1"/>
    <col min="3319" max="3564" width="9.140625" style="33"/>
    <col min="3565" max="3565" width="9.7109375" style="33" customWidth="1"/>
    <col min="3566" max="3566" width="34" style="33" customWidth="1"/>
    <col min="3567" max="3570" width="15.5703125" style="33" customWidth="1"/>
    <col min="3571" max="3571" width="9.140625" style="33"/>
    <col min="3572" max="3574" width="27.85546875" style="33" customWidth="1"/>
    <col min="3575" max="3820" width="9.140625" style="33"/>
    <col min="3821" max="3821" width="9.7109375" style="33" customWidth="1"/>
    <col min="3822" max="3822" width="34" style="33" customWidth="1"/>
    <col min="3823" max="3826" width="15.5703125" style="33" customWidth="1"/>
    <col min="3827" max="3827" width="9.140625" style="33"/>
    <col min="3828" max="3830" width="27.85546875" style="33" customWidth="1"/>
    <col min="3831" max="4076" width="9.140625" style="33"/>
    <col min="4077" max="4077" width="9.7109375" style="33" customWidth="1"/>
    <col min="4078" max="4078" width="34" style="33" customWidth="1"/>
    <col min="4079" max="4082" width="15.5703125" style="33" customWidth="1"/>
    <col min="4083" max="4083" width="9.140625" style="33"/>
    <col min="4084" max="4086" width="27.85546875" style="33" customWidth="1"/>
    <col min="4087" max="4332" width="9.140625" style="33"/>
    <col min="4333" max="4333" width="9.7109375" style="33" customWidth="1"/>
    <col min="4334" max="4334" width="34" style="33" customWidth="1"/>
    <col min="4335" max="4338" width="15.5703125" style="33" customWidth="1"/>
    <col min="4339" max="4339" width="9.140625" style="33"/>
    <col min="4340" max="4342" width="27.85546875" style="33" customWidth="1"/>
    <col min="4343" max="4588" width="9.140625" style="33"/>
    <col min="4589" max="4589" width="9.7109375" style="33" customWidth="1"/>
    <col min="4590" max="4590" width="34" style="33" customWidth="1"/>
    <col min="4591" max="4594" width="15.5703125" style="33" customWidth="1"/>
    <col min="4595" max="4595" width="9.140625" style="33"/>
    <col min="4596" max="4598" width="27.85546875" style="33" customWidth="1"/>
    <col min="4599" max="4844" width="9.140625" style="33"/>
    <col min="4845" max="4845" width="9.7109375" style="33" customWidth="1"/>
    <col min="4846" max="4846" width="34" style="33" customWidth="1"/>
    <col min="4847" max="4850" width="15.5703125" style="33" customWidth="1"/>
    <col min="4851" max="4851" width="9.140625" style="33"/>
    <col min="4852" max="4854" width="27.85546875" style="33" customWidth="1"/>
    <col min="4855" max="5100" width="9.140625" style="33"/>
    <col min="5101" max="5101" width="9.7109375" style="33" customWidth="1"/>
    <col min="5102" max="5102" width="34" style="33" customWidth="1"/>
    <col min="5103" max="5106" width="15.5703125" style="33" customWidth="1"/>
    <col min="5107" max="5107" width="9.140625" style="33"/>
    <col min="5108" max="5110" width="27.85546875" style="33" customWidth="1"/>
    <col min="5111" max="5356" width="9.140625" style="33"/>
    <col min="5357" max="5357" width="9.7109375" style="33" customWidth="1"/>
    <col min="5358" max="5358" width="34" style="33" customWidth="1"/>
    <col min="5359" max="5362" width="15.5703125" style="33" customWidth="1"/>
    <col min="5363" max="5363" width="9.140625" style="33"/>
    <col min="5364" max="5366" width="27.85546875" style="33" customWidth="1"/>
    <col min="5367" max="5612" width="9.140625" style="33"/>
    <col min="5613" max="5613" width="9.7109375" style="33" customWidth="1"/>
    <col min="5614" max="5614" width="34" style="33" customWidth="1"/>
    <col min="5615" max="5618" width="15.5703125" style="33" customWidth="1"/>
    <col min="5619" max="5619" width="9.140625" style="33"/>
    <col min="5620" max="5622" width="27.85546875" style="33" customWidth="1"/>
    <col min="5623" max="5868" width="9.140625" style="33"/>
    <col min="5869" max="5869" width="9.7109375" style="33" customWidth="1"/>
    <col min="5870" max="5870" width="34" style="33" customWidth="1"/>
    <col min="5871" max="5874" width="15.5703125" style="33" customWidth="1"/>
    <col min="5875" max="5875" width="9.140625" style="33"/>
    <col min="5876" max="5878" width="27.85546875" style="33" customWidth="1"/>
    <col min="5879" max="6124" width="9.140625" style="33"/>
    <col min="6125" max="6125" width="9.7109375" style="33" customWidth="1"/>
    <col min="6126" max="6126" width="34" style="33" customWidth="1"/>
    <col min="6127" max="6130" width="15.5703125" style="33" customWidth="1"/>
    <col min="6131" max="6131" width="9.140625" style="33"/>
    <col min="6132" max="6134" width="27.85546875" style="33" customWidth="1"/>
    <col min="6135" max="6380" width="9.140625" style="33"/>
    <col min="6381" max="6381" width="9.7109375" style="33" customWidth="1"/>
    <col min="6382" max="6382" width="34" style="33" customWidth="1"/>
    <col min="6383" max="6386" width="15.5703125" style="33" customWidth="1"/>
    <col min="6387" max="6387" width="9.140625" style="33"/>
    <col min="6388" max="6390" width="27.85546875" style="33" customWidth="1"/>
    <col min="6391" max="6636" width="9.140625" style="33"/>
    <col min="6637" max="6637" width="9.7109375" style="33" customWidth="1"/>
    <col min="6638" max="6638" width="34" style="33" customWidth="1"/>
    <col min="6639" max="6642" width="15.5703125" style="33" customWidth="1"/>
    <col min="6643" max="6643" width="9.140625" style="33"/>
    <col min="6644" max="6646" width="27.85546875" style="33" customWidth="1"/>
    <col min="6647" max="6892" width="9.140625" style="33"/>
    <col min="6893" max="6893" width="9.7109375" style="33" customWidth="1"/>
    <col min="6894" max="6894" width="34" style="33" customWidth="1"/>
    <col min="6895" max="6898" width="15.5703125" style="33" customWidth="1"/>
    <col min="6899" max="6899" width="9.140625" style="33"/>
    <col min="6900" max="6902" width="27.85546875" style="33" customWidth="1"/>
    <col min="6903" max="7148" width="9.140625" style="33"/>
    <col min="7149" max="7149" width="9.7109375" style="33" customWidth="1"/>
    <col min="7150" max="7150" width="34" style="33" customWidth="1"/>
    <col min="7151" max="7154" width="15.5703125" style="33" customWidth="1"/>
    <col min="7155" max="7155" width="9.140625" style="33"/>
    <col min="7156" max="7158" width="27.85546875" style="33" customWidth="1"/>
    <col min="7159" max="7404" width="9.140625" style="33"/>
    <col min="7405" max="7405" width="9.7109375" style="33" customWidth="1"/>
    <col min="7406" max="7406" width="34" style="33" customWidth="1"/>
    <col min="7407" max="7410" width="15.5703125" style="33" customWidth="1"/>
    <col min="7411" max="7411" width="9.140625" style="33"/>
    <col min="7412" max="7414" width="27.85546875" style="33" customWidth="1"/>
    <col min="7415" max="7660" width="9.140625" style="33"/>
    <col min="7661" max="7661" width="9.7109375" style="33" customWidth="1"/>
    <col min="7662" max="7662" width="34" style="33" customWidth="1"/>
    <col min="7663" max="7666" width="15.5703125" style="33" customWidth="1"/>
    <col min="7667" max="7667" width="9.140625" style="33"/>
    <col min="7668" max="7670" width="27.85546875" style="33" customWidth="1"/>
    <col min="7671" max="7916" width="9.140625" style="33"/>
    <col min="7917" max="7917" width="9.7109375" style="33" customWidth="1"/>
    <col min="7918" max="7918" width="34" style="33" customWidth="1"/>
    <col min="7919" max="7922" width="15.5703125" style="33" customWidth="1"/>
    <col min="7923" max="7923" width="9.140625" style="33"/>
    <col min="7924" max="7926" width="27.85546875" style="33" customWidth="1"/>
    <col min="7927" max="8172" width="9.140625" style="33"/>
    <col min="8173" max="8173" width="9.7109375" style="33" customWidth="1"/>
    <col min="8174" max="8174" width="34" style="33" customWidth="1"/>
    <col min="8175" max="8178" width="15.5703125" style="33" customWidth="1"/>
    <col min="8179" max="8179" width="9.140625" style="33"/>
    <col min="8180" max="8182" width="27.85546875" style="33" customWidth="1"/>
    <col min="8183" max="8428" width="9.140625" style="33"/>
    <col min="8429" max="8429" width="9.7109375" style="33" customWidth="1"/>
    <col min="8430" max="8430" width="34" style="33" customWidth="1"/>
    <col min="8431" max="8434" width="15.5703125" style="33" customWidth="1"/>
    <col min="8435" max="8435" width="9.140625" style="33"/>
    <col min="8436" max="8438" width="27.85546875" style="33" customWidth="1"/>
    <col min="8439" max="8684" width="9.140625" style="33"/>
    <col min="8685" max="8685" width="9.7109375" style="33" customWidth="1"/>
    <col min="8686" max="8686" width="34" style="33" customWidth="1"/>
    <col min="8687" max="8690" width="15.5703125" style="33" customWidth="1"/>
    <col min="8691" max="8691" width="9.140625" style="33"/>
    <col min="8692" max="8694" width="27.85546875" style="33" customWidth="1"/>
    <col min="8695" max="8940" width="9.140625" style="33"/>
    <col min="8941" max="8941" width="9.7109375" style="33" customWidth="1"/>
    <col min="8942" max="8942" width="34" style="33" customWidth="1"/>
    <col min="8943" max="8946" width="15.5703125" style="33" customWidth="1"/>
    <col min="8947" max="8947" width="9.140625" style="33"/>
    <col min="8948" max="8950" width="27.85546875" style="33" customWidth="1"/>
    <col min="8951" max="9196" width="9.140625" style="33"/>
    <col min="9197" max="9197" width="9.7109375" style="33" customWidth="1"/>
    <col min="9198" max="9198" width="34" style="33" customWidth="1"/>
    <col min="9199" max="9202" width="15.5703125" style="33" customWidth="1"/>
    <col min="9203" max="9203" width="9.140625" style="33"/>
    <col min="9204" max="9206" width="27.85546875" style="33" customWidth="1"/>
    <col min="9207" max="9452" width="9.140625" style="33"/>
    <col min="9453" max="9453" width="9.7109375" style="33" customWidth="1"/>
    <col min="9454" max="9454" width="34" style="33" customWidth="1"/>
    <col min="9455" max="9458" width="15.5703125" style="33" customWidth="1"/>
    <col min="9459" max="9459" width="9.140625" style="33"/>
    <col min="9460" max="9462" width="27.85546875" style="33" customWidth="1"/>
    <col min="9463" max="9708" width="9.140625" style="33"/>
    <col min="9709" max="9709" width="9.7109375" style="33" customWidth="1"/>
    <col min="9710" max="9710" width="34" style="33" customWidth="1"/>
    <col min="9711" max="9714" width="15.5703125" style="33" customWidth="1"/>
    <col min="9715" max="9715" width="9.140625" style="33"/>
    <col min="9716" max="9718" width="27.85546875" style="33" customWidth="1"/>
    <col min="9719" max="9964" width="9.140625" style="33"/>
    <col min="9965" max="9965" width="9.7109375" style="33" customWidth="1"/>
    <col min="9966" max="9966" width="34" style="33" customWidth="1"/>
    <col min="9967" max="9970" width="15.5703125" style="33" customWidth="1"/>
    <col min="9971" max="9971" width="9.140625" style="33"/>
    <col min="9972" max="9974" width="27.85546875" style="33" customWidth="1"/>
    <col min="9975" max="10220" width="9.140625" style="33"/>
    <col min="10221" max="10221" width="9.7109375" style="33" customWidth="1"/>
    <col min="10222" max="10222" width="34" style="33" customWidth="1"/>
    <col min="10223" max="10226" width="15.5703125" style="33" customWidth="1"/>
    <col min="10227" max="10227" width="9.140625" style="33"/>
    <col min="10228" max="10230" width="27.85546875" style="33" customWidth="1"/>
    <col min="10231" max="10476" width="9.140625" style="33"/>
    <col min="10477" max="10477" width="9.7109375" style="33" customWidth="1"/>
    <col min="10478" max="10478" width="34" style="33" customWidth="1"/>
    <col min="10479" max="10482" width="15.5703125" style="33" customWidth="1"/>
    <col min="10483" max="10483" width="9.140625" style="33"/>
    <col min="10484" max="10486" width="27.85546875" style="33" customWidth="1"/>
    <col min="10487" max="10732" width="9.140625" style="33"/>
    <col min="10733" max="10733" width="9.7109375" style="33" customWidth="1"/>
    <col min="10734" max="10734" width="34" style="33" customWidth="1"/>
    <col min="10735" max="10738" width="15.5703125" style="33" customWidth="1"/>
    <col min="10739" max="10739" width="9.140625" style="33"/>
    <col min="10740" max="10742" width="27.85546875" style="33" customWidth="1"/>
    <col min="10743" max="10988" width="9.140625" style="33"/>
    <col min="10989" max="10989" width="9.7109375" style="33" customWidth="1"/>
    <col min="10990" max="10990" width="34" style="33" customWidth="1"/>
    <col min="10991" max="10994" width="15.5703125" style="33" customWidth="1"/>
    <col min="10995" max="10995" width="9.140625" style="33"/>
    <col min="10996" max="10998" width="27.85546875" style="33" customWidth="1"/>
    <col min="10999" max="11244" width="9.140625" style="33"/>
    <col min="11245" max="11245" width="9.7109375" style="33" customWidth="1"/>
    <col min="11246" max="11246" width="34" style="33" customWidth="1"/>
    <col min="11247" max="11250" width="15.5703125" style="33" customWidth="1"/>
    <col min="11251" max="11251" width="9.140625" style="33"/>
    <col min="11252" max="11254" width="27.85546875" style="33" customWidth="1"/>
    <col min="11255" max="11500" width="9.140625" style="33"/>
    <col min="11501" max="11501" width="9.7109375" style="33" customWidth="1"/>
    <col min="11502" max="11502" width="34" style="33" customWidth="1"/>
    <col min="11503" max="11506" width="15.5703125" style="33" customWidth="1"/>
    <col min="11507" max="11507" width="9.140625" style="33"/>
    <col min="11508" max="11510" width="27.85546875" style="33" customWidth="1"/>
    <col min="11511" max="11756" width="9.140625" style="33"/>
    <col min="11757" max="11757" width="9.7109375" style="33" customWidth="1"/>
    <col min="11758" max="11758" width="34" style="33" customWidth="1"/>
    <col min="11759" max="11762" width="15.5703125" style="33" customWidth="1"/>
    <col min="11763" max="11763" width="9.140625" style="33"/>
    <col min="11764" max="11766" width="27.85546875" style="33" customWidth="1"/>
    <col min="11767" max="12012" width="9.140625" style="33"/>
    <col min="12013" max="12013" width="9.7109375" style="33" customWidth="1"/>
    <col min="12014" max="12014" width="34" style="33" customWidth="1"/>
    <col min="12015" max="12018" width="15.5703125" style="33" customWidth="1"/>
    <col min="12019" max="12019" width="9.140625" style="33"/>
    <col min="12020" max="12022" width="27.85546875" style="33" customWidth="1"/>
    <col min="12023" max="12268" width="9.140625" style="33"/>
    <col min="12269" max="12269" width="9.7109375" style="33" customWidth="1"/>
    <col min="12270" max="12270" width="34" style="33" customWidth="1"/>
    <col min="12271" max="12274" width="15.5703125" style="33" customWidth="1"/>
    <col min="12275" max="12275" width="9.140625" style="33"/>
    <col min="12276" max="12278" width="27.85546875" style="33" customWidth="1"/>
    <col min="12279" max="12524" width="9.140625" style="33"/>
    <col min="12525" max="12525" width="9.7109375" style="33" customWidth="1"/>
    <col min="12526" max="12526" width="34" style="33" customWidth="1"/>
    <col min="12527" max="12530" width="15.5703125" style="33" customWidth="1"/>
    <col min="12531" max="12531" width="9.140625" style="33"/>
    <col min="12532" max="12534" width="27.85546875" style="33" customWidth="1"/>
    <col min="12535" max="12780" width="9.140625" style="33"/>
    <col min="12781" max="12781" width="9.7109375" style="33" customWidth="1"/>
    <col min="12782" max="12782" width="34" style="33" customWidth="1"/>
    <col min="12783" max="12786" width="15.5703125" style="33" customWidth="1"/>
    <col min="12787" max="12787" width="9.140625" style="33"/>
    <col min="12788" max="12790" width="27.85546875" style="33" customWidth="1"/>
    <col min="12791" max="13036" width="9.140625" style="33"/>
    <col min="13037" max="13037" width="9.7109375" style="33" customWidth="1"/>
    <col min="13038" max="13038" width="34" style="33" customWidth="1"/>
    <col min="13039" max="13042" width="15.5703125" style="33" customWidth="1"/>
    <col min="13043" max="13043" width="9.140625" style="33"/>
    <col min="13044" max="13046" width="27.85546875" style="33" customWidth="1"/>
    <col min="13047" max="13292" width="9.140625" style="33"/>
    <col min="13293" max="13293" width="9.7109375" style="33" customWidth="1"/>
    <col min="13294" max="13294" width="34" style="33" customWidth="1"/>
    <col min="13295" max="13298" width="15.5703125" style="33" customWidth="1"/>
    <col min="13299" max="13299" width="9.140625" style="33"/>
    <col min="13300" max="13302" width="27.85546875" style="33" customWidth="1"/>
    <col min="13303" max="13548" width="9.140625" style="33"/>
    <col min="13549" max="13549" width="9.7109375" style="33" customWidth="1"/>
    <col min="13550" max="13550" width="34" style="33" customWidth="1"/>
    <col min="13551" max="13554" width="15.5703125" style="33" customWidth="1"/>
    <col min="13555" max="13555" width="9.140625" style="33"/>
    <col min="13556" max="13558" width="27.85546875" style="33" customWidth="1"/>
    <col min="13559" max="13804" width="9.140625" style="33"/>
    <col min="13805" max="13805" width="9.7109375" style="33" customWidth="1"/>
    <col min="13806" max="13806" width="34" style="33" customWidth="1"/>
    <col min="13807" max="13810" width="15.5703125" style="33" customWidth="1"/>
    <col min="13811" max="13811" width="9.140625" style="33"/>
    <col min="13812" max="13814" width="27.85546875" style="33" customWidth="1"/>
    <col min="13815" max="14060" width="9.140625" style="33"/>
    <col min="14061" max="14061" width="9.7109375" style="33" customWidth="1"/>
    <col min="14062" max="14062" width="34" style="33" customWidth="1"/>
    <col min="14063" max="14066" width="15.5703125" style="33" customWidth="1"/>
    <col min="14067" max="14067" width="9.140625" style="33"/>
    <col min="14068" max="14070" width="27.85546875" style="33" customWidth="1"/>
    <col min="14071" max="14316" width="9.140625" style="33"/>
    <col min="14317" max="14317" width="9.7109375" style="33" customWidth="1"/>
    <col min="14318" max="14318" width="34" style="33" customWidth="1"/>
    <col min="14319" max="14322" width="15.5703125" style="33" customWidth="1"/>
    <col min="14323" max="14323" width="9.140625" style="33"/>
    <col min="14324" max="14326" width="27.85546875" style="33" customWidth="1"/>
    <col min="14327" max="14572" width="9.140625" style="33"/>
    <col min="14573" max="14573" width="9.7109375" style="33" customWidth="1"/>
    <col min="14574" max="14574" width="34" style="33" customWidth="1"/>
    <col min="14575" max="14578" width="15.5703125" style="33" customWidth="1"/>
    <col min="14579" max="14579" width="9.140625" style="33"/>
    <col min="14580" max="14582" width="27.85546875" style="33" customWidth="1"/>
    <col min="14583" max="14828" width="9.140625" style="33"/>
    <col min="14829" max="14829" width="9.7109375" style="33" customWidth="1"/>
    <col min="14830" max="14830" width="34" style="33" customWidth="1"/>
    <col min="14831" max="14834" width="15.5703125" style="33" customWidth="1"/>
    <col min="14835" max="14835" width="9.140625" style="33"/>
    <col min="14836" max="14838" width="27.85546875" style="33" customWidth="1"/>
    <col min="14839" max="15084" width="9.140625" style="33"/>
    <col min="15085" max="15085" width="9.7109375" style="33" customWidth="1"/>
    <col min="15086" max="15086" width="34" style="33" customWidth="1"/>
    <col min="15087" max="15090" width="15.5703125" style="33" customWidth="1"/>
    <col min="15091" max="15091" width="9.140625" style="33"/>
    <col min="15092" max="15094" width="27.85546875" style="33" customWidth="1"/>
    <col min="15095" max="15340" width="9.140625" style="33"/>
    <col min="15341" max="15341" width="9.7109375" style="33" customWidth="1"/>
    <col min="15342" max="15342" width="34" style="33" customWidth="1"/>
    <col min="15343" max="15346" width="15.5703125" style="33" customWidth="1"/>
    <col min="15347" max="15347" width="9.140625" style="33"/>
    <col min="15348" max="15350" width="27.85546875" style="33" customWidth="1"/>
    <col min="15351" max="15596" width="9.140625" style="33"/>
    <col min="15597" max="15597" width="9.7109375" style="33" customWidth="1"/>
    <col min="15598" max="15598" width="34" style="33" customWidth="1"/>
    <col min="15599" max="15602" width="15.5703125" style="33" customWidth="1"/>
    <col min="15603" max="15603" width="9.140625" style="33"/>
    <col min="15604" max="15606" width="27.85546875" style="33" customWidth="1"/>
    <col min="15607" max="15852" width="9.140625" style="33"/>
    <col min="15853" max="15853" width="9.7109375" style="33" customWidth="1"/>
    <col min="15854" max="15854" width="34" style="33" customWidth="1"/>
    <col min="15855" max="15858" width="15.5703125" style="33" customWidth="1"/>
    <col min="15859" max="15859" width="9.140625" style="33"/>
    <col min="15860" max="15862" width="27.85546875" style="33" customWidth="1"/>
    <col min="15863" max="16108" width="9.140625" style="33"/>
    <col min="16109" max="16109" width="9.7109375" style="33" customWidth="1"/>
    <col min="16110" max="16110" width="34" style="33" customWidth="1"/>
    <col min="16111" max="16114" width="15.5703125" style="33" customWidth="1"/>
    <col min="16115" max="16115" width="9.140625" style="33"/>
    <col min="16116" max="16118" width="27.85546875" style="33" customWidth="1"/>
    <col min="16119" max="16384" width="9.140625" style="33"/>
  </cols>
  <sheetData>
    <row r="1" spans="1:13" ht="15" x14ac:dyDescent="0.2">
      <c r="A1" s="31"/>
      <c r="B1" s="32"/>
      <c r="C1" s="85"/>
      <c r="D1" s="85"/>
      <c r="E1" s="85"/>
      <c r="F1" s="85"/>
      <c r="G1" s="85"/>
      <c r="H1" s="85"/>
      <c r="I1" s="85"/>
      <c r="J1" s="85"/>
      <c r="K1" s="85"/>
      <c r="L1" s="710" t="s">
        <v>518</v>
      </c>
      <c r="M1" s="710"/>
    </row>
    <row r="2" spans="1:13" ht="13.5" x14ac:dyDescent="0.25">
      <c r="A2" s="34" t="s">
        <v>479</v>
      </c>
      <c r="C2" s="45"/>
      <c r="D2" s="45"/>
      <c r="F2" s="45"/>
      <c r="G2" s="45"/>
      <c r="I2" s="86"/>
      <c r="J2" s="86"/>
      <c r="K2" s="86"/>
      <c r="L2" s="86"/>
      <c r="M2" s="86"/>
    </row>
    <row r="3" spans="1:13" x14ac:dyDescent="0.2">
      <c r="B3" s="87"/>
      <c r="C3" s="711"/>
      <c r="D3" s="711"/>
      <c r="E3" s="711"/>
      <c r="F3" s="711"/>
      <c r="G3" s="711"/>
      <c r="H3" s="87"/>
      <c r="I3" s="88"/>
      <c r="J3" s="88"/>
      <c r="K3" s="88"/>
      <c r="L3" s="88"/>
      <c r="M3" s="88"/>
    </row>
    <row r="4" spans="1:13" ht="117.75" customHeight="1" x14ac:dyDescent="0.2">
      <c r="B4" s="87"/>
      <c r="C4" s="712" t="s">
        <v>597</v>
      </c>
      <c r="D4" s="713"/>
      <c r="E4" s="311"/>
      <c r="F4" s="712" t="s">
        <v>598</v>
      </c>
      <c r="G4" s="713"/>
      <c r="H4" s="311"/>
      <c r="I4" s="714" t="s">
        <v>599</v>
      </c>
      <c r="J4" s="715"/>
      <c r="K4" s="311"/>
      <c r="L4" s="714" t="s">
        <v>600</v>
      </c>
      <c r="M4" s="715"/>
    </row>
    <row r="5" spans="1:13" ht="123" customHeight="1" x14ac:dyDescent="0.2">
      <c r="A5" s="35" t="s">
        <v>120</v>
      </c>
      <c r="B5" s="36"/>
      <c r="C5" s="312" t="s">
        <v>189</v>
      </c>
      <c r="D5" s="313" t="s">
        <v>190</v>
      </c>
      <c r="E5" s="314"/>
      <c r="F5" s="312" t="s">
        <v>189</v>
      </c>
      <c r="G5" s="313" t="s">
        <v>190</v>
      </c>
      <c r="H5" s="314"/>
      <c r="I5" s="312" t="s">
        <v>189</v>
      </c>
      <c r="J5" s="313" t="s">
        <v>190</v>
      </c>
      <c r="K5" s="314"/>
      <c r="L5" s="312" t="s">
        <v>189</v>
      </c>
      <c r="M5" s="313" t="s">
        <v>190</v>
      </c>
    </row>
    <row r="6" spans="1:13" x14ac:dyDescent="0.2">
      <c r="A6" s="37"/>
      <c r="B6" s="38" t="s">
        <v>14</v>
      </c>
      <c r="C6" s="315">
        <f>C7+C8</f>
        <v>2724.3131163200001</v>
      </c>
      <c r="D6" s="315">
        <f t="shared" ref="D6:M6" si="0">D7+D8</f>
        <v>3414</v>
      </c>
      <c r="E6" s="315"/>
      <c r="F6" s="315">
        <f t="shared" si="0"/>
        <v>2954.2014279519999</v>
      </c>
      <c r="G6" s="315">
        <f t="shared" si="0"/>
        <v>3712.8500000000004</v>
      </c>
      <c r="H6" s="315"/>
      <c r="I6" s="315">
        <f t="shared" si="0"/>
        <v>2968.0019266499198</v>
      </c>
      <c r="J6" s="315">
        <f t="shared" si="0"/>
        <v>3730.78</v>
      </c>
      <c r="K6" s="315"/>
      <c r="L6" s="315">
        <f t="shared" si="0"/>
        <v>3222.2471193149122</v>
      </c>
      <c r="M6" s="315">
        <f t="shared" si="0"/>
        <v>4061.32</v>
      </c>
    </row>
    <row r="7" spans="1:13" x14ac:dyDescent="0.2">
      <c r="A7" s="39" t="s">
        <v>118</v>
      </c>
      <c r="B7" s="40" t="s">
        <v>121</v>
      </c>
      <c r="C7" s="316">
        <v>108.14</v>
      </c>
      <c r="D7" s="316">
        <v>108.14</v>
      </c>
      <c r="E7" s="316"/>
      <c r="F7" s="316">
        <v>108.14</v>
      </c>
      <c r="G7" s="316">
        <v>108.14</v>
      </c>
      <c r="H7" s="316"/>
      <c r="I7" s="316">
        <v>108.14</v>
      </c>
      <c r="J7" s="316">
        <v>108.14</v>
      </c>
      <c r="K7" s="316"/>
      <c r="L7" s="316">
        <v>108.14</v>
      </c>
      <c r="M7" s="316">
        <v>108.14</v>
      </c>
    </row>
    <row r="8" spans="1:13" x14ac:dyDescent="0.2">
      <c r="A8" s="39" t="s">
        <v>119</v>
      </c>
      <c r="B8" s="40" t="s">
        <v>122</v>
      </c>
      <c r="C8" s="316">
        <f>C9+C14</f>
        <v>2616.1731163200002</v>
      </c>
      <c r="D8" s="316">
        <f t="shared" ref="D8:M8" si="1">D9+D14</f>
        <v>3305.86</v>
      </c>
      <c r="E8" s="316"/>
      <c r="F8" s="316">
        <f t="shared" si="1"/>
        <v>2846.061427952</v>
      </c>
      <c r="G8" s="316">
        <f t="shared" si="1"/>
        <v>3604.7100000000005</v>
      </c>
      <c r="H8" s="316"/>
      <c r="I8" s="316">
        <f t="shared" si="1"/>
        <v>2859.86192664992</v>
      </c>
      <c r="J8" s="316">
        <f t="shared" si="1"/>
        <v>3622.6400000000003</v>
      </c>
      <c r="K8" s="316"/>
      <c r="L8" s="316">
        <f t="shared" si="1"/>
        <v>3114.1071193149123</v>
      </c>
      <c r="M8" s="316">
        <f t="shared" si="1"/>
        <v>3953.1800000000003</v>
      </c>
    </row>
    <row r="9" spans="1:13" x14ac:dyDescent="0.2">
      <c r="A9" s="41" t="s">
        <v>123</v>
      </c>
      <c r="B9" s="42" t="s">
        <v>124</v>
      </c>
      <c r="C9" s="317">
        <f>C10+C13</f>
        <v>2298.87311632</v>
      </c>
      <c r="D9" s="317">
        <f t="shared" ref="D9:M9" si="2">D10+D13</f>
        <v>2988.56</v>
      </c>
      <c r="E9" s="317"/>
      <c r="F9" s="317">
        <f t="shared" si="2"/>
        <v>2528.7614279519998</v>
      </c>
      <c r="G9" s="317">
        <f t="shared" si="2"/>
        <v>3287.4100000000003</v>
      </c>
      <c r="H9" s="317"/>
      <c r="I9" s="317">
        <f t="shared" si="2"/>
        <v>2542.5619266499198</v>
      </c>
      <c r="J9" s="317">
        <f t="shared" si="2"/>
        <v>3305.34</v>
      </c>
      <c r="K9" s="317"/>
      <c r="L9" s="317">
        <f t="shared" si="2"/>
        <v>2796.8071193149121</v>
      </c>
      <c r="M9" s="317">
        <f t="shared" si="2"/>
        <v>3635.88</v>
      </c>
    </row>
    <row r="10" spans="1:13" ht="13.5" x14ac:dyDescent="0.2">
      <c r="A10" s="43" t="s">
        <v>125</v>
      </c>
      <c r="B10" s="44" t="s">
        <v>126</v>
      </c>
      <c r="C10" s="318">
        <f>C11+C12</f>
        <v>1860.0831163199998</v>
      </c>
      <c r="D10" s="318">
        <f t="shared" ref="D10:M10" si="3">D11+D12</f>
        <v>2418.12</v>
      </c>
      <c r="E10" s="318"/>
      <c r="F10" s="318">
        <f t="shared" si="3"/>
        <v>2046.091427952</v>
      </c>
      <c r="G10" s="318">
        <f t="shared" si="3"/>
        <v>2659.9300000000003</v>
      </c>
      <c r="H10" s="318"/>
      <c r="I10" s="318">
        <f t="shared" si="3"/>
        <v>2057.2519266499198</v>
      </c>
      <c r="J10" s="318">
        <f t="shared" si="3"/>
        <v>2674.44</v>
      </c>
      <c r="K10" s="318"/>
      <c r="L10" s="318">
        <f t="shared" si="3"/>
        <v>2262.9771193149122</v>
      </c>
      <c r="M10" s="318">
        <f t="shared" si="3"/>
        <v>2941.8900000000003</v>
      </c>
    </row>
    <row r="11" spans="1:13" s="45" customFormat="1" x14ac:dyDescent="0.2">
      <c r="A11" s="35" t="s">
        <v>127</v>
      </c>
      <c r="B11" s="46" t="s">
        <v>128</v>
      </c>
      <c r="C11" s="320">
        <v>1576.3416239999999</v>
      </c>
      <c r="D11" s="320">
        <v>2049.25</v>
      </c>
      <c r="E11" s="321"/>
      <c r="F11" s="320">
        <v>1733.9757864000001</v>
      </c>
      <c r="G11" s="320">
        <v>2254.17</v>
      </c>
      <c r="H11" s="321"/>
      <c r="I11" s="320">
        <v>1743.433836144</v>
      </c>
      <c r="J11" s="320">
        <v>2266.4700000000003</v>
      </c>
      <c r="K11" s="321"/>
      <c r="L11" s="320">
        <v>1917.7772197584002</v>
      </c>
      <c r="M11" s="320">
        <v>2493.1200000000003</v>
      </c>
    </row>
    <row r="12" spans="1:13" ht="76.5" x14ac:dyDescent="0.2">
      <c r="A12" s="35" t="s">
        <v>129</v>
      </c>
      <c r="B12" s="46" t="s">
        <v>130</v>
      </c>
      <c r="C12" s="320">
        <v>283.74149231999996</v>
      </c>
      <c r="D12" s="320">
        <v>368.87</v>
      </c>
      <c r="E12" s="322"/>
      <c r="F12" s="320">
        <v>312.115641552</v>
      </c>
      <c r="G12" s="320">
        <v>405.76</v>
      </c>
      <c r="H12" s="322"/>
      <c r="I12" s="320">
        <v>313.81809050592</v>
      </c>
      <c r="J12" s="320">
        <v>407.96999999999997</v>
      </c>
      <c r="K12" s="322"/>
      <c r="L12" s="320">
        <v>345.19989955651204</v>
      </c>
      <c r="M12" s="320">
        <v>448.77</v>
      </c>
    </row>
    <row r="13" spans="1:13" ht="13.5" x14ac:dyDescent="0.2">
      <c r="A13" s="43" t="s">
        <v>131</v>
      </c>
      <c r="B13" s="44" t="s">
        <v>132</v>
      </c>
      <c r="C13" s="318">
        <v>438.79</v>
      </c>
      <c r="D13" s="318">
        <v>570.44000000000005</v>
      </c>
      <c r="E13" s="319"/>
      <c r="F13" s="318">
        <v>482.67</v>
      </c>
      <c r="G13" s="318">
        <v>627.48</v>
      </c>
      <c r="H13" s="319"/>
      <c r="I13" s="318">
        <v>485.30999999999995</v>
      </c>
      <c r="J13" s="318">
        <v>630.9</v>
      </c>
      <c r="K13" s="319"/>
      <c r="L13" s="318">
        <v>533.82999999999993</v>
      </c>
      <c r="M13" s="318">
        <v>693.99</v>
      </c>
    </row>
    <row r="14" spans="1:13" ht="38.25" x14ac:dyDescent="0.2">
      <c r="A14" s="41" t="s">
        <v>133</v>
      </c>
      <c r="B14" s="42" t="s">
        <v>134</v>
      </c>
      <c r="C14" s="317">
        <f>C15+C22</f>
        <v>317.3</v>
      </c>
      <c r="D14" s="317">
        <f t="shared" ref="D14:M14" si="4">D15+D22</f>
        <v>317.3</v>
      </c>
      <c r="E14" s="317"/>
      <c r="F14" s="317">
        <f t="shared" si="4"/>
        <v>317.3</v>
      </c>
      <c r="G14" s="317">
        <f t="shared" si="4"/>
        <v>317.3</v>
      </c>
      <c r="H14" s="317"/>
      <c r="I14" s="317">
        <f t="shared" si="4"/>
        <v>317.3</v>
      </c>
      <c r="J14" s="317">
        <f t="shared" si="4"/>
        <v>317.3</v>
      </c>
      <c r="K14" s="317"/>
      <c r="L14" s="317">
        <f t="shared" si="4"/>
        <v>317.3</v>
      </c>
      <c r="M14" s="317">
        <f t="shared" si="4"/>
        <v>317.3</v>
      </c>
    </row>
    <row r="15" spans="1:13" ht="27" x14ac:dyDescent="0.2">
      <c r="A15" s="43" t="s">
        <v>135</v>
      </c>
      <c r="B15" s="44" t="s">
        <v>136</v>
      </c>
      <c r="C15" s="318">
        <f>C16+C19</f>
        <v>286</v>
      </c>
      <c r="D15" s="318">
        <f t="shared" ref="D15:M15" si="5">D16+D19</f>
        <v>286</v>
      </c>
      <c r="E15" s="318"/>
      <c r="F15" s="318">
        <f t="shared" si="5"/>
        <v>286</v>
      </c>
      <c r="G15" s="318">
        <f t="shared" si="5"/>
        <v>286</v>
      </c>
      <c r="H15" s="318"/>
      <c r="I15" s="318">
        <f t="shared" si="5"/>
        <v>286</v>
      </c>
      <c r="J15" s="318">
        <f t="shared" si="5"/>
        <v>286</v>
      </c>
      <c r="K15" s="318"/>
      <c r="L15" s="318">
        <f t="shared" si="5"/>
        <v>286</v>
      </c>
      <c r="M15" s="318">
        <f t="shared" si="5"/>
        <v>286</v>
      </c>
    </row>
    <row r="16" spans="1:13" ht="38.25" x14ac:dyDescent="0.2">
      <c r="A16" s="35" t="s">
        <v>137</v>
      </c>
      <c r="B16" s="46" t="s">
        <v>138</v>
      </c>
      <c r="C16" s="51">
        <f>C17+C18</f>
        <v>254.69</v>
      </c>
      <c r="D16" s="51">
        <f t="shared" ref="D16:M16" si="6">D17+D18</f>
        <v>254.69</v>
      </c>
      <c r="E16" s="51"/>
      <c r="F16" s="51">
        <f t="shared" si="6"/>
        <v>254.69</v>
      </c>
      <c r="G16" s="51">
        <f t="shared" si="6"/>
        <v>254.69</v>
      </c>
      <c r="H16" s="51"/>
      <c r="I16" s="51">
        <f t="shared" si="6"/>
        <v>254.69</v>
      </c>
      <c r="J16" s="51">
        <f t="shared" si="6"/>
        <v>254.69</v>
      </c>
      <c r="K16" s="51"/>
      <c r="L16" s="51">
        <f t="shared" si="6"/>
        <v>254.69</v>
      </c>
      <c r="M16" s="51">
        <f t="shared" si="6"/>
        <v>254.69</v>
      </c>
    </row>
    <row r="17" spans="1:13" x14ac:dyDescent="0.2">
      <c r="A17" s="35" t="s">
        <v>139</v>
      </c>
      <c r="B17" s="46" t="s">
        <v>140</v>
      </c>
      <c r="C17" s="51">
        <v>206.08</v>
      </c>
      <c r="D17" s="51">
        <v>206.08</v>
      </c>
      <c r="E17" s="323"/>
      <c r="F17" s="51">
        <v>206.08</v>
      </c>
      <c r="G17" s="51">
        <v>206.08</v>
      </c>
      <c r="H17" s="323"/>
      <c r="I17" s="51">
        <v>206.08</v>
      </c>
      <c r="J17" s="51">
        <v>206.08</v>
      </c>
      <c r="K17" s="323"/>
      <c r="L17" s="51">
        <v>206.08</v>
      </c>
      <c r="M17" s="51">
        <v>206.08</v>
      </c>
    </row>
    <row r="18" spans="1:13" x14ac:dyDescent="0.2">
      <c r="A18" s="35" t="s">
        <v>141</v>
      </c>
      <c r="B18" s="46" t="s">
        <v>142</v>
      </c>
      <c r="C18" s="51">
        <v>48.61</v>
      </c>
      <c r="D18" s="51">
        <v>48.61</v>
      </c>
      <c r="E18" s="323"/>
      <c r="F18" s="51">
        <v>48.61</v>
      </c>
      <c r="G18" s="51">
        <v>48.61</v>
      </c>
      <c r="H18" s="323"/>
      <c r="I18" s="51">
        <v>48.61</v>
      </c>
      <c r="J18" s="51">
        <v>48.61</v>
      </c>
      <c r="K18" s="323"/>
      <c r="L18" s="51">
        <v>48.61</v>
      </c>
      <c r="M18" s="51">
        <v>48.61</v>
      </c>
    </row>
    <row r="19" spans="1:13" ht="38.25" x14ac:dyDescent="0.2">
      <c r="A19" s="35" t="s">
        <v>143</v>
      </c>
      <c r="B19" s="46" t="s">
        <v>144</v>
      </c>
      <c r="C19" s="51">
        <f>C20+C21</f>
        <v>31.310000000000002</v>
      </c>
      <c r="D19" s="51">
        <f t="shared" ref="D19:M19" si="7">D20+D21</f>
        <v>31.310000000000002</v>
      </c>
      <c r="E19" s="51"/>
      <c r="F19" s="51">
        <f t="shared" si="7"/>
        <v>31.310000000000002</v>
      </c>
      <c r="G19" s="51">
        <f t="shared" si="7"/>
        <v>31.310000000000002</v>
      </c>
      <c r="H19" s="51"/>
      <c r="I19" s="51">
        <f t="shared" si="7"/>
        <v>31.310000000000002</v>
      </c>
      <c r="J19" s="51">
        <f t="shared" si="7"/>
        <v>31.310000000000002</v>
      </c>
      <c r="K19" s="51"/>
      <c r="L19" s="51">
        <f t="shared" si="7"/>
        <v>31.310000000000002</v>
      </c>
      <c r="M19" s="51">
        <f t="shared" si="7"/>
        <v>31.310000000000002</v>
      </c>
    </row>
    <row r="20" spans="1:13" x14ac:dyDescent="0.2">
      <c r="A20" s="35" t="s">
        <v>145</v>
      </c>
      <c r="B20" s="46" t="s">
        <v>140</v>
      </c>
      <c r="C20" s="51">
        <v>25.330000000000002</v>
      </c>
      <c r="D20" s="51">
        <v>25.330000000000002</v>
      </c>
      <c r="E20" s="323"/>
      <c r="F20" s="51">
        <v>25.330000000000002</v>
      </c>
      <c r="G20" s="51">
        <v>25.330000000000002</v>
      </c>
      <c r="H20" s="323"/>
      <c r="I20" s="51">
        <v>25.330000000000002</v>
      </c>
      <c r="J20" s="51">
        <v>25.330000000000002</v>
      </c>
      <c r="K20" s="323"/>
      <c r="L20" s="51">
        <v>25.330000000000002</v>
      </c>
      <c r="M20" s="51">
        <v>25.330000000000002</v>
      </c>
    </row>
    <row r="21" spans="1:13" x14ac:dyDescent="0.2">
      <c r="A21" s="35" t="s">
        <v>146</v>
      </c>
      <c r="B21" s="46" t="s">
        <v>142</v>
      </c>
      <c r="C21" s="51">
        <v>5.98</v>
      </c>
      <c r="D21" s="51">
        <v>5.98</v>
      </c>
      <c r="E21" s="323"/>
      <c r="F21" s="51">
        <v>5.98</v>
      </c>
      <c r="G21" s="51">
        <v>5.98</v>
      </c>
      <c r="H21" s="323"/>
      <c r="I21" s="51">
        <v>5.98</v>
      </c>
      <c r="J21" s="51">
        <v>5.98</v>
      </c>
      <c r="K21" s="323"/>
      <c r="L21" s="51">
        <v>5.98</v>
      </c>
      <c r="M21" s="51">
        <v>5.98</v>
      </c>
    </row>
    <row r="22" spans="1:13" ht="27" x14ac:dyDescent="0.2">
      <c r="A22" s="43" t="s">
        <v>147</v>
      </c>
      <c r="B22" s="44" t="s">
        <v>148</v>
      </c>
      <c r="C22" s="318">
        <f>C23+C24</f>
        <v>31.3</v>
      </c>
      <c r="D22" s="318">
        <f t="shared" ref="D22:M22" si="8">D23+D24</f>
        <v>31.3</v>
      </c>
      <c r="E22" s="318"/>
      <c r="F22" s="318">
        <f t="shared" si="8"/>
        <v>31.3</v>
      </c>
      <c r="G22" s="318">
        <f t="shared" si="8"/>
        <v>31.3</v>
      </c>
      <c r="H22" s="318"/>
      <c r="I22" s="318">
        <f t="shared" si="8"/>
        <v>31.3</v>
      </c>
      <c r="J22" s="318">
        <f t="shared" si="8"/>
        <v>31.3</v>
      </c>
      <c r="K22" s="318"/>
      <c r="L22" s="318">
        <f t="shared" si="8"/>
        <v>31.3</v>
      </c>
      <c r="M22" s="318">
        <f t="shared" si="8"/>
        <v>31.3</v>
      </c>
    </row>
    <row r="23" spans="1:13" ht="76.5" x14ac:dyDescent="0.2">
      <c r="A23" s="35" t="s">
        <v>149</v>
      </c>
      <c r="B23" s="46" t="s">
        <v>150</v>
      </c>
      <c r="C23" s="51">
        <v>15.65</v>
      </c>
      <c r="D23" s="51">
        <v>15.65</v>
      </c>
      <c r="E23" s="323"/>
      <c r="F23" s="51">
        <v>15.65</v>
      </c>
      <c r="G23" s="51">
        <v>15.65</v>
      </c>
      <c r="H23" s="323"/>
      <c r="I23" s="51">
        <v>15.65</v>
      </c>
      <c r="J23" s="51">
        <v>15.65</v>
      </c>
      <c r="K23" s="323"/>
      <c r="L23" s="51">
        <v>15.65</v>
      </c>
      <c r="M23" s="51">
        <v>15.65</v>
      </c>
    </row>
    <row r="24" spans="1:13" ht="114.75" x14ac:dyDescent="0.2">
      <c r="A24" s="35" t="s">
        <v>151</v>
      </c>
      <c r="B24" s="46" t="s">
        <v>152</v>
      </c>
      <c r="C24" s="51">
        <v>15.65</v>
      </c>
      <c r="D24" s="51">
        <v>15.65</v>
      </c>
      <c r="E24" s="323"/>
      <c r="F24" s="51">
        <v>15.65</v>
      </c>
      <c r="G24" s="51">
        <v>15.65</v>
      </c>
      <c r="H24" s="323"/>
      <c r="I24" s="51">
        <v>15.65</v>
      </c>
      <c r="J24" s="51">
        <v>15.65</v>
      </c>
      <c r="K24" s="323"/>
      <c r="L24" s="51">
        <v>15.65</v>
      </c>
      <c r="M24" s="51">
        <v>15.65</v>
      </c>
    </row>
    <row r="25" spans="1:13" x14ac:dyDescent="0.2">
      <c r="A25" s="91"/>
      <c r="B25" s="324"/>
      <c r="C25" s="325"/>
      <c r="D25" s="325"/>
      <c r="E25" s="325"/>
      <c r="F25" s="325"/>
      <c r="G25" s="325"/>
      <c r="H25" s="325"/>
      <c r="I25" s="325"/>
      <c r="J25" s="325"/>
      <c r="K25" s="325"/>
      <c r="L25" s="325"/>
      <c r="M25" s="325"/>
    </row>
    <row r="26" spans="1:13" x14ac:dyDescent="0.2">
      <c r="B26" s="326" t="s">
        <v>480</v>
      </c>
      <c r="C26" s="121">
        <f t="shared" ref="C26:D28" si="9">C7*12</f>
        <v>1297.68</v>
      </c>
      <c r="D26" s="121">
        <f t="shared" si="9"/>
        <v>1297.68</v>
      </c>
      <c r="E26" s="121"/>
      <c r="F26" s="121">
        <f t="shared" ref="F26:G28" si="10">F7*12</f>
        <v>1297.68</v>
      </c>
      <c r="G26" s="121">
        <f t="shared" si="10"/>
        <v>1297.68</v>
      </c>
      <c r="H26" s="121"/>
      <c r="I26" s="121">
        <f t="shared" ref="I26:J28" si="11">I7*12</f>
        <v>1297.68</v>
      </c>
      <c r="J26" s="121">
        <f t="shared" si="11"/>
        <v>1297.68</v>
      </c>
      <c r="K26" s="121"/>
      <c r="L26" s="121">
        <f t="shared" ref="L26:M28" si="12">L7*12</f>
        <v>1297.68</v>
      </c>
      <c r="M26" s="121">
        <f t="shared" si="12"/>
        <v>1297.68</v>
      </c>
    </row>
    <row r="27" spans="1:13" x14ac:dyDescent="0.2">
      <c r="B27" s="326" t="s">
        <v>481</v>
      </c>
      <c r="C27" s="121">
        <f t="shared" si="9"/>
        <v>31394.077395840002</v>
      </c>
      <c r="D27" s="121">
        <f t="shared" si="9"/>
        <v>39670.32</v>
      </c>
      <c r="E27" s="121"/>
      <c r="F27" s="121">
        <f t="shared" si="10"/>
        <v>34152.737135424002</v>
      </c>
      <c r="G27" s="121">
        <f t="shared" si="10"/>
        <v>43256.520000000004</v>
      </c>
      <c r="H27" s="121"/>
      <c r="I27" s="121">
        <f t="shared" si="11"/>
        <v>34318.343119799043</v>
      </c>
      <c r="J27" s="121">
        <f t="shared" si="11"/>
        <v>43471.680000000008</v>
      </c>
      <c r="K27" s="121"/>
      <c r="L27" s="121">
        <f t="shared" si="12"/>
        <v>37369.285431778946</v>
      </c>
      <c r="M27" s="121">
        <f t="shared" si="12"/>
        <v>47438.16</v>
      </c>
    </row>
    <row r="28" spans="1:13" x14ac:dyDescent="0.2">
      <c r="B28" s="326" t="s">
        <v>482</v>
      </c>
      <c r="C28" s="121">
        <f>C9*12</f>
        <v>27586.47739584</v>
      </c>
      <c r="D28" s="121">
        <f t="shared" si="9"/>
        <v>35862.720000000001</v>
      </c>
      <c r="E28" s="121"/>
      <c r="F28" s="121">
        <f t="shared" si="10"/>
        <v>30345.137135423996</v>
      </c>
      <c r="G28" s="121">
        <f t="shared" si="10"/>
        <v>39448.920000000006</v>
      </c>
      <c r="H28" s="121"/>
      <c r="I28" s="121">
        <f t="shared" si="11"/>
        <v>30510.743119799037</v>
      </c>
      <c r="J28" s="121">
        <f t="shared" si="11"/>
        <v>39664.080000000002</v>
      </c>
      <c r="K28" s="121"/>
      <c r="L28" s="121">
        <f t="shared" si="12"/>
        <v>33561.685431778948</v>
      </c>
      <c r="M28" s="121">
        <f t="shared" si="12"/>
        <v>43630.559999999998</v>
      </c>
    </row>
    <row r="31" spans="1:13" ht="15.75" x14ac:dyDescent="0.25">
      <c r="B31" s="327" t="s">
        <v>483</v>
      </c>
      <c r="C31"/>
      <c r="D31"/>
      <c r="E31"/>
    </row>
    <row r="32" spans="1:13" ht="15.75" x14ac:dyDescent="0.25">
      <c r="B32" s="328"/>
      <c r="C32"/>
      <c r="D32"/>
      <c r="E32"/>
    </row>
    <row r="33" spans="2:6" ht="40.5" customHeight="1" x14ac:dyDescent="0.25">
      <c r="B33" s="329"/>
      <c r="C33" s="329" t="s">
        <v>601</v>
      </c>
      <c r="D33" s="329" t="s">
        <v>602</v>
      </c>
      <c r="E33" s="706" t="s">
        <v>603</v>
      </c>
      <c r="F33" s="708"/>
    </row>
    <row r="34" spans="2:6" ht="51" x14ac:dyDescent="0.25">
      <c r="B34" s="330" t="s">
        <v>484</v>
      </c>
      <c r="C34" s="331">
        <f>D11</f>
        <v>2049.25</v>
      </c>
      <c r="D34" s="331">
        <f>J11</f>
        <v>2266.4700000000003</v>
      </c>
      <c r="E34" s="709">
        <f>D34/C34-1</f>
        <v>0.10599975600829592</v>
      </c>
      <c r="F34" s="704"/>
    </row>
    <row r="35" spans="2:6" ht="25.5" x14ac:dyDescent="0.2">
      <c r="B35" s="332" t="s">
        <v>485</v>
      </c>
      <c r="C35" s="705">
        <f>C11</f>
        <v>1576.3416239999999</v>
      </c>
      <c r="D35" s="705">
        <f>I11</f>
        <v>1743.433836144</v>
      </c>
      <c r="E35" s="703">
        <f>D35/C35-1</f>
        <v>0.10600000000000009</v>
      </c>
      <c r="F35" s="704"/>
    </row>
    <row r="36" spans="2:6" ht="25.5" x14ac:dyDescent="0.2">
      <c r="B36" s="333" t="s">
        <v>486</v>
      </c>
      <c r="C36" s="706"/>
      <c r="D36" s="706"/>
      <c r="E36" s="707"/>
      <c r="F36" s="704"/>
    </row>
    <row r="37" spans="2:6" ht="76.5" x14ac:dyDescent="0.25">
      <c r="B37" s="330" t="s">
        <v>487</v>
      </c>
      <c r="C37" s="331">
        <f>G11</f>
        <v>2254.17</v>
      </c>
      <c r="D37" s="331">
        <f>M11</f>
        <v>2493.1200000000003</v>
      </c>
      <c r="E37" s="703">
        <f>D37/C37-1</f>
        <v>0.10600354010567092</v>
      </c>
      <c r="F37" s="704"/>
    </row>
    <row r="38" spans="2:6" ht="51" x14ac:dyDescent="0.2">
      <c r="B38" s="332" t="s">
        <v>488</v>
      </c>
      <c r="C38" s="705">
        <f>F11</f>
        <v>1733.9757864000001</v>
      </c>
      <c r="D38" s="705">
        <f>L11</f>
        <v>1917.7772197584002</v>
      </c>
      <c r="E38" s="703">
        <f>D38/C38-1</f>
        <v>0.10600000000000009</v>
      </c>
      <c r="F38" s="704"/>
    </row>
    <row r="39" spans="2:6" ht="25.5" x14ac:dyDescent="0.2">
      <c r="B39" s="333" t="s">
        <v>489</v>
      </c>
      <c r="C39" s="706"/>
      <c r="D39" s="706"/>
      <c r="E39" s="707"/>
      <c r="F39" s="704"/>
    </row>
  </sheetData>
  <mergeCells count="15">
    <mergeCell ref="L1:M1"/>
    <mergeCell ref="C3:G3"/>
    <mergeCell ref="C4:D4"/>
    <mergeCell ref="F4:G4"/>
    <mergeCell ref="I4:J4"/>
    <mergeCell ref="L4:M4"/>
    <mergeCell ref="E37:F37"/>
    <mergeCell ref="C38:C39"/>
    <mergeCell ref="D38:D39"/>
    <mergeCell ref="E38:F39"/>
    <mergeCell ref="E33:F33"/>
    <mergeCell ref="E34:F34"/>
    <mergeCell ref="C35:C36"/>
    <mergeCell ref="D35:D36"/>
    <mergeCell ref="E35:F36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F4842-DCE4-4072-A98F-702BFD4203C9}">
  <sheetPr>
    <tabColor theme="9" tint="0.79998168889431442"/>
  </sheetPr>
  <dimension ref="A1:N34"/>
  <sheetViews>
    <sheetView zoomScale="80" zoomScaleNormal="80" workbookViewId="0">
      <selection activeCell="H19" sqref="H19"/>
    </sheetView>
  </sheetViews>
  <sheetFormatPr defaultRowHeight="15" x14ac:dyDescent="0.25"/>
  <cols>
    <col min="1" max="1" width="9.140625" style="122"/>
    <col min="2" max="2" width="9.140625" style="123"/>
    <col min="3" max="3" width="34.28515625" style="123" customWidth="1"/>
    <col min="4" max="4" width="14" style="123" customWidth="1"/>
    <col min="5" max="5" width="15.28515625" style="123" customWidth="1"/>
    <col min="6" max="6" width="13.85546875" style="123" customWidth="1"/>
    <col min="7" max="7" width="13" style="123" customWidth="1"/>
    <col min="8" max="8" width="13.7109375" style="123" customWidth="1"/>
    <col min="9" max="9" width="5.42578125" style="123" customWidth="1"/>
    <col min="10" max="13" width="19" style="123" customWidth="1"/>
    <col min="14" max="202" width="9.140625" style="122"/>
    <col min="203" max="203" width="2.85546875" style="122" customWidth="1"/>
    <col min="204" max="204" width="9.140625" style="122"/>
    <col min="205" max="205" width="11.140625" style="122" customWidth="1"/>
    <col min="206" max="206" width="13.85546875" style="122" customWidth="1"/>
    <col min="207" max="207" width="12.28515625" style="122" customWidth="1"/>
    <col min="208" max="208" width="11.42578125" style="122" customWidth="1"/>
    <col min="209" max="209" width="2.5703125" style="122" customWidth="1"/>
    <col min="210" max="212" width="0" style="122" hidden="1" customWidth="1"/>
    <col min="213" max="213" width="9.140625" style="122"/>
    <col min="214" max="214" width="34.28515625" style="122" customWidth="1"/>
    <col min="215" max="219" width="24.85546875" style="122" customWidth="1"/>
    <col min="220" max="220" width="11.42578125" style="122" customWidth="1"/>
    <col min="221" max="221" width="12.85546875" style="122" customWidth="1"/>
    <col min="222" max="222" width="23.5703125" style="122" customWidth="1"/>
    <col min="223" max="223" width="9.140625" style="122"/>
    <col min="224" max="224" width="15.7109375" style="122" customWidth="1"/>
    <col min="225" max="225" width="9.140625" style="122"/>
    <col min="226" max="226" width="14.85546875" style="122" customWidth="1"/>
    <col min="227" max="229" width="19.28515625" style="122" customWidth="1"/>
    <col min="230" max="458" width="9.140625" style="122"/>
    <col min="459" max="459" width="2.85546875" style="122" customWidth="1"/>
    <col min="460" max="460" width="9.140625" style="122"/>
    <col min="461" max="461" width="11.140625" style="122" customWidth="1"/>
    <col min="462" max="462" width="13.85546875" style="122" customWidth="1"/>
    <col min="463" max="463" width="12.28515625" style="122" customWidth="1"/>
    <col min="464" max="464" width="11.42578125" style="122" customWidth="1"/>
    <col min="465" max="465" width="2.5703125" style="122" customWidth="1"/>
    <col min="466" max="468" width="0" style="122" hidden="1" customWidth="1"/>
    <col min="469" max="469" width="9.140625" style="122"/>
    <col min="470" max="470" width="34.28515625" style="122" customWidth="1"/>
    <col min="471" max="475" width="24.85546875" style="122" customWidth="1"/>
    <col min="476" max="476" width="11.42578125" style="122" customWidth="1"/>
    <col min="477" max="477" width="12.85546875" style="122" customWidth="1"/>
    <col min="478" max="478" width="23.5703125" style="122" customWidth="1"/>
    <col min="479" max="479" width="9.140625" style="122"/>
    <col min="480" max="480" width="15.7109375" style="122" customWidth="1"/>
    <col min="481" max="481" width="9.140625" style="122"/>
    <col min="482" max="482" width="14.85546875" style="122" customWidth="1"/>
    <col min="483" max="485" width="19.28515625" style="122" customWidth="1"/>
    <col min="486" max="714" width="9.140625" style="122"/>
    <col min="715" max="715" width="2.85546875" style="122" customWidth="1"/>
    <col min="716" max="716" width="9.140625" style="122"/>
    <col min="717" max="717" width="11.140625" style="122" customWidth="1"/>
    <col min="718" max="718" width="13.85546875" style="122" customWidth="1"/>
    <col min="719" max="719" width="12.28515625" style="122" customWidth="1"/>
    <col min="720" max="720" width="11.42578125" style="122" customWidth="1"/>
    <col min="721" max="721" width="2.5703125" style="122" customWidth="1"/>
    <col min="722" max="724" width="0" style="122" hidden="1" customWidth="1"/>
    <col min="725" max="725" width="9.140625" style="122"/>
    <col min="726" max="726" width="34.28515625" style="122" customWidth="1"/>
    <col min="727" max="731" width="24.85546875" style="122" customWidth="1"/>
    <col min="732" max="732" width="11.42578125" style="122" customWidth="1"/>
    <col min="733" max="733" width="12.85546875" style="122" customWidth="1"/>
    <col min="734" max="734" width="23.5703125" style="122" customWidth="1"/>
    <col min="735" max="735" width="9.140625" style="122"/>
    <col min="736" max="736" width="15.7109375" style="122" customWidth="1"/>
    <col min="737" max="737" width="9.140625" style="122"/>
    <col min="738" max="738" width="14.85546875" style="122" customWidth="1"/>
    <col min="739" max="741" width="19.28515625" style="122" customWidth="1"/>
    <col min="742" max="970" width="9.140625" style="122"/>
    <col min="971" max="971" width="2.85546875" style="122" customWidth="1"/>
    <col min="972" max="972" width="9.140625" style="122"/>
    <col min="973" max="973" width="11.140625" style="122" customWidth="1"/>
    <col min="974" max="974" width="13.85546875" style="122" customWidth="1"/>
    <col min="975" max="975" width="12.28515625" style="122" customWidth="1"/>
    <col min="976" max="976" width="11.42578125" style="122" customWidth="1"/>
    <col min="977" max="977" width="2.5703125" style="122" customWidth="1"/>
    <col min="978" max="980" width="0" style="122" hidden="1" customWidth="1"/>
    <col min="981" max="981" width="9.140625" style="122"/>
    <col min="982" max="982" width="34.28515625" style="122" customWidth="1"/>
    <col min="983" max="987" width="24.85546875" style="122" customWidth="1"/>
    <col min="988" max="988" width="11.42578125" style="122" customWidth="1"/>
    <col min="989" max="989" width="12.85546875" style="122" customWidth="1"/>
    <col min="990" max="990" width="23.5703125" style="122" customWidth="1"/>
    <col min="991" max="991" width="9.140625" style="122"/>
    <col min="992" max="992" width="15.7109375" style="122" customWidth="1"/>
    <col min="993" max="993" width="9.140625" style="122"/>
    <col min="994" max="994" width="14.85546875" style="122" customWidth="1"/>
    <col min="995" max="997" width="19.28515625" style="122" customWidth="1"/>
    <col min="998" max="1226" width="9.140625" style="122"/>
    <col min="1227" max="1227" width="2.85546875" style="122" customWidth="1"/>
    <col min="1228" max="1228" width="9.140625" style="122"/>
    <col min="1229" max="1229" width="11.140625" style="122" customWidth="1"/>
    <col min="1230" max="1230" width="13.85546875" style="122" customWidth="1"/>
    <col min="1231" max="1231" width="12.28515625" style="122" customWidth="1"/>
    <col min="1232" max="1232" width="11.42578125" style="122" customWidth="1"/>
    <col min="1233" max="1233" width="2.5703125" style="122" customWidth="1"/>
    <col min="1234" max="1236" width="0" style="122" hidden="1" customWidth="1"/>
    <col min="1237" max="1237" width="9.140625" style="122"/>
    <col min="1238" max="1238" width="34.28515625" style="122" customWidth="1"/>
    <col min="1239" max="1243" width="24.85546875" style="122" customWidth="1"/>
    <col min="1244" max="1244" width="11.42578125" style="122" customWidth="1"/>
    <col min="1245" max="1245" width="12.85546875" style="122" customWidth="1"/>
    <col min="1246" max="1246" width="23.5703125" style="122" customWidth="1"/>
    <col min="1247" max="1247" width="9.140625" style="122"/>
    <col min="1248" max="1248" width="15.7109375" style="122" customWidth="1"/>
    <col min="1249" max="1249" width="9.140625" style="122"/>
    <col min="1250" max="1250" width="14.85546875" style="122" customWidth="1"/>
    <col min="1251" max="1253" width="19.28515625" style="122" customWidth="1"/>
    <col min="1254" max="1482" width="9.140625" style="122"/>
    <col min="1483" max="1483" width="2.85546875" style="122" customWidth="1"/>
    <col min="1484" max="1484" width="9.140625" style="122"/>
    <col min="1485" max="1485" width="11.140625" style="122" customWidth="1"/>
    <col min="1486" max="1486" width="13.85546875" style="122" customWidth="1"/>
    <col min="1487" max="1487" width="12.28515625" style="122" customWidth="1"/>
    <col min="1488" max="1488" width="11.42578125" style="122" customWidth="1"/>
    <col min="1489" max="1489" width="2.5703125" style="122" customWidth="1"/>
    <col min="1490" max="1492" width="0" style="122" hidden="1" customWidth="1"/>
    <col min="1493" max="1493" width="9.140625" style="122"/>
    <col min="1494" max="1494" width="34.28515625" style="122" customWidth="1"/>
    <col min="1495" max="1499" width="24.85546875" style="122" customWidth="1"/>
    <col min="1500" max="1500" width="11.42578125" style="122" customWidth="1"/>
    <col min="1501" max="1501" width="12.85546875" style="122" customWidth="1"/>
    <col min="1502" max="1502" width="23.5703125" style="122" customWidth="1"/>
    <col min="1503" max="1503" width="9.140625" style="122"/>
    <col min="1504" max="1504" width="15.7109375" style="122" customWidth="1"/>
    <col min="1505" max="1505" width="9.140625" style="122"/>
    <col min="1506" max="1506" width="14.85546875" style="122" customWidth="1"/>
    <col min="1507" max="1509" width="19.28515625" style="122" customWidth="1"/>
    <col min="1510" max="1738" width="9.140625" style="122"/>
    <col min="1739" max="1739" width="2.85546875" style="122" customWidth="1"/>
    <col min="1740" max="1740" width="9.140625" style="122"/>
    <col min="1741" max="1741" width="11.140625" style="122" customWidth="1"/>
    <col min="1742" max="1742" width="13.85546875" style="122" customWidth="1"/>
    <col min="1743" max="1743" width="12.28515625" style="122" customWidth="1"/>
    <col min="1744" max="1744" width="11.42578125" style="122" customWidth="1"/>
    <col min="1745" max="1745" width="2.5703125" style="122" customWidth="1"/>
    <col min="1746" max="1748" width="0" style="122" hidden="1" customWidth="1"/>
    <col min="1749" max="1749" width="9.140625" style="122"/>
    <col min="1750" max="1750" width="34.28515625" style="122" customWidth="1"/>
    <col min="1751" max="1755" width="24.85546875" style="122" customWidth="1"/>
    <col min="1756" max="1756" width="11.42578125" style="122" customWidth="1"/>
    <col min="1757" max="1757" width="12.85546875" style="122" customWidth="1"/>
    <col min="1758" max="1758" width="23.5703125" style="122" customWidth="1"/>
    <col min="1759" max="1759" width="9.140625" style="122"/>
    <col min="1760" max="1760" width="15.7109375" style="122" customWidth="1"/>
    <col min="1761" max="1761" width="9.140625" style="122"/>
    <col min="1762" max="1762" width="14.85546875" style="122" customWidth="1"/>
    <col min="1763" max="1765" width="19.28515625" style="122" customWidth="1"/>
    <col min="1766" max="1994" width="9.140625" style="122"/>
    <col min="1995" max="1995" width="2.85546875" style="122" customWidth="1"/>
    <col min="1996" max="1996" width="9.140625" style="122"/>
    <col min="1997" max="1997" width="11.140625" style="122" customWidth="1"/>
    <col min="1998" max="1998" width="13.85546875" style="122" customWidth="1"/>
    <col min="1999" max="1999" width="12.28515625" style="122" customWidth="1"/>
    <col min="2000" max="2000" width="11.42578125" style="122" customWidth="1"/>
    <col min="2001" max="2001" width="2.5703125" style="122" customWidth="1"/>
    <col min="2002" max="2004" width="0" style="122" hidden="1" customWidth="1"/>
    <col min="2005" max="2005" width="9.140625" style="122"/>
    <col min="2006" max="2006" width="34.28515625" style="122" customWidth="1"/>
    <col min="2007" max="2011" width="24.85546875" style="122" customWidth="1"/>
    <col min="2012" max="2012" width="11.42578125" style="122" customWidth="1"/>
    <col min="2013" max="2013" width="12.85546875" style="122" customWidth="1"/>
    <col min="2014" max="2014" width="23.5703125" style="122" customWidth="1"/>
    <col min="2015" max="2015" width="9.140625" style="122"/>
    <col min="2016" max="2016" width="15.7109375" style="122" customWidth="1"/>
    <col min="2017" max="2017" width="9.140625" style="122"/>
    <col min="2018" max="2018" width="14.85546875" style="122" customWidth="1"/>
    <col min="2019" max="2021" width="19.28515625" style="122" customWidth="1"/>
    <col min="2022" max="2250" width="9.140625" style="122"/>
    <col min="2251" max="2251" width="2.85546875" style="122" customWidth="1"/>
    <col min="2252" max="2252" width="9.140625" style="122"/>
    <col min="2253" max="2253" width="11.140625" style="122" customWidth="1"/>
    <col min="2254" max="2254" width="13.85546875" style="122" customWidth="1"/>
    <col min="2255" max="2255" width="12.28515625" style="122" customWidth="1"/>
    <col min="2256" max="2256" width="11.42578125" style="122" customWidth="1"/>
    <col min="2257" max="2257" width="2.5703125" style="122" customWidth="1"/>
    <col min="2258" max="2260" width="0" style="122" hidden="1" customWidth="1"/>
    <col min="2261" max="2261" width="9.140625" style="122"/>
    <col min="2262" max="2262" width="34.28515625" style="122" customWidth="1"/>
    <col min="2263" max="2267" width="24.85546875" style="122" customWidth="1"/>
    <col min="2268" max="2268" width="11.42578125" style="122" customWidth="1"/>
    <col min="2269" max="2269" width="12.85546875" style="122" customWidth="1"/>
    <col min="2270" max="2270" width="23.5703125" style="122" customWidth="1"/>
    <col min="2271" max="2271" width="9.140625" style="122"/>
    <col min="2272" max="2272" width="15.7109375" style="122" customWidth="1"/>
    <col min="2273" max="2273" width="9.140625" style="122"/>
    <col min="2274" max="2274" width="14.85546875" style="122" customWidth="1"/>
    <col min="2275" max="2277" width="19.28515625" style="122" customWidth="1"/>
    <col min="2278" max="2506" width="9.140625" style="122"/>
    <col min="2507" max="2507" width="2.85546875" style="122" customWidth="1"/>
    <col min="2508" max="2508" width="9.140625" style="122"/>
    <col min="2509" max="2509" width="11.140625" style="122" customWidth="1"/>
    <col min="2510" max="2510" width="13.85546875" style="122" customWidth="1"/>
    <col min="2511" max="2511" width="12.28515625" style="122" customWidth="1"/>
    <col min="2512" max="2512" width="11.42578125" style="122" customWidth="1"/>
    <col min="2513" max="2513" width="2.5703125" style="122" customWidth="1"/>
    <col min="2514" max="2516" width="0" style="122" hidden="1" customWidth="1"/>
    <col min="2517" max="2517" width="9.140625" style="122"/>
    <col min="2518" max="2518" width="34.28515625" style="122" customWidth="1"/>
    <col min="2519" max="2523" width="24.85546875" style="122" customWidth="1"/>
    <col min="2524" max="2524" width="11.42578125" style="122" customWidth="1"/>
    <col min="2525" max="2525" width="12.85546875" style="122" customWidth="1"/>
    <col min="2526" max="2526" width="23.5703125" style="122" customWidth="1"/>
    <col min="2527" max="2527" width="9.140625" style="122"/>
    <col min="2528" max="2528" width="15.7109375" style="122" customWidth="1"/>
    <col min="2529" max="2529" width="9.140625" style="122"/>
    <col min="2530" max="2530" width="14.85546875" style="122" customWidth="1"/>
    <col min="2531" max="2533" width="19.28515625" style="122" customWidth="1"/>
    <col min="2534" max="2762" width="9.140625" style="122"/>
    <col min="2763" max="2763" width="2.85546875" style="122" customWidth="1"/>
    <col min="2764" max="2764" width="9.140625" style="122"/>
    <col min="2765" max="2765" width="11.140625" style="122" customWidth="1"/>
    <col min="2766" max="2766" width="13.85546875" style="122" customWidth="1"/>
    <col min="2767" max="2767" width="12.28515625" style="122" customWidth="1"/>
    <col min="2768" max="2768" width="11.42578125" style="122" customWidth="1"/>
    <col min="2769" max="2769" width="2.5703125" style="122" customWidth="1"/>
    <col min="2770" max="2772" width="0" style="122" hidden="1" customWidth="1"/>
    <col min="2773" max="2773" width="9.140625" style="122"/>
    <col min="2774" max="2774" width="34.28515625" style="122" customWidth="1"/>
    <col min="2775" max="2779" width="24.85546875" style="122" customWidth="1"/>
    <col min="2780" max="2780" width="11.42578125" style="122" customWidth="1"/>
    <col min="2781" max="2781" width="12.85546875" style="122" customWidth="1"/>
    <col min="2782" max="2782" width="23.5703125" style="122" customWidth="1"/>
    <col min="2783" max="2783" width="9.140625" style="122"/>
    <col min="2784" max="2784" width="15.7109375" style="122" customWidth="1"/>
    <col min="2785" max="2785" width="9.140625" style="122"/>
    <col min="2786" max="2786" width="14.85546875" style="122" customWidth="1"/>
    <col min="2787" max="2789" width="19.28515625" style="122" customWidth="1"/>
    <col min="2790" max="3018" width="9.140625" style="122"/>
    <col min="3019" max="3019" width="2.85546875" style="122" customWidth="1"/>
    <col min="3020" max="3020" width="9.140625" style="122"/>
    <col min="3021" max="3021" width="11.140625" style="122" customWidth="1"/>
    <col min="3022" max="3022" width="13.85546875" style="122" customWidth="1"/>
    <col min="3023" max="3023" width="12.28515625" style="122" customWidth="1"/>
    <col min="3024" max="3024" width="11.42578125" style="122" customWidth="1"/>
    <col min="3025" max="3025" width="2.5703125" style="122" customWidth="1"/>
    <col min="3026" max="3028" width="0" style="122" hidden="1" customWidth="1"/>
    <col min="3029" max="3029" width="9.140625" style="122"/>
    <col min="3030" max="3030" width="34.28515625" style="122" customWidth="1"/>
    <col min="3031" max="3035" width="24.85546875" style="122" customWidth="1"/>
    <col min="3036" max="3036" width="11.42578125" style="122" customWidth="1"/>
    <col min="3037" max="3037" width="12.85546875" style="122" customWidth="1"/>
    <col min="3038" max="3038" width="23.5703125" style="122" customWidth="1"/>
    <col min="3039" max="3039" width="9.140625" style="122"/>
    <col min="3040" max="3040" width="15.7109375" style="122" customWidth="1"/>
    <col min="3041" max="3041" width="9.140625" style="122"/>
    <col min="3042" max="3042" width="14.85546875" style="122" customWidth="1"/>
    <col min="3043" max="3045" width="19.28515625" style="122" customWidth="1"/>
    <col min="3046" max="3274" width="9.140625" style="122"/>
    <col min="3275" max="3275" width="2.85546875" style="122" customWidth="1"/>
    <col min="3276" max="3276" width="9.140625" style="122"/>
    <col min="3277" max="3277" width="11.140625" style="122" customWidth="1"/>
    <col min="3278" max="3278" width="13.85546875" style="122" customWidth="1"/>
    <col min="3279" max="3279" width="12.28515625" style="122" customWidth="1"/>
    <col min="3280" max="3280" width="11.42578125" style="122" customWidth="1"/>
    <col min="3281" max="3281" width="2.5703125" style="122" customWidth="1"/>
    <col min="3282" max="3284" width="0" style="122" hidden="1" customWidth="1"/>
    <col min="3285" max="3285" width="9.140625" style="122"/>
    <col min="3286" max="3286" width="34.28515625" style="122" customWidth="1"/>
    <col min="3287" max="3291" width="24.85546875" style="122" customWidth="1"/>
    <col min="3292" max="3292" width="11.42578125" style="122" customWidth="1"/>
    <col min="3293" max="3293" width="12.85546875" style="122" customWidth="1"/>
    <col min="3294" max="3294" width="23.5703125" style="122" customWidth="1"/>
    <col min="3295" max="3295" width="9.140625" style="122"/>
    <col min="3296" max="3296" width="15.7109375" style="122" customWidth="1"/>
    <col min="3297" max="3297" width="9.140625" style="122"/>
    <col min="3298" max="3298" width="14.85546875" style="122" customWidth="1"/>
    <col min="3299" max="3301" width="19.28515625" style="122" customWidth="1"/>
    <col min="3302" max="3530" width="9.140625" style="122"/>
    <col min="3531" max="3531" width="2.85546875" style="122" customWidth="1"/>
    <col min="3532" max="3532" width="9.140625" style="122"/>
    <col min="3533" max="3533" width="11.140625" style="122" customWidth="1"/>
    <col min="3534" max="3534" width="13.85546875" style="122" customWidth="1"/>
    <col min="3535" max="3535" width="12.28515625" style="122" customWidth="1"/>
    <col min="3536" max="3536" width="11.42578125" style="122" customWidth="1"/>
    <col min="3537" max="3537" width="2.5703125" style="122" customWidth="1"/>
    <col min="3538" max="3540" width="0" style="122" hidden="1" customWidth="1"/>
    <col min="3541" max="3541" width="9.140625" style="122"/>
    <col min="3542" max="3542" width="34.28515625" style="122" customWidth="1"/>
    <col min="3543" max="3547" width="24.85546875" style="122" customWidth="1"/>
    <col min="3548" max="3548" width="11.42578125" style="122" customWidth="1"/>
    <col min="3549" max="3549" width="12.85546875" style="122" customWidth="1"/>
    <col min="3550" max="3550" width="23.5703125" style="122" customWidth="1"/>
    <col min="3551" max="3551" width="9.140625" style="122"/>
    <col min="3552" max="3552" width="15.7109375" style="122" customWidth="1"/>
    <col min="3553" max="3553" width="9.140625" style="122"/>
    <col min="3554" max="3554" width="14.85546875" style="122" customWidth="1"/>
    <col min="3555" max="3557" width="19.28515625" style="122" customWidth="1"/>
    <col min="3558" max="3786" width="9.140625" style="122"/>
    <col min="3787" max="3787" width="2.85546875" style="122" customWidth="1"/>
    <col min="3788" max="3788" width="9.140625" style="122"/>
    <col min="3789" max="3789" width="11.140625" style="122" customWidth="1"/>
    <col min="3790" max="3790" width="13.85546875" style="122" customWidth="1"/>
    <col min="3791" max="3791" width="12.28515625" style="122" customWidth="1"/>
    <col min="3792" max="3792" width="11.42578125" style="122" customWidth="1"/>
    <col min="3793" max="3793" width="2.5703125" style="122" customWidth="1"/>
    <col min="3794" max="3796" width="0" style="122" hidden="1" customWidth="1"/>
    <col min="3797" max="3797" width="9.140625" style="122"/>
    <col min="3798" max="3798" width="34.28515625" style="122" customWidth="1"/>
    <col min="3799" max="3803" width="24.85546875" style="122" customWidth="1"/>
    <col min="3804" max="3804" width="11.42578125" style="122" customWidth="1"/>
    <col min="3805" max="3805" width="12.85546875" style="122" customWidth="1"/>
    <col min="3806" max="3806" width="23.5703125" style="122" customWidth="1"/>
    <col min="3807" max="3807" width="9.140625" style="122"/>
    <col min="3808" max="3808" width="15.7109375" style="122" customWidth="1"/>
    <col min="3809" max="3809" width="9.140625" style="122"/>
    <col min="3810" max="3810" width="14.85546875" style="122" customWidth="1"/>
    <col min="3811" max="3813" width="19.28515625" style="122" customWidth="1"/>
    <col min="3814" max="4042" width="9.140625" style="122"/>
    <col min="4043" max="4043" width="2.85546875" style="122" customWidth="1"/>
    <col min="4044" max="4044" width="9.140625" style="122"/>
    <col min="4045" max="4045" width="11.140625" style="122" customWidth="1"/>
    <col min="4046" max="4046" width="13.85546875" style="122" customWidth="1"/>
    <col min="4047" max="4047" width="12.28515625" style="122" customWidth="1"/>
    <col min="4048" max="4048" width="11.42578125" style="122" customWidth="1"/>
    <col min="4049" max="4049" width="2.5703125" style="122" customWidth="1"/>
    <col min="4050" max="4052" width="0" style="122" hidden="1" customWidth="1"/>
    <col min="4053" max="4053" width="9.140625" style="122"/>
    <col min="4054" max="4054" width="34.28515625" style="122" customWidth="1"/>
    <col min="4055" max="4059" width="24.85546875" style="122" customWidth="1"/>
    <col min="4060" max="4060" width="11.42578125" style="122" customWidth="1"/>
    <col min="4061" max="4061" width="12.85546875" style="122" customWidth="1"/>
    <col min="4062" max="4062" width="23.5703125" style="122" customWidth="1"/>
    <col min="4063" max="4063" width="9.140625" style="122"/>
    <col min="4064" max="4064" width="15.7109375" style="122" customWidth="1"/>
    <col min="4065" max="4065" width="9.140625" style="122"/>
    <col min="4066" max="4066" width="14.85546875" style="122" customWidth="1"/>
    <col min="4067" max="4069" width="19.28515625" style="122" customWidth="1"/>
    <col min="4070" max="4298" width="9.140625" style="122"/>
    <col min="4299" max="4299" width="2.85546875" style="122" customWidth="1"/>
    <col min="4300" max="4300" width="9.140625" style="122"/>
    <col min="4301" max="4301" width="11.140625" style="122" customWidth="1"/>
    <col min="4302" max="4302" width="13.85546875" style="122" customWidth="1"/>
    <col min="4303" max="4303" width="12.28515625" style="122" customWidth="1"/>
    <col min="4304" max="4304" width="11.42578125" style="122" customWidth="1"/>
    <col min="4305" max="4305" width="2.5703125" style="122" customWidth="1"/>
    <col min="4306" max="4308" width="0" style="122" hidden="1" customWidth="1"/>
    <col min="4309" max="4309" width="9.140625" style="122"/>
    <col min="4310" max="4310" width="34.28515625" style="122" customWidth="1"/>
    <col min="4311" max="4315" width="24.85546875" style="122" customWidth="1"/>
    <col min="4316" max="4316" width="11.42578125" style="122" customWidth="1"/>
    <col min="4317" max="4317" width="12.85546875" style="122" customWidth="1"/>
    <col min="4318" max="4318" width="23.5703125" style="122" customWidth="1"/>
    <col min="4319" max="4319" width="9.140625" style="122"/>
    <col min="4320" max="4320" width="15.7109375" style="122" customWidth="1"/>
    <col min="4321" max="4321" width="9.140625" style="122"/>
    <col min="4322" max="4322" width="14.85546875" style="122" customWidth="1"/>
    <col min="4323" max="4325" width="19.28515625" style="122" customWidth="1"/>
    <col min="4326" max="4554" width="9.140625" style="122"/>
    <col min="4555" max="4555" width="2.85546875" style="122" customWidth="1"/>
    <col min="4556" max="4556" width="9.140625" style="122"/>
    <col min="4557" max="4557" width="11.140625" style="122" customWidth="1"/>
    <col min="4558" max="4558" width="13.85546875" style="122" customWidth="1"/>
    <col min="4559" max="4559" width="12.28515625" style="122" customWidth="1"/>
    <col min="4560" max="4560" width="11.42578125" style="122" customWidth="1"/>
    <col min="4561" max="4561" width="2.5703125" style="122" customWidth="1"/>
    <col min="4562" max="4564" width="0" style="122" hidden="1" customWidth="1"/>
    <col min="4565" max="4565" width="9.140625" style="122"/>
    <col min="4566" max="4566" width="34.28515625" style="122" customWidth="1"/>
    <col min="4567" max="4571" width="24.85546875" style="122" customWidth="1"/>
    <col min="4572" max="4572" width="11.42578125" style="122" customWidth="1"/>
    <col min="4573" max="4573" width="12.85546875" style="122" customWidth="1"/>
    <col min="4574" max="4574" width="23.5703125" style="122" customWidth="1"/>
    <col min="4575" max="4575" width="9.140625" style="122"/>
    <col min="4576" max="4576" width="15.7109375" style="122" customWidth="1"/>
    <col min="4577" max="4577" width="9.140625" style="122"/>
    <col min="4578" max="4578" width="14.85546875" style="122" customWidth="1"/>
    <col min="4579" max="4581" width="19.28515625" style="122" customWidth="1"/>
    <col min="4582" max="4810" width="9.140625" style="122"/>
    <col min="4811" max="4811" width="2.85546875" style="122" customWidth="1"/>
    <col min="4812" max="4812" width="9.140625" style="122"/>
    <col min="4813" max="4813" width="11.140625" style="122" customWidth="1"/>
    <col min="4814" max="4814" width="13.85546875" style="122" customWidth="1"/>
    <col min="4815" max="4815" width="12.28515625" style="122" customWidth="1"/>
    <col min="4816" max="4816" width="11.42578125" style="122" customWidth="1"/>
    <col min="4817" max="4817" width="2.5703125" style="122" customWidth="1"/>
    <col min="4818" max="4820" width="0" style="122" hidden="1" customWidth="1"/>
    <col min="4821" max="4821" width="9.140625" style="122"/>
    <col min="4822" max="4822" width="34.28515625" style="122" customWidth="1"/>
    <col min="4823" max="4827" width="24.85546875" style="122" customWidth="1"/>
    <col min="4828" max="4828" width="11.42578125" style="122" customWidth="1"/>
    <col min="4829" max="4829" width="12.85546875" style="122" customWidth="1"/>
    <col min="4830" max="4830" width="23.5703125" style="122" customWidth="1"/>
    <col min="4831" max="4831" width="9.140625" style="122"/>
    <col min="4832" max="4832" width="15.7109375" style="122" customWidth="1"/>
    <col min="4833" max="4833" width="9.140625" style="122"/>
    <col min="4834" max="4834" width="14.85546875" style="122" customWidth="1"/>
    <col min="4835" max="4837" width="19.28515625" style="122" customWidth="1"/>
    <col min="4838" max="5066" width="9.140625" style="122"/>
    <col min="5067" max="5067" width="2.85546875" style="122" customWidth="1"/>
    <col min="5068" max="5068" width="9.140625" style="122"/>
    <col min="5069" max="5069" width="11.140625" style="122" customWidth="1"/>
    <col min="5070" max="5070" width="13.85546875" style="122" customWidth="1"/>
    <col min="5071" max="5071" width="12.28515625" style="122" customWidth="1"/>
    <col min="5072" max="5072" width="11.42578125" style="122" customWidth="1"/>
    <col min="5073" max="5073" width="2.5703125" style="122" customWidth="1"/>
    <col min="5074" max="5076" width="0" style="122" hidden="1" customWidth="1"/>
    <col min="5077" max="5077" width="9.140625" style="122"/>
    <col min="5078" max="5078" width="34.28515625" style="122" customWidth="1"/>
    <col min="5079" max="5083" width="24.85546875" style="122" customWidth="1"/>
    <col min="5084" max="5084" width="11.42578125" style="122" customWidth="1"/>
    <col min="5085" max="5085" width="12.85546875" style="122" customWidth="1"/>
    <col min="5086" max="5086" width="23.5703125" style="122" customWidth="1"/>
    <col min="5087" max="5087" width="9.140625" style="122"/>
    <col min="5088" max="5088" width="15.7109375" style="122" customWidth="1"/>
    <col min="5089" max="5089" width="9.140625" style="122"/>
    <col min="5090" max="5090" width="14.85546875" style="122" customWidth="1"/>
    <col min="5091" max="5093" width="19.28515625" style="122" customWidth="1"/>
    <col min="5094" max="5322" width="9.140625" style="122"/>
    <col min="5323" max="5323" width="2.85546875" style="122" customWidth="1"/>
    <col min="5324" max="5324" width="9.140625" style="122"/>
    <col min="5325" max="5325" width="11.140625" style="122" customWidth="1"/>
    <col min="5326" max="5326" width="13.85546875" style="122" customWidth="1"/>
    <col min="5327" max="5327" width="12.28515625" style="122" customWidth="1"/>
    <col min="5328" max="5328" width="11.42578125" style="122" customWidth="1"/>
    <col min="5329" max="5329" width="2.5703125" style="122" customWidth="1"/>
    <col min="5330" max="5332" width="0" style="122" hidden="1" customWidth="1"/>
    <col min="5333" max="5333" width="9.140625" style="122"/>
    <col min="5334" max="5334" width="34.28515625" style="122" customWidth="1"/>
    <col min="5335" max="5339" width="24.85546875" style="122" customWidth="1"/>
    <col min="5340" max="5340" width="11.42578125" style="122" customWidth="1"/>
    <col min="5341" max="5341" width="12.85546875" style="122" customWidth="1"/>
    <col min="5342" max="5342" width="23.5703125" style="122" customWidth="1"/>
    <col min="5343" max="5343" width="9.140625" style="122"/>
    <col min="5344" max="5344" width="15.7109375" style="122" customWidth="1"/>
    <col min="5345" max="5345" width="9.140625" style="122"/>
    <col min="5346" max="5346" width="14.85546875" style="122" customWidth="1"/>
    <col min="5347" max="5349" width="19.28515625" style="122" customWidth="1"/>
    <col min="5350" max="5578" width="9.140625" style="122"/>
    <col min="5579" max="5579" width="2.85546875" style="122" customWidth="1"/>
    <col min="5580" max="5580" width="9.140625" style="122"/>
    <col min="5581" max="5581" width="11.140625" style="122" customWidth="1"/>
    <col min="5582" max="5582" width="13.85546875" style="122" customWidth="1"/>
    <col min="5583" max="5583" width="12.28515625" style="122" customWidth="1"/>
    <col min="5584" max="5584" width="11.42578125" style="122" customWidth="1"/>
    <col min="5585" max="5585" width="2.5703125" style="122" customWidth="1"/>
    <col min="5586" max="5588" width="0" style="122" hidden="1" customWidth="1"/>
    <col min="5589" max="5589" width="9.140625" style="122"/>
    <col min="5590" max="5590" width="34.28515625" style="122" customWidth="1"/>
    <col min="5591" max="5595" width="24.85546875" style="122" customWidth="1"/>
    <col min="5596" max="5596" width="11.42578125" style="122" customWidth="1"/>
    <col min="5597" max="5597" width="12.85546875" style="122" customWidth="1"/>
    <col min="5598" max="5598" width="23.5703125" style="122" customWidth="1"/>
    <col min="5599" max="5599" width="9.140625" style="122"/>
    <col min="5600" max="5600" width="15.7109375" style="122" customWidth="1"/>
    <col min="5601" max="5601" width="9.140625" style="122"/>
    <col min="5602" max="5602" width="14.85546875" style="122" customWidth="1"/>
    <col min="5603" max="5605" width="19.28515625" style="122" customWidth="1"/>
    <col min="5606" max="5834" width="9.140625" style="122"/>
    <col min="5835" max="5835" width="2.85546875" style="122" customWidth="1"/>
    <col min="5836" max="5836" width="9.140625" style="122"/>
    <col min="5837" max="5837" width="11.140625" style="122" customWidth="1"/>
    <col min="5838" max="5838" width="13.85546875" style="122" customWidth="1"/>
    <col min="5839" max="5839" width="12.28515625" style="122" customWidth="1"/>
    <col min="5840" max="5840" width="11.42578125" style="122" customWidth="1"/>
    <col min="5841" max="5841" width="2.5703125" style="122" customWidth="1"/>
    <col min="5842" max="5844" width="0" style="122" hidden="1" customWidth="1"/>
    <col min="5845" max="5845" width="9.140625" style="122"/>
    <col min="5846" max="5846" width="34.28515625" style="122" customWidth="1"/>
    <col min="5847" max="5851" width="24.85546875" style="122" customWidth="1"/>
    <col min="5852" max="5852" width="11.42578125" style="122" customWidth="1"/>
    <col min="5853" max="5853" width="12.85546875" style="122" customWidth="1"/>
    <col min="5854" max="5854" width="23.5703125" style="122" customWidth="1"/>
    <col min="5855" max="5855" width="9.140625" style="122"/>
    <col min="5856" max="5856" width="15.7109375" style="122" customWidth="1"/>
    <col min="5857" max="5857" width="9.140625" style="122"/>
    <col min="5858" max="5858" width="14.85546875" style="122" customWidth="1"/>
    <col min="5859" max="5861" width="19.28515625" style="122" customWidth="1"/>
    <col min="5862" max="6090" width="9.140625" style="122"/>
    <col min="6091" max="6091" width="2.85546875" style="122" customWidth="1"/>
    <col min="6092" max="6092" width="9.140625" style="122"/>
    <col min="6093" max="6093" width="11.140625" style="122" customWidth="1"/>
    <col min="6094" max="6094" width="13.85546875" style="122" customWidth="1"/>
    <col min="6095" max="6095" width="12.28515625" style="122" customWidth="1"/>
    <col min="6096" max="6096" width="11.42578125" style="122" customWidth="1"/>
    <col min="6097" max="6097" width="2.5703125" style="122" customWidth="1"/>
    <col min="6098" max="6100" width="0" style="122" hidden="1" customWidth="1"/>
    <col min="6101" max="6101" width="9.140625" style="122"/>
    <col min="6102" max="6102" width="34.28515625" style="122" customWidth="1"/>
    <col min="6103" max="6107" width="24.85546875" style="122" customWidth="1"/>
    <col min="6108" max="6108" width="11.42578125" style="122" customWidth="1"/>
    <col min="6109" max="6109" width="12.85546875" style="122" customWidth="1"/>
    <col min="6110" max="6110" width="23.5703125" style="122" customWidth="1"/>
    <col min="6111" max="6111" width="9.140625" style="122"/>
    <col min="6112" max="6112" width="15.7109375" style="122" customWidth="1"/>
    <col min="6113" max="6113" width="9.140625" style="122"/>
    <col min="6114" max="6114" width="14.85546875" style="122" customWidth="1"/>
    <col min="6115" max="6117" width="19.28515625" style="122" customWidth="1"/>
    <col min="6118" max="6346" width="9.140625" style="122"/>
    <col min="6347" max="6347" width="2.85546875" style="122" customWidth="1"/>
    <col min="6348" max="6348" width="9.140625" style="122"/>
    <col min="6349" max="6349" width="11.140625" style="122" customWidth="1"/>
    <col min="6350" max="6350" width="13.85546875" style="122" customWidth="1"/>
    <col min="6351" max="6351" width="12.28515625" style="122" customWidth="1"/>
    <col min="6352" max="6352" width="11.42578125" style="122" customWidth="1"/>
    <col min="6353" max="6353" width="2.5703125" style="122" customWidth="1"/>
    <col min="6354" max="6356" width="0" style="122" hidden="1" customWidth="1"/>
    <col min="6357" max="6357" width="9.140625" style="122"/>
    <col min="6358" max="6358" width="34.28515625" style="122" customWidth="1"/>
    <col min="6359" max="6363" width="24.85546875" style="122" customWidth="1"/>
    <col min="6364" max="6364" width="11.42578125" style="122" customWidth="1"/>
    <col min="6365" max="6365" width="12.85546875" style="122" customWidth="1"/>
    <col min="6366" max="6366" width="23.5703125" style="122" customWidth="1"/>
    <col min="6367" max="6367" width="9.140625" style="122"/>
    <col min="6368" max="6368" width="15.7109375" style="122" customWidth="1"/>
    <col min="6369" max="6369" width="9.140625" style="122"/>
    <col min="6370" max="6370" width="14.85546875" style="122" customWidth="1"/>
    <col min="6371" max="6373" width="19.28515625" style="122" customWidth="1"/>
    <col min="6374" max="6602" width="9.140625" style="122"/>
    <col min="6603" max="6603" width="2.85546875" style="122" customWidth="1"/>
    <col min="6604" max="6604" width="9.140625" style="122"/>
    <col min="6605" max="6605" width="11.140625" style="122" customWidth="1"/>
    <col min="6606" max="6606" width="13.85546875" style="122" customWidth="1"/>
    <col min="6607" max="6607" width="12.28515625" style="122" customWidth="1"/>
    <col min="6608" max="6608" width="11.42578125" style="122" customWidth="1"/>
    <col min="6609" max="6609" width="2.5703125" style="122" customWidth="1"/>
    <col min="6610" max="6612" width="0" style="122" hidden="1" customWidth="1"/>
    <col min="6613" max="6613" width="9.140625" style="122"/>
    <col min="6614" max="6614" width="34.28515625" style="122" customWidth="1"/>
    <col min="6615" max="6619" width="24.85546875" style="122" customWidth="1"/>
    <col min="6620" max="6620" width="11.42578125" style="122" customWidth="1"/>
    <col min="6621" max="6621" width="12.85546875" style="122" customWidth="1"/>
    <col min="6622" max="6622" width="23.5703125" style="122" customWidth="1"/>
    <col min="6623" max="6623" width="9.140625" style="122"/>
    <col min="6624" max="6624" width="15.7109375" style="122" customWidth="1"/>
    <col min="6625" max="6625" width="9.140625" style="122"/>
    <col min="6626" max="6626" width="14.85546875" style="122" customWidth="1"/>
    <col min="6627" max="6629" width="19.28515625" style="122" customWidth="1"/>
    <col min="6630" max="6858" width="9.140625" style="122"/>
    <col min="6859" max="6859" width="2.85546875" style="122" customWidth="1"/>
    <col min="6860" max="6860" width="9.140625" style="122"/>
    <col min="6861" max="6861" width="11.140625" style="122" customWidth="1"/>
    <col min="6862" max="6862" width="13.85546875" style="122" customWidth="1"/>
    <col min="6863" max="6863" width="12.28515625" style="122" customWidth="1"/>
    <col min="6864" max="6864" width="11.42578125" style="122" customWidth="1"/>
    <col min="6865" max="6865" width="2.5703125" style="122" customWidth="1"/>
    <col min="6866" max="6868" width="0" style="122" hidden="1" customWidth="1"/>
    <col min="6869" max="6869" width="9.140625" style="122"/>
    <col min="6870" max="6870" width="34.28515625" style="122" customWidth="1"/>
    <col min="6871" max="6875" width="24.85546875" style="122" customWidth="1"/>
    <col min="6876" max="6876" width="11.42578125" style="122" customWidth="1"/>
    <col min="6877" max="6877" width="12.85546875" style="122" customWidth="1"/>
    <col min="6878" max="6878" width="23.5703125" style="122" customWidth="1"/>
    <col min="6879" max="6879" width="9.140625" style="122"/>
    <col min="6880" max="6880" width="15.7109375" style="122" customWidth="1"/>
    <col min="6881" max="6881" width="9.140625" style="122"/>
    <col min="6882" max="6882" width="14.85546875" style="122" customWidth="1"/>
    <col min="6883" max="6885" width="19.28515625" style="122" customWidth="1"/>
    <col min="6886" max="7114" width="9.140625" style="122"/>
    <col min="7115" max="7115" width="2.85546875" style="122" customWidth="1"/>
    <col min="7116" max="7116" width="9.140625" style="122"/>
    <col min="7117" max="7117" width="11.140625" style="122" customWidth="1"/>
    <col min="7118" max="7118" width="13.85546875" style="122" customWidth="1"/>
    <col min="7119" max="7119" width="12.28515625" style="122" customWidth="1"/>
    <col min="7120" max="7120" width="11.42578125" style="122" customWidth="1"/>
    <col min="7121" max="7121" width="2.5703125" style="122" customWidth="1"/>
    <col min="7122" max="7124" width="0" style="122" hidden="1" customWidth="1"/>
    <col min="7125" max="7125" width="9.140625" style="122"/>
    <col min="7126" max="7126" width="34.28515625" style="122" customWidth="1"/>
    <col min="7127" max="7131" width="24.85546875" style="122" customWidth="1"/>
    <col min="7132" max="7132" width="11.42578125" style="122" customWidth="1"/>
    <col min="7133" max="7133" width="12.85546875" style="122" customWidth="1"/>
    <col min="7134" max="7134" width="23.5703125" style="122" customWidth="1"/>
    <col min="7135" max="7135" width="9.140625" style="122"/>
    <col min="7136" max="7136" width="15.7109375" style="122" customWidth="1"/>
    <col min="7137" max="7137" width="9.140625" style="122"/>
    <col min="7138" max="7138" width="14.85546875" style="122" customWidth="1"/>
    <col min="7139" max="7141" width="19.28515625" style="122" customWidth="1"/>
    <col min="7142" max="7370" width="9.140625" style="122"/>
    <col min="7371" max="7371" width="2.85546875" style="122" customWidth="1"/>
    <col min="7372" max="7372" width="9.140625" style="122"/>
    <col min="7373" max="7373" width="11.140625" style="122" customWidth="1"/>
    <col min="7374" max="7374" width="13.85546875" style="122" customWidth="1"/>
    <col min="7375" max="7375" width="12.28515625" style="122" customWidth="1"/>
    <col min="7376" max="7376" width="11.42578125" style="122" customWidth="1"/>
    <col min="7377" max="7377" width="2.5703125" style="122" customWidth="1"/>
    <col min="7378" max="7380" width="0" style="122" hidden="1" customWidth="1"/>
    <col min="7381" max="7381" width="9.140625" style="122"/>
    <col min="7382" max="7382" width="34.28515625" style="122" customWidth="1"/>
    <col min="7383" max="7387" width="24.85546875" style="122" customWidth="1"/>
    <col min="7388" max="7388" width="11.42578125" style="122" customWidth="1"/>
    <col min="7389" max="7389" width="12.85546875" style="122" customWidth="1"/>
    <col min="7390" max="7390" width="23.5703125" style="122" customWidth="1"/>
    <col min="7391" max="7391" width="9.140625" style="122"/>
    <col min="7392" max="7392" width="15.7109375" style="122" customWidth="1"/>
    <col min="7393" max="7393" width="9.140625" style="122"/>
    <col min="7394" max="7394" width="14.85546875" style="122" customWidth="1"/>
    <col min="7395" max="7397" width="19.28515625" style="122" customWidth="1"/>
    <col min="7398" max="7626" width="9.140625" style="122"/>
    <col min="7627" max="7627" width="2.85546875" style="122" customWidth="1"/>
    <col min="7628" max="7628" width="9.140625" style="122"/>
    <col min="7629" max="7629" width="11.140625" style="122" customWidth="1"/>
    <col min="7630" max="7630" width="13.85546875" style="122" customWidth="1"/>
    <col min="7631" max="7631" width="12.28515625" style="122" customWidth="1"/>
    <col min="7632" max="7632" width="11.42578125" style="122" customWidth="1"/>
    <col min="7633" max="7633" width="2.5703125" style="122" customWidth="1"/>
    <col min="7634" max="7636" width="0" style="122" hidden="1" customWidth="1"/>
    <col min="7637" max="7637" width="9.140625" style="122"/>
    <col min="7638" max="7638" width="34.28515625" style="122" customWidth="1"/>
    <col min="7639" max="7643" width="24.85546875" style="122" customWidth="1"/>
    <col min="7644" max="7644" width="11.42578125" style="122" customWidth="1"/>
    <col min="7645" max="7645" width="12.85546875" style="122" customWidth="1"/>
    <col min="7646" max="7646" width="23.5703125" style="122" customWidth="1"/>
    <col min="7647" max="7647" width="9.140625" style="122"/>
    <col min="7648" max="7648" width="15.7109375" style="122" customWidth="1"/>
    <col min="7649" max="7649" width="9.140625" style="122"/>
    <col min="7650" max="7650" width="14.85546875" style="122" customWidth="1"/>
    <col min="7651" max="7653" width="19.28515625" style="122" customWidth="1"/>
    <col min="7654" max="7882" width="9.140625" style="122"/>
    <col min="7883" max="7883" width="2.85546875" style="122" customWidth="1"/>
    <col min="7884" max="7884" width="9.140625" style="122"/>
    <col min="7885" max="7885" width="11.140625" style="122" customWidth="1"/>
    <col min="7886" max="7886" width="13.85546875" style="122" customWidth="1"/>
    <col min="7887" max="7887" width="12.28515625" style="122" customWidth="1"/>
    <col min="7888" max="7888" width="11.42578125" style="122" customWidth="1"/>
    <col min="7889" max="7889" width="2.5703125" style="122" customWidth="1"/>
    <col min="7890" max="7892" width="0" style="122" hidden="1" customWidth="1"/>
    <col min="7893" max="7893" width="9.140625" style="122"/>
    <col min="7894" max="7894" width="34.28515625" style="122" customWidth="1"/>
    <col min="7895" max="7899" width="24.85546875" style="122" customWidth="1"/>
    <col min="7900" max="7900" width="11.42578125" style="122" customWidth="1"/>
    <col min="7901" max="7901" width="12.85546875" style="122" customWidth="1"/>
    <col min="7902" max="7902" width="23.5703125" style="122" customWidth="1"/>
    <col min="7903" max="7903" width="9.140625" style="122"/>
    <col min="7904" max="7904" width="15.7109375" style="122" customWidth="1"/>
    <col min="7905" max="7905" width="9.140625" style="122"/>
    <col min="7906" max="7906" width="14.85546875" style="122" customWidth="1"/>
    <col min="7907" max="7909" width="19.28515625" style="122" customWidth="1"/>
    <col min="7910" max="8138" width="9.140625" style="122"/>
    <col min="8139" max="8139" width="2.85546875" style="122" customWidth="1"/>
    <col min="8140" max="8140" width="9.140625" style="122"/>
    <col min="8141" max="8141" width="11.140625" style="122" customWidth="1"/>
    <col min="8142" max="8142" width="13.85546875" style="122" customWidth="1"/>
    <col min="8143" max="8143" width="12.28515625" style="122" customWidth="1"/>
    <col min="8144" max="8144" width="11.42578125" style="122" customWidth="1"/>
    <col min="8145" max="8145" width="2.5703125" style="122" customWidth="1"/>
    <col min="8146" max="8148" width="0" style="122" hidden="1" customWidth="1"/>
    <col min="8149" max="8149" width="9.140625" style="122"/>
    <col min="8150" max="8150" width="34.28515625" style="122" customWidth="1"/>
    <col min="8151" max="8155" width="24.85546875" style="122" customWidth="1"/>
    <col min="8156" max="8156" width="11.42578125" style="122" customWidth="1"/>
    <col min="8157" max="8157" width="12.85546875" style="122" customWidth="1"/>
    <col min="8158" max="8158" width="23.5703125" style="122" customWidth="1"/>
    <col min="8159" max="8159" width="9.140625" style="122"/>
    <col min="8160" max="8160" width="15.7109375" style="122" customWidth="1"/>
    <col min="8161" max="8161" width="9.140625" style="122"/>
    <col min="8162" max="8162" width="14.85546875" style="122" customWidth="1"/>
    <col min="8163" max="8165" width="19.28515625" style="122" customWidth="1"/>
    <col min="8166" max="8394" width="9.140625" style="122"/>
    <col min="8395" max="8395" width="2.85546875" style="122" customWidth="1"/>
    <col min="8396" max="8396" width="9.140625" style="122"/>
    <col min="8397" max="8397" width="11.140625" style="122" customWidth="1"/>
    <col min="8398" max="8398" width="13.85546875" style="122" customWidth="1"/>
    <col min="8399" max="8399" width="12.28515625" style="122" customWidth="1"/>
    <col min="8400" max="8400" width="11.42578125" style="122" customWidth="1"/>
    <col min="8401" max="8401" width="2.5703125" style="122" customWidth="1"/>
    <col min="8402" max="8404" width="0" style="122" hidden="1" customWidth="1"/>
    <col min="8405" max="8405" width="9.140625" style="122"/>
    <col min="8406" max="8406" width="34.28515625" style="122" customWidth="1"/>
    <col min="8407" max="8411" width="24.85546875" style="122" customWidth="1"/>
    <col min="8412" max="8412" width="11.42578125" style="122" customWidth="1"/>
    <col min="8413" max="8413" width="12.85546875" style="122" customWidth="1"/>
    <col min="8414" max="8414" width="23.5703125" style="122" customWidth="1"/>
    <col min="8415" max="8415" width="9.140625" style="122"/>
    <col min="8416" max="8416" width="15.7109375" style="122" customWidth="1"/>
    <col min="8417" max="8417" width="9.140625" style="122"/>
    <col min="8418" max="8418" width="14.85546875" style="122" customWidth="1"/>
    <col min="8419" max="8421" width="19.28515625" style="122" customWidth="1"/>
    <col min="8422" max="8650" width="9.140625" style="122"/>
    <col min="8651" max="8651" width="2.85546875" style="122" customWidth="1"/>
    <col min="8652" max="8652" width="9.140625" style="122"/>
    <col min="8653" max="8653" width="11.140625" style="122" customWidth="1"/>
    <col min="8654" max="8654" width="13.85546875" style="122" customWidth="1"/>
    <col min="8655" max="8655" width="12.28515625" style="122" customWidth="1"/>
    <col min="8656" max="8656" width="11.42578125" style="122" customWidth="1"/>
    <col min="8657" max="8657" width="2.5703125" style="122" customWidth="1"/>
    <col min="8658" max="8660" width="0" style="122" hidden="1" customWidth="1"/>
    <col min="8661" max="8661" width="9.140625" style="122"/>
    <col min="8662" max="8662" width="34.28515625" style="122" customWidth="1"/>
    <col min="8663" max="8667" width="24.85546875" style="122" customWidth="1"/>
    <col min="8668" max="8668" width="11.42578125" style="122" customWidth="1"/>
    <col min="8669" max="8669" width="12.85546875" style="122" customWidth="1"/>
    <col min="8670" max="8670" width="23.5703125" style="122" customWidth="1"/>
    <col min="8671" max="8671" width="9.140625" style="122"/>
    <col min="8672" max="8672" width="15.7109375" style="122" customWidth="1"/>
    <col min="8673" max="8673" width="9.140625" style="122"/>
    <col min="8674" max="8674" width="14.85546875" style="122" customWidth="1"/>
    <col min="8675" max="8677" width="19.28515625" style="122" customWidth="1"/>
    <col min="8678" max="8906" width="9.140625" style="122"/>
    <col min="8907" max="8907" width="2.85546875" style="122" customWidth="1"/>
    <col min="8908" max="8908" width="9.140625" style="122"/>
    <col min="8909" max="8909" width="11.140625" style="122" customWidth="1"/>
    <col min="8910" max="8910" width="13.85546875" style="122" customWidth="1"/>
    <col min="8911" max="8911" width="12.28515625" style="122" customWidth="1"/>
    <col min="8912" max="8912" width="11.42578125" style="122" customWidth="1"/>
    <col min="8913" max="8913" width="2.5703125" style="122" customWidth="1"/>
    <col min="8914" max="8916" width="0" style="122" hidden="1" customWidth="1"/>
    <col min="8917" max="8917" width="9.140625" style="122"/>
    <col min="8918" max="8918" width="34.28515625" style="122" customWidth="1"/>
    <col min="8919" max="8923" width="24.85546875" style="122" customWidth="1"/>
    <col min="8924" max="8924" width="11.42578125" style="122" customWidth="1"/>
    <col min="8925" max="8925" width="12.85546875" style="122" customWidth="1"/>
    <col min="8926" max="8926" width="23.5703125" style="122" customWidth="1"/>
    <col min="8927" max="8927" width="9.140625" style="122"/>
    <col min="8928" max="8928" width="15.7109375" style="122" customWidth="1"/>
    <col min="8929" max="8929" width="9.140625" style="122"/>
    <col min="8930" max="8930" width="14.85546875" style="122" customWidth="1"/>
    <col min="8931" max="8933" width="19.28515625" style="122" customWidth="1"/>
    <col min="8934" max="9162" width="9.140625" style="122"/>
    <col min="9163" max="9163" width="2.85546875" style="122" customWidth="1"/>
    <col min="9164" max="9164" width="9.140625" style="122"/>
    <col min="9165" max="9165" width="11.140625" style="122" customWidth="1"/>
    <col min="9166" max="9166" width="13.85546875" style="122" customWidth="1"/>
    <col min="9167" max="9167" width="12.28515625" style="122" customWidth="1"/>
    <col min="9168" max="9168" width="11.42578125" style="122" customWidth="1"/>
    <col min="9169" max="9169" width="2.5703125" style="122" customWidth="1"/>
    <col min="9170" max="9172" width="0" style="122" hidden="1" customWidth="1"/>
    <col min="9173" max="9173" width="9.140625" style="122"/>
    <col min="9174" max="9174" width="34.28515625" style="122" customWidth="1"/>
    <col min="9175" max="9179" width="24.85546875" style="122" customWidth="1"/>
    <col min="9180" max="9180" width="11.42578125" style="122" customWidth="1"/>
    <col min="9181" max="9181" width="12.85546875" style="122" customWidth="1"/>
    <col min="9182" max="9182" width="23.5703125" style="122" customWidth="1"/>
    <col min="9183" max="9183" width="9.140625" style="122"/>
    <col min="9184" max="9184" width="15.7109375" style="122" customWidth="1"/>
    <col min="9185" max="9185" width="9.140625" style="122"/>
    <col min="9186" max="9186" width="14.85546875" style="122" customWidth="1"/>
    <col min="9187" max="9189" width="19.28515625" style="122" customWidth="1"/>
    <col min="9190" max="9418" width="9.140625" style="122"/>
    <col min="9419" max="9419" width="2.85546875" style="122" customWidth="1"/>
    <col min="9420" max="9420" width="9.140625" style="122"/>
    <col min="9421" max="9421" width="11.140625" style="122" customWidth="1"/>
    <col min="9422" max="9422" width="13.85546875" style="122" customWidth="1"/>
    <col min="9423" max="9423" width="12.28515625" style="122" customWidth="1"/>
    <col min="9424" max="9424" width="11.42578125" style="122" customWidth="1"/>
    <col min="9425" max="9425" width="2.5703125" style="122" customWidth="1"/>
    <col min="9426" max="9428" width="0" style="122" hidden="1" customWidth="1"/>
    <col min="9429" max="9429" width="9.140625" style="122"/>
    <col min="9430" max="9430" width="34.28515625" style="122" customWidth="1"/>
    <col min="9431" max="9435" width="24.85546875" style="122" customWidth="1"/>
    <col min="9436" max="9436" width="11.42578125" style="122" customWidth="1"/>
    <col min="9437" max="9437" width="12.85546875" style="122" customWidth="1"/>
    <col min="9438" max="9438" width="23.5703125" style="122" customWidth="1"/>
    <col min="9439" max="9439" width="9.140625" style="122"/>
    <col min="9440" max="9440" width="15.7109375" style="122" customWidth="1"/>
    <col min="9441" max="9441" width="9.140625" style="122"/>
    <col min="9442" max="9442" width="14.85546875" style="122" customWidth="1"/>
    <col min="9443" max="9445" width="19.28515625" style="122" customWidth="1"/>
    <col min="9446" max="9674" width="9.140625" style="122"/>
    <col min="9675" max="9675" width="2.85546875" style="122" customWidth="1"/>
    <col min="9676" max="9676" width="9.140625" style="122"/>
    <col min="9677" max="9677" width="11.140625" style="122" customWidth="1"/>
    <col min="9678" max="9678" width="13.85546875" style="122" customWidth="1"/>
    <col min="9679" max="9679" width="12.28515625" style="122" customWidth="1"/>
    <col min="9680" max="9680" width="11.42578125" style="122" customWidth="1"/>
    <col min="9681" max="9681" width="2.5703125" style="122" customWidth="1"/>
    <col min="9682" max="9684" width="0" style="122" hidden="1" customWidth="1"/>
    <col min="9685" max="9685" width="9.140625" style="122"/>
    <col min="9686" max="9686" width="34.28515625" style="122" customWidth="1"/>
    <col min="9687" max="9691" width="24.85546875" style="122" customWidth="1"/>
    <col min="9692" max="9692" width="11.42578125" style="122" customWidth="1"/>
    <col min="9693" max="9693" width="12.85546875" style="122" customWidth="1"/>
    <col min="9694" max="9694" width="23.5703125" style="122" customWidth="1"/>
    <col min="9695" max="9695" width="9.140625" style="122"/>
    <col min="9696" max="9696" width="15.7109375" style="122" customWidth="1"/>
    <col min="9697" max="9697" width="9.140625" style="122"/>
    <col min="9698" max="9698" width="14.85546875" style="122" customWidth="1"/>
    <col min="9699" max="9701" width="19.28515625" style="122" customWidth="1"/>
    <col min="9702" max="9930" width="9.140625" style="122"/>
    <col min="9931" max="9931" width="2.85546875" style="122" customWidth="1"/>
    <col min="9932" max="9932" width="9.140625" style="122"/>
    <col min="9933" max="9933" width="11.140625" style="122" customWidth="1"/>
    <col min="9934" max="9934" width="13.85546875" style="122" customWidth="1"/>
    <col min="9935" max="9935" width="12.28515625" style="122" customWidth="1"/>
    <col min="9936" max="9936" width="11.42578125" style="122" customWidth="1"/>
    <col min="9937" max="9937" width="2.5703125" style="122" customWidth="1"/>
    <col min="9938" max="9940" width="0" style="122" hidden="1" customWidth="1"/>
    <col min="9941" max="9941" width="9.140625" style="122"/>
    <col min="9942" max="9942" width="34.28515625" style="122" customWidth="1"/>
    <col min="9943" max="9947" width="24.85546875" style="122" customWidth="1"/>
    <col min="9948" max="9948" width="11.42578125" style="122" customWidth="1"/>
    <col min="9949" max="9949" width="12.85546875" style="122" customWidth="1"/>
    <col min="9950" max="9950" width="23.5703125" style="122" customWidth="1"/>
    <col min="9951" max="9951" width="9.140625" style="122"/>
    <col min="9952" max="9952" width="15.7109375" style="122" customWidth="1"/>
    <col min="9953" max="9953" width="9.140625" style="122"/>
    <col min="9954" max="9954" width="14.85546875" style="122" customWidth="1"/>
    <col min="9955" max="9957" width="19.28515625" style="122" customWidth="1"/>
    <col min="9958" max="10186" width="9.140625" style="122"/>
    <col min="10187" max="10187" width="2.85546875" style="122" customWidth="1"/>
    <col min="10188" max="10188" width="9.140625" style="122"/>
    <col min="10189" max="10189" width="11.140625" style="122" customWidth="1"/>
    <col min="10190" max="10190" width="13.85546875" style="122" customWidth="1"/>
    <col min="10191" max="10191" width="12.28515625" style="122" customWidth="1"/>
    <col min="10192" max="10192" width="11.42578125" style="122" customWidth="1"/>
    <col min="10193" max="10193" width="2.5703125" style="122" customWidth="1"/>
    <col min="10194" max="10196" width="0" style="122" hidden="1" customWidth="1"/>
    <col min="10197" max="10197" width="9.140625" style="122"/>
    <col min="10198" max="10198" width="34.28515625" style="122" customWidth="1"/>
    <col min="10199" max="10203" width="24.85546875" style="122" customWidth="1"/>
    <col min="10204" max="10204" width="11.42578125" style="122" customWidth="1"/>
    <col min="10205" max="10205" width="12.85546875" style="122" customWidth="1"/>
    <col min="10206" max="10206" width="23.5703125" style="122" customWidth="1"/>
    <col min="10207" max="10207" width="9.140625" style="122"/>
    <col min="10208" max="10208" width="15.7109375" style="122" customWidth="1"/>
    <col min="10209" max="10209" width="9.140625" style="122"/>
    <col min="10210" max="10210" width="14.85546875" style="122" customWidth="1"/>
    <col min="10211" max="10213" width="19.28515625" style="122" customWidth="1"/>
    <col min="10214" max="10442" width="9.140625" style="122"/>
    <col min="10443" max="10443" width="2.85546875" style="122" customWidth="1"/>
    <col min="10444" max="10444" width="9.140625" style="122"/>
    <col min="10445" max="10445" width="11.140625" style="122" customWidth="1"/>
    <col min="10446" max="10446" width="13.85546875" style="122" customWidth="1"/>
    <col min="10447" max="10447" width="12.28515625" style="122" customWidth="1"/>
    <col min="10448" max="10448" width="11.42578125" style="122" customWidth="1"/>
    <col min="10449" max="10449" width="2.5703125" style="122" customWidth="1"/>
    <col min="10450" max="10452" width="0" style="122" hidden="1" customWidth="1"/>
    <col min="10453" max="10453" width="9.140625" style="122"/>
    <col min="10454" max="10454" width="34.28515625" style="122" customWidth="1"/>
    <col min="10455" max="10459" width="24.85546875" style="122" customWidth="1"/>
    <col min="10460" max="10460" width="11.42578125" style="122" customWidth="1"/>
    <col min="10461" max="10461" width="12.85546875" style="122" customWidth="1"/>
    <col min="10462" max="10462" width="23.5703125" style="122" customWidth="1"/>
    <col min="10463" max="10463" width="9.140625" style="122"/>
    <col min="10464" max="10464" width="15.7109375" style="122" customWidth="1"/>
    <col min="10465" max="10465" width="9.140625" style="122"/>
    <col min="10466" max="10466" width="14.85546875" style="122" customWidth="1"/>
    <col min="10467" max="10469" width="19.28515625" style="122" customWidth="1"/>
    <col min="10470" max="10698" width="9.140625" style="122"/>
    <col min="10699" max="10699" width="2.85546875" style="122" customWidth="1"/>
    <col min="10700" max="10700" width="9.140625" style="122"/>
    <col min="10701" max="10701" width="11.140625" style="122" customWidth="1"/>
    <col min="10702" max="10702" width="13.85546875" style="122" customWidth="1"/>
    <col min="10703" max="10703" width="12.28515625" style="122" customWidth="1"/>
    <col min="10704" max="10704" width="11.42578125" style="122" customWidth="1"/>
    <col min="10705" max="10705" width="2.5703125" style="122" customWidth="1"/>
    <col min="10706" max="10708" width="0" style="122" hidden="1" customWidth="1"/>
    <col min="10709" max="10709" width="9.140625" style="122"/>
    <col min="10710" max="10710" width="34.28515625" style="122" customWidth="1"/>
    <col min="10711" max="10715" width="24.85546875" style="122" customWidth="1"/>
    <col min="10716" max="10716" width="11.42578125" style="122" customWidth="1"/>
    <col min="10717" max="10717" width="12.85546875" style="122" customWidth="1"/>
    <col min="10718" max="10718" width="23.5703125" style="122" customWidth="1"/>
    <col min="10719" max="10719" width="9.140625" style="122"/>
    <col min="10720" max="10720" width="15.7109375" style="122" customWidth="1"/>
    <col min="10721" max="10721" width="9.140625" style="122"/>
    <col min="10722" max="10722" width="14.85546875" style="122" customWidth="1"/>
    <col min="10723" max="10725" width="19.28515625" style="122" customWidth="1"/>
    <col min="10726" max="10954" width="9.140625" style="122"/>
    <col min="10955" max="10955" width="2.85546875" style="122" customWidth="1"/>
    <col min="10956" max="10956" width="9.140625" style="122"/>
    <col min="10957" max="10957" width="11.140625" style="122" customWidth="1"/>
    <col min="10958" max="10958" width="13.85546875" style="122" customWidth="1"/>
    <col min="10959" max="10959" width="12.28515625" style="122" customWidth="1"/>
    <col min="10960" max="10960" width="11.42578125" style="122" customWidth="1"/>
    <col min="10961" max="10961" width="2.5703125" style="122" customWidth="1"/>
    <col min="10962" max="10964" width="0" style="122" hidden="1" customWidth="1"/>
    <col min="10965" max="10965" width="9.140625" style="122"/>
    <col min="10966" max="10966" width="34.28515625" style="122" customWidth="1"/>
    <col min="10967" max="10971" width="24.85546875" style="122" customWidth="1"/>
    <col min="10972" max="10972" width="11.42578125" style="122" customWidth="1"/>
    <col min="10973" max="10973" width="12.85546875" style="122" customWidth="1"/>
    <col min="10974" max="10974" width="23.5703125" style="122" customWidth="1"/>
    <col min="10975" max="10975" width="9.140625" style="122"/>
    <col min="10976" max="10976" width="15.7109375" style="122" customWidth="1"/>
    <col min="10977" max="10977" width="9.140625" style="122"/>
    <col min="10978" max="10978" width="14.85546875" style="122" customWidth="1"/>
    <col min="10979" max="10981" width="19.28515625" style="122" customWidth="1"/>
    <col min="10982" max="11210" width="9.140625" style="122"/>
    <col min="11211" max="11211" width="2.85546875" style="122" customWidth="1"/>
    <col min="11212" max="11212" width="9.140625" style="122"/>
    <col min="11213" max="11213" width="11.140625" style="122" customWidth="1"/>
    <col min="11214" max="11214" width="13.85546875" style="122" customWidth="1"/>
    <col min="11215" max="11215" width="12.28515625" style="122" customWidth="1"/>
    <col min="11216" max="11216" width="11.42578125" style="122" customWidth="1"/>
    <col min="11217" max="11217" width="2.5703125" style="122" customWidth="1"/>
    <col min="11218" max="11220" width="0" style="122" hidden="1" customWidth="1"/>
    <col min="11221" max="11221" width="9.140625" style="122"/>
    <col min="11222" max="11222" width="34.28515625" style="122" customWidth="1"/>
    <col min="11223" max="11227" width="24.85546875" style="122" customWidth="1"/>
    <col min="11228" max="11228" width="11.42578125" style="122" customWidth="1"/>
    <col min="11229" max="11229" width="12.85546875" style="122" customWidth="1"/>
    <col min="11230" max="11230" width="23.5703125" style="122" customWidth="1"/>
    <col min="11231" max="11231" width="9.140625" style="122"/>
    <col min="11232" max="11232" width="15.7109375" style="122" customWidth="1"/>
    <col min="11233" max="11233" width="9.140625" style="122"/>
    <col min="11234" max="11234" width="14.85546875" style="122" customWidth="1"/>
    <col min="11235" max="11237" width="19.28515625" style="122" customWidth="1"/>
    <col min="11238" max="11466" width="9.140625" style="122"/>
    <col min="11467" max="11467" width="2.85546875" style="122" customWidth="1"/>
    <col min="11468" max="11468" width="9.140625" style="122"/>
    <col min="11469" max="11469" width="11.140625" style="122" customWidth="1"/>
    <col min="11470" max="11470" width="13.85546875" style="122" customWidth="1"/>
    <col min="11471" max="11471" width="12.28515625" style="122" customWidth="1"/>
    <col min="11472" max="11472" width="11.42578125" style="122" customWidth="1"/>
    <col min="11473" max="11473" width="2.5703125" style="122" customWidth="1"/>
    <col min="11474" max="11476" width="0" style="122" hidden="1" customWidth="1"/>
    <col min="11477" max="11477" width="9.140625" style="122"/>
    <col min="11478" max="11478" width="34.28515625" style="122" customWidth="1"/>
    <col min="11479" max="11483" width="24.85546875" style="122" customWidth="1"/>
    <col min="11484" max="11484" width="11.42578125" style="122" customWidth="1"/>
    <col min="11485" max="11485" width="12.85546875" style="122" customWidth="1"/>
    <col min="11486" max="11486" width="23.5703125" style="122" customWidth="1"/>
    <col min="11487" max="11487" width="9.140625" style="122"/>
    <col min="11488" max="11488" width="15.7109375" style="122" customWidth="1"/>
    <col min="11489" max="11489" width="9.140625" style="122"/>
    <col min="11490" max="11490" width="14.85546875" style="122" customWidth="1"/>
    <col min="11491" max="11493" width="19.28515625" style="122" customWidth="1"/>
    <col min="11494" max="11722" width="9.140625" style="122"/>
    <col min="11723" max="11723" width="2.85546875" style="122" customWidth="1"/>
    <col min="11724" max="11724" width="9.140625" style="122"/>
    <col min="11725" max="11725" width="11.140625" style="122" customWidth="1"/>
    <col min="11726" max="11726" width="13.85546875" style="122" customWidth="1"/>
    <col min="11727" max="11727" width="12.28515625" style="122" customWidth="1"/>
    <col min="11728" max="11728" width="11.42578125" style="122" customWidth="1"/>
    <col min="11729" max="11729" width="2.5703125" style="122" customWidth="1"/>
    <col min="11730" max="11732" width="0" style="122" hidden="1" customWidth="1"/>
    <col min="11733" max="11733" width="9.140625" style="122"/>
    <col min="11734" max="11734" width="34.28515625" style="122" customWidth="1"/>
    <col min="11735" max="11739" width="24.85546875" style="122" customWidth="1"/>
    <col min="11740" max="11740" width="11.42578125" style="122" customWidth="1"/>
    <col min="11741" max="11741" width="12.85546875" style="122" customWidth="1"/>
    <col min="11742" max="11742" width="23.5703125" style="122" customWidth="1"/>
    <col min="11743" max="11743" width="9.140625" style="122"/>
    <col min="11744" max="11744" width="15.7109375" style="122" customWidth="1"/>
    <col min="11745" max="11745" width="9.140625" style="122"/>
    <col min="11746" max="11746" width="14.85546875" style="122" customWidth="1"/>
    <col min="11747" max="11749" width="19.28515625" style="122" customWidth="1"/>
    <col min="11750" max="11978" width="9.140625" style="122"/>
    <col min="11979" max="11979" width="2.85546875" style="122" customWidth="1"/>
    <col min="11980" max="11980" width="9.140625" style="122"/>
    <col min="11981" max="11981" width="11.140625" style="122" customWidth="1"/>
    <col min="11982" max="11982" width="13.85546875" style="122" customWidth="1"/>
    <col min="11983" max="11983" width="12.28515625" style="122" customWidth="1"/>
    <col min="11984" max="11984" width="11.42578125" style="122" customWidth="1"/>
    <col min="11985" max="11985" width="2.5703125" style="122" customWidth="1"/>
    <col min="11986" max="11988" width="0" style="122" hidden="1" customWidth="1"/>
    <col min="11989" max="11989" width="9.140625" style="122"/>
    <col min="11990" max="11990" width="34.28515625" style="122" customWidth="1"/>
    <col min="11991" max="11995" width="24.85546875" style="122" customWidth="1"/>
    <col min="11996" max="11996" width="11.42578125" style="122" customWidth="1"/>
    <col min="11997" max="11997" width="12.85546875" style="122" customWidth="1"/>
    <col min="11998" max="11998" width="23.5703125" style="122" customWidth="1"/>
    <col min="11999" max="11999" width="9.140625" style="122"/>
    <col min="12000" max="12000" width="15.7109375" style="122" customWidth="1"/>
    <col min="12001" max="12001" width="9.140625" style="122"/>
    <col min="12002" max="12002" width="14.85546875" style="122" customWidth="1"/>
    <col min="12003" max="12005" width="19.28515625" style="122" customWidth="1"/>
    <col min="12006" max="12234" width="9.140625" style="122"/>
    <col min="12235" max="12235" width="2.85546875" style="122" customWidth="1"/>
    <col min="12236" max="12236" width="9.140625" style="122"/>
    <col min="12237" max="12237" width="11.140625" style="122" customWidth="1"/>
    <col min="12238" max="12238" width="13.85546875" style="122" customWidth="1"/>
    <col min="12239" max="12239" width="12.28515625" style="122" customWidth="1"/>
    <col min="12240" max="12240" width="11.42578125" style="122" customWidth="1"/>
    <col min="12241" max="12241" width="2.5703125" style="122" customWidth="1"/>
    <col min="12242" max="12244" width="0" style="122" hidden="1" customWidth="1"/>
    <col min="12245" max="12245" width="9.140625" style="122"/>
    <col min="12246" max="12246" width="34.28515625" style="122" customWidth="1"/>
    <col min="12247" max="12251" width="24.85546875" style="122" customWidth="1"/>
    <col min="12252" max="12252" width="11.42578125" style="122" customWidth="1"/>
    <col min="12253" max="12253" width="12.85546875" style="122" customWidth="1"/>
    <col min="12254" max="12254" width="23.5703125" style="122" customWidth="1"/>
    <col min="12255" max="12255" width="9.140625" style="122"/>
    <col min="12256" max="12256" width="15.7109375" style="122" customWidth="1"/>
    <col min="12257" max="12257" width="9.140625" style="122"/>
    <col min="12258" max="12258" width="14.85546875" style="122" customWidth="1"/>
    <col min="12259" max="12261" width="19.28515625" style="122" customWidth="1"/>
    <col min="12262" max="12490" width="9.140625" style="122"/>
    <col min="12491" max="12491" width="2.85546875" style="122" customWidth="1"/>
    <col min="12492" max="12492" width="9.140625" style="122"/>
    <col min="12493" max="12493" width="11.140625" style="122" customWidth="1"/>
    <col min="12494" max="12494" width="13.85546875" style="122" customWidth="1"/>
    <col min="12495" max="12495" width="12.28515625" style="122" customWidth="1"/>
    <col min="12496" max="12496" width="11.42578125" style="122" customWidth="1"/>
    <col min="12497" max="12497" width="2.5703125" style="122" customWidth="1"/>
    <col min="12498" max="12500" width="0" style="122" hidden="1" customWidth="1"/>
    <col min="12501" max="12501" width="9.140625" style="122"/>
    <col min="12502" max="12502" width="34.28515625" style="122" customWidth="1"/>
    <col min="12503" max="12507" width="24.85546875" style="122" customWidth="1"/>
    <col min="12508" max="12508" width="11.42578125" style="122" customWidth="1"/>
    <col min="12509" max="12509" width="12.85546875" style="122" customWidth="1"/>
    <col min="12510" max="12510" width="23.5703125" style="122" customWidth="1"/>
    <col min="12511" max="12511" width="9.140625" style="122"/>
    <col min="12512" max="12512" width="15.7109375" style="122" customWidth="1"/>
    <col min="12513" max="12513" width="9.140625" style="122"/>
    <col min="12514" max="12514" width="14.85546875" style="122" customWidth="1"/>
    <col min="12515" max="12517" width="19.28515625" style="122" customWidth="1"/>
    <col min="12518" max="12746" width="9.140625" style="122"/>
    <col min="12747" max="12747" width="2.85546875" style="122" customWidth="1"/>
    <col min="12748" max="12748" width="9.140625" style="122"/>
    <col min="12749" max="12749" width="11.140625" style="122" customWidth="1"/>
    <col min="12750" max="12750" width="13.85546875" style="122" customWidth="1"/>
    <col min="12751" max="12751" width="12.28515625" style="122" customWidth="1"/>
    <col min="12752" max="12752" width="11.42578125" style="122" customWidth="1"/>
    <col min="12753" max="12753" width="2.5703125" style="122" customWidth="1"/>
    <col min="12754" max="12756" width="0" style="122" hidden="1" customWidth="1"/>
    <col min="12757" max="12757" width="9.140625" style="122"/>
    <col min="12758" max="12758" width="34.28515625" style="122" customWidth="1"/>
    <col min="12759" max="12763" width="24.85546875" style="122" customWidth="1"/>
    <col min="12764" max="12764" width="11.42578125" style="122" customWidth="1"/>
    <col min="12765" max="12765" width="12.85546875" style="122" customWidth="1"/>
    <col min="12766" max="12766" width="23.5703125" style="122" customWidth="1"/>
    <col min="12767" max="12767" width="9.140625" style="122"/>
    <col min="12768" max="12768" width="15.7109375" style="122" customWidth="1"/>
    <col min="12769" max="12769" width="9.140625" style="122"/>
    <col min="12770" max="12770" width="14.85546875" style="122" customWidth="1"/>
    <col min="12771" max="12773" width="19.28515625" style="122" customWidth="1"/>
    <col min="12774" max="13002" width="9.140625" style="122"/>
    <col min="13003" max="13003" width="2.85546875" style="122" customWidth="1"/>
    <col min="13004" max="13004" width="9.140625" style="122"/>
    <col min="13005" max="13005" width="11.140625" style="122" customWidth="1"/>
    <col min="13006" max="13006" width="13.85546875" style="122" customWidth="1"/>
    <col min="13007" max="13007" width="12.28515625" style="122" customWidth="1"/>
    <col min="13008" max="13008" width="11.42578125" style="122" customWidth="1"/>
    <col min="13009" max="13009" width="2.5703125" style="122" customWidth="1"/>
    <col min="13010" max="13012" width="0" style="122" hidden="1" customWidth="1"/>
    <col min="13013" max="13013" width="9.140625" style="122"/>
    <col min="13014" max="13014" width="34.28515625" style="122" customWidth="1"/>
    <col min="13015" max="13019" width="24.85546875" style="122" customWidth="1"/>
    <col min="13020" max="13020" width="11.42578125" style="122" customWidth="1"/>
    <col min="13021" max="13021" width="12.85546875" style="122" customWidth="1"/>
    <col min="13022" max="13022" width="23.5703125" style="122" customWidth="1"/>
    <col min="13023" max="13023" width="9.140625" style="122"/>
    <col min="13024" max="13024" width="15.7109375" style="122" customWidth="1"/>
    <col min="13025" max="13025" width="9.140625" style="122"/>
    <col min="13026" max="13026" width="14.85546875" style="122" customWidth="1"/>
    <col min="13027" max="13029" width="19.28515625" style="122" customWidth="1"/>
    <col min="13030" max="13258" width="9.140625" style="122"/>
    <col min="13259" max="13259" width="2.85546875" style="122" customWidth="1"/>
    <col min="13260" max="13260" width="9.140625" style="122"/>
    <col min="13261" max="13261" width="11.140625" style="122" customWidth="1"/>
    <col min="13262" max="13262" width="13.85546875" style="122" customWidth="1"/>
    <col min="13263" max="13263" width="12.28515625" style="122" customWidth="1"/>
    <col min="13264" max="13264" width="11.42578125" style="122" customWidth="1"/>
    <col min="13265" max="13265" width="2.5703125" style="122" customWidth="1"/>
    <col min="13266" max="13268" width="0" style="122" hidden="1" customWidth="1"/>
    <col min="13269" max="13269" width="9.140625" style="122"/>
    <col min="13270" max="13270" width="34.28515625" style="122" customWidth="1"/>
    <col min="13271" max="13275" width="24.85546875" style="122" customWidth="1"/>
    <col min="13276" max="13276" width="11.42578125" style="122" customWidth="1"/>
    <col min="13277" max="13277" width="12.85546875" style="122" customWidth="1"/>
    <col min="13278" max="13278" width="23.5703125" style="122" customWidth="1"/>
    <col min="13279" max="13279" width="9.140625" style="122"/>
    <col min="13280" max="13280" width="15.7109375" style="122" customWidth="1"/>
    <col min="13281" max="13281" width="9.140625" style="122"/>
    <col min="13282" max="13282" width="14.85546875" style="122" customWidth="1"/>
    <col min="13283" max="13285" width="19.28515625" style="122" customWidth="1"/>
    <col min="13286" max="13514" width="9.140625" style="122"/>
    <col min="13515" max="13515" width="2.85546875" style="122" customWidth="1"/>
    <col min="13516" max="13516" width="9.140625" style="122"/>
    <col min="13517" max="13517" width="11.140625" style="122" customWidth="1"/>
    <col min="13518" max="13518" width="13.85546875" style="122" customWidth="1"/>
    <col min="13519" max="13519" width="12.28515625" style="122" customWidth="1"/>
    <col min="13520" max="13520" width="11.42578125" style="122" customWidth="1"/>
    <col min="13521" max="13521" width="2.5703125" style="122" customWidth="1"/>
    <col min="13522" max="13524" width="0" style="122" hidden="1" customWidth="1"/>
    <col min="13525" max="13525" width="9.140625" style="122"/>
    <col min="13526" max="13526" width="34.28515625" style="122" customWidth="1"/>
    <col min="13527" max="13531" width="24.85546875" style="122" customWidth="1"/>
    <col min="13532" max="13532" width="11.42578125" style="122" customWidth="1"/>
    <col min="13533" max="13533" width="12.85546875" style="122" customWidth="1"/>
    <col min="13534" max="13534" width="23.5703125" style="122" customWidth="1"/>
    <col min="13535" max="13535" width="9.140625" style="122"/>
    <col min="13536" max="13536" width="15.7109375" style="122" customWidth="1"/>
    <col min="13537" max="13537" width="9.140625" style="122"/>
    <col min="13538" max="13538" width="14.85546875" style="122" customWidth="1"/>
    <col min="13539" max="13541" width="19.28515625" style="122" customWidth="1"/>
    <col min="13542" max="13770" width="9.140625" style="122"/>
    <col min="13771" max="13771" width="2.85546875" style="122" customWidth="1"/>
    <col min="13772" max="13772" width="9.140625" style="122"/>
    <col min="13773" max="13773" width="11.140625" style="122" customWidth="1"/>
    <col min="13774" max="13774" width="13.85546875" style="122" customWidth="1"/>
    <col min="13775" max="13775" width="12.28515625" style="122" customWidth="1"/>
    <col min="13776" max="13776" width="11.42578125" style="122" customWidth="1"/>
    <col min="13777" max="13777" width="2.5703125" style="122" customWidth="1"/>
    <col min="13778" max="13780" width="0" style="122" hidden="1" customWidth="1"/>
    <col min="13781" max="13781" width="9.140625" style="122"/>
    <col min="13782" max="13782" width="34.28515625" style="122" customWidth="1"/>
    <col min="13783" max="13787" width="24.85546875" style="122" customWidth="1"/>
    <col min="13788" max="13788" width="11.42578125" style="122" customWidth="1"/>
    <col min="13789" max="13789" width="12.85546875" style="122" customWidth="1"/>
    <col min="13790" max="13790" width="23.5703125" style="122" customWidth="1"/>
    <col min="13791" max="13791" width="9.140625" style="122"/>
    <col min="13792" max="13792" width="15.7109375" style="122" customWidth="1"/>
    <col min="13793" max="13793" width="9.140625" style="122"/>
    <col min="13794" max="13794" width="14.85546875" style="122" customWidth="1"/>
    <col min="13795" max="13797" width="19.28515625" style="122" customWidth="1"/>
    <col min="13798" max="14026" width="9.140625" style="122"/>
    <col min="14027" max="14027" width="2.85546875" style="122" customWidth="1"/>
    <col min="14028" max="14028" width="9.140625" style="122"/>
    <col min="14029" max="14029" width="11.140625" style="122" customWidth="1"/>
    <col min="14030" max="14030" width="13.85546875" style="122" customWidth="1"/>
    <col min="14031" max="14031" width="12.28515625" style="122" customWidth="1"/>
    <col min="14032" max="14032" width="11.42578125" style="122" customWidth="1"/>
    <col min="14033" max="14033" width="2.5703125" style="122" customWidth="1"/>
    <col min="14034" max="14036" width="0" style="122" hidden="1" customWidth="1"/>
    <col min="14037" max="14037" width="9.140625" style="122"/>
    <col min="14038" max="14038" width="34.28515625" style="122" customWidth="1"/>
    <col min="14039" max="14043" width="24.85546875" style="122" customWidth="1"/>
    <col min="14044" max="14044" width="11.42578125" style="122" customWidth="1"/>
    <col min="14045" max="14045" width="12.85546875" style="122" customWidth="1"/>
    <col min="14046" max="14046" width="23.5703125" style="122" customWidth="1"/>
    <col min="14047" max="14047" width="9.140625" style="122"/>
    <col min="14048" max="14048" width="15.7109375" style="122" customWidth="1"/>
    <col min="14049" max="14049" width="9.140625" style="122"/>
    <col min="14050" max="14050" width="14.85546875" style="122" customWidth="1"/>
    <col min="14051" max="14053" width="19.28515625" style="122" customWidth="1"/>
    <col min="14054" max="14282" width="9.140625" style="122"/>
    <col min="14283" max="14283" width="2.85546875" style="122" customWidth="1"/>
    <col min="14284" max="14284" width="9.140625" style="122"/>
    <col min="14285" max="14285" width="11.140625" style="122" customWidth="1"/>
    <col min="14286" max="14286" width="13.85546875" style="122" customWidth="1"/>
    <col min="14287" max="14287" width="12.28515625" style="122" customWidth="1"/>
    <col min="14288" max="14288" width="11.42578125" style="122" customWidth="1"/>
    <col min="14289" max="14289" width="2.5703125" style="122" customWidth="1"/>
    <col min="14290" max="14292" width="0" style="122" hidden="1" customWidth="1"/>
    <col min="14293" max="14293" width="9.140625" style="122"/>
    <col min="14294" max="14294" width="34.28515625" style="122" customWidth="1"/>
    <col min="14295" max="14299" width="24.85546875" style="122" customWidth="1"/>
    <col min="14300" max="14300" width="11.42578125" style="122" customWidth="1"/>
    <col min="14301" max="14301" width="12.85546875" style="122" customWidth="1"/>
    <col min="14302" max="14302" width="23.5703125" style="122" customWidth="1"/>
    <col min="14303" max="14303" width="9.140625" style="122"/>
    <col min="14304" max="14304" width="15.7109375" style="122" customWidth="1"/>
    <col min="14305" max="14305" width="9.140625" style="122"/>
    <col min="14306" max="14306" width="14.85546875" style="122" customWidth="1"/>
    <col min="14307" max="14309" width="19.28515625" style="122" customWidth="1"/>
    <col min="14310" max="14538" width="9.140625" style="122"/>
    <col min="14539" max="14539" width="2.85546875" style="122" customWidth="1"/>
    <col min="14540" max="14540" width="9.140625" style="122"/>
    <col min="14541" max="14541" width="11.140625" style="122" customWidth="1"/>
    <col min="14542" max="14542" width="13.85546875" style="122" customWidth="1"/>
    <col min="14543" max="14543" width="12.28515625" style="122" customWidth="1"/>
    <col min="14544" max="14544" width="11.42578125" style="122" customWidth="1"/>
    <col min="14545" max="14545" width="2.5703125" style="122" customWidth="1"/>
    <col min="14546" max="14548" width="0" style="122" hidden="1" customWidth="1"/>
    <col min="14549" max="14549" width="9.140625" style="122"/>
    <col min="14550" max="14550" width="34.28515625" style="122" customWidth="1"/>
    <col min="14551" max="14555" width="24.85546875" style="122" customWidth="1"/>
    <col min="14556" max="14556" width="11.42578125" style="122" customWidth="1"/>
    <col min="14557" max="14557" width="12.85546875" style="122" customWidth="1"/>
    <col min="14558" max="14558" width="23.5703125" style="122" customWidth="1"/>
    <col min="14559" max="14559" width="9.140625" style="122"/>
    <col min="14560" max="14560" width="15.7109375" style="122" customWidth="1"/>
    <col min="14561" max="14561" width="9.140625" style="122"/>
    <col min="14562" max="14562" width="14.85546875" style="122" customWidth="1"/>
    <col min="14563" max="14565" width="19.28515625" style="122" customWidth="1"/>
    <col min="14566" max="14794" width="9.140625" style="122"/>
    <col min="14795" max="14795" width="2.85546875" style="122" customWidth="1"/>
    <col min="14796" max="14796" width="9.140625" style="122"/>
    <col min="14797" max="14797" width="11.140625" style="122" customWidth="1"/>
    <col min="14798" max="14798" width="13.85546875" style="122" customWidth="1"/>
    <col min="14799" max="14799" width="12.28515625" style="122" customWidth="1"/>
    <col min="14800" max="14800" width="11.42578125" style="122" customWidth="1"/>
    <col min="14801" max="14801" width="2.5703125" style="122" customWidth="1"/>
    <col min="14802" max="14804" width="0" style="122" hidden="1" customWidth="1"/>
    <col min="14805" max="14805" width="9.140625" style="122"/>
    <col min="14806" max="14806" width="34.28515625" style="122" customWidth="1"/>
    <col min="14807" max="14811" width="24.85546875" style="122" customWidth="1"/>
    <col min="14812" max="14812" width="11.42578125" style="122" customWidth="1"/>
    <col min="14813" max="14813" width="12.85546875" style="122" customWidth="1"/>
    <col min="14814" max="14814" width="23.5703125" style="122" customWidth="1"/>
    <col min="14815" max="14815" width="9.140625" style="122"/>
    <col min="14816" max="14816" width="15.7109375" style="122" customWidth="1"/>
    <col min="14817" max="14817" width="9.140625" style="122"/>
    <col min="14818" max="14818" width="14.85546875" style="122" customWidth="1"/>
    <col min="14819" max="14821" width="19.28515625" style="122" customWidth="1"/>
    <col min="14822" max="15050" width="9.140625" style="122"/>
    <col min="15051" max="15051" width="2.85546875" style="122" customWidth="1"/>
    <col min="15052" max="15052" width="9.140625" style="122"/>
    <col min="15053" max="15053" width="11.140625" style="122" customWidth="1"/>
    <col min="15054" max="15054" width="13.85546875" style="122" customWidth="1"/>
    <col min="15055" max="15055" width="12.28515625" style="122" customWidth="1"/>
    <col min="15056" max="15056" width="11.42578125" style="122" customWidth="1"/>
    <col min="15057" max="15057" width="2.5703125" style="122" customWidth="1"/>
    <col min="15058" max="15060" width="0" style="122" hidden="1" customWidth="1"/>
    <col min="15061" max="15061" width="9.140625" style="122"/>
    <col min="15062" max="15062" width="34.28515625" style="122" customWidth="1"/>
    <col min="15063" max="15067" width="24.85546875" style="122" customWidth="1"/>
    <col min="15068" max="15068" width="11.42578125" style="122" customWidth="1"/>
    <col min="15069" max="15069" width="12.85546875" style="122" customWidth="1"/>
    <col min="15070" max="15070" width="23.5703125" style="122" customWidth="1"/>
    <col min="15071" max="15071" width="9.140625" style="122"/>
    <col min="15072" max="15072" width="15.7109375" style="122" customWidth="1"/>
    <col min="15073" max="15073" width="9.140625" style="122"/>
    <col min="15074" max="15074" width="14.85546875" style="122" customWidth="1"/>
    <col min="15075" max="15077" width="19.28515625" style="122" customWidth="1"/>
    <col min="15078" max="15306" width="9.140625" style="122"/>
    <col min="15307" max="15307" width="2.85546875" style="122" customWidth="1"/>
    <col min="15308" max="15308" width="9.140625" style="122"/>
    <col min="15309" max="15309" width="11.140625" style="122" customWidth="1"/>
    <col min="15310" max="15310" width="13.85546875" style="122" customWidth="1"/>
    <col min="15311" max="15311" width="12.28515625" style="122" customWidth="1"/>
    <col min="15312" max="15312" width="11.42578125" style="122" customWidth="1"/>
    <col min="15313" max="15313" width="2.5703125" style="122" customWidth="1"/>
    <col min="15314" max="15316" width="0" style="122" hidden="1" customWidth="1"/>
    <col min="15317" max="15317" width="9.140625" style="122"/>
    <col min="15318" max="15318" width="34.28515625" style="122" customWidth="1"/>
    <col min="15319" max="15323" width="24.85546875" style="122" customWidth="1"/>
    <col min="15324" max="15324" width="11.42578125" style="122" customWidth="1"/>
    <col min="15325" max="15325" width="12.85546875" style="122" customWidth="1"/>
    <col min="15326" max="15326" width="23.5703125" style="122" customWidth="1"/>
    <col min="15327" max="15327" width="9.140625" style="122"/>
    <col min="15328" max="15328" width="15.7109375" style="122" customWidth="1"/>
    <col min="15329" max="15329" width="9.140625" style="122"/>
    <col min="15330" max="15330" width="14.85546875" style="122" customWidth="1"/>
    <col min="15331" max="15333" width="19.28515625" style="122" customWidth="1"/>
    <col min="15334" max="15562" width="9.140625" style="122"/>
    <col min="15563" max="15563" width="2.85546875" style="122" customWidth="1"/>
    <col min="15564" max="15564" width="9.140625" style="122"/>
    <col min="15565" max="15565" width="11.140625" style="122" customWidth="1"/>
    <col min="15566" max="15566" width="13.85546875" style="122" customWidth="1"/>
    <col min="15567" max="15567" width="12.28515625" style="122" customWidth="1"/>
    <col min="15568" max="15568" width="11.42578125" style="122" customWidth="1"/>
    <col min="15569" max="15569" width="2.5703125" style="122" customWidth="1"/>
    <col min="15570" max="15572" width="0" style="122" hidden="1" customWidth="1"/>
    <col min="15573" max="15573" width="9.140625" style="122"/>
    <col min="15574" max="15574" width="34.28515625" style="122" customWidth="1"/>
    <col min="15575" max="15579" width="24.85546875" style="122" customWidth="1"/>
    <col min="15580" max="15580" width="11.42578125" style="122" customWidth="1"/>
    <col min="15581" max="15581" width="12.85546875" style="122" customWidth="1"/>
    <col min="15582" max="15582" width="23.5703125" style="122" customWidth="1"/>
    <col min="15583" max="15583" width="9.140625" style="122"/>
    <col min="15584" max="15584" width="15.7109375" style="122" customWidth="1"/>
    <col min="15585" max="15585" width="9.140625" style="122"/>
    <col min="15586" max="15586" width="14.85546875" style="122" customWidth="1"/>
    <col min="15587" max="15589" width="19.28515625" style="122" customWidth="1"/>
    <col min="15590" max="15818" width="9.140625" style="122"/>
    <col min="15819" max="15819" width="2.85546875" style="122" customWidth="1"/>
    <col min="15820" max="15820" width="9.140625" style="122"/>
    <col min="15821" max="15821" width="11.140625" style="122" customWidth="1"/>
    <col min="15822" max="15822" width="13.85546875" style="122" customWidth="1"/>
    <col min="15823" max="15823" width="12.28515625" style="122" customWidth="1"/>
    <col min="15824" max="15824" width="11.42578125" style="122" customWidth="1"/>
    <col min="15825" max="15825" width="2.5703125" style="122" customWidth="1"/>
    <col min="15826" max="15828" width="0" style="122" hidden="1" customWidth="1"/>
    <col min="15829" max="15829" width="9.140625" style="122"/>
    <col min="15830" max="15830" width="34.28515625" style="122" customWidth="1"/>
    <col min="15831" max="15835" width="24.85546875" style="122" customWidth="1"/>
    <col min="15836" max="15836" width="11.42578125" style="122" customWidth="1"/>
    <col min="15837" max="15837" width="12.85546875" style="122" customWidth="1"/>
    <col min="15838" max="15838" width="23.5703125" style="122" customWidth="1"/>
    <col min="15839" max="15839" width="9.140625" style="122"/>
    <col min="15840" max="15840" width="15.7109375" style="122" customWidth="1"/>
    <col min="15841" max="15841" width="9.140625" style="122"/>
    <col min="15842" max="15842" width="14.85546875" style="122" customWidth="1"/>
    <col min="15843" max="15845" width="19.28515625" style="122" customWidth="1"/>
    <col min="15846" max="16074" width="9.140625" style="122"/>
    <col min="16075" max="16075" width="2.85546875" style="122" customWidth="1"/>
    <col min="16076" max="16076" width="9.140625" style="122"/>
    <col min="16077" max="16077" width="11.140625" style="122" customWidth="1"/>
    <col min="16078" max="16078" width="13.85546875" style="122" customWidth="1"/>
    <col min="16079" max="16079" width="12.28515625" style="122" customWidth="1"/>
    <col min="16080" max="16080" width="11.42578125" style="122" customWidth="1"/>
    <col min="16081" max="16081" width="2.5703125" style="122" customWidth="1"/>
    <col min="16082" max="16084" width="0" style="122" hidden="1" customWidth="1"/>
    <col min="16085" max="16085" width="9.140625" style="122"/>
    <col min="16086" max="16086" width="34.28515625" style="122" customWidth="1"/>
    <col min="16087" max="16091" width="24.85546875" style="122" customWidth="1"/>
    <col min="16092" max="16092" width="11.42578125" style="122" customWidth="1"/>
    <col min="16093" max="16093" width="12.85546875" style="122" customWidth="1"/>
    <col min="16094" max="16094" width="23.5703125" style="122" customWidth="1"/>
    <col min="16095" max="16095" width="9.140625" style="122"/>
    <col min="16096" max="16096" width="15.7109375" style="122" customWidth="1"/>
    <col min="16097" max="16097" width="9.140625" style="122"/>
    <col min="16098" max="16098" width="14.85546875" style="122" customWidth="1"/>
    <col min="16099" max="16101" width="19.28515625" style="122" customWidth="1"/>
    <col min="16102" max="16384" width="9.140625" style="122"/>
  </cols>
  <sheetData>
    <row r="1" spans="1:13" x14ac:dyDescent="0.25">
      <c r="L1" s="710" t="s">
        <v>604</v>
      </c>
      <c r="M1" s="710"/>
    </row>
    <row r="2" spans="1:13" x14ac:dyDescent="0.25">
      <c r="B2" s="719" t="s">
        <v>490</v>
      </c>
      <c r="C2" s="719"/>
      <c r="D2" s="719"/>
      <c r="E2" s="719"/>
      <c r="F2" s="719"/>
      <c r="G2" s="719"/>
      <c r="H2" s="719"/>
    </row>
    <row r="3" spans="1:13" x14ac:dyDescent="0.25">
      <c r="E3" s="124"/>
      <c r="F3" s="124"/>
    </row>
    <row r="4" spans="1:13" ht="79.5" customHeight="1" x14ac:dyDescent="0.25">
      <c r="B4" s="56" t="s">
        <v>191</v>
      </c>
      <c r="C4" s="56"/>
      <c r="D4" s="56" t="s">
        <v>192</v>
      </c>
      <c r="E4" s="56" t="s">
        <v>491</v>
      </c>
      <c r="F4" s="56" t="s">
        <v>193</v>
      </c>
      <c r="G4" s="56" t="s">
        <v>194</v>
      </c>
      <c r="H4" s="56" t="s">
        <v>492</v>
      </c>
      <c r="I4" s="92"/>
      <c r="J4" s="335" t="s">
        <v>605</v>
      </c>
      <c r="K4" s="335" t="s">
        <v>606</v>
      </c>
      <c r="L4" s="335" t="s">
        <v>195</v>
      </c>
      <c r="M4" s="336" t="s">
        <v>196</v>
      </c>
    </row>
    <row r="5" spans="1:13" x14ac:dyDescent="0.25">
      <c r="B5" s="93">
        <v>1</v>
      </c>
      <c r="C5" s="93"/>
      <c r="D5" s="93">
        <v>2</v>
      </c>
      <c r="E5" s="93">
        <v>3</v>
      </c>
      <c r="F5" s="93">
        <v>4</v>
      </c>
      <c r="G5" s="93" t="s">
        <v>197</v>
      </c>
      <c r="H5" s="93">
        <v>6</v>
      </c>
      <c r="I5" s="94"/>
      <c r="J5" s="337"/>
      <c r="K5" s="337"/>
      <c r="L5" s="337"/>
      <c r="M5" s="338"/>
    </row>
    <row r="6" spans="1:13" x14ac:dyDescent="0.25">
      <c r="A6" s="125"/>
      <c r="B6" s="716" t="s">
        <v>198</v>
      </c>
      <c r="C6" s="126" t="s">
        <v>199</v>
      </c>
      <c r="D6" s="127">
        <v>866</v>
      </c>
      <c r="E6" s="127">
        <v>204</v>
      </c>
      <c r="F6" s="127">
        <v>290</v>
      </c>
      <c r="G6" s="126">
        <v>952</v>
      </c>
      <c r="H6" s="128">
        <v>888</v>
      </c>
      <c r="I6" s="124"/>
      <c r="J6" s="339"/>
      <c r="K6" s="339"/>
      <c r="L6" s="339"/>
      <c r="M6" s="339"/>
    </row>
    <row r="7" spans="1:13" ht="45" x14ac:dyDescent="0.25">
      <c r="A7" s="125"/>
      <c r="B7" s="716"/>
      <c r="C7" s="129" t="s">
        <v>200</v>
      </c>
      <c r="D7" s="130">
        <v>235</v>
      </c>
      <c r="E7" s="130">
        <v>67</v>
      </c>
      <c r="F7" s="130">
        <v>79</v>
      </c>
      <c r="G7" s="129">
        <v>247</v>
      </c>
      <c r="H7" s="131">
        <v>238</v>
      </c>
      <c r="I7" s="133"/>
      <c r="J7" s="339"/>
      <c r="K7" s="339"/>
      <c r="L7" s="339"/>
      <c r="M7" s="339"/>
    </row>
    <row r="8" spans="1:13" ht="30" x14ac:dyDescent="0.25">
      <c r="A8" s="125"/>
      <c r="B8" s="716"/>
      <c r="C8" s="129" t="s">
        <v>189</v>
      </c>
      <c r="D8" s="130">
        <v>631</v>
      </c>
      <c r="E8" s="130">
        <v>137</v>
      </c>
      <c r="F8" s="130">
        <v>211</v>
      </c>
      <c r="G8" s="129">
        <v>705</v>
      </c>
      <c r="H8" s="131">
        <v>650</v>
      </c>
      <c r="I8" s="133"/>
      <c r="J8" s="339"/>
      <c r="K8" s="339"/>
      <c r="L8" s="339"/>
      <c r="M8" s="339"/>
    </row>
    <row r="9" spans="1:13" ht="42.75" x14ac:dyDescent="0.25">
      <c r="A9" s="125"/>
      <c r="B9" s="716"/>
      <c r="C9" s="127" t="s">
        <v>201</v>
      </c>
      <c r="D9" s="127">
        <v>446</v>
      </c>
      <c r="E9" s="127">
        <v>204</v>
      </c>
      <c r="F9" s="127">
        <v>23</v>
      </c>
      <c r="G9" s="127">
        <v>265</v>
      </c>
      <c r="H9" s="134">
        <v>401</v>
      </c>
      <c r="I9" s="112"/>
      <c r="J9" s="340"/>
      <c r="K9" s="340"/>
      <c r="L9" s="340"/>
      <c r="M9" s="340"/>
    </row>
    <row r="10" spans="1:13" ht="45" x14ac:dyDescent="0.25">
      <c r="A10" s="125"/>
      <c r="B10" s="716"/>
      <c r="C10" s="129" t="s">
        <v>200</v>
      </c>
      <c r="D10" s="130">
        <v>126</v>
      </c>
      <c r="E10" s="130">
        <v>67</v>
      </c>
      <c r="F10" s="130">
        <v>7</v>
      </c>
      <c r="G10" s="130">
        <v>66</v>
      </c>
      <c r="H10" s="132">
        <v>111</v>
      </c>
      <c r="I10" s="135"/>
      <c r="J10" s="341">
        <f>'rezidenti_algas (valsts_apmaks)'!G6</f>
        <v>3712.8500000000004</v>
      </c>
      <c r="K10" s="341">
        <f>'rezidenti_algas (valsts_apmaks)'!M6</f>
        <v>4061.32</v>
      </c>
      <c r="L10" s="341">
        <f>K10-J10</f>
        <v>348.4699999999998</v>
      </c>
      <c r="M10" s="340">
        <f>ROUND(H10*L10*12,0)</f>
        <v>464162</v>
      </c>
    </row>
    <row r="11" spans="1:13" ht="30" x14ac:dyDescent="0.25">
      <c r="A11" s="125"/>
      <c r="B11" s="716"/>
      <c r="C11" s="129" t="s">
        <v>189</v>
      </c>
      <c r="D11" s="130">
        <v>320</v>
      </c>
      <c r="E11" s="130">
        <v>137</v>
      </c>
      <c r="F11" s="130">
        <v>16</v>
      </c>
      <c r="G11" s="130">
        <v>199</v>
      </c>
      <c r="H11" s="132">
        <v>290</v>
      </c>
      <c r="I11" s="135"/>
      <c r="J11" s="341">
        <f>'rezidenti_algas (valsts_apmaks)'!F6</f>
        <v>2954.2014279519999</v>
      </c>
      <c r="K11" s="341">
        <f>'rezidenti_algas (valsts_apmaks)'!L6</f>
        <v>3222.2471193149122</v>
      </c>
      <c r="L11" s="341">
        <f t="shared" ref="L11" si="0">K11-J11</f>
        <v>268.04569136291229</v>
      </c>
      <c r="M11" s="340">
        <f t="shared" ref="M11:M14" si="1">ROUND(H11*L11*12,0)</f>
        <v>932799</v>
      </c>
    </row>
    <row r="12" spans="1:13" x14ac:dyDescent="0.25">
      <c r="A12" s="125"/>
      <c r="B12" s="716"/>
      <c r="C12" s="127" t="s">
        <v>202</v>
      </c>
      <c r="D12" s="127">
        <v>420</v>
      </c>
      <c r="E12" s="127">
        <v>0</v>
      </c>
      <c r="F12" s="127">
        <v>267</v>
      </c>
      <c r="G12" s="127">
        <v>687</v>
      </c>
      <c r="H12" s="134">
        <v>487</v>
      </c>
      <c r="I12" s="112"/>
      <c r="J12" s="341"/>
      <c r="K12" s="341"/>
      <c r="L12" s="341"/>
      <c r="M12" s="340"/>
    </row>
    <row r="13" spans="1:13" ht="45" x14ac:dyDescent="0.25">
      <c r="A13" s="125"/>
      <c r="B13" s="716"/>
      <c r="C13" s="129" t="s">
        <v>200</v>
      </c>
      <c r="D13" s="130">
        <v>109</v>
      </c>
      <c r="E13" s="130">
        <v>0</v>
      </c>
      <c r="F13" s="130">
        <v>72</v>
      </c>
      <c r="G13" s="130">
        <v>181</v>
      </c>
      <c r="H13" s="132">
        <v>127</v>
      </c>
      <c r="I13" s="135"/>
      <c r="J13" s="341">
        <f>'rezidenti_algas (valsts_apmaks)'!D6</f>
        <v>3414</v>
      </c>
      <c r="K13" s="341">
        <f>'rezidenti_algas (valsts_apmaks)'!J6</f>
        <v>3730.78</v>
      </c>
      <c r="L13" s="341">
        <f>K13-J13</f>
        <v>316.7800000000002</v>
      </c>
      <c r="M13" s="340">
        <f t="shared" si="1"/>
        <v>482773</v>
      </c>
    </row>
    <row r="14" spans="1:13" ht="30" x14ac:dyDescent="0.25">
      <c r="A14" s="125"/>
      <c r="B14" s="716"/>
      <c r="C14" s="129" t="s">
        <v>189</v>
      </c>
      <c r="D14" s="130">
        <v>311</v>
      </c>
      <c r="E14" s="130">
        <v>0</v>
      </c>
      <c r="F14" s="130">
        <v>195</v>
      </c>
      <c r="G14" s="130">
        <v>506</v>
      </c>
      <c r="H14" s="132">
        <v>360</v>
      </c>
      <c r="I14" s="135"/>
      <c r="J14" s="341">
        <f>'rezidenti_algas (valsts_apmaks)'!C6</f>
        <v>2724.3131163200001</v>
      </c>
      <c r="K14" s="341">
        <f>'rezidenti_algas (valsts_apmaks)'!I6</f>
        <v>2968.0019266499198</v>
      </c>
      <c r="L14" s="341">
        <f>K14-J14</f>
        <v>243.68881032991976</v>
      </c>
      <c r="M14" s="340">
        <f t="shared" si="1"/>
        <v>1052736</v>
      </c>
    </row>
    <row r="15" spans="1:13" x14ac:dyDescent="0.25">
      <c r="A15" s="125"/>
      <c r="B15" s="717"/>
      <c r="D15" s="110"/>
      <c r="E15" s="110"/>
      <c r="F15" s="110"/>
      <c r="J15" s="342"/>
      <c r="K15" s="342"/>
      <c r="L15" s="342"/>
      <c r="M15" s="339"/>
    </row>
    <row r="16" spans="1:13" x14ac:dyDescent="0.25">
      <c r="A16" s="125"/>
      <c r="B16" s="717"/>
      <c r="C16" s="136"/>
      <c r="D16" s="111"/>
      <c r="E16" s="111"/>
      <c r="F16" s="111"/>
      <c r="G16" s="136"/>
      <c r="H16" s="136"/>
      <c r="I16" s="136"/>
      <c r="J16" s="342"/>
      <c r="K16" s="342"/>
      <c r="L16" s="342"/>
      <c r="M16" s="340">
        <f>SUM(M10:M14)</f>
        <v>2932470</v>
      </c>
    </row>
    <row r="17" spans="1:14" x14ac:dyDescent="0.25">
      <c r="A17" s="125"/>
      <c r="B17" s="717"/>
      <c r="C17" s="136"/>
      <c r="D17" s="111"/>
      <c r="E17" s="111"/>
      <c r="F17" s="111"/>
      <c r="G17" s="136"/>
      <c r="H17" s="136"/>
      <c r="I17" s="136"/>
    </row>
    <row r="18" spans="1:14" x14ac:dyDescent="0.25">
      <c r="A18" s="125"/>
      <c r="B18" s="717"/>
      <c r="C18" s="136"/>
      <c r="D18" s="111"/>
      <c r="E18" s="111"/>
      <c r="F18" s="111"/>
      <c r="G18" s="111"/>
      <c r="H18" s="111"/>
      <c r="I18" s="111"/>
      <c r="J18" s="718"/>
      <c r="K18" s="110"/>
      <c r="L18" s="112"/>
      <c r="M18" s="112"/>
    </row>
    <row r="19" spans="1:14" ht="28.5" x14ac:dyDescent="0.25">
      <c r="A19" s="125"/>
      <c r="B19" s="717"/>
      <c r="C19" s="136"/>
      <c r="D19" s="111"/>
      <c r="E19" s="111"/>
      <c r="F19" s="111"/>
      <c r="G19" s="111"/>
      <c r="H19" s="111"/>
      <c r="I19" s="111"/>
      <c r="J19" s="718"/>
      <c r="K19" s="110"/>
      <c r="L19" s="343" t="s">
        <v>493</v>
      </c>
      <c r="M19" s="344">
        <f>M16</f>
        <v>2932470</v>
      </c>
    </row>
    <row r="20" spans="1:14" x14ac:dyDescent="0.25">
      <c r="A20" s="125"/>
      <c r="B20" s="717"/>
      <c r="C20" s="110"/>
      <c r="D20" s="110"/>
      <c r="E20" s="110"/>
      <c r="F20" s="110"/>
      <c r="G20" s="110"/>
      <c r="H20" s="110"/>
      <c r="I20" s="110"/>
      <c r="J20" s="718"/>
      <c r="K20" s="110"/>
      <c r="L20" s="110"/>
      <c r="M20" s="110"/>
      <c r="N20" s="125"/>
    </row>
    <row r="21" spans="1:14" x14ac:dyDescent="0.25">
      <c r="A21" s="125"/>
      <c r="B21" s="717"/>
      <c r="C21" s="136"/>
      <c r="D21" s="111"/>
      <c r="E21" s="111"/>
      <c r="F21" s="111"/>
      <c r="G21" s="111"/>
      <c r="H21" s="111"/>
      <c r="I21" s="111"/>
      <c r="J21" s="110"/>
      <c r="K21" s="110"/>
      <c r="L21" s="110"/>
      <c r="M21" s="110"/>
    </row>
    <row r="22" spans="1:14" x14ac:dyDescent="0.25">
      <c r="A22" s="125"/>
      <c r="B22" s="717"/>
      <c r="C22" s="136"/>
      <c r="D22" s="111"/>
      <c r="E22" s="111"/>
      <c r="F22" s="111"/>
      <c r="G22" s="111"/>
      <c r="H22" s="111"/>
      <c r="I22" s="111"/>
      <c r="J22" s="110"/>
      <c r="K22" s="110"/>
      <c r="L22" s="110"/>
      <c r="M22" s="110"/>
    </row>
    <row r="23" spans="1:14" x14ac:dyDescent="0.25">
      <c r="A23" s="125"/>
      <c r="B23" s="122"/>
      <c r="C23" s="122"/>
      <c r="D23" s="122"/>
      <c r="E23" s="122"/>
      <c r="F23" s="122"/>
      <c r="G23" s="122"/>
      <c r="H23" s="122"/>
      <c r="I23" s="122"/>
      <c r="J23" s="125"/>
      <c r="K23" s="122"/>
      <c r="L23" s="122"/>
      <c r="M23" s="122"/>
    </row>
    <row r="24" spans="1:14" x14ac:dyDescent="0.25">
      <c r="A24" s="125"/>
      <c r="B24" s="122"/>
      <c r="C24" s="122"/>
      <c r="D24" s="122"/>
      <c r="E24" s="122"/>
      <c r="F24" s="122"/>
      <c r="G24" s="122"/>
      <c r="H24" s="122"/>
      <c r="I24" s="122"/>
      <c r="J24" s="122"/>
      <c r="K24" s="122"/>
      <c r="L24" s="122"/>
      <c r="M24" s="122"/>
    </row>
    <row r="25" spans="1:14" x14ac:dyDescent="0.25">
      <c r="A25" s="125"/>
      <c r="B25" s="122"/>
      <c r="C25" s="122"/>
      <c r="D25" s="122"/>
      <c r="E25" s="122"/>
      <c r="F25" s="122"/>
      <c r="G25" s="122"/>
      <c r="H25" s="122"/>
      <c r="I25" s="122"/>
      <c r="J25" s="122"/>
      <c r="K25" s="122"/>
      <c r="L25" s="122"/>
      <c r="M25" s="122"/>
    </row>
    <row r="26" spans="1:14" x14ac:dyDescent="0.25">
      <c r="A26" s="125"/>
      <c r="B26" s="122"/>
      <c r="C26" s="122"/>
      <c r="D26" s="122"/>
      <c r="E26" s="122"/>
      <c r="F26" s="122"/>
      <c r="G26" s="122"/>
      <c r="H26" s="122"/>
      <c r="I26" s="122"/>
      <c r="J26" s="122"/>
      <c r="K26" s="122"/>
      <c r="L26" s="122"/>
      <c r="M26" s="122"/>
    </row>
    <row r="27" spans="1:14" x14ac:dyDescent="0.25">
      <c r="A27" s="125"/>
      <c r="B27" s="122"/>
      <c r="C27" s="122"/>
      <c r="D27" s="122"/>
      <c r="E27" s="122"/>
      <c r="F27" s="122"/>
      <c r="G27" s="122"/>
      <c r="H27" s="122"/>
      <c r="I27" s="122"/>
      <c r="J27" s="122"/>
      <c r="K27" s="122"/>
      <c r="L27" s="122"/>
      <c r="M27" s="122"/>
    </row>
    <row r="28" spans="1:14" x14ac:dyDescent="0.25">
      <c r="A28" s="125"/>
      <c r="B28" s="122"/>
      <c r="C28" s="122"/>
      <c r="D28" s="122"/>
      <c r="E28" s="122"/>
      <c r="F28" s="122"/>
      <c r="G28" s="122"/>
      <c r="H28" s="122"/>
      <c r="I28" s="122"/>
      <c r="J28" s="122"/>
      <c r="K28" s="122"/>
      <c r="L28" s="122"/>
      <c r="M28" s="122"/>
    </row>
    <row r="29" spans="1:14" x14ac:dyDescent="0.25">
      <c r="A29" s="125"/>
      <c r="B29" s="122"/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</row>
    <row r="30" spans="1:14" x14ac:dyDescent="0.25">
      <c r="A30" s="125"/>
      <c r="B30" s="122"/>
      <c r="C30" s="122"/>
      <c r="D30" s="122"/>
      <c r="E30" s="122"/>
      <c r="F30" s="122"/>
      <c r="G30" s="122"/>
      <c r="H30" s="122"/>
      <c r="I30" s="122"/>
      <c r="J30" s="122"/>
      <c r="K30" s="122"/>
      <c r="L30" s="122"/>
      <c r="M30" s="122"/>
    </row>
    <row r="31" spans="1:14" x14ac:dyDescent="0.25">
      <c r="A31" s="125"/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</row>
    <row r="32" spans="1:14" x14ac:dyDescent="0.25">
      <c r="A32" s="125"/>
      <c r="B32" s="110"/>
      <c r="C32" s="110"/>
      <c r="D32" s="110"/>
      <c r="E32" s="110"/>
      <c r="F32" s="110"/>
      <c r="G32" s="110"/>
      <c r="H32" s="110"/>
      <c r="I32" s="110"/>
      <c r="J32" s="110"/>
      <c r="K32" s="110"/>
      <c r="L32" s="110"/>
      <c r="M32" s="110"/>
    </row>
    <row r="33" spans="1:13" x14ac:dyDescent="0.25">
      <c r="A33" s="125"/>
      <c r="B33" s="110"/>
      <c r="C33" s="110"/>
      <c r="D33" s="110"/>
      <c r="E33" s="110"/>
      <c r="F33" s="110"/>
      <c r="G33" s="110"/>
      <c r="H33" s="110"/>
      <c r="I33" s="110"/>
      <c r="J33" s="110"/>
      <c r="K33" s="110"/>
      <c r="L33" s="110"/>
      <c r="M33" s="110"/>
    </row>
    <row r="34" spans="1:13" x14ac:dyDescent="0.25">
      <c r="A34" s="125"/>
      <c r="B34" s="110"/>
      <c r="C34" s="110"/>
      <c r="D34" s="110"/>
      <c r="E34" s="110"/>
      <c r="F34" s="110"/>
      <c r="G34" s="110"/>
      <c r="H34" s="110"/>
      <c r="I34" s="110"/>
      <c r="J34" s="110"/>
      <c r="K34" s="110"/>
      <c r="L34" s="110"/>
      <c r="M34" s="110"/>
    </row>
  </sheetData>
  <mergeCells count="5">
    <mergeCell ref="B6:B14"/>
    <mergeCell ref="B15:B22"/>
    <mergeCell ref="J18:J20"/>
    <mergeCell ref="L1:M1"/>
    <mergeCell ref="B2:H2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1EA00-6899-429F-BBB8-75053432B510}">
  <sheetPr>
    <tabColor theme="9" tint="0.79998168889431442"/>
  </sheetPr>
  <dimension ref="A1:K31"/>
  <sheetViews>
    <sheetView zoomScale="80" zoomScaleNormal="80" workbookViewId="0">
      <selection activeCell="C10" sqref="C10"/>
    </sheetView>
  </sheetViews>
  <sheetFormatPr defaultRowHeight="12.75" x14ac:dyDescent="0.2"/>
  <cols>
    <col min="1" max="1" width="9.7109375" style="52" customWidth="1"/>
    <col min="2" max="2" width="34" style="33" customWidth="1"/>
    <col min="3" max="3" width="40" style="33" customWidth="1"/>
    <col min="4" max="4" width="1.7109375" style="33" customWidth="1"/>
    <col min="5" max="5" width="45.85546875" style="33" customWidth="1"/>
    <col min="6" max="250" width="9.140625" style="33"/>
    <col min="251" max="251" width="9.7109375" style="33" customWidth="1"/>
    <col min="252" max="252" width="34" style="33" customWidth="1"/>
    <col min="253" max="256" width="15.5703125" style="33" customWidth="1"/>
    <col min="257" max="257" width="9.140625" style="33"/>
    <col min="258" max="260" width="27.85546875" style="33" customWidth="1"/>
    <col min="261" max="506" width="9.140625" style="33"/>
    <col min="507" max="507" width="9.7109375" style="33" customWidth="1"/>
    <col min="508" max="508" width="34" style="33" customWidth="1"/>
    <col min="509" max="512" width="15.5703125" style="33" customWidth="1"/>
    <col min="513" max="513" width="9.140625" style="33"/>
    <col min="514" max="516" width="27.85546875" style="33" customWidth="1"/>
    <col min="517" max="762" width="9.140625" style="33"/>
    <col min="763" max="763" width="9.7109375" style="33" customWidth="1"/>
    <col min="764" max="764" width="34" style="33" customWidth="1"/>
    <col min="765" max="768" width="15.5703125" style="33" customWidth="1"/>
    <col min="769" max="769" width="9.140625" style="33"/>
    <col min="770" max="772" width="27.85546875" style="33" customWidth="1"/>
    <col min="773" max="1018" width="9.140625" style="33"/>
    <col min="1019" max="1019" width="9.7109375" style="33" customWidth="1"/>
    <col min="1020" max="1020" width="34" style="33" customWidth="1"/>
    <col min="1021" max="1024" width="15.5703125" style="33" customWidth="1"/>
    <col min="1025" max="1025" width="9.140625" style="33"/>
    <col min="1026" max="1028" width="27.85546875" style="33" customWidth="1"/>
    <col min="1029" max="1274" width="9.140625" style="33"/>
    <col min="1275" max="1275" width="9.7109375" style="33" customWidth="1"/>
    <col min="1276" max="1276" width="34" style="33" customWidth="1"/>
    <col min="1277" max="1280" width="15.5703125" style="33" customWidth="1"/>
    <col min="1281" max="1281" width="9.140625" style="33"/>
    <col min="1282" max="1284" width="27.85546875" style="33" customWidth="1"/>
    <col min="1285" max="1530" width="9.140625" style="33"/>
    <col min="1531" max="1531" width="9.7109375" style="33" customWidth="1"/>
    <col min="1532" max="1532" width="34" style="33" customWidth="1"/>
    <col min="1533" max="1536" width="15.5703125" style="33" customWidth="1"/>
    <col min="1537" max="1537" width="9.140625" style="33"/>
    <col min="1538" max="1540" width="27.85546875" style="33" customWidth="1"/>
    <col min="1541" max="1786" width="9.140625" style="33"/>
    <col min="1787" max="1787" width="9.7109375" style="33" customWidth="1"/>
    <col min="1788" max="1788" width="34" style="33" customWidth="1"/>
    <col min="1789" max="1792" width="15.5703125" style="33" customWidth="1"/>
    <col min="1793" max="1793" width="9.140625" style="33"/>
    <col min="1794" max="1796" width="27.85546875" style="33" customWidth="1"/>
    <col min="1797" max="2042" width="9.140625" style="33"/>
    <col min="2043" max="2043" width="9.7109375" style="33" customWidth="1"/>
    <col min="2044" max="2044" width="34" style="33" customWidth="1"/>
    <col min="2045" max="2048" width="15.5703125" style="33" customWidth="1"/>
    <col min="2049" max="2049" width="9.140625" style="33"/>
    <col min="2050" max="2052" width="27.85546875" style="33" customWidth="1"/>
    <col min="2053" max="2298" width="9.140625" style="33"/>
    <col min="2299" max="2299" width="9.7109375" style="33" customWidth="1"/>
    <col min="2300" max="2300" width="34" style="33" customWidth="1"/>
    <col min="2301" max="2304" width="15.5703125" style="33" customWidth="1"/>
    <col min="2305" max="2305" width="9.140625" style="33"/>
    <col min="2306" max="2308" width="27.85546875" style="33" customWidth="1"/>
    <col min="2309" max="2554" width="9.140625" style="33"/>
    <col min="2555" max="2555" width="9.7109375" style="33" customWidth="1"/>
    <col min="2556" max="2556" width="34" style="33" customWidth="1"/>
    <col min="2557" max="2560" width="15.5703125" style="33" customWidth="1"/>
    <col min="2561" max="2561" width="9.140625" style="33"/>
    <col min="2562" max="2564" width="27.85546875" style="33" customWidth="1"/>
    <col min="2565" max="2810" width="9.140625" style="33"/>
    <col min="2811" max="2811" width="9.7109375" style="33" customWidth="1"/>
    <col min="2812" max="2812" width="34" style="33" customWidth="1"/>
    <col min="2813" max="2816" width="15.5703125" style="33" customWidth="1"/>
    <col min="2817" max="2817" width="9.140625" style="33"/>
    <col min="2818" max="2820" width="27.85546875" style="33" customWidth="1"/>
    <col min="2821" max="3066" width="9.140625" style="33"/>
    <col min="3067" max="3067" width="9.7109375" style="33" customWidth="1"/>
    <col min="3068" max="3068" width="34" style="33" customWidth="1"/>
    <col min="3069" max="3072" width="15.5703125" style="33" customWidth="1"/>
    <col min="3073" max="3073" width="9.140625" style="33"/>
    <col min="3074" max="3076" width="27.85546875" style="33" customWidth="1"/>
    <col min="3077" max="3322" width="9.140625" style="33"/>
    <col min="3323" max="3323" width="9.7109375" style="33" customWidth="1"/>
    <col min="3324" max="3324" width="34" style="33" customWidth="1"/>
    <col min="3325" max="3328" width="15.5703125" style="33" customWidth="1"/>
    <col min="3329" max="3329" width="9.140625" style="33"/>
    <col min="3330" max="3332" width="27.85546875" style="33" customWidth="1"/>
    <col min="3333" max="3578" width="9.140625" style="33"/>
    <col min="3579" max="3579" width="9.7109375" style="33" customWidth="1"/>
    <col min="3580" max="3580" width="34" style="33" customWidth="1"/>
    <col min="3581" max="3584" width="15.5703125" style="33" customWidth="1"/>
    <col min="3585" max="3585" width="9.140625" style="33"/>
    <col min="3586" max="3588" width="27.85546875" style="33" customWidth="1"/>
    <col min="3589" max="3834" width="9.140625" style="33"/>
    <col min="3835" max="3835" width="9.7109375" style="33" customWidth="1"/>
    <col min="3836" max="3836" width="34" style="33" customWidth="1"/>
    <col min="3837" max="3840" width="15.5703125" style="33" customWidth="1"/>
    <col min="3841" max="3841" width="9.140625" style="33"/>
    <col min="3842" max="3844" width="27.85546875" style="33" customWidth="1"/>
    <col min="3845" max="4090" width="9.140625" style="33"/>
    <col min="4091" max="4091" width="9.7109375" style="33" customWidth="1"/>
    <col min="4092" max="4092" width="34" style="33" customWidth="1"/>
    <col min="4093" max="4096" width="15.5703125" style="33" customWidth="1"/>
    <col min="4097" max="4097" width="9.140625" style="33"/>
    <col min="4098" max="4100" width="27.85546875" style="33" customWidth="1"/>
    <col min="4101" max="4346" width="9.140625" style="33"/>
    <col min="4347" max="4347" width="9.7109375" style="33" customWidth="1"/>
    <col min="4348" max="4348" width="34" style="33" customWidth="1"/>
    <col min="4349" max="4352" width="15.5703125" style="33" customWidth="1"/>
    <col min="4353" max="4353" width="9.140625" style="33"/>
    <col min="4354" max="4356" width="27.85546875" style="33" customWidth="1"/>
    <col min="4357" max="4602" width="9.140625" style="33"/>
    <col min="4603" max="4603" width="9.7109375" style="33" customWidth="1"/>
    <col min="4604" max="4604" width="34" style="33" customWidth="1"/>
    <col min="4605" max="4608" width="15.5703125" style="33" customWidth="1"/>
    <col min="4609" max="4609" width="9.140625" style="33"/>
    <col min="4610" max="4612" width="27.85546875" style="33" customWidth="1"/>
    <col min="4613" max="4858" width="9.140625" style="33"/>
    <col min="4859" max="4859" width="9.7109375" style="33" customWidth="1"/>
    <col min="4860" max="4860" width="34" style="33" customWidth="1"/>
    <col min="4861" max="4864" width="15.5703125" style="33" customWidth="1"/>
    <col min="4865" max="4865" width="9.140625" style="33"/>
    <col min="4866" max="4868" width="27.85546875" style="33" customWidth="1"/>
    <col min="4869" max="5114" width="9.140625" style="33"/>
    <col min="5115" max="5115" width="9.7109375" style="33" customWidth="1"/>
    <col min="5116" max="5116" width="34" style="33" customWidth="1"/>
    <col min="5117" max="5120" width="15.5703125" style="33" customWidth="1"/>
    <col min="5121" max="5121" width="9.140625" style="33"/>
    <col min="5122" max="5124" width="27.85546875" style="33" customWidth="1"/>
    <col min="5125" max="5370" width="9.140625" style="33"/>
    <col min="5371" max="5371" width="9.7109375" style="33" customWidth="1"/>
    <col min="5372" max="5372" width="34" style="33" customWidth="1"/>
    <col min="5373" max="5376" width="15.5703125" style="33" customWidth="1"/>
    <col min="5377" max="5377" width="9.140625" style="33"/>
    <col min="5378" max="5380" width="27.85546875" style="33" customWidth="1"/>
    <col min="5381" max="5626" width="9.140625" style="33"/>
    <col min="5627" max="5627" width="9.7109375" style="33" customWidth="1"/>
    <col min="5628" max="5628" width="34" style="33" customWidth="1"/>
    <col min="5629" max="5632" width="15.5703125" style="33" customWidth="1"/>
    <col min="5633" max="5633" width="9.140625" style="33"/>
    <col min="5634" max="5636" width="27.85546875" style="33" customWidth="1"/>
    <col min="5637" max="5882" width="9.140625" style="33"/>
    <col min="5883" max="5883" width="9.7109375" style="33" customWidth="1"/>
    <col min="5884" max="5884" width="34" style="33" customWidth="1"/>
    <col min="5885" max="5888" width="15.5703125" style="33" customWidth="1"/>
    <col min="5889" max="5889" width="9.140625" style="33"/>
    <col min="5890" max="5892" width="27.85546875" style="33" customWidth="1"/>
    <col min="5893" max="6138" width="9.140625" style="33"/>
    <col min="6139" max="6139" width="9.7109375" style="33" customWidth="1"/>
    <col min="6140" max="6140" width="34" style="33" customWidth="1"/>
    <col min="6141" max="6144" width="15.5703125" style="33" customWidth="1"/>
    <col min="6145" max="6145" width="9.140625" style="33"/>
    <col min="6146" max="6148" width="27.85546875" style="33" customWidth="1"/>
    <col min="6149" max="6394" width="9.140625" style="33"/>
    <col min="6395" max="6395" width="9.7109375" style="33" customWidth="1"/>
    <col min="6396" max="6396" width="34" style="33" customWidth="1"/>
    <col min="6397" max="6400" width="15.5703125" style="33" customWidth="1"/>
    <col min="6401" max="6401" width="9.140625" style="33"/>
    <col min="6402" max="6404" width="27.85546875" style="33" customWidth="1"/>
    <col min="6405" max="6650" width="9.140625" style="33"/>
    <col min="6651" max="6651" width="9.7109375" style="33" customWidth="1"/>
    <col min="6652" max="6652" width="34" style="33" customWidth="1"/>
    <col min="6653" max="6656" width="15.5703125" style="33" customWidth="1"/>
    <col min="6657" max="6657" width="9.140625" style="33"/>
    <col min="6658" max="6660" width="27.85546875" style="33" customWidth="1"/>
    <col min="6661" max="6906" width="9.140625" style="33"/>
    <col min="6907" max="6907" width="9.7109375" style="33" customWidth="1"/>
    <col min="6908" max="6908" width="34" style="33" customWidth="1"/>
    <col min="6909" max="6912" width="15.5703125" style="33" customWidth="1"/>
    <col min="6913" max="6913" width="9.140625" style="33"/>
    <col min="6914" max="6916" width="27.85546875" style="33" customWidth="1"/>
    <col min="6917" max="7162" width="9.140625" style="33"/>
    <col min="7163" max="7163" width="9.7109375" style="33" customWidth="1"/>
    <col min="7164" max="7164" width="34" style="33" customWidth="1"/>
    <col min="7165" max="7168" width="15.5703125" style="33" customWidth="1"/>
    <col min="7169" max="7169" width="9.140625" style="33"/>
    <col min="7170" max="7172" width="27.85546875" style="33" customWidth="1"/>
    <col min="7173" max="7418" width="9.140625" style="33"/>
    <col min="7419" max="7419" width="9.7109375" style="33" customWidth="1"/>
    <col min="7420" max="7420" width="34" style="33" customWidth="1"/>
    <col min="7421" max="7424" width="15.5703125" style="33" customWidth="1"/>
    <col min="7425" max="7425" width="9.140625" style="33"/>
    <col min="7426" max="7428" width="27.85546875" style="33" customWidth="1"/>
    <col min="7429" max="7674" width="9.140625" style="33"/>
    <col min="7675" max="7675" width="9.7109375" style="33" customWidth="1"/>
    <col min="7676" max="7676" width="34" style="33" customWidth="1"/>
    <col min="7677" max="7680" width="15.5703125" style="33" customWidth="1"/>
    <col min="7681" max="7681" width="9.140625" style="33"/>
    <col min="7682" max="7684" width="27.85546875" style="33" customWidth="1"/>
    <col min="7685" max="7930" width="9.140625" style="33"/>
    <col min="7931" max="7931" width="9.7109375" style="33" customWidth="1"/>
    <col min="7932" max="7932" width="34" style="33" customWidth="1"/>
    <col min="7933" max="7936" width="15.5703125" style="33" customWidth="1"/>
    <col min="7937" max="7937" width="9.140625" style="33"/>
    <col min="7938" max="7940" width="27.85546875" style="33" customWidth="1"/>
    <col min="7941" max="8186" width="9.140625" style="33"/>
    <col min="8187" max="8187" width="9.7109375" style="33" customWidth="1"/>
    <col min="8188" max="8188" width="34" style="33" customWidth="1"/>
    <col min="8189" max="8192" width="15.5703125" style="33" customWidth="1"/>
    <col min="8193" max="8193" width="9.140625" style="33"/>
    <col min="8194" max="8196" width="27.85546875" style="33" customWidth="1"/>
    <col min="8197" max="8442" width="9.140625" style="33"/>
    <col min="8443" max="8443" width="9.7109375" style="33" customWidth="1"/>
    <col min="8444" max="8444" width="34" style="33" customWidth="1"/>
    <col min="8445" max="8448" width="15.5703125" style="33" customWidth="1"/>
    <col min="8449" max="8449" width="9.140625" style="33"/>
    <col min="8450" max="8452" width="27.85546875" style="33" customWidth="1"/>
    <col min="8453" max="8698" width="9.140625" style="33"/>
    <col min="8699" max="8699" width="9.7109375" style="33" customWidth="1"/>
    <col min="8700" max="8700" width="34" style="33" customWidth="1"/>
    <col min="8701" max="8704" width="15.5703125" style="33" customWidth="1"/>
    <col min="8705" max="8705" width="9.140625" style="33"/>
    <col min="8706" max="8708" width="27.85546875" style="33" customWidth="1"/>
    <col min="8709" max="8954" width="9.140625" style="33"/>
    <col min="8955" max="8955" width="9.7109375" style="33" customWidth="1"/>
    <col min="8956" max="8956" width="34" style="33" customWidth="1"/>
    <col min="8957" max="8960" width="15.5703125" style="33" customWidth="1"/>
    <col min="8961" max="8961" width="9.140625" style="33"/>
    <col min="8962" max="8964" width="27.85546875" style="33" customWidth="1"/>
    <col min="8965" max="9210" width="9.140625" style="33"/>
    <col min="9211" max="9211" width="9.7109375" style="33" customWidth="1"/>
    <col min="9212" max="9212" width="34" style="33" customWidth="1"/>
    <col min="9213" max="9216" width="15.5703125" style="33" customWidth="1"/>
    <col min="9217" max="9217" width="9.140625" style="33"/>
    <col min="9218" max="9220" width="27.85546875" style="33" customWidth="1"/>
    <col min="9221" max="9466" width="9.140625" style="33"/>
    <col min="9467" max="9467" width="9.7109375" style="33" customWidth="1"/>
    <col min="9468" max="9468" width="34" style="33" customWidth="1"/>
    <col min="9469" max="9472" width="15.5703125" style="33" customWidth="1"/>
    <col min="9473" max="9473" width="9.140625" style="33"/>
    <col min="9474" max="9476" width="27.85546875" style="33" customWidth="1"/>
    <col min="9477" max="9722" width="9.140625" style="33"/>
    <col min="9723" max="9723" width="9.7109375" style="33" customWidth="1"/>
    <col min="9724" max="9724" width="34" style="33" customWidth="1"/>
    <col min="9725" max="9728" width="15.5703125" style="33" customWidth="1"/>
    <col min="9729" max="9729" width="9.140625" style="33"/>
    <col min="9730" max="9732" width="27.85546875" style="33" customWidth="1"/>
    <col min="9733" max="9978" width="9.140625" style="33"/>
    <col min="9979" max="9979" width="9.7109375" style="33" customWidth="1"/>
    <col min="9980" max="9980" width="34" style="33" customWidth="1"/>
    <col min="9981" max="9984" width="15.5703125" style="33" customWidth="1"/>
    <col min="9985" max="9985" width="9.140625" style="33"/>
    <col min="9986" max="9988" width="27.85546875" style="33" customWidth="1"/>
    <col min="9989" max="10234" width="9.140625" style="33"/>
    <col min="10235" max="10235" width="9.7109375" style="33" customWidth="1"/>
    <col min="10236" max="10236" width="34" style="33" customWidth="1"/>
    <col min="10237" max="10240" width="15.5703125" style="33" customWidth="1"/>
    <col min="10241" max="10241" width="9.140625" style="33"/>
    <col min="10242" max="10244" width="27.85546875" style="33" customWidth="1"/>
    <col min="10245" max="10490" width="9.140625" style="33"/>
    <col min="10491" max="10491" width="9.7109375" style="33" customWidth="1"/>
    <col min="10492" max="10492" width="34" style="33" customWidth="1"/>
    <col min="10493" max="10496" width="15.5703125" style="33" customWidth="1"/>
    <col min="10497" max="10497" width="9.140625" style="33"/>
    <col min="10498" max="10500" width="27.85546875" style="33" customWidth="1"/>
    <col min="10501" max="10746" width="9.140625" style="33"/>
    <col min="10747" max="10747" width="9.7109375" style="33" customWidth="1"/>
    <col min="10748" max="10748" width="34" style="33" customWidth="1"/>
    <col min="10749" max="10752" width="15.5703125" style="33" customWidth="1"/>
    <col min="10753" max="10753" width="9.140625" style="33"/>
    <col min="10754" max="10756" width="27.85546875" style="33" customWidth="1"/>
    <col min="10757" max="11002" width="9.140625" style="33"/>
    <col min="11003" max="11003" width="9.7109375" style="33" customWidth="1"/>
    <col min="11004" max="11004" width="34" style="33" customWidth="1"/>
    <col min="11005" max="11008" width="15.5703125" style="33" customWidth="1"/>
    <col min="11009" max="11009" width="9.140625" style="33"/>
    <col min="11010" max="11012" width="27.85546875" style="33" customWidth="1"/>
    <col min="11013" max="11258" width="9.140625" style="33"/>
    <col min="11259" max="11259" width="9.7109375" style="33" customWidth="1"/>
    <col min="11260" max="11260" width="34" style="33" customWidth="1"/>
    <col min="11261" max="11264" width="15.5703125" style="33" customWidth="1"/>
    <col min="11265" max="11265" width="9.140625" style="33"/>
    <col min="11266" max="11268" width="27.85546875" style="33" customWidth="1"/>
    <col min="11269" max="11514" width="9.140625" style="33"/>
    <col min="11515" max="11515" width="9.7109375" style="33" customWidth="1"/>
    <col min="11516" max="11516" width="34" style="33" customWidth="1"/>
    <col min="11517" max="11520" width="15.5703125" style="33" customWidth="1"/>
    <col min="11521" max="11521" width="9.140625" style="33"/>
    <col min="11522" max="11524" width="27.85546875" style="33" customWidth="1"/>
    <col min="11525" max="11770" width="9.140625" style="33"/>
    <col min="11771" max="11771" width="9.7109375" style="33" customWidth="1"/>
    <col min="11772" max="11772" width="34" style="33" customWidth="1"/>
    <col min="11773" max="11776" width="15.5703125" style="33" customWidth="1"/>
    <col min="11777" max="11777" width="9.140625" style="33"/>
    <col min="11778" max="11780" width="27.85546875" style="33" customWidth="1"/>
    <col min="11781" max="12026" width="9.140625" style="33"/>
    <col min="12027" max="12027" width="9.7109375" style="33" customWidth="1"/>
    <col min="12028" max="12028" width="34" style="33" customWidth="1"/>
    <col min="12029" max="12032" width="15.5703125" style="33" customWidth="1"/>
    <col min="12033" max="12033" width="9.140625" style="33"/>
    <col min="12034" max="12036" width="27.85546875" style="33" customWidth="1"/>
    <col min="12037" max="12282" width="9.140625" style="33"/>
    <col min="12283" max="12283" width="9.7109375" style="33" customWidth="1"/>
    <col min="12284" max="12284" width="34" style="33" customWidth="1"/>
    <col min="12285" max="12288" width="15.5703125" style="33" customWidth="1"/>
    <col min="12289" max="12289" width="9.140625" style="33"/>
    <col min="12290" max="12292" width="27.85546875" style="33" customWidth="1"/>
    <col min="12293" max="12538" width="9.140625" style="33"/>
    <col min="12539" max="12539" width="9.7109375" style="33" customWidth="1"/>
    <col min="12540" max="12540" width="34" style="33" customWidth="1"/>
    <col min="12541" max="12544" width="15.5703125" style="33" customWidth="1"/>
    <col min="12545" max="12545" width="9.140625" style="33"/>
    <col min="12546" max="12548" width="27.85546875" style="33" customWidth="1"/>
    <col min="12549" max="12794" width="9.140625" style="33"/>
    <col min="12795" max="12795" width="9.7109375" style="33" customWidth="1"/>
    <col min="12796" max="12796" width="34" style="33" customWidth="1"/>
    <col min="12797" max="12800" width="15.5703125" style="33" customWidth="1"/>
    <col min="12801" max="12801" width="9.140625" style="33"/>
    <col min="12802" max="12804" width="27.85546875" style="33" customWidth="1"/>
    <col min="12805" max="13050" width="9.140625" style="33"/>
    <col min="13051" max="13051" width="9.7109375" style="33" customWidth="1"/>
    <col min="13052" max="13052" width="34" style="33" customWidth="1"/>
    <col min="13053" max="13056" width="15.5703125" style="33" customWidth="1"/>
    <col min="13057" max="13057" width="9.140625" style="33"/>
    <col min="13058" max="13060" width="27.85546875" style="33" customWidth="1"/>
    <col min="13061" max="13306" width="9.140625" style="33"/>
    <col min="13307" max="13307" width="9.7109375" style="33" customWidth="1"/>
    <col min="13308" max="13308" width="34" style="33" customWidth="1"/>
    <col min="13309" max="13312" width="15.5703125" style="33" customWidth="1"/>
    <col min="13313" max="13313" width="9.140625" style="33"/>
    <col min="13314" max="13316" width="27.85546875" style="33" customWidth="1"/>
    <col min="13317" max="13562" width="9.140625" style="33"/>
    <col min="13563" max="13563" width="9.7109375" style="33" customWidth="1"/>
    <col min="13564" max="13564" width="34" style="33" customWidth="1"/>
    <col min="13565" max="13568" width="15.5703125" style="33" customWidth="1"/>
    <col min="13569" max="13569" width="9.140625" style="33"/>
    <col min="13570" max="13572" width="27.85546875" style="33" customWidth="1"/>
    <col min="13573" max="13818" width="9.140625" style="33"/>
    <col min="13819" max="13819" width="9.7109375" style="33" customWidth="1"/>
    <col min="13820" max="13820" width="34" style="33" customWidth="1"/>
    <col min="13821" max="13824" width="15.5703125" style="33" customWidth="1"/>
    <col min="13825" max="13825" width="9.140625" style="33"/>
    <col min="13826" max="13828" width="27.85546875" style="33" customWidth="1"/>
    <col min="13829" max="14074" width="9.140625" style="33"/>
    <col min="14075" max="14075" width="9.7109375" style="33" customWidth="1"/>
    <col min="14076" max="14076" width="34" style="33" customWidth="1"/>
    <col min="14077" max="14080" width="15.5703125" style="33" customWidth="1"/>
    <col min="14081" max="14081" width="9.140625" style="33"/>
    <col min="14082" max="14084" width="27.85546875" style="33" customWidth="1"/>
    <col min="14085" max="14330" width="9.140625" style="33"/>
    <col min="14331" max="14331" width="9.7109375" style="33" customWidth="1"/>
    <col min="14332" max="14332" width="34" style="33" customWidth="1"/>
    <col min="14333" max="14336" width="15.5703125" style="33" customWidth="1"/>
    <col min="14337" max="14337" width="9.140625" style="33"/>
    <col min="14338" max="14340" width="27.85546875" style="33" customWidth="1"/>
    <col min="14341" max="14586" width="9.140625" style="33"/>
    <col min="14587" max="14587" width="9.7109375" style="33" customWidth="1"/>
    <col min="14588" max="14588" width="34" style="33" customWidth="1"/>
    <col min="14589" max="14592" width="15.5703125" style="33" customWidth="1"/>
    <col min="14593" max="14593" width="9.140625" style="33"/>
    <col min="14594" max="14596" width="27.85546875" style="33" customWidth="1"/>
    <col min="14597" max="14842" width="9.140625" style="33"/>
    <col min="14843" max="14843" width="9.7109375" style="33" customWidth="1"/>
    <col min="14844" max="14844" width="34" style="33" customWidth="1"/>
    <col min="14845" max="14848" width="15.5703125" style="33" customWidth="1"/>
    <col min="14849" max="14849" width="9.140625" style="33"/>
    <col min="14850" max="14852" width="27.85546875" style="33" customWidth="1"/>
    <col min="14853" max="15098" width="9.140625" style="33"/>
    <col min="15099" max="15099" width="9.7109375" style="33" customWidth="1"/>
    <col min="15100" max="15100" width="34" style="33" customWidth="1"/>
    <col min="15101" max="15104" width="15.5703125" style="33" customWidth="1"/>
    <col min="15105" max="15105" width="9.140625" style="33"/>
    <col min="15106" max="15108" width="27.85546875" style="33" customWidth="1"/>
    <col min="15109" max="15354" width="9.140625" style="33"/>
    <col min="15355" max="15355" width="9.7109375" style="33" customWidth="1"/>
    <col min="15356" max="15356" width="34" style="33" customWidth="1"/>
    <col min="15357" max="15360" width="15.5703125" style="33" customWidth="1"/>
    <col min="15361" max="15361" width="9.140625" style="33"/>
    <col min="15362" max="15364" width="27.85546875" style="33" customWidth="1"/>
    <col min="15365" max="15610" width="9.140625" style="33"/>
    <col min="15611" max="15611" width="9.7109375" style="33" customWidth="1"/>
    <col min="15612" max="15612" width="34" style="33" customWidth="1"/>
    <col min="15613" max="15616" width="15.5703125" style="33" customWidth="1"/>
    <col min="15617" max="15617" width="9.140625" style="33"/>
    <col min="15618" max="15620" width="27.85546875" style="33" customWidth="1"/>
    <col min="15621" max="15866" width="9.140625" style="33"/>
    <col min="15867" max="15867" width="9.7109375" style="33" customWidth="1"/>
    <col min="15868" max="15868" width="34" style="33" customWidth="1"/>
    <col min="15869" max="15872" width="15.5703125" style="33" customWidth="1"/>
    <col min="15873" max="15873" width="9.140625" style="33"/>
    <col min="15874" max="15876" width="27.85546875" style="33" customWidth="1"/>
    <col min="15877" max="16122" width="9.140625" style="33"/>
    <col min="16123" max="16123" width="9.7109375" style="33" customWidth="1"/>
    <col min="16124" max="16124" width="34" style="33" customWidth="1"/>
    <col min="16125" max="16128" width="15.5703125" style="33" customWidth="1"/>
    <col min="16129" max="16129" width="9.140625" style="33"/>
    <col min="16130" max="16132" width="27.85546875" style="33" customWidth="1"/>
    <col min="16133" max="16384" width="9.140625" style="33"/>
  </cols>
  <sheetData>
    <row r="1" spans="1:11" ht="15" customHeight="1" x14ac:dyDescent="0.2">
      <c r="A1" s="31"/>
      <c r="B1" s="32"/>
      <c r="D1" s="710" t="s">
        <v>607</v>
      </c>
      <c r="E1" s="710"/>
      <c r="F1" s="139"/>
    </row>
    <row r="2" spans="1:11" ht="15" customHeight="1" x14ac:dyDescent="0.2">
      <c r="A2" s="31"/>
      <c r="B2" s="32"/>
      <c r="D2" s="111"/>
      <c r="E2" s="111"/>
      <c r="F2" s="139"/>
    </row>
    <row r="3" spans="1:11" ht="34.5" customHeight="1" x14ac:dyDescent="0.2">
      <c r="A3" s="720" t="s">
        <v>494</v>
      </c>
      <c r="B3" s="720"/>
      <c r="C3" s="720"/>
      <c r="D3" s="720"/>
      <c r="E3" s="720"/>
    </row>
    <row r="4" spans="1:11" x14ac:dyDescent="0.2">
      <c r="B4" s="87"/>
      <c r="C4" s="87"/>
      <c r="D4" s="87"/>
      <c r="E4" s="87"/>
    </row>
    <row r="5" spans="1:11" ht="61.5" customHeight="1" x14ac:dyDescent="0.2">
      <c r="A5" s="35" t="s">
        <v>120</v>
      </c>
      <c r="B5" s="36"/>
      <c r="C5" s="310" t="s">
        <v>608</v>
      </c>
      <c r="D5" s="311"/>
      <c r="E5" s="310" t="s">
        <v>609</v>
      </c>
    </row>
    <row r="6" spans="1:11" x14ac:dyDescent="0.2">
      <c r="A6" s="37"/>
      <c r="B6" s="38" t="s">
        <v>14</v>
      </c>
      <c r="C6" s="315">
        <f>C7</f>
        <v>2298.87149232</v>
      </c>
      <c r="D6" s="89"/>
      <c r="E6" s="315">
        <f>E7</f>
        <v>2528.7614279519998</v>
      </c>
      <c r="G6" s="119"/>
      <c r="H6" s="119"/>
      <c r="J6" s="119"/>
      <c r="K6" s="119"/>
    </row>
    <row r="7" spans="1:11" x14ac:dyDescent="0.2">
      <c r="A7" s="39">
        <v>1</v>
      </c>
      <c r="B7" s="40" t="s">
        <v>122</v>
      </c>
      <c r="C7" s="316">
        <f>C8</f>
        <v>2298.87149232</v>
      </c>
      <c r="D7" s="89"/>
      <c r="E7" s="316">
        <f>E8</f>
        <v>2528.7614279519998</v>
      </c>
    </row>
    <row r="8" spans="1:11" x14ac:dyDescent="0.2">
      <c r="A8" s="41" t="s">
        <v>495</v>
      </c>
      <c r="B8" s="42" t="s">
        <v>124</v>
      </c>
      <c r="C8" s="317">
        <f>C9+C12</f>
        <v>2298.87149232</v>
      </c>
      <c r="D8" s="89"/>
      <c r="E8" s="317">
        <f>E9+E12</f>
        <v>2528.7614279519998</v>
      </c>
    </row>
    <row r="9" spans="1:11" ht="13.5" x14ac:dyDescent="0.2">
      <c r="A9" s="43" t="s">
        <v>496</v>
      </c>
      <c r="B9" s="44" t="s">
        <v>126</v>
      </c>
      <c r="C9" s="318">
        <f>C10+C11</f>
        <v>1860.0814923199998</v>
      </c>
      <c r="D9" s="90"/>
      <c r="E9" s="318">
        <f>E10+E11</f>
        <v>2046.091427952</v>
      </c>
    </row>
    <row r="10" spans="1:11" x14ac:dyDescent="0.2">
      <c r="A10" s="35" t="s">
        <v>497</v>
      </c>
      <c r="B10" s="46" t="s">
        <v>128</v>
      </c>
      <c r="C10" s="320">
        <v>1576.34</v>
      </c>
      <c r="D10" s="120"/>
      <c r="E10" s="320">
        <v>1733.9757864000001</v>
      </c>
    </row>
    <row r="11" spans="1:11" ht="76.5" x14ac:dyDescent="0.2">
      <c r="A11" s="35" t="s">
        <v>498</v>
      </c>
      <c r="B11" s="46" t="s">
        <v>499</v>
      </c>
      <c r="C11" s="320">
        <v>283.74149231999996</v>
      </c>
      <c r="D11" s="120"/>
      <c r="E11" s="320">
        <v>312.115641552</v>
      </c>
    </row>
    <row r="12" spans="1:11" ht="13.5" x14ac:dyDescent="0.2">
      <c r="A12" s="43" t="s">
        <v>500</v>
      </c>
      <c r="B12" s="44" t="s">
        <v>132</v>
      </c>
      <c r="C12" s="318">
        <v>438.79</v>
      </c>
      <c r="D12" s="90"/>
      <c r="E12" s="318">
        <v>482.67</v>
      </c>
    </row>
    <row r="13" spans="1:11" x14ac:dyDescent="0.2">
      <c r="C13" s="121"/>
      <c r="E13" s="121"/>
    </row>
    <row r="14" spans="1:11" s="85" customFormat="1" x14ac:dyDescent="0.2">
      <c r="A14" s="34"/>
      <c r="B14" s="345" t="s">
        <v>482</v>
      </c>
      <c r="C14" s="346">
        <f>C6*12</f>
        <v>27586.457907839998</v>
      </c>
      <c r="D14" s="347"/>
      <c r="E14" s="346">
        <f>E6*12</f>
        <v>30345.137135423996</v>
      </c>
    </row>
    <row r="16" spans="1:11" ht="58.5" customHeight="1" x14ac:dyDescent="0.2">
      <c r="A16" s="35" t="s">
        <v>120</v>
      </c>
      <c r="B16" s="36"/>
      <c r="C16" s="348" t="s">
        <v>753</v>
      </c>
      <c r="D16" s="311"/>
      <c r="E16" s="348" t="s">
        <v>754</v>
      </c>
    </row>
    <row r="17" spans="1:11" x14ac:dyDescent="0.2">
      <c r="A17" s="37"/>
      <c r="B17" s="38" t="s">
        <v>14</v>
      </c>
      <c r="C17" s="315">
        <f>C18</f>
        <v>2542.5619266499198</v>
      </c>
      <c r="D17" s="89"/>
      <c r="E17" s="315">
        <f>E18</f>
        <v>2796.8071193149121</v>
      </c>
      <c r="G17" s="119"/>
      <c r="H17" s="119"/>
      <c r="J17" s="119"/>
      <c r="K17" s="119"/>
    </row>
    <row r="18" spans="1:11" x14ac:dyDescent="0.2">
      <c r="A18" s="39">
        <v>1</v>
      </c>
      <c r="B18" s="40" t="s">
        <v>122</v>
      </c>
      <c r="C18" s="316">
        <f>C19</f>
        <v>2542.5619266499198</v>
      </c>
      <c r="D18" s="89"/>
      <c r="E18" s="316">
        <f>E19</f>
        <v>2796.8071193149121</v>
      </c>
    </row>
    <row r="19" spans="1:11" x14ac:dyDescent="0.2">
      <c r="A19" s="41" t="s">
        <v>495</v>
      </c>
      <c r="B19" s="42" t="s">
        <v>124</v>
      </c>
      <c r="C19" s="317">
        <f>C20+C23</f>
        <v>2542.5619266499198</v>
      </c>
      <c r="D19" s="89"/>
      <c r="E19" s="317">
        <f>E20+E23</f>
        <v>2796.8071193149121</v>
      </c>
    </row>
    <row r="20" spans="1:11" ht="13.5" x14ac:dyDescent="0.2">
      <c r="A20" s="43" t="s">
        <v>496</v>
      </c>
      <c r="B20" s="44" t="s">
        <v>126</v>
      </c>
      <c r="C20" s="318">
        <f>C21+C22</f>
        <v>2057.2519266499198</v>
      </c>
      <c r="D20" s="318">
        <f t="shared" ref="D20:E20" si="0">D21+D22</f>
        <v>0</v>
      </c>
      <c r="E20" s="318">
        <f t="shared" si="0"/>
        <v>2262.9771193149122</v>
      </c>
    </row>
    <row r="21" spans="1:11" x14ac:dyDescent="0.2">
      <c r="A21" s="35" t="s">
        <v>497</v>
      </c>
      <c r="B21" s="46" t="s">
        <v>128</v>
      </c>
      <c r="C21" s="320">
        <v>1743.433836144</v>
      </c>
      <c r="D21" s="120"/>
      <c r="E21" s="320">
        <v>1917.7772197584002</v>
      </c>
    </row>
    <row r="22" spans="1:11" ht="76.5" x14ac:dyDescent="0.2">
      <c r="A22" s="35" t="s">
        <v>498</v>
      </c>
      <c r="B22" s="46" t="s">
        <v>499</v>
      </c>
      <c r="C22" s="320">
        <v>313.81809050592</v>
      </c>
      <c r="D22" s="120"/>
      <c r="E22" s="320">
        <v>345.19989955651204</v>
      </c>
    </row>
    <row r="23" spans="1:11" ht="13.5" x14ac:dyDescent="0.2">
      <c r="A23" s="43" t="s">
        <v>500</v>
      </c>
      <c r="B23" s="44" t="s">
        <v>132</v>
      </c>
      <c r="C23" s="318">
        <v>485.30999999999995</v>
      </c>
      <c r="D23" s="90"/>
      <c r="E23" s="318">
        <v>533.82999999999993</v>
      </c>
    </row>
    <row r="24" spans="1:11" x14ac:dyDescent="0.2">
      <c r="C24" s="121"/>
      <c r="E24" s="121"/>
    </row>
    <row r="25" spans="1:11" s="85" customFormat="1" x14ac:dyDescent="0.2">
      <c r="A25" s="34"/>
      <c r="B25" s="345" t="s">
        <v>482</v>
      </c>
      <c r="C25" s="346">
        <f>C17*12</f>
        <v>30510.743119799037</v>
      </c>
      <c r="D25" s="347"/>
      <c r="E25" s="346">
        <f>E17*12</f>
        <v>33561.685431778948</v>
      </c>
    </row>
    <row r="28" spans="1:11" x14ac:dyDescent="0.2">
      <c r="C28" s="121"/>
      <c r="E28" s="121"/>
    </row>
    <row r="30" spans="1:11" x14ac:dyDescent="0.2">
      <c r="C30" s="121"/>
      <c r="E30" s="121"/>
    </row>
    <row r="31" spans="1:11" x14ac:dyDescent="0.2">
      <c r="C31" s="121"/>
      <c r="E31" s="121"/>
    </row>
  </sheetData>
  <mergeCells count="2">
    <mergeCell ref="D1:E1"/>
    <mergeCell ref="A3:E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6766E-E888-471B-AE71-D0989E785ED9}">
  <sheetPr>
    <tabColor theme="9" tint="0.79998168889431442"/>
  </sheetPr>
  <dimension ref="A1:N72"/>
  <sheetViews>
    <sheetView topLeftCell="B6" zoomScale="80" zoomScaleNormal="80" workbookViewId="0">
      <selection activeCell="N16" sqref="N16"/>
    </sheetView>
  </sheetViews>
  <sheetFormatPr defaultColWidth="8.7109375" defaultRowHeight="30.75" customHeight="1" x14ac:dyDescent="0.25"/>
  <cols>
    <col min="1" max="2" width="8.7109375" style="351"/>
    <col min="3" max="3" width="18.140625" style="351" customWidth="1"/>
    <col min="4" max="5" width="12.42578125" style="351" customWidth="1"/>
    <col min="6" max="6" width="25.28515625" style="351" customWidth="1"/>
    <col min="7" max="9" width="13.140625" style="351" customWidth="1"/>
    <col min="10" max="10" width="14.7109375" style="351" customWidth="1"/>
    <col min="11" max="11" width="17.28515625" style="351" customWidth="1"/>
    <col min="12" max="12" width="10.140625" style="351" customWidth="1"/>
    <col min="13" max="13" width="8.7109375" style="351"/>
    <col min="14" max="14" width="9.85546875" style="351" customWidth="1"/>
    <col min="15" max="256" width="8.7109375" style="351"/>
    <col min="257" max="260" width="12.42578125" style="351" customWidth="1"/>
    <col min="261" max="261" width="11.140625" style="351" customWidth="1"/>
    <col min="262" max="265" width="13.140625" style="351" customWidth="1"/>
    <col min="266" max="266" width="14.7109375" style="351" customWidth="1"/>
    <col min="267" max="267" width="8.7109375" style="351"/>
    <col min="268" max="268" width="10.140625" style="351" customWidth="1"/>
    <col min="269" max="269" width="8.7109375" style="351"/>
    <col min="270" max="270" width="9.85546875" style="351" customWidth="1"/>
    <col min="271" max="512" width="8.7109375" style="351"/>
    <col min="513" max="516" width="12.42578125" style="351" customWidth="1"/>
    <col min="517" max="517" width="11.140625" style="351" customWidth="1"/>
    <col min="518" max="521" width="13.140625" style="351" customWidth="1"/>
    <col min="522" max="522" width="14.7109375" style="351" customWidth="1"/>
    <col min="523" max="523" width="8.7109375" style="351"/>
    <col min="524" max="524" width="10.140625" style="351" customWidth="1"/>
    <col min="525" max="525" width="8.7109375" style="351"/>
    <col min="526" max="526" width="9.85546875" style="351" customWidth="1"/>
    <col min="527" max="768" width="8.7109375" style="351"/>
    <col min="769" max="772" width="12.42578125" style="351" customWidth="1"/>
    <col min="773" max="773" width="11.140625" style="351" customWidth="1"/>
    <col min="774" max="777" width="13.140625" style="351" customWidth="1"/>
    <col min="778" max="778" width="14.7109375" style="351" customWidth="1"/>
    <col min="779" max="779" width="8.7109375" style="351"/>
    <col min="780" max="780" width="10.140625" style="351" customWidth="1"/>
    <col min="781" max="781" width="8.7109375" style="351"/>
    <col min="782" max="782" width="9.85546875" style="351" customWidth="1"/>
    <col min="783" max="1024" width="8.7109375" style="351"/>
    <col min="1025" max="1028" width="12.42578125" style="351" customWidth="1"/>
    <col min="1029" max="1029" width="11.140625" style="351" customWidth="1"/>
    <col min="1030" max="1033" width="13.140625" style="351" customWidth="1"/>
    <col min="1034" max="1034" width="14.7109375" style="351" customWidth="1"/>
    <col min="1035" max="1035" width="8.7109375" style="351"/>
    <col min="1036" max="1036" width="10.140625" style="351" customWidth="1"/>
    <col min="1037" max="1037" width="8.7109375" style="351"/>
    <col min="1038" max="1038" width="9.85546875" style="351" customWidth="1"/>
    <col min="1039" max="1280" width="8.7109375" style="351"/>
    <col min="1281" max="1284" width="12.42578125" style="351" customWidth="1"/>
    <col min="1285" max="1285" width="11.140625" style="351" customWidth="1"/>
    <col min="1286" max="1289" width="13.140625" style="351" customWidth="1"/>
    <col min="1290" max="1290" width="14.7109375" style="351" customWidth="1"/>
    <col min="1291" max="1291" width="8.7109375" style="351"/>
    <col min="1292" max="1292" width="10.140625" style="351" customWidth="1"/>
    <col min="1293" max="1293" width="8.7109375" style="351"/>
    <col min="1294" max="1294" width="9.85546875" style="351" customWidth="1"/>
    <col min="1295" max="1536" width="8.7109375" style="351"/>
    <col min="1537" max="1540" width="12.42578125" style="351" customWidth="1"/>
    <col min="1541" max="1541" width="11.140625" style="351" customWidth="1"/>
    <col min="1542" max="1545" width="13.140625" style="351" customWidth="1"/>
    <col min="1546" max="1546" width="14.7109375" style="351" customWidth="1"/>
    <col min="1547" max="1547" width="8.7109375" style="351"/>
    <col min="1548" max="1548" width="10.140625" style="351" customWidth="1"/>
    <col min="1549" max="1549" width="8.7109375" style="351"/>
    <col min="1550" max="1550" width="9.85546875" style="351" customWidth="1"/>
    <col min="1551" max="1792" width="8.7109375" style="351"/>
    <col min="1793" max="1796" width="12.42578125" style="351" customWidth="1"/>
    <col min="1797" max="1797" width="11.140625" style="351" customWidth="1"/>
    <col min="1798" max="1801" width="13.140625" style="351" customWidth="1"/>
    <col min="1802" max="1802" width="14.7109375" style="351" customWidth="1"/>
    <col min="1803" max="1803" width="8.7109375" style="351"/>
    <col min="1804" max="1804" width="10.140625" style="351" customWidth="1"/>
    <col min="1805" max="1805" width="8.7109375" style="351"/>
    <col min="1806" max="1806" width="9.85546875" style="351" customWidth="1"/>
    <col min="1807" max="2048" width="8.7109375" style="351"/>
    <col min="2049" max="2052" width="12.42578125" style="351" customWidth="1"/>
    <col min="2053" max="2053" width="11.140625" style="351" customWidth="1"/>
    <col min="2054" max="2057" width="13.140625" style="351" customWidth="1"/>
    <col min="2058" max="2058" width="14.7109375" style="351" customWidth="1"/>
    <col min="2059" max="2059" width="8.7109375" style="351"/>
    <col min="2060" max="2060" width="10.140625" style="351" customWidth="1"/>
    <col min="2061" max="2061" width="8.7109375" style="351"/>
    <col min="2062" max="2062" width="9.85546875" style="351" customWidth="1"/>
    <col min="2063" max="2304" width="8.7109375" style="351"/>
    <col min="2305" max="2308" width="12.42578125" style="351" customWidth="1"/>
    <col min="2309" max="2309" width="11.140625" style="351" customWidth="1"/>
    <col min="2310" max="2313" width="13.140625" style="351" customWidth="1"/>
    <col min="2314" max="2314" width="14.7109375" style="351" customWidth="1"/>
    <col min="2315" max="2315" width="8.7109375" style="351"/>
    <col min="2316" max="2316" width="10.140625" style="351" customWidth="1"/>
    <col min="2317" max="2317" width="8.7109375" style="351"/>
    <col min="2318" max="2318" width="9.85546875" style="351" customWidth="1"/>
    <col min="2319" max="2560" width="8.7109375" style="351"/>
    <col min="2561" max="2564" width="12.42578125" style="351" customWidth="1"/>
    <col min="2565" max="2565" width="11.140625" style="351" customWidth="1"/>
    <col min="2566" max="2569" width="13.140625" style="351" customWidth="1"/>
    <col min="2570" max="2570" width="14.7109375" style="351" customWidth="1"/>
    <col min="2571" max="2571" width="8.7109375" style="351"/>
    <col min="2572" max="2572" width="10.140625" style="351" customWidth="1"/>
    <col min="2573" max="2573" width="8.7109375" style="351"/>
    <col min="2574" max="2574" width="9.85546875" style="351" customWidth="1"/>
    <col min="2575" max="2816" width="8.7109375" style="351"/>
    <col min="2817" max="2820" width="12.42578125" style="351" customWidth="1"/>
    <col min="2821" max="2821" width="11.140625" style="351" customWidth="1"/>
    <col min="2822" max="2825" width="13.140625" style="351" customWidth="1"/>
    <col min="2826" max="2826" width="14.7109375" style="351" customWidth="1"/>
    <col min="2827" max="2827" width="8.7109375" style="351"/>
    <col min="2828" max="2828" width="10.140625" style="351" customWidth="1"/>
    <col min="2829" max="2829" width="8.7109375" style="351"/>
    <col min="2830" max="2830" width="9.85546875" style="351" customWidth="1"/>
    <col min="2831" max="3072" width="8.7109375" style="351"/>
    <col min="3073" max="3076" width="12.42578125" style="351" customWidth="1"/>
    <col min="3077" max="3077" width="11.140625" style="351" customWidth="1"/>
    <col min="3078" max="3081" width="13.140625" style="351" customWidth="1"/>
    <col min="3082" max="3082" width="14.7109375" style="351" customWidth="1"/>
    <col min="3083" max="3083" width="8.7109375" style="351"/>
    <col min="3084" max="3084" width="10.140625" style="351" customWidth="1"/>
    <col min="3085" max="3085" width="8.7109375" style="351"/>
    <col min="3086" max="3086" width="9.85546875" style="351" customWidth="1"/>
    <col min="3087" max="3328" width="8.7109375" style="351"/>
    <col min="3329" max="3332" width="12.42578125" style="351" customWidth="1"/>
    <col min="3333" max="3333" width="11.140625" style="351" customWidth="1"/>
    <col min="3334" max="3337" width="13.140625" style="351" customWidth="1"/>
    <col min="3338" max="3338" width="14.7109375" style="351" customWidth="1"/>
    <col min="3339" max="3339" width="8.7109375" style="351"/>
    <col min="3340" max="3340" width="10.140625" style="351" customWidth="1"/>
    <col min="3341" max="3341" width="8.7109375" style="351"/>
    <col min="3342" max="3342" width="9.85546875" style="351" customWidth="1"/>
    <col min="3343" max="3584" width="8.7109375" style="351"/>
    <col min="3585" max="3588" width="12.42578125" style="351" customWidth="1"/>
    <col min="3589" max="3589" width="11.140625" style="351" customWidth="1"/>
    <col min="3590" max="3593" width="13.140625" style="351" customWidth="1"/>
    <col min="3594" max="3594" width="14.7109375" style="351" customWidth="1"/>
    <col min="3595" max="3595" width="8.7109375" style="351"/>
    <col min="3596" max="3596" width="10.140625" style="351" customWidth="1"/>
    <col min="3597" max="3597" width="8.7109375" style="351"/>
    <col min="3598" max="3598" width="9.85546875" style="351" customWidth="1"/>
    <col min="3599" max="3840" width="8.7109375" style="351"/>
    <col min="3841" max="3844" width="12.42578125" style="351" customWidth="1"/>
    <col min="3845" max="3845" width="11.140625" style="351" customWidth="1"/>
    <col min="3846" max="3849" width="13.140625" style="351" customWidth="1"/>
    <col min="3850" max="3850" width="14.7109375" style="351" customWidth="1"/>
    <col min="3851" max="3851" width="8.7109375" style="351"/>
    <col min="3852" max="3852" width="10.140625" style="351" customWidth="1"/>
    <col min="3853" max="3853" width="8.7109375" style="351"/>
    <col min="3854" max="3854" width="9.85546875" style="351" customWidth="1"/>
    <col min="3855" max="4096" width="8.7109375" style="351"/>
    <col min="4097" max="4100" width="12.42578125" style="351" customWidth="1"/>
    <col min="4101" max="4101" width="11.140625" style="351" customWidth="1"/>
    <col min="4102" max="4105" width="13.140625" style="351" customWidth="1"/>
    <col min="4106" max="4106" width="14.7109375" style="351" customWidth="1"/>
    <col min="4107" max="4107" width="8.7109375" style="351"/>
    <col min="4108" max="4108" width="10.140625" style="351" customWidth="1"/>
    <col min="4109" max="4109" width="8.7109375" style="351"/>
    <col min="4110" max="4110" width="9.85546875" style="351" customWidth="1"/>
    <col min="4111" max="4352" width="8.7109375" style="351"/>
    <col min="4353" max="4356" width="12.42578125" style="351" customWidth="1"/>
    <col min="4357" max="4357" width="11.140625" style="351" customWidth="1"/>
    <col min="4358" max="4361" width="13.140625" style="351" customWidth="1"/>
    <col min="4362" max="4362" width="14.7109375" style="351" customWidth="1"/>
    <col min="4363" max="4363" width="8.7109375" style="351"/>
    <col min="4364" max="4364" width="10.140625" style="351" customWidth="1"/>
    <col min="4365" max="4365" width="8.7109375" style="351"/>
    <col min="4366" max="4366" width="9.85546875" style="351" customWidth="1"/>
    <col min="4367" max="4608" width="8.7109375" style="351"/>
    <col min="4609" max="4612" width="12.42578125" style="351" customWidth="1"/>
    <col min="4613" max="4613" width="11.140625" style="351" customWidth="1"/>
    <col min="4614" max="4617" width="13.140625" style="351" customWidth="1"/>
    <col min="4618" max="4618" width="14.7109375" style="351" customWidth="1"/>
    <col min="4619" max="4619" width="8.7109375" style="351"/>
    <col min="4620" max="4620" width="10.140625" style="351" customWidth="1"/>
    <col min="4621" max="4621" width="8.7109375" style="351"/>
    <col min="4622" max="4622" width="9.85546875" style="351" customWidth="1"/>
    <col min="4623" max="4864" width="8.7109375" style="351"/>
    <col min="4865" max="4868" width="12.42578125" style="351" customWidth="1"/>
    <col min="4869" max="4869" width="11.140625" style="351" customWidth="1"/>
    <col min="4870" max="4873" width="13.140625" style="351" customWidth="1"/>
    <col min="4874" max="4874" width="14.7109375" style="351" customWidth="1"/>
    <col min="4875" max="4875" width="8.7109375" style="351"/>
    <col min="4876" max="4876" width="10.140625" style="351" customWidth="1"/>
    <col min="4877" max="4877" width="8.7109375" style="351"/>
    <col min="4878" max="4878" width="9.85546875" style="351" customWidth="1"/>
    <col min="4879" max="5120" width="8.7109375" style="351"/>
    <col min="5121" max="5124" width="12.42578125" style="351" customWidth="1"/>
    <col min="5125" max="5125" width="11.140625" style="351" customWidth="1"/>
    <col min="5126" max="5129" width="13.140625" style="351" customWidth="1"/>
    <col min="5130" max="5130" width="14.7109375" style="351" customWidth="1"/>
    <col min="5131" max="5131" width="8.7109375" style="351"/>
    <col min="5132" max="5132" width="10.140625" style="351" customWidth="1"/>
    <col min="5133" max="5133" width="8.7109375" style="351"/>
    <col min="5134" max="5134" width="9.85546875" style="351" customWidth="1"/>
    <col min="5135" max="5376" width="8.7109375" style="351"/>
    <col min="5377" max="5380" width="12.42578125" style="351" customWidth="1"/>
    <col min="5381" max="5381" width="11.140625" style="351" customWidth="1"/>
    <col min="5382" max="5385" width="13.140625" style="351" customWidth="1"/>
    <col min="5386" max="5386" width="14.7109375" style="351" customWidth="1"/>
    <col min="5387" max="5387" width="8.7109375" style="351"/>
    <col min="5388" max="5388" width="10.140625" style="351" customWidth="1"/>
    <col min="5389" max="5389" width="8.7109375" style="351"/>
    <col min="5390" max="5390" width="9.85546875" style="351" customWidth="1"/>
    <col min="5391" max="5632" width="8.7109375" style="351"/>
    <col min="5633" max="5636" width="12.42578125" style="351" customWidth="1"/>
    <col min="5637" max="5637" width="11.140625" style="351" customWidth="1"/>
    <col min="5638" max="5641" width="13.140625" style="351" customWidth="1"/>
    <col min="5642" max="5642" width="14.7109375" style="351" customWidth="1"/>
    <col min="5643" max="5643" width="8.7109375" style="351"/>
    <col min="5644" max="5644" width="10.140625" style="351" customWidth="1"/>
    <col min="5645" max="5645" width="8.7109375" style="351"/>
    <col min="5646" max="5646" width="9.85546875" style="351" customWidth="1"/>
    <col min="5647" max="5888" width="8.7109375" style="351"/>
    <col min="5889" max="5892" width="12.42578125" style="351" customWidth="1"/>
    <col min="5893" max="5893" width="11.140625" style="351" customWidth="1"/>
    <col min="5894" max="5897" width="13.140625" style="351" customWidth="1"/>
    <col min="5898" max="5898" width="14.7109375" style="351" customWidth="1"/>
    <col min="5899" max="5899" width="8.7109375" style="351"/>
    <col min="5900" max="5900" width="10.140625" style="351" customWidth="1"/>
    <col min="5901" max="5901" width="8.7109375" style="351"/>
    <col min="5902" max="5902" width="9.85546875" style="351" customWidth="1"/>
    <col min="5903" max="6144" width="8.7109375" style="351"/>
    <col min="6145" max="6148" width="12.42578125" style="351" customWidth="1"/>
    <col min="6149" max="6149" width="11.140625" style="351" customWidth="1"/>
    <col min="6150" max="6153" width="13.140625" style="351" customWidth="1"/>
    <col min="6154" max="6154" width="14.7109375" style="351" customWidth="1"/>
    <col min="6155" max="6155" width="8.7109375" style="351"/>
    <col min="6156" max="6156" width="10.140625" style="351" customWidth="1"/>
    <col min="6157" max="6157" width="8.7109375" style="351"/>
    <col min="6158" max="6158" width="9.85546875" style="351" customWidth="1"/>
    <col min="6159" max="6400" width="8.7109375" style="351"/>
    <col min="6401" max="6404" width="12.42578125" style="351" customWidth="1"/>
    <col min="6405" max="6405" width="11.140625" style="351" customWidth="1"/>
    <col min="6406" max="6409" width="13.140625" style="351" customWidth="1"/>
    <col min="6410" max="6410" width="14.7109375" style="351" customWidth="1"/>
    <col min="6411" max="6411" width="8.7109375" style="351"/>
    <col min="6412" max="6412" width="10.140625" style="351" customWidth="1"/>
    <col min="6413" max="6413" width="8.7109375" style="351"/>
    <col min="6414" max="6414" width="9.85546875" style="351" customWidth="1"/>
    <col min="6415" max="6656" width="8.7109375" style="351"/>
    <col min="6657" max="6660" width="12.42578125" style="351" customWidth="1"/>
    <col min="6661" max="6661" width="11.140625" style="351" customWidth="1"/>
    <col min="6662" max="6665" width="13.140625" style="351" customWidth="1"/>
    <col min="6666" max="6666" width="14.7109375" style="351" customWidth="1"/>
    <col min="6667" max="6667" width="8.7109375" style="351"/>
    <col min="6668" max="6668" width="10.140625" style="351" customWidth="1"/>
    <col min="6669" max="6669" width="8.7109375" style="351"/>
    <col min="6670" max="6670" width="9.85546875" style="351" customWidth="1"/>
    <col min="6671" max="6912" width="8.7109375" style="351"/>
    <col min="6913" max="6916" width="12.42578125" style="351" customWidth="1"/>
    <col min="6917" max="6917" width="11.140625" style="351" customWidth="1"/>
    <col min="6918" max="6921" width="13.140625" style="351" customWidth="1"/>
    <col min="6922" max="6922" width="14.7109375" style="351" customWidth="1"/>
    <col min="6923" max="6923" width="8.7109375" style="351"/>
    <col min="6924" max="6924" width="10.140625" style="351" customWidth="1"/>
    <col min="6925" max="6925" width="8.7109375" style="351"/>
    <col min="6926" max="6926" width="9.85546875" style="351" customWidth="1"/>
    <col min="6927" max="7168" width="8.7109375" style="351"/>
    <col min="7169" max="7172" width="12.42578125" style="351" customWidth="1"/>
    <col min="7173" max="7173" width="11.140625" style="351" customWidth="1"/>
    <col min="7174" max="7177" width="13.140625" style="351" customWidth="1"/>
    <col min="7178" max="7178" width="14.7109375" style="351" customWidth="1"/>
    <col min="7179" max="7179" width="8.7109375" style="351"/>
    <col min="7180" max="7180" width="10.140625" style="351" customWidth="1"/>
    <col min="7181" max="7181" width="8.7109375" style="351"/>
    <col min="7182" max="7182" width="9.85546875" style="351" customWidth="1"/>
    <col min="7183" max="7424" width="8.7109375" style="351"/>
    <col min="7425" max="7428" width="12.42578125" style="351" customWidth="1"/>
    <col min="7429" max="7429" width="11.140625" style="351" customWidth="1"/>
    <col min="7430" max="7433" width="13.140625" style="351" customWidth="1"/>
    <col min="7434" max="7434" width="14.7109375" style="351" customWidth="1"/>
    <col min="7435" max="7435" width="8.7109375" style="351"/>
    <col min="7436" max="7436" width="10.140625" style="351" customWidth="1"/>
    <col min="7437" max="7437" width="8.7109375" style="351"/>
    <col min="7438" max="7438" width="9.85546875" style="351" customWidth="1"/>
    <col min="7439" max="7680" width="8.7109375" style="351"/>
    <col min="7681" max="7684" width="12.42578125" style="351" customWidth="1"/>
    <col min="7685" max="7685" width="11.140625" style="351" customWidth="1"/>
    <col min="7686" max="7689" width="13.140625" style="351" customWidth="1"/>
    <col min="7690" max="7690" width="14.7109375" style="351" customWidth="1"/>
    <col min="7691" max="7691" width="8.7109375" style="351"/>
    <col min="7692" max="7692" width="10.140625" style="351" customWidth="1"/>
    <col min="7693" max="7693" width="8.7109375" style="351"/>
    <col min="7694" max="7694" width="9.85546875" style="351" customWidth="1"/>
    <col min="7695" max="7936" width="8.7109375" style="351"/>
    <col min="7937" max="7940" width="12.42578125" style="351" customWidth="1"/>
    <col min="7941" max="7941" width="11.140625" style="351" customWidth="1"/>
    <col min="7942" max="7945" width="13.140625" style="351" customWidth="1"/>
    <col min="7946" max="7946" width="14.7109375" style="351" customWidth="1"/>
    <col min="7947" max="7947" width="8.7109375" style="351"/>
    <col min="7948" max="7948" width="10.140625" style="351" customWidth="1"/>
    <col min="7949" max="7949" width="8.7109375" style="351"/>
    <col min="7950" max="7950" width="9.85546875" style="351" customWidth="1"/>
    <col min="7951" max="8192" width="8.7109375" style="351"/>
    <col min="8193" max="8196" width="12.42578125" style="351" customWidth="1"/>
    <col min="8197" max="8197" width="11.140625" style="351" customWidth="1"/>
    <col min="8198" max="8201" width="13.140625" style="351" customWidth="1"/>
    <col min="8202" max="8202" width="14.7109375" style="351" customWidth="1"/>
    <col min="8203" max="8203" width="8.7109375" style="351"/>
    <col min="8204" max="8204" width="10.140625" style="351" customWidth="1"/>
    <col min="8205" max="8205" width="8.7109375" style="351"/>
    <col min="8206" max="8206" width="9.85546875" style="351" customWidth="1"/>
    <col min="8207" max="8448" width="8.7109375" style="351"/>
    <col min="8449" max="8452" width="12.42578125" style="351" customWidth="1"/>
    <col min="8453" max="8453" width="11.140625" style="351" customWidth="1"/>
    <col min="8454" max="8457" width="13.140625" style="351" customWidth="1"/>
    <col min="8458" max="8458" width="14.7109375" style="351" customWidth="1"/>
    <col min="8459" max="8459" width="8.7109375" style="351"/>
    <col min="8460" max="8460" width="10.140625" style="351" customWidth="1"/>
    <col min="8461" max="8461" width="8.7109375" style="351"/>
    <col min="8462" max="8462" width="9.85546875" style="351" customWidth="1"/>
    <col min="8463" max="8704" width="8.7109375" style="351"/>
    <col min="8705" max="8708" width="12.42578125" style="351" customWidth="1"/>
    <col min="8709" max="8709" width="11.140625" style="351" customWidth="1"/>
    <col min="8710" max="8713" width="13.140625" style="351" customWidth="1"/>
    <col min="8714" max="8714" width="14.7109375" style="351" customWidth="1"/>
    <col min="8715" max="8715" width="8.7109375" style="351"/>
    <col min="8716" max="8716" width="10.140625" style="351" customWidth="1"/>
    <col min="8717" max="8717" width="8.7109375" style="351"/>
    <col min="8718" max="8718" width="9.85546875" style="351" customWidth="1"/>
    <col min="8719" max="8960" width="8.7109375" style="351"/>
    <col min="8961" max="8964" width="12.42578125" style="351" customWidth="1"/>
    <col min="8965" max="8965" width="11.140625" style="351" customWidth="1"/>
    <col min="8966" max="8969" width="13.140625" style="351" customWidth="1"/>
    <col min="8970" max="8970" width="14.7109375" style="351" customWidth="1"/>
    <col min="8971" max="8971" width="8.7109375" style="351"/>
    <col min="8972" max="8972" width="10.140625" style="351" customWidth="1"/>
    <col min="8973" max="8973" width="8.7109375" style="351"/>
    <col min="8974" max="8974" width="9.85546875" style="351" customWidth="1"/>
    <col min="8975" max="9216" width="8.7109375" style="351"/>
    <col min="9217" max="9220" width="12.42578125" style="351" customWidth="1"/>
    <col min="9221" max="9221" width="11.140625" style="351" customWidth="1"/>
    <col min="9222" max="9225" width="13.140625" style="351" customWidth="1"/>
    <col min="9226" max="9226" width="14.7109375" style="351" customWidth="1"/>
    <col min="9227" max="9227" width="8.7109375" style="351"/>
    <col min="9228" max="9228" width="10.140625" style="351" customWidth="1"/>
    <col min="9229" max="9229" width="8.7109375" style="351"/>
    <col min="9230" max="9230" width="9.85546875" style="351" customWidth="1"/>
    <col min="9231" max="9472" width="8.7109375" style="351"/>
    <col min="9473" max="9476" width="12.42578125" style="351" customWidth="1"/>
    <col min="9477" max="9477" width="11.140625" style="351" customWidth="1"/>
    <col min="9478" max="9481" width="13.140625" style="351" customWidth="1"/>
    <col min="9482" max="9482" width="14.7109375" style="351" customWidth="1"/>
    <col min="9483" max="9483" width="8.7109375" style="351"/>
    <col min="9484" max="9484" width="10.140625" style="351" customWidth="1"/>
    <col min="9485" max="9485" width="8.7109375" style="351"/>
    <col min="9486" max="9486" width="9.85546875" style="351" customWidth="1"/>
    <col min="9487" max="9728" width="8.7109375" style="351"/>
    <col min="9729" max="9732" width="12.42578125" style="351" customWidth="1"/>
    <col min="9733" max="9733" width="11.140625" style="351" customWidth="1"/>
    <col min="9734" max="9737" width="13.140625" style="351" customWidth="1"/>
    <col min="9738" max="9738" width="14.7109375" style="351" customWidth="1"/>
    <col min="9739" max="9739" width="8.7109375" style="351"/>
    <col min="9740" max="9740" width="10.140625" style="351" customWidth="1"/>
    <col min="9741" max="9741" width="8.7109375" style="351"/>
    <col min="9742" max="9742" width="9.85546875" style="351" customWidth="1"/>
    <col min="9743" max="9984" width="8.7109375" style="351"/>
    <col min="9985" max="9988" width="12.42578125" style="351" customWidth="1"/>
    <col min="9989" max="9989" width="11.140625" style="351" customWidth="1"/>
    <col min="9990" max="9993" width="13.140625" style="351" customWidth="1"/>
    <col min="9994" max="9994" width="14.7109375" style="351" customWidth="1"/>
    <col min="9995" max="9995" width="8.7109375" style="351"/>
    <col min="9996" max="9996" width="10.140625" style="351" customWidth="1"/>
    <col min="9997" max="9997" width="8.7109375" style="351"/>
    <col min="9998" max="9998" width="9.85546875" style="351" customWidth="1"/>
    <col min="9999" max="10240" width="8.7109375" style="351"/>
    <col min="10241" max="10244" width="12.42578125" style="351" customWidth="1"/>
    <col min="10245" max="10245" width="11.140625" style="351" customWidth="1"/>
    <col min="10246" max="10249" width="13.140625" style="351" customWidth="1"/>
    <col min="10250" max="10250" width="14.7109375" style="351" customWidth="1"/>
    <col min="10251" max="10251" width="8.7109375" style="351"/>
    <col min="10252" max="10252" width="10.140625" style="351" customWidth="1"/>
    <col min="10253" max="10253" width="8.7109375" style="351"/>
    <col min="10254" max="10254" width="9.85546875" style="351" customWidth="1"/>
    <col min="10255" max="10496" width="8.7109375" style="351"/>
    <col min="10497" max="10500" width="12.42578125" style="351" customWidth="1"/>
    <col min="10501" max="10501" width="11.140625" style="351" customWidth="1"/>
    <col min="10502" max="10505" width="13.140625" style="351" customWidth="1"/>
    <col min="10506" max="10506" width="14.7109375" style="351" customWidth="1"/>
    <col min="10507" max="10507" width="8.7109375" style="351"/>
    <col min="10508" max="10508" width="10.140625" style="351" customWidth="1"/>
    <col min="10509" max="10509" width="8.7109375" style="351"/>
    <col min="10510" max="10510" width="9.85546875" style="351" customWidth="1"/>
    <col min="10511" max="10752" width="8.7109375" style="351"/>
    <col min="10753" max="10756" width="12.42578125" style="351" customWidth="1"/>
    <col min="10757" max="10757" width="11.140625" style="351" customWidth="1"/>
    <col min="10758" max="10761" width="13.140625" style="351" customWidth="1"/>
    <col min="10762" max="10762" width="14.7109375" style="351" customWidth="1"/>
    <col min="10763" max="10763" width="8.7109375" style="351"/>
    <col min="10764" max="10764" width="10.140625" style="351" customWidth="1"/>
    <col min="10765" max="10765" width="8.7109375" style="351"/>
    <col min="10766" max="10766" width="9.85546875" style="351" customWidth="1"/>
    <col min="10767" max="11008" width="8.7109375" style="351"/>
    <col min="11009" max="11012" width="12.42578125" style="351" customWidth="1"/>
    <col min="11013" max="11013" width="11.140625" style="351" customWidth="1"/>
    <col min="11014" max="11017" width="13.140625" style="351" customWidth="1"/>
    <col min="11018" max="11018" width="14.7109375" style="351" customWidth="1"/>
    <col min="11019" max="11019" width="8.7109375" style="351"/>
    <col min="11020" max="11020" width="10.140625" style="351" customWidth="1"/>
    <col min="11021" max="11021" width="8.7109375" style="351"/>
    <col min="11022" max="11022" width="9.85546875" style="351" customWidth="1"/>
    <col min="11023" max="11264" width="8.7109375" style="351"/>
    <col min="11265" max="11268" width="12.42578125" style="351" customWidth="1"/>
    <col min="11269" max="11269" width="11.140625" style="351" customWidth="1"/>
    <col min="11270" max="11273" width="13.140625" style="351" customWidth="1"/>
    <col min="11274" max="11274" width="14.7109375" style="351" customWidth="1"/>
    <col min="11275" max="11275" width="8.7109375" style="351"/>
    <col min="11276" max="11276" width="10.140625" style="351" customWidth="1"/>
    <col min="11277" max="11277" width="8.7109375" style="351"/>
    <col min="11278" max="11278" width="9.85546875" style="351" customWidth="1"/>
    <col min="11279" max="11520" width="8.7109375" style="351"/>
    <col min="11521" max="11524" width="12.42578125" style="351" customWidth="1"/>
    <col min="11525" max="11525" width="11.140625" style="351" customWidth="1"/>
    <col min="11526" max="11529" width="13.140625" style="351" customWidth="1"/>
    <col min="11530" max="11530" width="14.7109375" style="351" customWidth="1"/>
    <col min="11531" max="11531" width="8.7109375" style="351"/>
    <col min="11532" max="11532" width="10.140625" style="351" customWidth="1"/>
    <col min="11533" max="11533" width="8.7109375" style="351"/>
    <col min="11534" max="11534" width="9.85546875" style="351" customWidth="1"/>
    <col min="11535" max="11776" width="8.7109375" style="351"/>
    <col min="11777" max="11780" width="12.42578125" style="351" customWidth="1"/>
    <col min="11781" max="11781" width="11.140625" style="351" customWidth="1"/>
    <col min="11782" max="11785" width="13.140625" style="351" customWidth="1"/>
    <col min="11786" max="11786" width="14.7109375" style="351" customWidth="1"/>
    <col min="11787" max="11787" width="8.7109375" style="351"/>
    <col min="11788" max="11788" width="10.140625" style="351" customWidth="1"/>
    <col min="11789" max="11789" width="8.7109375" style="351"/>
    <col min="11790" max="11790" width="9.85546875" style="351" customWidth="1"/>
    <col min="11791" max="12032" width="8.7109375" style="351"/>
    <col min="12033" max="12036" width="12.42578125" style="351" customWidth="1"/>
    <col min="12037" max="12037" width="11.140625" style="351" customWidth="1"/>
    <col min="12038" max="12041" width="13.140625" style="351" customWidth="1"/>
    <col min="12042" max="12042" width="14.7109375" style="351" customWidth="1"/>
    <col min="12043" max="12043" width="8.7109375" style="351"/>
    <col min="12044" max="12044" width="10.140625" style="351" customWidth="1"/>
    <col min="12045" max="12045" width="8.7109375" style="351"/>
    <col min="12046" max="12046" width="9.85546875" style="351" customWidth="1"/>
    <col min="12047" max="12288" width="8.7109375" style="351"/>
    <col min="12289" max="12292" width="12.42578125" style="351" customWidth="1"/>
    <col min="12293" max="12293" width="11.140625" style="351" customWidth="1"/>
    <col min="12294" max="12297" width="13.140625" style="351" customWidth="1"/>
    <col min="12298" max="12298" width="14.7109375" style="351" customWidth="1"/>
    <col min="12299" max="12299" width="8.7109375" style="351"/>
    <col min="12300" max="12300" width="10.140625" style="351" customWidth="1"/>
    <col min="12301" max="12301" width="8.7109375" style="351"/>
    <col min="12302" max="12302" width="9.85546875" style="351" customWidth="1"/>
    <col min="12303" max="12544" width="8.7109375" style="351"/>
    <col min="12545" max="12548" width="12.42578125" style="351" customWidth="1"/>
    <col min="12549" max="12549" width="11.140625" style="351" customWidth="1"/>
    <col min="12550" max="12553" width="13.140625" style="351" customWidth="1"/>
    <col min="12554" max="12554" width="14.7109375" style="351" customWidth="1"/>
    <col min="12555" max="12555" width="8.7109375" style="351"/>
    <col min="12556" max="12556" width="10.140625" style="351" customWidth="1"/>
    <col min="12557" max="12557" width="8.7109375" style="351"/>
    <col min="12558" max="12558" width="9.85546875" style="351" customWidth="1"/>
    <col min="12559" max="12800" width="8.7109375" style="351"/>
    <col min="12801" max="12804" width="12.42578125" style="351" customWidth="1"/>
    <col min="12805" max="12805" width="11.140625" style="351" customWidth="1"/>
    <col min="12806" max="12809" width="13.140625" style="351" customWidth="1"/>
    <col min="12810" max="12810" width="14.7109375" style="351" customWidth="1"/>
    <col min="12811" max="12811" width="8.7109375" style="351"/>
    <col min="12812" max="12812" width="10.140625" style="351" customWidth="1"/>
    <col min="12813" max="12813" width="8.7109375" style="351"/>
    <col min="12814" max="12814" width="9.85546875" style="351" customWidth="1"/>
    <col min="12815" max="13056" width="8.7109375" style="351"/>
    <col min="13057" max="13060" width="12.42578125" style="351" customWidth="1"/>
    <col min="13061" max="13061" width="11.140625" style="351" customWidth="1"/>
    <col min="13062" max="13065" width="13.140625" style="351" customWidth="1"/>
    <col min="13066" max="13066" width="14.7109375" style="351" customWidth="1"/>
    <col min="13067" max="13067" width="8.7109375" style="351"/>
    <col min="13068" max="13068" width="10.140625" style="351" customWidth="1"/>
    <col min="13069" max="13069" width="8.7109375" style="351"/>
    <col min="13070" max="13070" width="9.85546875" style="351" customWidth="1"/>
    <col min="13071" max="13312" width="8.7109375" style="351"/>
    <col min="13313" max="13316" width="12.42578125" style="351" customWidth="1"/>
    <col min="13317" max="13317" width="11.140625" style="351" customWidth="1"/>
    <col min="13318" max="13321" width="13.140625" style="351" customWidth="1"/>
    <col min="13322" max="13322" width="14.7109375" style="351" customWidth="1"/>
    <col min="13323" max="13323" width="8.7109375" style="351"/>
    <col min="13324" max="13324" width="10.140625" style="351" customWidth="1"/>
    <col min="13325" max="13325" width="8.7109375" style="351"/>
    <col min="13326" max="13326" width="9.85546875" style="351" customWidth="1"/>
    <col min="13327" max="13568" width="8.7109375" style="351"/>
    <col min="13569" max="13572" width="12.42578125" style="351" customWidth="1"/>
    <col min="13573" max="13573" width="11.140625" style="351" customWidth="1"/>
    <col min="13574" max="13577" width="13.140625" style="351" customWidth="1"/>
    <col min="13578" max="13578" width="14.7109375" style="351" customWidth="1"/>
    <col min="13579" max="13579" width="8.7109375" style="351"/>
    <col min="13580" max="13580" width="10.140625" style="351" customWidth="1"/>
    <col min="13581" max="13581" width="8.7109375" style="351"/>
    <col min="13582" max="13582" width="9.85546875" style="351" customWidth="1"/>
    <col min="13583" max="13824" width="8.7109375" style="351"/>
    <col min="13825" max="13828" width="12.42578125" style="351" customWidth="1"/>
    <col min="13829" max="13829" width="11.140625" style="351" customWidth="1"/>
    <col min="13830" max="13833" width="13.140625" style="351" customWidth="1"/>
    <col min="13834" max="13834" width="14.7109375" style="351" customWidth="1"/>
    <col min="13835" max="13835" width="8.7109375" style="351"/>
    <col min="13836" max="13836" width="10.140625" style="351" customWidth="1"/>
    <col min="13837" max="13837" width="8.7109375" style="351"/>
    <col min="13838" max="13838" width="9.85546875" style="351" customWidth="1"/>
    <col min="13839" max="14080" width="8.7109375" style="351"/>
    <col min="14081" max="14084" width="12.42578125" style="351" customWidth="1"/>
    <col min="14085" max="14085" width="11.140625" style="351" customWidth="1"/>
    <col min="14086" max="14089" width="13.140625" style="351" customWidth="1"/>
    <col min="14090" max="14090" width="14.7109375" style="351" customWidth="1"/>
    <col min="14091" max="14091" width="8.7109375" style="351"/>
    <col min="14092" max="14092" width="10.140625" style="351" customWidth="1"/>
    <col min="14093" max="14093" width="8.7109375" style="351"/>
    <col min="14094" max="14094" width="9.85546875" style="351" customWidth="1"/>
    <col min="14095" max="14336" width="8.7109375" style="351"/>
    <col min="14337" max="14340" width="12.42578125" style="351" customWidth="1"/>
    <col min="14341" max="14341" width="11.140625" style="351" customWidth="1"/>
    <col min="14342" max="14345" width="13.140625" style="351" customWidth="1"/>
    <col min="14346" max="14346" width="14.7109375" style="351" customWidth="1"/>
    <col min="14347" max="14347" width="8.7109375" style="351"/>
    <col min="14348" max="14348" width="10.140625" style="351" customWidth="1"/>
    <col min="14349" max="14349" width="8.7109375" style="351"/>
    <col min="14350" max="14350" width="9.85546875" style="351" customWidth="1"/>
    <col min="14351" max="14592" width="8.7109375" style="351"/>
    <col min="14593" max="14596" width="12.42578125" style="351" customWidth="1"/>
    <col min="14597" max="14597" width="11.140625" style="351" customWidth="1"/>
    <col min="14598" max="14601" width="13.140625" style="351" customWidth="1"/>
    <col min="14602" max="14602" width="14.7109375" style="351" customWidth="1"/>
    <col min="14603" max="14603" width="8.7109375" style="351"/>
    <col min="14604" max="14604" width="10.140625" style="351" customWidth="1"/>
    <col min="14605" max="14605" width="8.7109375" style="351"/>
    <col min="14606" max="14606" width="9.85546875" style="351" customWidth="1"/>
    <col min="14607" max="14848" width="8.7109375" style="351"/>
    <col min="14849" max="14852" width="12.42578125" style="351" customWidth="1"/>
    <col min="14853" max="14853" width="11.140625" style="351" customWidth="1"/>
    <col min="14854" max="14857" width="13.140625" style="351" customWidth="1"/>
    <col min="14858" max="14858" width="14.7109375" style="351" customWidth="1"/>
    <col min="14859" max="14859" width="8.7109375" style="351"/>
    <col min="14860" max="14860" width="10.140625" style="351" customWidth="1"/>
    <col min="14861" max="14861" width="8.7109375" style="351"/>
    <col min="14862" max="14862" width="9.85546875" style="351" customWidth="1"/>
    <col min="14863" max="15104" width="8.7109375" style="351"/>
    <col min="15105" max="15108" width="12.42578125" style="351" customWidth="1"/>
    <col min="15109" max="15109" width="11.140625" style="351" customWidth="1"/>
    <col min="15110" max="15113" width="13.140625" style="351" customWidth="1"/>
    <col min="15114" max="15114" width="14.7109375" style="351" customWidth="1"/>
    <col min="15115" max="15115" width="8.7109375" style="351"/>
    <col min="15116" max="15116" width="10.140625" style="351" customWidth="1"/>
    <col min="15117" max="15117" width="8.7109375" style="351"/>
    <col min="15118" max="15118" width="9.85546875" style="351" customWidth="1"/>
    <col min="15119" max="15360" width="8.7109375" style="351"/>
    <col min="15361" max="15364" width="12.42578125" style="351" customWidth="1"/>
    <col min="15365" max="15365" width="11.140625" style="351" customWidth="1"/>
    <col min="15366" max="15369" width="13.140625" style="351" customWidth="1"/>
    <col min="15370" max="15370" width="14.7109375" style="351" customWidth="1"/>
    <col min="15371" max="15371" width="8.7109375" style="351"/>
    <col min="15372" max="15372" width="10.140625" style="351" customWidth="1"/>
    <col min="15373" max="15373" width="8.7109375" style="351"/>
    <col min="15374" max="15374" width="9.85546875" style="351" customWidth="1"/>
    <col min="15375" max="15616" width="8.7109375" style="351"/>
    <col min="15617" max="15620" width="12.42578125" style="351" customWidth="1"/>
    <col min="15621" max="15621" width="11.140625" style="351" customWidth="1"/>
    <col min="15622" max="15625" width="13.140625" style="351" customWidth="1"/>
    <col min="15626" max="15626" width="14.7109375" style="351" customWidth="1"/>
    <col min="15627" max="15627" width="8.7109375" style="351"/>
    <col min="15628" max="15628" width="10.140625" style="351" customWidth="1"/>
    <col min="15629" max="15629" width="8.7109375" style="351"/>
    <col min="15630" max="15630" width="9.85546875" style="351" customWidth="1"/>
    <col min="15631" max="15872" width="8.7109375" style="351"/>
    <col min="15873" max="15876" width="12.42578125" style="351" customWidth="1"/>
    <col min="15877" max="15877" width="11.140625" style="351" customWidth="1"/>
    <col min="15878" max="15881" width="13.140625" style="351" customWidth="1"/>
    <col min="15882" max="15882" width="14.7109375" style="351" customWidth="1"/>
    <col min="15883" max="15883" width="8.7109375" style="351"/>
    <col min="15884" max="15884" width="10.140625" style="351" customWidth="1"/>
    <col min="15885" max="15885" width="8.7109375" style="351"/>
    <col min="15886" max="15886" width="9.85546875" style="351" customWidth="1"/>
    <col min="15887" max="16128" width="8.7109375" style="351"/>
    <col min="16129" max="16132" width="12.42578125" style="351" customWidth="1"/>
    <col min="16133" max="16133" width="11.140625" style="351" customWidth="1"/>
    <col min="16134" max="16137" width="13.140625" style="351" customWidth="1"/>
    <col min="16138" max="16138" width="14.7109375" style="351" customWidth="1"/>
    <col min="16139" max="16139" width="8.7109375" style="351"/>
    <col min="16140" max="16140" width="10.140625" style="351" customWidth="1"/>
    <col min="16141" max="16141" width="8.7109375" style="351"/>
    <col min="16142" max="16142" width="9.85546875" style="351" customWidth="1"/>
    <col min="16143" max="16384" width="8.7109375" style="351"/>
  </cols>
  <sheetData>
    <row r="1" spans="1:13" s="123" customFormat="1" ht="15" x14ac:dyDescent="0.25">
      <c r="H1" s="742" t="s">
        <v>610</v>
      </c>
      <c r="I1" s="743"/>
      <c r="J1" s="743"/>
    </row>
    <row r="2" spans="1:13" s="123" customFormat="1" ht="15" x14ac:dyDescent="0.25">
      <c r="H2" s="349"/>
      <c r="I2" s="350"/>
      <c r="J2" s="350"/>
    </row>
    <row r="3" spans="1:13" s="123" customFormat="1" ht="30.75" customHeight="1" x14ac:dyDescent="0.25">
      <c r="B3" s="723" t="s">
        <v>501</v>
      </c>
      <c r="C3" s="723"/>
      <c r="D3" s="723"/>
      <c r="E3" s="723"/>
      <c r="F3" s="723"/>
      <c r="G3" s="723"/>
      <c r="H3" s="723"/>
      <c r="I3" s="723"/>
      <c r="J3" s="723"/>
    </row>
    <row r="4" spans="1:13" s="123" customFormat="1" ht="15.75" thickBot="1" x14ac:dyDescent="0.3">
      <c r="B4" s="334"/>
      <c r="C4" s="334"/>
      <c r="D4" s="334"/>
      <c r="E4" s="334"/>
      <c r="F4" s="334"/>
      <c r="G4" s="334"/>
      <c r="H4" s="334"/>
    </row>
    <row r="5" spans="1:13" customFormat="1" ht="15.75" thickBot="1" x14ac:dyDescent="0.3">
      <c r="A5" s="351"/>
      <c r="B5" s="351"/>
      <c r="C5" s="351"/>
      <c r="D5" s="351"/>
      <c r="E5" s="351"/>
      <c r="F5" s="351"/>
      <c r="G5" s="744" t="s">
        <v>266</v>
      </c>
      <c r="H5" s="744"/>
      <c r="I5" s="744"/>
      <c r="J5" s="744"/>
      <c r="K5" s="351"/>
      <c r="L5" s="351"/>
    </row>
    <row r="6" spans="1:13" customFormat="1" ht="122.25" customHeight="1" x14ac:dyDescent="0.25">
      <c r="A6" s="351"/>
      <c r="B6" s="351"/>
      <c r="C6" s="351"/>
      <c r="D6" s="351"/>
      <c r="E6" s="351"/>
      <c r="F6" s="351"/>
      <c r="G6" s="745" t="s">
        <v>611</v>
      </c>
      <c r="H6" s="745"/>
      <c r="I6" s="745" t="s">
        <v>612</v>
      </c>
      <c r="J6" s="745"/>
      <c r="K6" s="351"/>
      <c r="L6" s="351"/>
    </row>
    <row r="7" spans="1:13" customFormat="1" ht="30.75" customHeight="1" x14ac:dyDescent="0.25">
      <c r="A7" s="351"/>
      <c r="B7" s="351"/>
      <c r="C7" s="351"/>
      <c r="D7" s="351"/>
      <c r="E7" s="351"/>
      <c r="F7" s="351"/>
      <c r="G7" s="746" t="s">
        <v>189</v>
      </c>
      <c r="H7" s="747" t="s">
        <v>190</v>
      </c>
      <c r="I7" s="746" t="s">
        <v>189</v>
      </c>
      <c r="J7" s="747" t="s">
        <v>190</v>
      </c>
      <c r="K7" s="351"/>
      <c r="L7" s="351"/>
    </row>
    <row r="8" spans="1:13" customFormat="1" ht="30.75" customHeight="1" x14ac:dyDescent="0.25">
      <c r="A8" s="351"/>
      <c r="B8" s="351"/>
      <c r="C8" s="351"/>
      <c r="D8" s="351"/>
      <c r="E8" s="351"/>
      <c r="F8" s="351"/>
      <c r="G8" s="746"/>
      <c r="H8" s="747"/>
      <c r="I8" s="746"/>
      <c r="J8" s="747"/>
      <c r="K8" s="351"/>
      <c r="L8" s="351"/>
    </row>
    <row r="9" spans="1:13" customFormat="1" ht="20.25" customHeight="1" x14ac:dyDescent="0.25">
      <c r="A9" s="351"/>
      <c r="B9" s="351"/>
      <c r="C9" s="352"/>
      <c r="D9" s="352"/>
      <c r="E9" s="351"/>
      <c r="F9" s="351"/>
      <c r="G9" s="746"/>
      <c r="H9" s="747"/>
      <c r="I9" s="746"/>
      <c r="J9" s="747"/>
      <c r="K9" s="351"/>
      <c r="L9" s="351"/>
    </row>
    <row r="10" spans="1:13" customFormat="1" ht="26.25" customHeight="1" x14ac:dyDescent="0.25">
      <c r="A10" s="351"/>
      <c r="B10" s="351"/>
      <c r="C10" s="351"/>
      <c r="D10" s="351"/>
      <c r="E10" s="351"/>
      <c r="F10" s="351"/>
      <c r="G10" s="746"/>
      <c r="H10" s="747"/>
      <c r="I10" s="746"/>
      <c r="J10" s="747"/>
      <c r="K10" s="351"/>
      <c r="L10" s="351"/>
    </row>
    <row r="11" spans="1:13" customFormat="1" ht="21.75" customHeight="1" x14ac:dyDescent="0.25">
      <c r="A11" s="351"/>
      <c r="B11" s="351"/>
      <c r="C11" s="351"/>
      <c r="D11" s="351"/>
      <c r="E11" s="351"/>
      <c r="F11" s="351"/>
      <c r="G11" s="746"/>
      <c r="H11" s="747"/>
      <c r="I11" s="746"/>
      <c r="J11" s="747"/>
      <c r="K11" s="351"/>
      <c r="L11" s="351"/>
    </row>
    <row r="12" spans="1:13" customFormat="1" ht="22.5" customHeight="1" x14ac:dyDescent="0.25">
      <c r="A12" s="351"/>
      <c r="B12" s="351"/>
      <c r="C12" s="351"/>
      <c r="D12" s="351"/>
      <c r="E12" s="730" t="s">
        <v>502</v>
      </c>
      <c r="F12" s="730"/>
      <c r="G12" s="308">
        <f>'rezidenti_algas (maksas)'!C17</f>
        <v>2542.5619266499198</v>
      </c>
      <c r="H12" s="308">
        <f>'rezidenti_algas (maksas)'!C17</f>
        <v>2542.5619266499198</v>
      </c>
      <c r="I12" s="308">
        <f>'rezidenti_algas (maksas)'!E17</f>
        <v>2796.8071193149121</v>
      </c>
      <c r="J12" s="308">
        <f>'rezidenti_algas (maksas)'!E17</f>
        <v>2796.8071193149121</v>
      </c>
      <c r="K12" s="351"/>
      <c r="L12" s="351"/>
      <c r="M12" s="646"/>
    </row>
    <row r="13" spans="1:13" customFormat="1" ht="15" x14ac:dyDescent="0.25">
      <c r="A13" s="351"/>
      <c r="B13" s="351"/>
      <c r="C13" s="353"/>
      <c r="D13" s="353"/>
      <c r="E13" s="351"/>
      <c r="F13" s="351"/>
      <c r="G13" s="354"/>
      <c r="H13" s="354"/>
      <c r="I13" s="354"/>
      <c r="J13" s="354"/>
      <c r="K13" s="355" t="s">
        <v>503</v>
      </c>
      <c r="L13" s="351"/>
    </row>
    <row r="14" spans="1:13" customFormat="1" ht="15" x14ac:dyDescent="0.25">
      <c r="A14" s="351"/>
      <c r="B14" s="351"/>
      <c r="C14" s="356"/>
      <c r="D14" s="731" t="s">
        <v>504</v>
      </c>
      <c r="E14" s="732"/>
      <c r="F14" s="732"/>
      <c r="G14" s="357">
        <v>94</v>
      </c>
      <c r="H14" s="357">
        <v>27</v>
      </c>
      <c r="I14" s="357">
        <v>75</v>
      </c>
      <c r="J14" s="357">
        <v>10</v>
      </c>
      <c r="K14" s="126">
        <v>206</v>
      </c>
      <c r="L14" s="351"/>
    </row>
    <row r="15" spans="1:13" customFormat="1" ht="15" x14ac:dyDescent="0.25">
      <c r="A15" s="351"/>
      <c r="B15" s="351"/>
      <c r="C15" s="356"/>
      <c r="D15" s="733"/>
      <c r="E15" s="734"/>
      <c r="F15" s="735"/>
      <c r="G15" s="358">
        <v>0.4563106796116505</v>
      </c>
      <c r="H15" s="358">
        <v>0.13106796116504854</v>
      </c>
      <c r="I15" s="358">
        <v>0.36407766990291263</v>
      </c>
      <c r="J15" s="358">
        <v>4.8543689320388349E-2</v>
      </c>
      <c r="K15" s="358">
        <f>G15+H15+I15+J15</f>
        <v>1</v>
      </c>
      <c r="L15" s="351"/>
    </row>
    <row r="16" spans="1:13" customFormat="1" ht="15" x14ac:dyDescent="0.25">
      <c r="A16" s="351"/>
      <c r="B16" s="351"/>
      <c r="C16" s="356"/>
      <c r="D16" s="356"/>
      <c r="E16" s="351"/>
      <c r="F16" s="351"/>
      <c r="G16" s="351"/>
      <c r="H16" s="351"/>
      <c r="I16" s="351"/>
      <c r="J16" s="351"/>
      <c r="K16" s="351"/>
      <c r="L16" s="351"/>
    </row>
    <row r="17" spans="1:14" customFormat="1" ht="30.75" customHeight="1" x14ac:dyDescent="0.25">
      <c r="A17" s="351"/>
      <c r="B17" s="351"/>
      <c r="C17" s="356"/>
      <c r="D17" s="736" t="s">
        <v>505</v>
      </c>
      <c r="E17" s="737"/>
      <c r="F17" s="737"/>
      <c r="G17" s="359">
        <f>ROUND(G12*G14*12,0)</f>
        <v>2868010</v>
      </c>
      <c r="H17" s="359">
        <f t="shared" ref="H17:J17" si="0">ROUND(H12*H14*12,0)</f>
        <v>823790</v>
      </c>
      <c r="I17" s="359">
        <f t="shared" si="0"/>
        <v>2517126</v>
      </c>
      <c r="J17" s="359">
        <f t="shared" si="0"/>
        <v>335617</v>
      </c>
      <c r="K17" s="360">
        <f>SUM(G17:J17)</f>
        <v>6544543</v>
      </c>
      <c r="L17" s="351"/>
      <c r="M17" s="455"/>
    </row>
    <row r="18" spans="1:14" customFormat="1" ht="15" x14ac:dyDescent="0.25">
      <c r="C18" s="361"/>
      <c r="D18" s="361"/>
      <c r="E18" s="351"/>
      <c r="F18" s="351"/>
      <c r="G18" s="351"/>
      <c r="H18" s="362"/>
      <c r="I18" s="362"/>
      <c r="J18" s="362"/>
      <c r="K18" s="351"/>
      <c r="L18" s="351"/>
    </row>
    <row r="19" spans="1:14" s="363" customFormat="1" ht="15" x14ac:dyDescent="0.25">
      <c r="D19" s="738" t="s">
        <v>506</v>
      </c>
      <c r="E19" s="732"/>
      <c r="F19" s="732"/>
      <c r="G19" s="739"/>
      <c r="H19" s="740"/>
      <c r="I19" s="740"/>
      <c r="J19" s="741"/>
      <c r="K19" s="360">
        <f>5601056+316244</f>
        <v>5917300</v>
      </c>
    </row>
    <row r="20" spans="1:14" s="363" customFormat="1" ht="15" x14ac:dyDescent="0.25">
      <c r="D20" s="456"/>
      <c r="E20" s="457"/>
      <c r="F20" s="457"/>
      <c r="H20" s="458"/>
      <c r="I20" s="458"/>
      <c r="J20" s="458"/>
      <c r="K20" s="366"/>
    </row>
    <row r="21" spans="1:14" customFormat="1" ht="15" x14ac:dyDescent="0.25">
      <c r="C21" s="364"/>
      <c r="D21" s="364"/>
      <c r="E21" s="364"/>
      <c r="F21" s="351"/>
      <c r="G21" s="363"/>
      <c r="H21" s="362"/>
      <c r="I21" s="362"/>
      <c r="J21" s="362"/>
      <c r="K21" s="351"/>
      <c r="L21" s="351"/>
    </row>
    <row r="22" spans="1:14" customFormat="1" ht="30.75" customHeight="1" x14ac:dyDescent="0.25">
      <c r="C22" s="364"/>
      <c r="D22" s="724" t="s">
        <v>507</v>
      </c>
      <c r="E22" s="725"/>
      <c r="F22" s="725"/>
      <c r="G22" s="726"/>
      <c r="H22" s="727"/>
      <c r="I22" s="727"/>
      <c r="J22" s="728"/>
      <c r="K22" s="365">
        <f>K17-K19</f>
        <v>627243</v>
      </c>
      <c r="L22" s="351"/>
    </row>
    <row r="23" spans="1:14" customFormat="1" ht="30.75" customHeight="1" x14ac:dyDescent="0.25">
      <c r="C23" s="366"/>
      <c r="D23" s="729"/>
      <c r="E23" s="729"/>
      <c r="F23" s="729"/>
      <c r="G23" s="363"/>
      <c r="H23" s="362"/>
      <c r="I23" s="362"/>
      <c r="J23" s="362"/>
      <c r="K23" s="351"/>
      <c r="L23" s="351"/>
    </row>
    <row r="24" spans="1:14" customFormat="1" ht="15" x14ac:dyDescent="0.25">
      <c r="C24" s="364"/>
      <c r="D24" s="364"/>
      <c r="E24" s="364"/>
      <c r="F24" s="351"/>
      <c r="G24" s="363"/>
      <c r="H24" s="362"/>
      <c r="I24" s="362"/>
      <c r="J24" s="362"/>
      <c r="K24" s="351"/>
      <c r="L24" s="351"/>
    </row>
    <row r="25" spans="1:14" customFormat="1" ht="15" x14ac:dyDescent="0.25">
      <c r="C25" s="364"/>
      <c r="D25" s="364"/>
      <c r="E25" s="364"/>
      <c r="F25" s="351"/>
      <c r="G25" s="363"/>
      <c r="H25" s="362"/>
      <c r="I25" s="362"/>
      <c r="J25" s="362"/>
      <c r="K25" s="351"/>
      <c r="L25" s="351"/>
    </row>
    <row r="26" spans="1:14" customFormat="1" ht="15" x14ac:dyDescent="0.25">
      <c r="C26" s="364"/>
      <c r="D26" s="364"/>
      <c r="E26" s="364"/>
      <c r="F26" s="351"/>
      <c r="G26" s="363"/>
      <c r="H26" s="362"/>
      <c r="I26" s="362"/>
      <c r="J26" s="362"/>
      <c r="K26" s="351"/>
      <c r="L26" s="351"/>
    </row>
    <row r="27" spans="1:14" customFormat="1" ht="15" x14ac:dyDescent="0.25">
      <c r="C27" s="366"/>
      <c r="D27" s="729"/>
      <c r="E27" s="729"/>
      <c r="F27" s="729"/>
      <c r="G27" s="363"/>
      <c r="H27" s="362"/>
      <c r="I27" s="362"/>
      <c r="J27" s="362"/>
      <c r="K27" s="351"/>
      <c r="L27" s="351"/>
    </row>
    <row r="28" spans="1:14" customFormat="1" ht="15" x14ac:dyDescent="0.25">
      <c r="C28" s="364"/>
      <c r="D28" s="364"/>
      <c r="E28" s="364"/>
      <c r="F28" s="351"/>
      <c r="G28" s="363"/>
      <c r="H28" s="362"/>
      <c r="I28" s="362"/>
      <c r="J28" s="362"/>
      <c r="K28" s="351"/>
      <c r="L28" s="351"/>
    </row>
    <row r="29" spans="1:14" customFormat="1" ht="15" x14ac:dyDescent="0.25">
      <c r="C29" s="135"/>
      <c r="D29" s="112"/>
      <c r="E29" s="364"/>
      <c r="F29" s="351"/>
      <c r="G29" s="364"/>
      <c r="H29" s="362"/>
      <c r="I29" s="362"/>
      <c r="J29" s="367"/>
      <c r="K29" s="351"/>
      <c r="L29" s="351"/>
    </row>
    <row r="30" spans="1:14" customFormat="1" ht="15" x14ac:dyDescent="0.25">
      <c r="C30" s="112"/>
      <c r="D30" s="112"/>
      <c r="E30" s="364"/>
      <c r="F30" s="351"/>
      <c r="G30" s="351"/>
      <c r="H30" s="362"/>
      <c r="I30" s="362"/>
      <c r="J30" s="362"/>
      <c r="K30" s="351"/>
      <c r="L30" s="351"/>
    </row>
    <row r="31" spans="1:14" customFormat="1" ht="15" x14ac:dyDescent="0.25">
      <c r="C31" s="135"/>
      <c r="D31" s="112"/>
      <c r="F31" s="351"/>
      <c r="G31" s="364"/>
      <c r="H31" s="362"/>
      <c r="I31" s="362"/>
      <c r="J31" s="367"/>
      <c r="K31" s="351"/>
      <c r="L31" s="351"/>
      <c r="M31" s="721"/>
      <c r="N31" s="722"/>
    </row>
    <row r="32" spans="1:14" ht="15" x14ac:dyDescent="0.25">
      <c r="H32" s="362"/>
      <c r="I32" s="362"/>
      <c r="J32" s="362"/>
    </row>
    <row r="33" spans="7:9" ht="15" x14ac:dyDescent="0.25">
      <c r="G33" s="354"/>
      <c r="I33" s="354"/>
    </row>
    <row r="34" spans="7:9" ht="15" x14ac:dyDescent="0.25"/>
    <row r="35" spans="7:9" ht="15" x14ac:dyDescent="0.25"/>
    <row r="36" spans="7:9" ht="15" x14ac:dyDescent="0.25"/>
    <row r="37" spans="7:9" ht="15" x14ac:dyDescent="0.25"/>
    <row r="38" spans="7:9" ht="15" x14ac:dyDescent="0.25"/>
    <row r="39" spans="7:9" ht="15" x14ac:dyDescent="0.25"/>
    <row r="40" spans="7:9" ht="15" x14ac:dyDescent="0.25"/>
    <row r="41" spans="7:9" ht="15" x14ac:dyDescent="0.25"/>
    <row r="42" spans="7:9" ht="15" x14ac:dyDescent="0.25"/>
    <row r="43" spans="7:9" ht="15" x14ac:dyDescent="0.25"/>
    <row r="44" spans="7:9" ht="15" x14ac:dyDescent="0.25"/>
    <row r="45" spans="7:9" ht="15" x14ac:dyDescent="0.25"/>
    <row r="46" spans="7:9" ht="15" x14ac:dyDescent="0.25"/>
    <row r="47" spans="7:9" ht="15" x14ac:dyDescent="0.25"/>
    <row r="48" spans="7:9" ht="15" x14ac:dyDescent="0.25"/>
    <row r="49" ht="15" x14ac:dyDescent="0.25"/>
    <row r="50" ht="15" x14ac:dyDescent="0.25"/>
    <row r="51" ht="15" x14ac:dyDescent="0.25"/>
    <row r="52" ht="15" x14ac:dyDescent="0.25"/>
    <row r="53" ht="15" x14ac:dyDescent="0.25"/>
    <row r="54" ht="15" x14ac:dyDescent="0.25"/>
    <row r="55" ht="15" x14ac:dyDescent="0.25"/>
    <row r="56" ht="15" x14ac:dyDescent="0.25"/>
    <row r="57" ht="15" x14ac:dyDescent="0.25"/>
    <row r="58" ht="15" x14ac:dyDescent="0.25"/>
    <row r="59" ht="15" x14ac:dyDescent="0.25"/>
    <row r="60" ht="15" x14ac:dyDescent="0.25"/>
    <row r="61" ht="15" x14ac:dyDescent="0.25"/>
    <row r="62" ht="15" x14ac:dyDescent="0.25"/>
    <row r="63" ht="15" x14ac:dyDescent="0.25"/>
    <row r="64" ht="15" x14ac:dyDescent="0.25"/>
    <row r="65" ht="15" x14ac:dyDescent="0.25"/>
    <row r="66" ht="15" x14ac:dyDescent="0.25"/>
    <row r="67" ht="15" x14ac:dyDescent="0.25"/>
    <row r="68" ht="15" x14ac:dyDescent="0.25"/>
    <row r="69" ht="15" x14ac:dyDescent="0.25"/>
    <row r="70" ht="15" x14ac:dyDescent="0.25"/>
    <row r="71" ht="15" x14ac:dyDescent="0.25"/>
    <row r="72" ht="15" x14ac:dyDescent="0.25"/>
  </sheetData>
  <mergeCells count="20">
    <mergeCell ref="H1:J1"/>
    <mergeCell ref="G5:J5"/>
    <mergeCell ref="G6:H6"/>
    <mergeCell ref="I6:J6"/>
    <mergeCell ref="G7:G11"/>
    <mergeCell ref="H7:H11"/>
    <mergeCell ref="I7:I11"/>
    <mergeCell ref="J7:J11"/>
    <mergeCell ref="M31:N31"/>
    <mergeCell ref="B3:J3"/>
    <mergeCell ref="D22:F22"/>
    <mergeCell ref="G22:J22"/>
    <mergeCell ref="D23:F23"/>
    <mergeCell ref="D27:F27"/>
    <mergeCell ref="E12:F12"/>
    <mergeCell ref="D14:F14"/>
    <mergeCell ref="D15:F15"/>
    <mergeCell ref="D17:F17"/>
    <mergeCell ref="D19:F19"/>
    <mergeCell ref="G19:J1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BAF43-3536-4BEF-A364-C02EA0A28CAF}">
  <sheetPr>
    <tabColor theme="9" tint="0.79998168889431442"/>
  </sheetPr>
  <dimension ref="A1:N255"/>
  <sheetViews>
    <sheetView topLeftCell="A129" zoomScale="115" zoomScaleNormal="115" workbookViewId="0">
      <selection activeCell="A13" sqref="A13"/>
    </sheetView>
  </sheetViews>
  <sheetFormatPr defaultColWidth="9.140625" defaultRowHeight="12.75" x14ac:dyDescent="0.2"/>
  <cols>
    <col min="1" max="1" width="30.140625" style="21" customWidth="1"/>
    <col min="2" max="2" width="15.28515625" style="21" customWidth="1"/>
    <col min="3" max="3" width="21.28515625" style="21" customWidth="1"/>
    <col min="4" max="4" width="9.140625" style="21"/>
    <col min="5" max="5" width="10.7109375" style="21" customWidth="1"/>
    <col min="6" max="7" width="9.140625" style="21"/>
    <col min="8" max="8" width="10.42578125" style="21" customWidth="1"/>
    <col min="9" max="9" width="11.85546875" style="21" customWidth="1"/>
    <col min="10" max="10" width="9.140625" style="21"/>
    <col min="11" max="11" width="13.85546875" style="21" customWidth="1"/>
    <col min="12" max="12" width="20.85546875" style="21" customWidth="1"/>
    <col min="13" max="14" width="13.85546875" style="21" customWidth="1"/>
    <col min="15" max="16384" width="9.140625" style="21"/>
  </cols>
  <sheetData>
    <row r="1" spans="1:14" ht="15" x14ac:dyDescent="0.2">
      <c r="H1" s="710" t="s">
        <v>613</v>
      </c>
      <c r="I1" s="710"/>
    </row>
    <row r="2" spans="1:14" ht="15" customHeight="1" x14ac:dyDescent="0.2">
      <c r="A2" s="758" t="s">
        <v>614</v>
      </c>
      <c r="B2" s="758"/>
      <c r="C2" s="758"/>
      <c r="D2" s="758"/>
      <c r="E2" s="758"/>
      <c r="F2" s="758"/>
      <c r="G2" s="758"/>
      <c r="H2" s="758"/>
      <c r="I2" s="758"/>
    </row>
    <row r="3" spans="1:14" ht="13.5" thickBot="1" x14ac:dyDescent="0.25">
      <c r="I3" s="385" t="s">
        <v>519</v>
      </c>
    </row>
    <row r="4" spans="1:14" x14ac:dyDescent="0.2">
      <c r="A4" s="763" t="s">
        <v>20</v>
      </c>
      <c r="B4" s="765" t="s">
        <v>270</v>
      </c>
      <c r="C4" s="765" t="s">
        <v>271</v>
      </c>
      <c r="D4" s="767" t="s">
        <v>21</v>
      </c>
      <c r="E4" s="756" t="s">
        <v>520</v>
      </c>
      <c r="F4" s="756" t="s">
        <v>521</v>
      </c>
      <c r="G4" s="756" t="s">
        <v>522</v>
      </c>
      <c r="H4" s="759" t="s">
        <v>523</v>
      </c>
      <c r="I4" s="761" t="s">
        <v>524</v>
      </c>
    </row>
    <row r="5" spans="1:14" ht="74.25" customHeight="1" x14ac:dyDescent="0.2">
      <c r="A5" s="764"/>
      <c r="B5" s="766"/>
      <c r="C5" s="766"/>
      <c r="D5" s="768"/>
      <c r="E5" s="757"/>
      <c r="F5" s="757"/>
      <c r="G5" s="757"/>
      <c r="H5" s="760"/>
      <c r="I5" s="762"/>
      <c r="K5" s="411" t="s">
        <v>525</v>
      </c>
      <c r="L5" s="411" t="s">
        <v>271</v>
      </c>
      <c r="M5" s="411" t="s">
        <v>526</v>
      </c>
      <c r="N5" s="412" t="s">
        <v>527</v>
      </c>
    </row>
    <row r="6" spans="1:14" x14ac:dyDescent="0.2">
      <c r="A6" s="22"/>
      <c r="B6" s="239"/>
      <c r="C6" s="239"/>
      <c r="D6" s="23"/>
      <c r="E6" s="23"/>
      <c r="F6" s="23"/>
      <c r="G6" s="23"/>
      <c r="H6" s="386"/>
      <c r="I6" s="387"/>
      <c r="K6" s="23"/>
      <c r="L6" s="23"/>
      <c r="M6" s="23"/>
      <c r="N6" s="23"/>
    </row>
    <row r="7" spans="1:14" x14ac:dyDescent="0.2">
      <c r="A7" s="748" t="s">
        <v>166</v>
      </c>
      <c r="B7" s="749"/>
      <c r="C7" s="749"/>
      <c r="D7" s="750"/>
      <c r="E7" s="750"/>
      <c r="F7" s="750"/>
      <c r="G7" s="750"/>
      <c r="H7" s="751"/>
      <c r="I7" s="388"/>
      <c r="K7" s="23"/>
      <c r="L7" s="23"/>
      <c r="M7" s="23"/>
      <c r="N7" s="23"/>
    </row>
    <row r="8" spans="1:14" x14ac:dyDescent="0.2">
      <c r="A8" s="752" t="s">
        <v>751</v>
      </c>
      <c r="B8" s="753"/>
      <c r="C8" s="753"/>
      <c r="D8" s="753"/>
      <c r="E8" s="753"/>
      <c r="F8" s="753"/>
      <c r="G8" s="753"/>
      <c r="H8" s="753"/>
      <c r="I8" s="387"/>
      <c r="J8" s="82"/>
      <c r="K8" s="23"/>
      <c r="L8" s="23"/>
      <c r="M8" s="23"/>
      <c r="N8" s="23"/>
    </row>
    <row r="9" spans="1:14" x14ac:dyDescent="0.2">
      <c r="A9" s="754" t="s">
        <v>77</v>
      </c>
      <c r="B9" s="755"/>
      <c r="C9" s="755"/>
      <c r="D9" s="755"/>
      <c r="E9" s="755"/>
      <c r="F9" s="755"/>
      <c r="G9" s="755"/>
      <c r="H9" s="755"/>
      <c r="I9" s="389"/>
      <c r="K9" s="23"/>
      <c r="L9" s="23"/>
      <c r="M9" s="23"/>
      <c r="N9" s="23"/>
    </row>
    <row r="10" spans="1:14" x14ac:dyDescent="0.2">
      <c r="A10" s="19" t="s">
        <v>24</v>
      </c>
      <c r="B10" s="240"/>
      <c r="C10" s="240"/>
      <c r="D10" s="16"/>
      <c r="E10" s="390"/>
      <c r="F10" s="390"/>
      <c r="G10" s="390"/>
      <c r="H10" s="391"/>
      <c r="I10" s="392"/>
      <c r="K10" s="23"/>
      <c r="L10" s="23"/>
      <c r="M10" s="23"/>
      <c r="N10" s="23"/>
    </row>
    <row r="11" spans="1:14" x14ac:dyDescent="0.2">
      <c r="A11" s="413" t="s">
        <v>272</v>
      </c>
      <c r="B11" s="414" t="s">
        <v>273</v>
      </c>
      <c r="C11" s="414" t="s">
        <v>528</v>
      </c>
      <c r="D11" s="415">
        <v>1</v>
      </c>
      <c r="E11" s="416">
        <v>2980</v>
      </c>
      <c r="F11" s="416">
        <v>387.4</v>
      </c>
      <c r="G11" s="416">
        <v>596</v>
      </c>
      <c r="H11" s="417">
        <f>G11+F11+E11</f>
        <v>3963.4</v>
      </c>
      <c r="I11" s="393">
        <f>ROUND((E11+F11+G11)*0.106*D11*12*(1+0.2359),2)</f>
        <v>6230.72</v>
      </c>
      <c r="K11" s="23"/>
      <c r="L11" s="23" t="s">
        <v>528</v>
      </c>
      <c r="M11" s="23" t="s">
        <v>529</v>
      </c>
      <c r="N11" s="23">
        <v>801000010</v>
      </c>
    </row>
    <row r="12" spans="1:14" x14ac:dyDescent="0.2">
      <c r="A12" s="413" t="s">
        <v>274</v>
      </c>
      <c r="B12" s="414" t="s">
        <v>276</v>
      </c>
      <c r="C12" s="418" t="s">
        <v>432</v>
      </c>
      <c r="D12" s="415">
        <v>1</v>
      </c>
      <c r="E12" s="416">
        <v>2455</v>
      </c>
      <c r="F12" s="416">
        <v>319.14999999999998</v>
      </c>
      <c r="G12" s="416">
        <v>491</v>
      </c>
      <c r="H12" s="417">
        <f t="shared" ref="H12:H57" si="0">G12+F12+E12</f>
        <v>3265.15</v>
      </c>
      <c r="I12" s="393">
        <f t="shared" ref="I12:I57" si="1">ROUND((E12+F12+G12)*0.106*D12*12*(1+0.2359),2)</f>
        <v>5133.03</v>
      </c>
      <c r="K12" s="23"/>
      <c r="L12" s="23" t="s">
        <v>432</v>
      </c>
      <c r="M12" s="23" t="s">
        <v>529</v>
      </c>
      <c r="N12" s="23">
        <v>801000010</v>
      </c>
    </row>
    <row r="13" spans="1:14" x14ac:dyDescent="0.2">
      <c r="A13" s="413" t="s">
        <v>274</v>
      </c>
      <c r="B13" s="419" t="s">
        <v>276</v>
      </c>
      <c r="C13" s="418" t="s">
        <v>530</v>
      </c>
      <c r="D13" s="415">
        <v>1</v>
      </c>
      <c r="E13" s="416">
        <v>2455</v>
      </c>
      <c r="F13" s="416">
        <v>319.14999999999998</v>
      </c>
      <c r="G13" s="416">
        <v>491</v>
      </c>
      <c r="H13" s="417">
        <f t="shared" si="0"/>
        <v>3265.15</v>
      </c>
      <c r="I13" s="393">
        <f t="shared" si="1"/>
        <v>5133.03</v>
      </c>
      <c r="K13" s="23"/>
      <c r="L13" s="23" t="s">
        <v>530</v>
      </c>
      <c r="M13" s="23" t="s">
        <v>529</v>
      </c>
      <c r="N13" s="23">
        <v>801000010</v>
      </c>
    </row>
    <row r="14" spans="1:14" x14ac:dyDescent="0.2">
      <c r="A14" s="413" t="s">
        <v>274</v>
      </c>
      <c r="B14" s="419" t="s">
        <v>276</v>
      </c>
      <c r="C14" s="418" t="s">
        <v>531</v>
      </c>
      <c r="D14" s="415">
        <v>1</v>
      </c>
      <c r="E14" s="416">
        <v>2455</v>
      </c>
      <c r="F14" s="416">
        <v>294.60000000000002</v>
      </c>
      <c r="G14" s="416">
        <v>491</v>
      </c>
      <c r="H14" s="417">
        <f t="shared" si="0"/>
        <v>3240.6</v>
      </c>
      <c r="I14" s="393">
        <f t="shared" si="1"/>
        <v>5094.43</v>
      </c>
      <c r="K14" s="23"/>
      <c r="L14" s="23" t="s">
        <v>531</v>
      </c>
      <c r="M14" s="23" t="s">
        <v>529</v>
      </c>
      <c r="N14" s="23">
        <v>801000010</v>
      </c>
    </row>
    <row r="15" spans="1:14" x14ac:dyDescent="0.2">
      <c r="A15" s="413" t="s">
        <v>274</v>
      </c>
      <c r="B15" s="419" t="s">
        <v>276</v>
      </c>
      <c r="C15" s="418" t="s">
        <v>277</v>
      </c>
      <c r="D15" s="415">
        <v>1</v>
      </c>
      <c r="E15" s="416">
        <v>2030</v>
      </c>
      <c r="F15" s="416">
        <v>243.6</v>
      </c>
      <c r="G15" s="416">
        <v>406</v>
      </c>
      <c r="H15" s="417">
        <f t="shared" si="0"/>
        <v>2679.6</v>
      </c>
      <c r="I15" s="393">
        <f t="shared" si="1"/>
        <v>4212.5</v>
      </c>
      <c r="K15" s="23"/>
      <c r="L15" s="23" t="s">
        <v>277</v>
      </c>
      <c r="M15" s="23" t="s">
        <v>529</v>
      </c>
      <c r="N15" s="23">
        <v>801000010</v>
      </c>
    </row>
    <row r="16" spans="1:14" x14ac:dyDescent="0.2">
      <c r="A16" s="413" t="s">
        <v>274</v>
      </c>
      <c r="B16" s="419" t="s">
        <v>276</v>
      </c>
      <c r="C16" s="418" t="s">
        <v>532</v>
      </c>
      <c r="D16" s="415">
        <v>1</v>
      </c>
      <c r="E16" s="416">
        <v>2455</v>
      </c>
      <c r="F16" s="416">
        <v>319.14999999999998</v>
      </c>
      <c r="G16" s="416">
        <v>491</v>
      </c>
      <c r="H16" s="417">
        <f t="shared" si="0"/>
        <v>3265.15</v>
      </c>
      <c r="I16" s="393">
        <f t="shared" si="1"/>
        <v>5133.03</v>
      </c>
      <c r="K16" s="23"/>
      <c r="L16" s="23" t="s">
        <v>532</v>
      </c>
      <c r="M16" s="23" t="s">
        <v>529</v>
      </c>
      <c r="N16" s="23">
        <v>801000010</v>
      </c>
    </row>
    <row r="17" spans="1:14" x14ac:dyDescent="0.2">
      <c r="A17" s="413" t="s">
        <v>274</v>
      </c>
      <c r="B17" s="419" t="s">
        <v>276</v>
      </c>
      <c r="C17" s="418" t="s">
        <v>363</v>
      </c>
      <c r="D17" s="415">
        <v>1</v>
      </c>
      <c r="E17" s="416">
        <v>2455</v>
      </c>
      <c r="F17" s="416">
        <v>294.60000000000002</v>
      </c>
      <c r="G17" s="416">
        <v>491</v>
      </c>
      <c r="H17" s="417">
        <f t="shared" si="0"/>
        <v>3240.6</v>
      </c>
      <c r="I17" s="393">
        <f t="shared" si="1"/>
        <v>5094.43</v>
      </c>
      <c r="K17" s="23"/>
      <c r="L17" s="23" t="s">
        <v>363</v>
      </c>
      <c r="M17" s="23" t="s">
        <v>529</v>
      </c>
      <c r="N17" s="23">
        <v>801000010</v>
      </c>
    </row>
    <row r="18" spans="1:14" x14ac:dyDescent="0.2">
      <c r="A18" s="413" t="s">
        <v>275</v>
      </c>
      <c r="B18" s="419" t="s">
        <v>276</v>
      </c>
      <c r="C18" s="418" t="s">
        <v>533</v>
      </c>
      <c r="D18" s="415">
        <v>1</v>
      </c>
      <c r="E18" s="416">
        <v>2285</v>
      </c>
      <c r="F18" s="416">
        <v>205.65</v>
      </c>
      <c r="G18" s="416">
        <v>457</v>
      </c>
      <c r="H18" s="417">
        <f t="shared" si="0"/>
        <v>2947.65</v>
      </c>
      <c r="I18" s="393">
        <f t="shared" si="1"/>
        <v>4633.8999999999996</v>
      </c>
      <c r="K18" s="23"/>
      <c r="L18" s="23" t="s">
        <v>533</v>
      </c>
      <c r="M18" s="23" t="s">
        <v>529</v>
      </c>
      <c r="N18" s="23">
        <v>801000010</v>
      </c>
    </row>
    <row r="19" spans="1:14" x14ac:dyDescent="0.2">
      <c r="A19" s="413" t="s">
        <v>275</v>
      </c>
      <c r="B19" s="419" t="s">
        <v>276</v>
      </c>
      <c r="C19" s="418" t="s">
        <v>411</v>
      </c>
      <c r="D19" s="415">
        <v>1</v>
      </c>
      <c r="E19" s="416">
        <v>2285</v>
      </c>
      <c r="F19" s="416">
        <v>297.05</v>
      </c>
      <c r="G19" s="416">
        <v>457</v>
      </c>
      <c r="H19" s="417">
        <f t="shared" si="0"/>
        <v>3039.05</v>
      </c>
      <c r="I19" s="393">
        <f t="shared" si="1"/>
        <v>4777.58</v>
      </c>
      <c r="K19" s="23"/>
      <c r="L19" s="23" t="s">
        <v>411</v>
      </c>
      <c r="M19" s="23" t="s">
        <v>529</v>
      </c>
      <c r="N19" s="23">
        <v>801000010</v>
      </c>
    </row>
    <row r="20" spans="1:14" x14ac:dyDescent="0.2">
      <c r="A20" s="413" t="s">
        <v>275</v>
      </c>
      <c r="B20" s="419" t="s">
        <v>276</v>
      </c>
      <c r="C20" s="418" t="s">
        <v>534</v>
      </c>
      <c r="D20" s="415">
        <v>1</v>
      </c>
      <c r="E20" s="416">
        <v>2285</v>
      </c>
      <c r="F20" s="416">
        <v>297.05</v>
      </c>
      <c r="G20" s="416">
        <v>457</v>
      </c>
      <c r="H20" s="417">
        <f t="shared" si="0"/>
        <v>3039.05</v>
      </c>
      <c r="I20" s="393">
        <f t="shared" si="1"/>
        <v>4777.58</v>
      </c>
      <c r="K20" s="23"/>
      <c r="L20" s="23" t="s">
        <v>534</v>
      </c>
      <c r="M20" s="23" t="s">
        <v>529</v>
      </c>
      <c r="N20" s="23">
        <v>801000010</v>
      </c>
    </row>
    <row r="21" spans="1:14" x14ac:dyDescent="0.2">
      <c r="A21" s="413" t="s">
        <v>275</v>
      </c>
      <c r="B21" s="419" t="s">
        <v>276</v>
      </c>
      <c r="C21" s="418" t="s">
        <v>428</v>
      </c>
      <c r="D21" s="415">
        <v>1</v>
      </c>
      <c r="E21" s="416">
        <v>2285</v>
      </c>
      <c r="F21" s="416">
        <v>159.94999999999999</v>
      </c>
      <c r="G21" s="416">
        <v>457</v>
      </c>
      <c r="H21" s="417">
        <f t="shared" si="0"/>
        <v>2901.95</v>
      </c>
      <c r="I21" s="393">
        <f t="shared" si="1"/>
        <v>4562.05</v>
      </c>
      <c r="K21" s="23"/>
      <c r="L21" s="23" t="s">
        <v>428</v>
      </c>
      <c r="M21" s="23" t="s">
        <v>529</v>
      </c>
      <c r="N21" s="23">
        <v>801000010</v>
      </c>
    </row>
    <row r="22" spans="1:14" x14ac:dyDescent="0.2">
      <c r="A22" s="413" t="s">
        <v>3</v>
      </c>
      <c r="B22" s="419" t="s">
        <v>300</v>
      </c>
      <c r="C22" s="418" t="s">
        <v>277</v>
      </c>
      <c r="D22" s="415">
        <v>0.75</v>
      </c>
      <c r="E22" s="416">
        <v>1810</v>
      </c>
      <c r="F22" s="416">
        <v>126.7</v>
      </c>
      <c r="G22" s="416">
        <v>362</v>
      </c>
      <c r="H22" s="417">
        <f t="shared" si="0"/>
        <v>2298.6999999999998</v>
      </c>
      <c r="I22" s="393">
        <f t="shared" si="1"/>
        <v>2710.28</v>
      </c>
      <c r="K22" s="23"/>
      <c r="L22" s="23" t="s">
        <v>277</v>
      </c>
      <c r="M22" s="23" t="s">
        <v>529</v>
      </c>
      <c r="N22" s="23">
        <v>801000010</v>
      </c>
    </row>
    <row r="23" spans="1:14" x14ac:dyDescent="0.2">
      <c r="A23" s="413" t="s">
        <v>3</v>
      </c>
      <c r="B23" s="419" t="s">
        <v>300</v>
      </c>
      <c r="C23" s="418" t="s">
        <v>277</v>
      </c>
      <c r="D23" s="415">
        <v>1</v>
      </c>
      <c r="E23" s="416">
        <v>1810</v>
      </c>
      <c r="F23" s="416">
        <v>108.6</v>
      </c>
      <c r="G23" s="416">
        <v>362</v>
      </c>
      <c r="H23" s="417">
        <f t="shared" si="0"/>
        <v>2280.6</v>
      </c>
      <c r="I23" s="393">
        <f t="shared" si="1"/>
        <v>3585.25</v>
      </c>
      <c r="K23" s="23"/>
      <c r="L23" s="23" t="s">
        <v>277</v>
      </c>
      <c r="M23" s="23" t="s">
        <v>529</v>
      </c>
      <c r="N23" s="23">
        <v>801000010</v>
      </c>
    </row>
    <row r="24" spans="1:14" x14ac:dyDescent="0.2">
      <c r="A24" s="413" t="s">
        <v>3</v>
      </c>
      <c r="B24" s="419" t="s">
        <v>297</v>
      </c>
      <c r="C24" s="418" t="s">
        <v>531</v>
      </c>
      <c r="D24" s="415">
        <v>1</v>
      </c>
      <c r="E24" s="416">
        <v>2060</v>
      </c>
      <c r="F24" s="416">
        <v>267.8</v>
      </c>
      <c r="G24" s="416">
        <v>412</v>
      </c>
      <c r="H24" s="417">
        <f t="shared" si="0"/>
        <v>2739.8</v>
      </c>
      <c r="I24" s="393">
        <f t="shared" si="1"/>
        <v>4307.1400000000003</v>
      </c>
      <c r="K24" s="23"/>
      <c r="L24" s="23" t="s">
        <v>531</v>
      </c>
      <c r="M24" s="23" t="s">
        <v>529</v>
      </c>
      <c r="N24" s="23">
        <v>801000010</v>
      </c>
    </row>
    <row r="25" spans="1:14" x14ac:dyDescent="0.2">
      <c r="A25" s="413" t="s">
        <v>3</v>
      </c>
      <c r="B25" s="419">
        <v>2212104</v>
      </c>
      <c r="C25" s="418" t="s">
        <v>277</v>
      </c>
      <c r="D25" s="415">
        <v>0.5</v>
      </c>
      <c r="E25" s="416">
        <v>1810</v>
      </c>
      <c r="F25" s="416">
        <v>217.2</v>
      </c>
      <c r="G25" s="416">
        <v>362</v>
      </c>
      <c r="H25" s="417">
        <f t="shared" si="0"/>
        <v>2389.1999999999998</v>
      </c>
      <c r="I25" s="393">
        <f t="shared" si="1"/>
        <v>1877.99</v>
      </c>
      <c r="K25" s="23"/>
      <c r="L25" s="23" t="s">
        <v>277</v>
      </c>
      <c r="M25" s="23" t="s">
        <v>529</v>
      </c>
      <c r="N25" s="23">
        <v>801000010</v>
      </c>
    </row>
    <row r="26" spans="1:14" x14ac:dyDescent="0.2">
      <c r="A26" s="413" t="s">
        <v>3</v>
      </c>
      <c r="B26" s="419">
        <v>2212104</v>
      </c>
      <c r="C26" s="418" t="s">
        <v>363</v>
      </c>
      <c r="D26" s="415">
        <v>0.75</v>
      </c>
      <c r="E26" s="416">
        <v>2060</v>
      </c>
      <c r="F26" s="416">
        <v>206</v>
      </c>
      <c r="G26" s="416">
        <v>412</v>
      </c>
      <c r="H26" s="417">
        <f t="shared" si="0"/>
        <v>2678</v>
      </c>
      <c r="I26" s="393">
        <f t="shared" si="1"/>
        <v>3157.49</v>
      </c>
      <c r="K26" s="23"/>
      <c r="L26" s="23" t="s">
        <v>363</v>
      </c>
      <c r="M26" s="23" t="s">
        <v>529</v>
      </c>
      <c r="N26" s="23">
        <v>801000010</v>
      </c>
    </row>
    <row r="27" spans="1:14" x14ac:dyDescent="0.2">
      <c r="A27" s="413" t="s">
        <v>3</v>
      </c>
      <c r="B27" s="419">
        <v>2212104</v>
      </c>
      <c r="C27" s="418" t="s">
        <v>363</v>
      </c>
      <c r="D27" s="415">
        <v>1</v>
      </c>
      <c r="E27" s="416">
        <v>2060</v>
      </c>
      <c r="F27" s="416">
        <v>267.8</v>
      </c>
      <c r="G27" s="416">
        <v>412</v>
      </c>
      <c r="H27" s="417">
        <f t="shared" si="0"/>
        <v>2739.8</v>
      </c>
      <c r="I27" s="393">
        <f t="shared" si="1"/>
        <v>4307.1400000000003</v>
      </c>
      <c r="K27" s="23"/>
      <c r="L27" s="23" t="s">
        <v>363</v>
      </c>
      <c r="M27" s="23" t="s">
        <v>529</v>
      </c>
      <c r="N27" s="23">
        <v>801000010</v>
      </c>
    </row>
    <row r="28" spans="1:14" x14ac:dyDescent="0.2">
      <c r="A28" s="413" t="s">
        <v>3</v>
      </c>
      <c r="B28" s="419">
        <v>2212104</v>
      </c>
      <c r="C28" s="418" t="s">
        <v>363</v>
      </c>
      <c r="D28" s="415">
        <v>0.5</v>
      </c>
      <c r="E28" s="416">
        <v>2060</v>
      </c>
      <c r="F28" s="416">
        <v>247.2</v>
      </c>
      <c r="G28" s="416">
        <v>412</v>
      </c>
      <c r="H28" s="417">
        <f t="shared" si="0"/>
        <v>2719.2</v>
      </c>
      <c r="I28" s="393">
        <f t="shared" si="1"/>
        <v>2137.38</v>
      </c>
      <c r="K28" s="23"/>
      <c r="L28" s="23" t="s">
        <v>363</v>
      </c>
      <c r="M28" s="23" t="s">
        <v>529</v>
      </c>
      <c r="N28" s="23">
        <v>801000010</v>
      </c>
    </row>
    <row r="29" spans="1:14" x14ac:dyDescent="0.2">
      <c r="A29" s="413" t="s">
        <v>3</v>
      </c>
      <c r="B29" s="419">
        <v>2212104</v>
      </c>
      <c r="C29" s="418" t="s">
        <v>363</v>
      </c>
      <c r="D29" s="415">
        <v>1</v>
      </c>
      <c r="E29" s="416">
        <v>2060</v>
      </c>
      <c r="F29" s="416">
        <v>267.8</v>
      </c>
      <c r="G29" s="416">
        <v>412</v>
      </c>
      <c r="H29" s="417">
        <f t="shared" si="0"/>
        <v>2739.8</v>
      </c>
      <c r="I29" s="393">
        <f t="shared" si="1"/>
        <v>4307.1400000000003</v>
      </c>
      <c r="K29" s="23"/>
      <c r="L29" s="23" t="s">
        <v>363</v>
      </c>
      <c r="M29" s="23" t="s">
        <v>529</v>
      </c>
      <c r="N29" s="23">
        <v>801000010</v>
      </c>
    </row>
    <row r="30" spans="1:14" x14ac:dyDescent="0.2">
      <c r="A30" s="413" t="s">
        <v>3</v>
      </c>
      <c r="B30" s="419">
        <v>2212104</v>
      </c>
      <c r="C30" s="418" t="s">
        <v>277</v>
      </c>
      <c r="D30" s="415">
        <v>0.25</v>
      </c>
      <c r="E30" s="416">
        <v>1810</v>
      </c>
      <c r="F30" s="416">
        <v>235.3</v>
      </c>
      <c r="G30" s="416">
        <v>362</v>
      </c>
      <c r="H30" s="417">
        <f t="shared" si="0"/>
        <v>2407.3000000000002</v>
      </c>
      <c r="I30" s="393">
        <f t="shared" si="1"/>
        <v>946.11</v>
      </c>
      <c r="K30" s="23"/>
      <c r="L30" s="23" t="s">
        <v>277</v>
      </c>
      <c r="M30" s="23" t="s">
        <v>529</v>
      </c>
      <c r="N30" s="23">
        <v>801000010</v>
      </c>
    </row>
    <row r="31" spans="1:14" x14ac:dyDescent="0.2">
      <c r="A31" s="413" t="s">
        <v>3</v>
      </c>
      <c r="B31" s="419">
        <v>2212104</v>
      </c>
      <c r="C31" s="418" t="s">
        <v>363</v>
      </c>
      <c r="D31" s="415">
        <v>0.75</v>
      </c>
      <c r="E31" s="416">
        <v>2060</v>
      </c>
      <c r="F31" s="416">
        <v>206</v>
      </c>
      <c r="G31" s="416">
        <v>412</v>
      </c>
      <c r="H31" s="417">
        <f t="shared" si="0"/>
        <v>2678</v>
      </c>
      <c r="I31" s="393">
        <f t="shared" si="1"/>
        <v>3157.49</v>
      </c>
      <c r="K31" s="23"/>
      <c r="L31" s="23" t="s">
        <v>363</v>
      </c>
      <c r="M31" s="23" t="s">
        <v>529</v>
      </c>
      <c r="N31" s="23">
        <v>801000010</v>
      </c>
    </row>
    <row r="32" spans="1:14" x14ac:dyDescent="0.2">
      <c r="A32" s="413" t="s">
        <v>3</v>
      </c>
      <c r="B32" s="419" t="s">
        <v>404</v>
      </c>
      <c r="C32" s="418" t="s">
        <v>411</v>
      </c>
      <c r="D32" s="415">
        <v>1</v>
      </c>
      <c r="E32" s="416">
        <v>2060</v>
      </c>
      <c r="F32" s="416">
        <v>267.8</v>
      </c>
      <c r="G32" s="416">
        <v>412</v>
      </c>
      <c r="H32" s="417">
        <f t="shared" si="0"/>
        <v>2739.8</v>
      </c>
      <c r="I32" s="393">
        <f t="shared" si="1"/>
        <v>4307.1400000000003</v>
      </c>
      <c r="K32" s="23"/>
      <c r="L32" s="23" t="s">
        <v>411</v>
      </c>
      <c r="M32" s="23" t="s">
        <v>529</v>
      </c>
      <c r="N32" s="23">
        <v>801000010</v>
      </c>
    </row>
    <row r="33" spans="1:14" x14ac:dyDescent="0.2">
      <c r="A33" s="413" t="s">
        <v>3</v>
      </c>
      <c r="B33" s="419" t="s">
        <v>404</v>
      </c>
      <c r="C33" s="418" t="s">
        <v>411</v>
      </c>
      <c r="D33" s="415">
        <v>1</v>
      </c>
      <c r="E33" s="416">
        <v>2060</v>
      </c>
      <c r="F33" s="416">
        <v>267.8</v>
      </c>
      <c r="G33" s="416">
        <v>412</v>
      </c>
      <c r="H33" s="417">
        <f t="shared" si="0"/>
        <v>2739.8</v>
      </c>
      <c r="I33" s="393">
        <f t="shared" si="1"/>
        <v>4307.1400000000003</v>
      </c>
      <c r="K33" s="23"/>
      <c r="L33" s="23" t="s">
        <v>411</v>
      </c>
      <c r="M33" s="23" t="s">
        <v>529</v>
      </c>
      <c r="N33" s="23">
        <v>801000010</v>
      </c>
    </row>
    <row r="34" spans="1:14" x14ac:dyDescent="0.2">
      <c r="A34" s="413" t="s">
        <v>3</v>
      </c>
      <c r="B34" s="419" t="s">
        <v>404</v>
      </c>
      <c r="C34" s="418" t="s">
        <v>411</v>
      </c>
      <c r="D34" s="415">
        <v>0.5</v>
      </c>
      <c r="E34" s="416">
        <v>2060</v>
      </c>
      <c r="F34" s="416">
        <v>144.19999999999999</v>
      </c>
      <c r="G34" s="416">
        <v>412</v>
      </c>
      <c r="H34" s="417">
        <f t="shared" si="0"/>
        <v>2616.1999999999998</v>
      </c>
      <c r="I34" s="393">
        <f t="shared" si="1"/>
        <v>2056.42</v>
      </c>
      <c r="K34" s="23"/>
      <c r="L34" s="23" t="s">
        <v>411</v>
      </c>
      <c r="M34" s="23" t="s">
        <v>529</v>
      </c>
      <c r="N34" s="23">
        <v>801000010</v>
      </c>
    </row>
    <row r="35" spans="1:14" x14ac:dyDescent="0.2">
      <c r="A35" s="413" t="s">
        <v>3</v>
      </c>
      <c r="B35" s="419" t="s">
        <v>404</v>
      </c>
      <c r="C35" s="418" t="s">
        <v>411</v>
      </c>
      <c r="D35" s="415">
        <v>0.5</v>
      </c>
      <c r="E35" s="416">
        <v>2060</v>
      </c>
      <c r="F35" s="416">
        <v>206</v>
      </c>
      <c r="G35" s="416">
        <v>412</v>
      </c>
      <c r="H35" s="417">
        <f t="shared" si="0"/>
        <v>2678</v>
      </c>
      <c r="I35" s="393">
        <f t="shared" si="1"/>
        <v>2104.9899999999998</v>
      </c>
      <c r="K35" s="23"/>
      <c r="L35" s="23" t="s">
        <v>411</v>
      </c>
      <c r="M35" s="23" t="s">
        <v>529</v>
      </c>
      <c r="N35" s="23">
        <v>801000010</v>
      </c>
    </row>
    <row r="36" spans="1:14" x14ac:dyDescent="0.2">
      <c r="A36" s="413" t="s">
        <v>3</v>
      </c>
      <c r="B36" s="419" t="s">
        <v>404</v>
      </c>
      <c r="C36" s="418" t="s">
        <v>411</v>
      </c>
      <c r="D36" s="415">
        <v>0.5</v>
      </c>
      <c r="E36" s="416">
        <v>2060</v>
      </c>
      <c r="F36" s="416">
        <v>267.8</v>
      </c>
      <c r="G36" s="416">
        <v>412</v>
      </c>
      <c r="H36" s="417">
        <f t="shared" si="0"/>
        <v>2739.8</v>
      </c>
      <c r="I36" s="393">
        <f t="shared" si="1"/>
        <v>2153.5700000000002</v>
      </c>
      <c r="K36" s="23"/>
      <c r="L36" s="23" t="s">
        <v>411</v>
      </c>
      <c r="M36" s="23" t="s">
        <v>529</v>
      </c>
      <c r="N36" s="23">
        <v>801000010</v>
      </c>
    </row>
    <row r="37" spans="1:14" x14ac:dyDescent="0.2">
      <c r="A37" s="413" t="s">
        <v>3</v>
      </c>
      <c r="B37" s="419" t="s">
        <v>404</v>
      </c>
      <c r="C37" s="418" t="s">
        <v>535</v>
      </c>
      <c r="D37" s="415">
        <v>0.25</v>
      </c>
      <c r="E37" s="416">
        <v>2060</v>
      </c>
      <c r="F37" s="416">
        <v>267.8</v>
      </c>
      <c r="G37" s="416">
        <v>412</v>
      </c>
      <c r="H37" s="417">
        <f t="shared" si="0"/>
        <v>2739.8</v>
      </c>
      <c r="I37" s="393">
        <f t="shared" si="1"/>
        <v>1076.79</v>
      </c>
      <c r="K37" s="23"/>
      <c r="L37" s="23" t="s">
        <v>535</v>
      </c>
      <c r="M37" s="23" t="s">
        <v>529</v>
      </c>
      <c r="N37" s="23">
        <v>801000010</v>
      </c>
    </row>
    <row r="38" spans="1:14" x14ac:dyDescent="0.2">
      <c r="A38" s="413" t="s">
        <v>3</v>
      </c>
      <c r="B38" s="419" t="s">
        <v>404</v>
      </c>
      <c r="C38" s="418" t="s">
        <v>535</v>
      </c>
      <c r="D38" s="415">
        <v>0.25</v>
      </c>
      <c r="E38" s="416">
        <v>2060</v>
      </c>
      <c r="F38" s="416">
        <v>247.2</v>
      </c>
      <c r="G38" s="416">
        <v>412</v>
      </c>
      <c r="H38" s="417">
        <f t="shared" si="0"/>
        <v>2719.2</v>
      </c>
      <c r="I38" s="393">
        <f t="shared" si="1"/>
        <v>1068.69</v>
      </c>
      <c r="K38" s="23"/>
      <c r="L38" s="23" t="s">
        <v>535</v>
      </c>
      <c r="M38" s="23" t="s">
        <v>529</v>
      </c>
      <c r="N38" s="23">
        <v>801000010</v>
      </c>
    </row>
    <row r="39" spans="1:14" x14ac:dyDescent="0.2">
      <c r="A39" s="413" t="s">
        <v>3</v>
      </c>
      <c r="B39" s="419" t="s">
        <v>404</v>
      </c>
      <c r="C39" s="418" t="s">
        <v>411</v>
      </c>
      <c r="D39" s="415">
        <v>0.5</v>
      </c>
      <c r="E39" s="416">
        <v>2060</v>
      </c>
      <c r="F39" s="416">
        <v>123.6</v>
      </c>
      <c r="G39" s="416">
        <v>412</v>
      </c>
      <c r="H39" s="417">
        <f t="shared" si="0"/>
        <v>2595.6</v>
      </c>
      <c r="I39" s="393">
        <f t="shared" si="1"/>
        <v>2040.23</v>
      </c>
      <c r="K39" s="23"/>
      <c r="L39" s="23" t="s">
        <v>411</v>
      </c>
      <c r="M39" s="23" t="s">
        <v>529</v>
      </c>
      <c r="N39" s="23">
        <v>801000010</v>
      </c>
    </row>
    <row r="40" spans="1:14" x14ac:dyDescent="0.2">
      <c r="A40" s="413" t="s">
        <v>3</v>
      </c>
      <c r="B40" s="419" t="s">
        <v>404</v>
      </c>
      <c r="C40" s="418" t="s">
        <v>411</v>
      </c>
      <c r="D40" s="415">
        <v>1</v>
      </c>
      <c r="E40" s="416">
        <v>2060</v>
      </c>
      <c r="F40" s="416">
        <v>144.19999999999999</v>
      </c>
      <c r="G40" s="416">
        <v>412</v>
      </c>
      <c r="H40" s="417">
        <f t="shared" si="0"/>
        <v>2616.1999999999998</v>
      </c>
      <c r="I40" s="393">
        <f t="shared" si="1"/>
        <v>4112.84</v>
      </c>
      <c r="K40" s="23"/>
      <c r="L40" s="23" t="s">
        <v>411</v>
      </c>
      <c r="M40" s="23" t="s">
        <v>529</v>
      </c>
      <c r="N40" s="23">
        <v>801000010</v>
      </c>
    </row>
    <row r="41" spans="1:14" x14ac:dyDescent="0.2">
      <c r="A41" s="413" t="s">
        <v>3</v>
      </c>
      <c r="B41" s="419" t="s">
        <v>327</v>
      </c>
      <c r="C41" s="418" t="s">
        <v>401</v>
      </c>
      <c r="D41" s="415">
        <v>0.25</v>
      </c>
      <c r="E41" s="416">
        <v>2060</v>
      </c>
      <c r="F41" s="416">
        <v>247.2</v>
      </c>
      <c r="G41" s="416">
        <v>412</v>
      </c>
      <c r="H41" s="417">
        <f t="shared" si="0"/>
        <v>2719.2</v>
      </c>
      <c r="I41" s="393">
        <f t="shared" si="1"/>
        <v>1068.69</v>
      </c>
      <c r="K41" s="23"/>
      <c r="L41" s="23" t="s">
        <v>401</v>
      </c>
      <c r="M41" s="23" t="s">
        <v>529</v>
      </c>
      <c r="N41" s="23">
        <v>801000010</v>
      </c>
    </row>
    <row r="42" spans="1:14" x14ac:dyDescent="0.2">
      <c r="A42" s="413" t="s">
        <v>3</v>
      </c>
      <c r="B42" s="419" t="s">
        <v>427</v>
      </c>
      <c r="C42" s="418" t="s">
        <v>428</v>
      </c>
      <c r="D42" s="415">
        <v>0.25</v>
      </c>
      <c r="E42" s="416">
        <v>2060</v>
      </c>
      <c r="F42" s="416">
        <v>267.8</v>
      </c>
      <c r="G42" s="416">
        <v>412</v>
      </c>
      <c r="H42" s="417">
        <f t="shared" si="0"/>
        <v>2739.8</v>
      </c>
      <c r="I42" s="393">
        <f t="shared" si="1"/>
        <v>1076.79</v>
      </c>
      <c r="K42" s="23"/>
      <c r="L42" s="23" t="s">
        <v>428</v>
      </c>
      <c r="M42" s="23" t="s">
        <v>529</v>
      </c>
      <c r="N42" s="23">
        <v>801000010</v>
      </c>
    </row>
    <row r="43" spans="1:14" x14ac:dyDescent="0.2">
      <c r="A43" s="413" t="s">
        <v>3</v>
      </c>
      <c r="B43" s="419" t="s">
        <v>427</v>
      </c>
      <c r="C43" s="418" t="s">
        <v>428</v>
      </c>
      <c r="D43" s="415">
        <v>0.6</v>
      </c>
      <c r="E43" s="416">
        <v>2060</v>
      </c>
      <c r="F43" s="416">
        <v>185.4</v>
      </c>
      <c r="G43" s="416">
        <v>412</v>
      </c>
      <c r="H43" s="417">
        <f t="shared" si="0"/>
        <v>2657.4</v>
      </c>
      <c r="I43" s="393">
        <f t="shared" si="1"/>
        <v>2506.56</v>
      </c>
      <c r="K43" s="23"/>
      <c r="L43" s="23" t="s">
        <v>428</v>
      </c>
      <c r="M43" s="23" t="s">
        <v>529</v>
      </c>
      <c r="N43" s="23">
        <v>801000010</v>
      </c>
    </row>
    <row r="44" spans="1:14" x14ac:dyDescent="0.2">
      <c r="A44" s="413" t="s">
        <v>3</v>
      </c>
      <c r="B44" s="419" t="s">
        <v>290</v>
      </c>
      <c r="C44" s="418" t="s">
        <v>531</v>
      </c>
      <c r="D44" s="415">
        <v>0.5</v>
      </c>
      <c r="E44" s="416">
        <v>1810</v>
      </c>
      <c r="F44" s="416">
        <v>126.7</v>
      </c>
      <c r="G44" s="416">
        <v>362</v>
      </c>
      <c r="H44" s="417">
        <f t="shared" si="0"/>
        <v>2298.6999999999998</v>
      </c>
      <c r="I44" s="393">
        <f t="shared" si="1"/>
        <v>1806.85</v>
      </c>
      <c r="K44" s="23"/>
      <c r="L44" s="23" t="s">
        <v>531</v>
      </c>
      <c r="M44" s="23" t="s">
        <v>529</v>
      </c>
      <c r="N44" s="23">
        <v>801000010</v>
      </c>
    </row>
    <row r="45" spans="1:14" x14ac:dyDescent="0.2">
      <c r="A45" s="413" t="s">
        <v>3</v>
      </c>
      <c r="B45" s="419" t="s">
        <v>290</v>
      </c>
      <c r="C45" s="418" t="s">
        <v>533</v>
      </c>
      <c r="D45" s="415">
        <v>1</v>
      </c>
      <c r="E45" s="416">
        <v>2060</v>
      </c>
      <c r="F45" s="416">
        <v>247.2</v>
      </c>
      <c r="G45" s="416">
        <v>412</v>
      </c>
      <c r="H45" s="417">
        <f t="shared" si="0"/>
        <v>2719.2</v>
      </c>
      <c r="I45" s="393">
        <f t="shared" si="1"/>
        <v>4274.76</v>
      </c>
      <c r="K45" s="23"/>
      <c r="L45" s="23" t="s">
        <v>533</v>
      </c>
      <c r="M45" s="23" t="s">
        <v>529</v>
      </c>
      <c r="N45" s="23">
        <v>801000010</v>
      </c>
    </row>
    <row r="46" spans="1:14" x14ac:dyDescent="0.2">
      <c r="A46" s="413" t="s">
        <v>3</v>
      </c>
      <c r="B46" s="419" t="s">
        <v>290</v>
      </c>
      <c r="C46" s="418" t="s">
        <v>533</v>
      </c>
      <c r="D46" s="415">
        <v>0.5</v>
      </c>
      <c r="E46" s="416">
        <v>2060</v>
      </c>
      <c r="F46" s="416">
        <v>247.2</v>
      </c>
      <c r="G46" s="416">
        <v>412</v>
      </c>
      <c r="H46" s="417">
        <f t="shared" si="0"/>
        <v>2719.2</v>
      </c>
      <c r="I46" s="393">
        <f t="shared" si="1"/>
        <v>2137.38</v>
      </c>
      <c r="K46" s="23"/>
      <c r="L46" s="23" t="s">
        <v>533</v>
      </c>
      <c r="M46" s="23" t="s">
        <v>529</v>
      </c>
      <c r="N46" s="23">
        <v>801000010</v>
      </c>
    </row>
    <row r="47" spans="1:14" x14ac:dyDescent="0.2">
      <c r="A47" s="413" t="s">
        <v>3</v>
      </c>
      <c r="B47" s="419" t="s">
        <v>290</v>
      </c>
      <c r="C47" s="418" t="s">
        <v>536</v>
      </c>
      <c r="D47" s="415">
        <v>0.5</v>
      </c>
      <c r="E47" s="416">
        <v>2060</v>
      </c>
      <c r="F47" s="416">
        <v>267.8</v>
      </c>
      <c r="G47" s="416">
        <v>412</v>
      </c>
      <c r="H47" s="417">
        <f t="shared" si="0"/>
        <v>2739.8</v>
      </c>
      <c r="I47" s="393">
        <f t="shared" si="1"/>
        <v>2153.5700000000002</v>
      </c>
      <c r="K47" s="23"/>
      <c r="L47" s="23" t="s">
        <v>536</v>
      </c>
      <c r="M47" s="23" t="s">
        <v>529</v>
      </c>
      <c r="N47" s="23">
        <v>801000010</v>
      </c>
    </row>
    <row r="48" spans="1:14" x14ac:dyDescent="0.2">
      <c r="A48" s="413" t="s">
        <v>3</v>
      </c>
      <c r="B48" s="419" t="s">
        <v>323</v>
      </c>
      <c r="C48" s="418" t="s">
        <v>386</v>
      </c>
      <c r="D48" s="415">
        <v>0.5</v>
      </c>
      <c r="E48" s="416">
        <v>2060</v>
      </c>
      <c r="F48" s="416">
        <v>267.8</v>
      </c>
      <c r="G48" s="416">
        <v>412</v>
      </c>
      <c r="H48" s="417">
        <f t="shared" si="0"/>
        <v>2739.8</v>
      </c>
      <c r="I48" s="393">
        <f t="shared" si="1"/>
        <v>2153.5700000000002</v>
      </c>
      <c r="K48" s="23"/>
      <c r="L48" s="23" t="s">
        <v>386</v>
      </c>
      <c r="M48" s="23" t="s">
        <v>529</v>
      </c>
      <c r="N48" s="23">
        <v>801000010</v>
      </c>
    </row>
    <row r="49" spans="1:14" x14ac:dyDescent="0.2">
      <c r="A49" s="413" t="s">
        <v>3</v>
      </c>
      <c r="B49" s="419" t="s">
        <v>323</v>
      </c>
      <c r="C49" s="418" t="s">
        <v>386</v>
      </c>
      <c r="D49" s="415">
        <v>0.75</v>
      </c>
      <c r="E49" s="416">
        <v>2060</v>
      </c>
      <c r="F49" s="416">
        <v>247.2</v>
      </c>
      <c r="G49" s="416">
        <v>412</v>
      </c>
      <c r="H49" s="417">
        <f t="shared" si="0"/>
        <v>2719.2</v>
      </c>
      <c r="I49" s="393">
        <f t="shared" si="1"/>
        <v>3206.07</v>
      </c>
      <c r="K49" s="23"/>
      <c r="L49" s="23" t="s">
        <v>386</v>
      </c>
      <c r="M49" s="23" t="s">
        <v>529</v>
      </c>
      <c r="N49" s="23">
        <v>801000010</v>
      </c>
    </row>
    <row r="50" spans="1:14" x14ac:dyDescent="0.2">
      <c r="A50" s="413" t="s">
        <v>3</v>
      </c>
      <c r="B50" s="419" t="s">
        <v>323</v>
      </c>
      <c r="C50" s="418" t="s">
        <v>386</v>
      </c>
      <c r="D50" s="415">
        <v>1</v>
      </c>
      <c r="E50" s="416">
        <v>2060</v>
      </c>
      <c r="F50" s="416">
        <v>267.8</v>
      </c>
      <c r="G50" s="416">
        <v>412</v>
      </c>
      <c r="H50" s="417">
        <f t="shared" si="0"/>
        <v>2739.8</v>
      </c>
      <c r="I50" s="393">
        <f t="shared" si="1"/>
        <v>4307.1400000000003</v>
      </c>
      <c r="K50" s="23"/>
      <c r="L50" s="23" t="s">
        <v>386</v>
      </c>
      <c r="M50" s="23" t="s">
        <v>529</v>
      </c>
      <c r="N50" s="23">
        <v>801000010</v>
      </c>
    </row>
    <row r="51" spans="1:14" x14ac:dyDescent="0.2">
      <c r="A51" s="413" t="s">
        <v>3</v>
      </c>
      <c r="B51" s="419" t="s">
        <v>429</v>
      </c>
      <c r="C51" s="418" t="s">
        <v>430</v>
      </c>
      <c r="D51" s="415">
        <v>0.5</v>
      </c>
      <c r="E51" s="416">
        <v>2060</v>
      </c>
      <c r="F51" s="416">
        <v>267.8</v>
      </c>
      <c r="G51" s="416">
        <v>412</v>
      </c>
      <c r="H51" s="417">
        <f t="shared" si="0"/>
        <v>2739.8</v>
      </c>
      <c r="I51" s="393">
        <f t="shared" si="1"/>
        <v>2153.5700000000002</v>
      </c>
      <c r="K51" s="23"/>
      <c r="L51" s="23" t="s">
        <v>430</v>
      </c>
      <c r="M51" s="23" t="s">
        <v>529</v>
      </c>
      <c r="N51" s="23">
        <v>801000010</v>
      </c>
    </row>
    <row r="52" spans="1:14" x14ac:dyDescent="0.2">
      <c r="A52" s="413" t="s">
        <v>3</v>
      </c>
      <c r="B52" s="419" t="s">
        <v>317</v>
      </c>
      <c r="C52" s="418" t="s">
        <v>425</v>
      </c>
      <c r="D52" s="415">
        <v>0.5</v>
      </c>
      <c r="E52" s="416">
        <v>2060</v>
      </c>
      <c r="F52" s="416">
        <v>267.8</v>
      </c>
      <c r="G52" s="416">
        <v>412</v>
      </c>
      <c r="H52" s="417">
        <f t="shared" si="0"/>
        <v>2739.8</v>
      </c>
      <c r="I52" s="393">
        <f t="shared" si="1"/>
        <v>2153.5700000000002</v>
      </c>
      <c r="K52" s="23"/>
      <c r="L52" s="23" t="s">
        <v>425</v>
      </c>
      <c r="M52" s="23" t="s">
        <v>529</v>
      </c>
      <c r="N52" s="23">
        <v>801000010</v>
      </c>
    </row>
    <row r="53" spans="1:14" x14ac:dyDescent="0.2">
      <c r="A53" s="413" t="s">
        <v>3</v>
      </c>
      <c r="B53" s="419" t="s">
        <v>431</v>
      </c>
      <c r="C53" s="418" t="s">
        <v>432</v>
      </c>
      <c r="D53" s="415">
        <v>0.5</v>
      </c>
      <c r="E53" s="416">
        <v>2060</v>
      </c>
      <c r="F53" s="416">
        <v>267.8</v>
      </c>
      <c r="G53" s="416">
        <v>412</v>
      </c>
      <c r="H53" s="417">
        <f t="shared" si="0"/>
        <v>2739.8</v>
      </c>
      <c r="I53" s="393">
        <f t="shared" si="1"/>
        <v>2153.5700000000002</v>
      </c>
      <c r="K53" s="23"/>
      <c r="L53" s="23" t="s">
        <v>432</v>
      </c>
      <c r="M53" s="23" t="s">
        <v>529</v>
      </c>
      <c r="N53" s="23">
        <v>801000010</v>
      </c>
    </row>
    <row r="54" spans="1:14" x14ac:dyDescent="0.2">
      <c r="A54" s="413" t="s">
        <v>3</v>
      </c>
      <c r="B54" s="419" t="s">
        <v>431</v>
      </c>
      <c r="C54" s="414" t="s">
        <v>432</v>
      </c>
      <c r="D54" s="415">
        <v>0.75</v>
      </c>
      <c r="E54" s="416">
        <v>2060</v>
      </c>
      <c r="F54" s="416">
        <v>247.2</v>
      </c>
      <c r="G54" s="416">
        <v>412</v>
      </c>
      <c r="H54" s="417">
        <f t="shared" si="0"/>
        <v>2719.2</v>
      </c>
      <c r="I54" s="393">
        <f t="shared" si="1"/>
        <v>3206.07</v>
      </c>
      <c r="K54" s="23"/>
      <c r="L54" s="23" t="s">
        <v>432</v>
      </c>
      <c r="M54" s="23" t="s">
        <v>529</v>
      </c>
      <c r="N54" s="23">
        <v>801000010</v>
      </c>
    </row>
    <row r="55" spans="1:14" x14ac:dyDescent="0.2">
      <c r="A55" s="413" t="s">
        <v>3</v>
      </c>
      <c r="B55" s="419" t="s">
        <v>537</v>
      </c>
      <c r="C55" s="419" t="s">
        <v>405</v>
      </c>
      <c r="D55" s="415">
        <v>0.5</v>
      </c>
      <c r="E55" s="416">
        <v>2060</v>
      </c>
      <c r="F55" s="416">
        <v>247.2</v>
      </c>
      <c r="G55" s="416">
        <v>412</v>
      </c>
      <c r="H55" s="417">
        <f t="shared" si="0"/>
        <v>2719.2</v>
      </c>
      <c r="I55" s="393">
        <f t="shared" si="1"/>
        <v>2137.38</v>
      </c>
      <c r="K55" s="23"/>
      <c r="L55" s="23" t="s">
        <v>405</v>
      </c>
      <c r="M55" s="23" t="s">
        <v>529</v>
      </c>
      <c r="N55" s="23">
        <v>801000010</v>
      </c>
    </row>
    <row r="56" spans="1:14" x14ac:dyDescent="0.2">
      <c r="A56" s="413" t="s">
        <v>3</v>
      </c>
      <c r="B56" s="414" t="s">
        <v>537</v>
      </c>
      <c r="C56" s="414" t="s">
        <v>405</v>
      </c>
      <c r="D56" s="415">
        <v>1</v>
      </c>
      <c r="E56" s="416">
        <v>2060</v>
      </c>
      <c r="F56" s="416">
        <v>247.2</v>
      </c>
      <c r="G56" s="416">
        <v>412</v>
      </c>
      <c r="H56" s="417">
        <f t="shared" si="0"/>
        <v>2719.2</v>
      </c>
      <c r="I56" s="393">
        <f t="shared" si="1"/>
        <v>4274.76</v>
      </c>
      <c r="K56" s="23"/>
      <c r="L56" s="23" t="s">
        <v>405</v>
      </c>
      <c r="M56" s="23" t="s">
        <v>529</v>
      </c>
      <c r="N56" s="23">
        <v>801000010</v>
      </c>
    </row>
    <row r="57" spans="1:14" x14ac:dyDescent="0.2">
      <c r="A57" s="413" t="s">
        <v>3</v>
      </c>
      <c r="B57" s="418" t="s">
        <v>537</v>
      </c>
      <c r="C57" s="418" t="s">
        <v>405</v>
      </c>
      <c r="D57" s="415">
        <v>0.5</v>
      </c>
      <c r="E57" s="416">
        <v>2060</v>
      </c>
      <c r="F57" s="416">
        <v>267.8</v>
      </c>
      <c r="G57" s="416">
        <v>412</v>
      </c>
      <c r="H57" s="417">
        <f t="shared" si="0"/>
        <v>2739.8</v>
      </c>
      <c r="I57" s="393">
        <f t="shared" si="1"/>
        <v>2153.5700000000002</v>
      </c>
      <c r="K57" s="23"/>
      <c r="L57" s="23" t="s">
        <v>405</v>
      </c>
      <c r="M57" s="23" t="s">
        <v>529</v>
      </c>
      <c r="N57" s="23">
        <v>801000010</v>
      </c>
    </row>
    <row r="58" spans="1:14" x14ac:dyDescent="0.2">
      <c r="A58" s="1" t="s">
        <v>14</v>
      </c>
      <c r="B58" s="241"/>
      <c r="C58" s="241"/>
      <c r="D58" s="18">
        <f>SUM(D11:D57)</f>
        <v>34.1</v>
      </c>
      <c r="E58" s="394" t="s">
        <v>538</v>
      </c>
      <c r="F58" s="394" t="s">
        <v>538</v>
      </c>
      <c r="G58" s="394" t="s">
        <v>538</v>
      </c>
      <c r="H58" s="395" t="s">
        <v>538</v>
      </c>
      <c r="I58" s="396" t="s">
        <v>538</v>
      </c>
      <c r="K58" s="23"/>
      <c r="L58" s="23"/>
      <c r="M58" s="23"/>
      <c r="N58" s="23"/>
    </row>
    <row r="59" spans="1:14" ht="54" customHeight="1" x14ac:dyDescent="0.2">
      <c r="A59" s="20" t="s">
        <v>278</v>
      </c>
      <c r="B59" s="242"/>
      <c r="C59" s="242"/>
      <c r="D59" s="17"/>
      <c r="E59" s="397"/>
      <c r="F59" s="397"/>
      <c r="G59" s="397"/>
      <c r="H59" s="391"/>
      <c r="I59" s="392"/>
      <c r="K59" s="23"/>
      <c r="L59" s="23"/>
      <c r="M59" s="23"/>
      <c r="N59" s="23"/>
    </row>
    <row r="60" spans="1:14" x14ac:dyDescent="0.2">
      <c r="A60" s="413" t="s">
        <v>74</v>
      </c>
      <c r="B60" s="414" t="s">
        <v>279</v>
      </c>
      <c r="C60" s="418" t="s">
        <v>539</v>
      </c>
      <c r="D60" s="415">
        <v>1</v>
      </c>
      <c r="E60" s="416">
        <v>1500</v>
      </c>
      <c r="F60" s="416">
        <v>172.5</v>
      </c>
      <c r="G60" s="416">
        <v>300</v>
      </c>
      <c r="H60" s="417">
        <f t="shared" ref="H60:H83" si="2">G60+F60+E60</f>
        <v>1972.5</v>
      </c>
      <c r="I60" s="393">
        <f>ROUND((E60+F60+G60)*0.065*D60*12*(1+0.2359),2)</f>
        <v>1901.49</v>
      </c>
      <c r="K60" s="23"/>
      <c r="L60" s="23" t="s">
        <v>539</v>
      </c>
      <c r="M60" s="23" t="s">
        <v>529</v>
      </c>
      <c r="N60" s="23">
        <v>801000010</v>
      </c>
    </row>
    <row r="61" spans="1:14" x14ac:dyDescent="0.2">
      <c r="A61" s="413" t="s">
        <v>74</v>
      </c>
      <c r="B61" s="414" t="s">
        <v>279</v>
      </c>
      <c r="C61" s="418" t="s">
        <v>539</v>
      </c>
      <c r="D61" s="415">
        <v>1</v>
      </c>
      <c r="E61" s="416">
        <v>1500</v>
      </c>
      <c r="F61" s="416">
        <v>172.5</v>
      </c>
      <c r="G61" s="416">
        <v>300</v>
      </c>
      <c r="H61" s="417">
        <f t="shared" si="2"/>
        <v>1972.5</v>
      </c>
      <c r="I61" s="393">
        <f t="shared" ref="I61:I83" si="3">ROUND((E61+F61+G61)*0.065*D61*12*(1+0.2359),2)</f>
        <v>1901.49</v>
      </c>
      <c r="K61" s="23"/>
      <c r="L61" s="23" t="s">
        <v>539</v>
      </c>
      <c r="M61" s="23" t="s">
        <v>529</v>
      </c>
      <c r="N61" s="23">
        <v>801000010</v>
      </c>
    </row>
    <row r="62" spans="1:14" x14ac:dyDescent="0.2">
      <c r="A62" s="413" t="s">
        <v>74</v>
      </c>
      <c r="B62" s="414" t="s">
        <v>279</v>
      </c>
      <c r="C62" s="418" t="s">
        <v>540</v>
      </c>
      <c r="D62" s="415">
        <v>1</v>
      </c>
      <c r="E62" s="416">
        <v>1500</v>
      </c>
      <c r="F62" s="416">
        <v>180</v>
      </c>
      <c r="G62" s="416">
        <v>300</v>
      </c>
      <c r="H62" s="417">
        <f t="shared" si="2"/>
        <v>1980</v>
      </c>
      <c r="I62" s="393">
        <f t="shared" si="3"/>
        <v>1908.72</v>
      </c>
      <c r="K62" s="23"/>
      <c r="L62" s="23" t="s">
        <v>540</v>
      </c>
      <c r="M62" s="23" t="s">
        <v>529</v>
      </c>
      <c r="N62" s="23">
        <v>801000010</v>
      </c>
    </row>
    <row r="63" spans="1:14" x14ac:dyDescent="0.2">
      <c r="A63" s="413" t="s">
        <v>74</v>
      </c>
      <c r="B63" s="414" t="s">
        <v>279</v>
      </c>
      <c r="C63" s="418" t="s">
        <v>539</v>
      </c>
      <c r="D63" s="415">
        <v>1</v>
      </c>
      <c r="E63" s="416">
        <v>1500</v>
      </c>
      <c r="F63" s="416">
        <v>195</v>
      </c>
      <c r="G63" s="416">
        <v>300</v>
      </c>
      <c r="H63" s="417">
        <f t="shared" si="2"/>
        <v>1995</v>
      </c>
      <c r="I63" s="393">
        <f t="shared" si="3"/>
        <v>1923.18</v>
      </c>
      <c r="K63" s="23"/>
      <c r="L63" s="23" t="s">
        <v>539</v>
      </c>
      <c r="M63" s="23" t="s">
        <v>529</v>
      </c>
      <c r="N63" s="23">
        <v>801000010</v>
      </c>
    </row>
    <row r="64" spans="1:14" x14ac:dyDescent="0.2">
      <c r="A64" s="413" t="s">
        <v>74</v>
      </c>
      <c r="B64" s="414" t="s">
        <v>279</v>
      </c>
      <c r="C64" s="418" t="s">
        <v>539</v>
      </c>
      <c r="D64" s="415">
        <v>1</v>
      </c>
      <c r="E64" s="416">
        <v>1500</v>
      </c>
      <c r="F64" s="416">
        <v>172.5</v>
      </c>
      <c r="G64" s="416">
        <v>300</v>
      </c>
      <c r="H64" s="417">
        <f t="shared" si="2"/>
        <v>1972.5</v>
      </c>
      <c r="I64" s="393">
        <f t="shared" si="3"/>
        <v>1901.49</v>
      </c>
      <c r="K64" s="23"/>
      <c r="L64" s="23" t="s">
        <v>539</v>
      </c>
      <c r="M64" s="23" t="s">
        <v>529</v>
      </c>
      <c r="N64" s="23">
        <v>801000010</v>
      </c>
    </row>
    <row r="65" spans="1:14" x14ac:dyDescent="0.2">
      <c r="A65" s="413" t="s">
        <v>74</v>
      </c>
      <c r="B65" s="414" t="s">
        <v>279</v>
      </c>
      <c r="C65" s="418" t="s">
        <v>539</v>
      </c>
      <c r="D65" s="415">
        <v>1</v>
      </c>
      <c r="E65" s="416">
        <v>1500</v>
      </c>
      <c r="F65" s="416">
        <v>120</v>
      </c>
      <c r="G65" s="416">
        <v>300</v>
      </c>
      <c r="H65" s="417">
        <f t="shared" si="2"/>
        <v>1920</v>
      </c>
      <c r="I65" s="393">
        <f t="shared" si="3"/>
        <v>1850.88</v>
      </c>
      <c r="K65" s="23"/>
      <c r="L65" s="23" t="s">
        <v>539</v>
      </c>
      <c r="M65" s="23" t="s">
        <v>529</v>
      </c>
      <c r="N65" s="23">
        <v>801000010</v>
      </c>
    </row>
    <row r="66" spans="1:14" x14ac:dyDescent="0.2">
      <c r="A66" s="413" t="s">
        <v>74</v>
      </c>
      <c r="B66" s="414" t="s">
        <v>279</v>
      </c>
      <c r="C66" s="418" t="s">
        <v>295</v>
      </c>
      <c r="D66" s="415">
        <v>0.5</v>
      </c>
      <c r="E66" s="416">
        <v>1500</v>
      </c>
      <c r="F66" s="416">
        <v>82.5</v>
      </c>
      <c r="G66" s="416">
        <v>300</v>
      </c>
      <c r="H66" s="417">
        <f t="shared" si="2"/>
        <v>1882.5</v>
      </c>
      <c r="I66" s="393">
        <f t="shared" si="3"/>
        <v>907.37</v>
      </c>
      <c r="K66" s="23"/>
      <c r="L66" s="23" t="s">
        <v>295</v>
      </c>
      <c r="M66" s="23" t="s">
        <v>529</v>
      </c>
      <c r="N66" s="23">
        <v>801000010</v>
      </c>
    </row>
    <row r="67" spans="1:14" x14ac:dyDescent="0.2">
      <c r="A67" s="413" t="s">
        <v>74</v>
      </c>
      <c r="B67" s="414" t="s">
        <v>279</v>
      </c>
      <c r="C67" s="418" t="s">
        <v>541</v>
      </c>
      <c r="D67" s="415">
        <v>1</v>
      </c>
      <c r="E67" s="416">
        <v>1500</v>
      </c>
      <c r="F67" s="416">
        <v>180</v>
      </c>
      <c r="G67" s="416">
        <v>300</v>
      </c>
      <c r="H67" s="417">
        <f t="shared" si="2"/>
        <v>1980</v>
      </c>
      <c r="I67" s="393">
        <f t="shared" si="3"/>
        <v>1908.72</v>
      </c>
      <c r="K67" s="23"/>
      <c r="L67" s="23" t="s">
        <v>541</v>
      </c>
      <c r="M67" s="23" t="s">
        <v>529</v>
      </c>
      <c r="N67" s="23">
        <v>801000010</v>
      </c>
    </row>
    <row r="68" spans="1:14" x14ac:dyDescent="0.2">
      <c r="A68" s="413" t="s">
        <v>74</v>
      </c>
      <c r="B68" s="414" t="s">
        <v>279</v>
      </c>
      <c r="C68" s="418" t="s">
        <v>539</v>
      </c>
      <c r="D68" s="415">
        <v>1</v>
      </c>
      <c r="E68" s="416">
        <v>1500</v>
      </c>
      <c r="F68" s="416">
        <v>172.5</v>
      </c>
      <c r="G68" s="416">
        <v>300</v>
      </c>
      <c r="H68" s="417">
        <f t="shared" si="2"/>
        <v>1972.5</v>
      </c>
      <c r="I68" s="393">
        <f t="shared" si="3"/>
        <v>1901.49</v>
      </c>
      <c r="K68" s="23"/>
      <c r="L68" s="23" t="s">
        <v>539</v>
      </c>
      <c r="M68" s="23" t="s">
        <v>529</v>
      </c>
      <c r="N68" s="23">
        <v>801000010</v>
      </c>
    </row>
    <row r="69" spans="1:14" x14ac:dyDescent="0.2">
      <c r="A69" s="413" t="s">
        <v>74</v>
      </c>
      <c r="B69" s="414" t="s">
        <v>279</v>
      </c>
      <c r="C69" s="418" t="s">
        <v>539</v>
      </c>
      <c r="D69" s="415">
        <v>1</v>
      </c>
      <c r="E69" s="416">
        <v>1500</v>
      </c>
      <c r="F69" s="416">
        <v>172.5</v>
      </c>
      <c r="G69" s="416">
        <v>300</v>
      </c>
      <c r="H69" s="417">
        <f t="shared" si="2"/>
        <v>1972.5</v>
      </c>
      <c r="I69" s="393">
        <f t="shared" si="3"/>
        <v>1901.49</v>
      </c>
      <c r="K69" s="23"/>
      <c r="L69" s="23" t="s">
        <v>539</v>
      </c>
      <c r="M69" s="23" t="s">
        <v>529</v>
      </c>
      <c r="N69" s="23">
        <v>801000010</v>
      </c>
    </row>
    <row r="70" spans="1:14" x14ac:dyDescent="0.2">
      <c r="A70" s="413" t="s">
        <v>74</v>
      </c>
      <c r="B70" s="414" t="s">
        <v>279</v>
      </c>
      <c r="C70" s="418" t="s">
        <v>539</v>
      </c>
      <c r="D70" s="415">
        <v>1</v>
      </c>
      <c r="E70" s="416">
        <v>1500</v>
      </c>
      <c r="F70" s="416">
        <v>120</v>
      </c>
      <c r="G70" s="416">
        <v>300</v>
      </c>
      <c r="H70" s="417">
        <f t="shared" si="2"/>
        <v>1920</v>
      </c>
      <c r="I70" s="393">
        <f t="shared" si="3"/>
        <v>1850.88</v>
      </c>
      <c r="K70" s="23"/>
      <c r="L70" s="23" t="s">
        <v>539</v>
      </c>
      <c r="M70" s="23" t="s">
        <v>529</v>
      </c>
      <c r="N70" s="23">
        <v>801000010</v>
      </c>
    </row>
    <row r="71" spans="1:14" x14ac:dyDescent="0.2">
      <c r="A71" s="413" t="s">
        <v>74</v>
      </c>
      <c r="B71" s="414" t="s">
        <v>279</v>
      </c>
      <c r="C71" s="418" t="s">
        <v>295</v>
      </c>
      <c r="D71" s="415">
        <v>1</v>
      </c>
      <c r="E71" s="416">
        <v>1320</v>
      </c>
      <c r="F71" s="416">
        <v>72.599999999999994</v>
      </c>
      <c r="G71" s="416">
        <v>264</v>
      </c>
      <c r="H71" s="417">
        <f t="shared" si="2"/>
        <v>1656.6</v>
      </c>
      <c r="I71" s="393">
        <f t="shared" si="3"/>
        <v>1596.97</v>
      </c>
      <c r="K71" s="23"/>
      <c r="L71" s="23" t="s">
        <v>295</v>
      </c>
      <c r="M71" s="23" t="s">
        <v>529</v>
      </c>
      <c r="N71" s="23">
        <v>801000010</v>
      </c>
    </row>
    <row r="72" spans="1:14" x14ac:dyDescent="0.2">
      <c r="A72" s="413" t="s">
        <v>74</v>
      </c>
      <c r="B72" s="414" t="s">
        <v>279</v>
      </c>
      <c r="C72" s="418" t="s">
        <v>539</v>
      </c>
      <c r="D72" s="415">
        <v>0.5</v>
      </c>
      <c r="E72" s="416">
        <v>1500</v>
      </c>
      <c r="F72" s="416">
        <v>195</v>
      </c>
      <c r="G72" s="416">
        <v>300</v>
      </c>
      <c r="H72" s="417">
        <f t="shared" si="2"/>
        <v>1995</v>
      </c>
      <c r="I72" s="393">
        <f t="shared" si="3"/>
        <v>961.59</v>
      </c>
      <c r="K72" s="23"/>
      <c r="L72" s="23" t="s">
        <v>539</v>
      </c>
      <c r="M72" s="23" t="s">
        <v>529</v>
      </c>
      <c r="N72" s="23">
        <v>801000010</v>
      </c>
    </row>
    <row r="73" spans="1:14" x14ac:dyDescent="0.2">
      <c r="A73" s="413" t="s">
        <v>74</v>
      </c>
      <c r="B73" s="414" t="s">
        <v>279</v>
      </c>
      <c r="C73" s="418" t="s">
        <v>343</v>
      </c>
      <c r="D73" s="415">
        <v>0.5</v>
      </c>
      <c r="E73" s="416">
        <v>1500</v>
      </c>
      <c r="F73" s="416">
        <v>165</v>
      </c>
      <c r="G73" s="416">
        <v>300</v>
      </c>
      <c r="H73" s="417">
        <f t="shared" si="2"/>
        <v>1965</v>
      </c>
      <c r="I73" s="393">
        <f t="shared" si="3"/>
        <v>947.13</v>
      </c>
      <c r="K73" s="23"/>
      <c r="L73" s="23" t="s">
        <v>343</v>
      </c>
      <c r="M73" s="23" t="s">
        <v>529</v>
      </c>
      <c r="N73" s="23">
        <v>801000010</v>
      </c>
    </row>
    <row r="74" spans="1:14" x14ac:dyDescent="0.2">
      <c r="A74" s="413" t="s">
        <v>74</v>
      </c>
      <c r="B74" s="414" t="s">
        <v>279</v>
      </c>
      <c r="C74" s="418" t="s">
        <v>539</v>
      </c>
      <c r="D74" s="415">
        <v>1</v>
      </c>
      <c r="E74" s="416">
        <v>1500</v>
      </c>
      <c r="F74" s="416">
        <v>172.5</v>
      </c>
      <c r="G74" s="416">
        <v>300</v>
      </c>
      <c r="H74" s="417">
        <f t="shared" si="2"/>
        <v>1972.5</v>
      </c>
      <c r="I74" s="393">
        <f t="shared" si="3"/>
        <v>1901.49</v>
      </c>
      <c r="K74" s="23"/>
      <c r="L74" s="23" t="s">
        <v>539</v>
      </c>
      <c r="M74" s="23" t="s">
        <v>529</v>
      </c>
      <c r="N74" s="23">
        <v>801000010</v>
      </c>
    </row>
    <row r="75" spans="1:14" x14ac:dyDescent="0.2">
      <c r="A75" s="413" t="s">
        <v>74</v>
      </c>
      <c r="B75" s="414" t="s">
        <v>279</v>
      </c>
      <c r="C75" s="418" t="s">
        <v>295</v>
      </c>
      <c r="D75" s="415">
        <v>0.5</v>
      </c>
      <c r="E75" s="416">
        <v>1320</v>
      </c>
      <c r="F75" s="416">
        <v>85.8</v>
      </c>
      <c r="G75" s="416">
        <v>264</v>
      </c>
      <c r="H75" s="417">
        <f t="shared" si="2"/>
        <v>1669.8</v>
      </c>
      <c r="I75" s="393">
        <f t="shared" si="3"/>
        <v>804.85</v>
      </c>
      <c r="K75" s="23"/>
      <c r="L75" s="23" t="s">
        <v>295</v>
      </c>
      <c r="M75" s="23" t="s">
        <v>529</v>
      </c>
      <c r="N75" s="23">
        <v>801000010</v>
      </c>
    </row>
    <row r="76" spans="1:14" x14ac:dyDescent="0.2">
      <c r="A76" s="413" t="s">
        <v>74</v>
      </c>
      <c r="B76" s="414" t="s">
        <v>279</v>
      </c>
      <c r="C76" s="418" t="s">
        <v>295</v>
      </c>
      <c r="D76" s="415">
        <v>1</v>
      </c>
      <c r="E76" s="416">
        <v>1320</v>
      </c>
      <c r="F76" s="416">
        <v>171.6</v>
      </c>
      <c r="G76" s="416">
        <v>264</v>
      </c>
      <c r="H76" s="417">
        <f t="shared" si="2"/>
        <v>1755.6</v>
      </c>
      <c r="I76" s="393">
        <f t="shared" si="3"/>
        <v>1692.4</v>
      </c>
      <c r="K76" s="23"/>
      <c r="L76" s="23" t="s">
        <v>295</v>
      </c>
      <c r="M76" s="23" t="s">
        <v>529</v>
      </c>
      <c r="N76" s="23">
        <v>801000010</v>
      </c>
    </row>
    <row r="77" spans="1:14" x14ac:dyDescent="0.2">
      <c r="A77" s="413" t="s">
        <v>76</v>
      </c>
      <c r="B77" s="414" t="s">
        <v>280</v>
      </c>
      <c r="C77" s="418" t="s">
        <v>294</v>
      </c>
      <c r="D77" s="415">
        <v>1</v>
      </c>
      <c r="E77" s="416">
        <v>1500</v>
      </c>
      <c r="F77" s="416">
        <v>172.5</v>
      </c>
      <c r="G77" s="416">
        <v>300</v>
      </c>
      <c r="H77" s="417">
        <f t="shared" si="2"/>
        <v>1972.5</v>
      </c>
      <c r="I77" s="393">
        <f t="shared" si="3"/>
        <v>1901.49</v>
      </c>
      <c r="K77" s="23"/>
      <c r="L77" s="23" t="s">
        <v>294</v>
      </c>
      <c r="M77" s="23" t="s">
        <v>529</v>
      </c>
      <c r="N77" s="23">
        <v>801000010</v>
      </c>
    </row>
    <row r="78" spans="1:14" x14ac:dyDescent="0.2">
      <c r="A78" s="413" t="s">
        <v>76</v>
      </c>
      <c r="B78" s="414" t="s">
        <v>280</v>
      </c>
      <c r="C78" s="418" t="s">
        <v>294</v>
      </c>
      <c r="D78" s="415">
        <v>0.25</v>
      </c>
      <c r="E78" s="416">
        <v>1500</v>
      </c>
      <c r="F78" s="416">
        <v>172.5</v>
      </c>
      <c r="G78" s="416">
        <v>300</v>
      </c>
      <c r="H78" s="417">
        <f t="shared" si="2"/>
        <v>1972.5</v>
      </c>
      <c r="I78" s="393">
        <f t="shared" si="3"/>
        <v>475.37</v>
      </c>
      <c r="K78" s="23"/>
      <c r="L78" s="23" t="s">
        <v>294</v>
      </c>
      <c r="M78" s="23" t="s">
        <v>529</v>
      </c>
      <c r="N78" s="23">
        <v>801000010</v>
      </c>
    </row>
    <row r="79" spans="1:14" x14ac:dyDescent="0.2">
      <c r="A79" s="413" t="s">
        <v>76</v>
      </c>
      <c r="B79" s="414" t="s">
        <v>280</v>
      </c>
      <c r="C79" s="418" t="s">
        <v>294</v>
      </c>
      <c r="D79" s="415">
        <v>0.25</v>
      </c>
      <c r="E79" s="416">
        <v>1500</v>
      </c>
      <c r="F79" s="416">
        <v>127.5</v>
      </c>
      <c r="G79" s="416">
        <v>300</v>
      </c>
      <c r="H79" s="417">
        <f t="shared" si="2"/>
        <v>1927.5</v>
      </c>
      <c r="I79" s="393">
        <f t="shared" si="3"/>
        <v>464.53</v>
      </c>
      <c r="K79" s="23"/>
      <c r="L79" s="23" t="s">
        <v>294</v>
      </c>
      <c r="M79" s="23" t="s">
        <v>529</v>
      </c>
      <c r="N79" s="23">
        <v>801000010</v>
      </c>
    </row>
    <row r="80" spans="1:14" x14ac:dyDescent="0.2">
      <c r="A80" s="413" t="s">
        <v>76</v>
      </c>
      <c r="B80" s="414" t="s">
        <v>280</v>
      </c>
      <c r="C80" s="418" t="s">
        <v>281</v>
      </c>
      <c r="D80" s="415">
        <v>0.25</v>
      </c>
      <c r="E80" s="416">
        <v>1500</v>
      </c>
      <c r="F80" s="416">
        <v>195</v>
      </c>
      <c r="G80" s="416">
        <v>300</v>
      </c>
      <c r="H80" s="417">
        <f t="shared" si="2"/>
        <v>1995</v>
      </c>
      <c r="I80" s="393">
        <f t="shared" si="3"/>
        <v>480.8</v>
      </c>
      <c r="K80" s="23"/>
      <c r="L80" s="23" t="s">
        <v>281</v>
      </c>
      <c r="M80" s="23" t="s">
        <v>529</v>
      </c>
      <c r="N80" s="23">
        <v>801000010</v>
      </c>
    </row>
    <row r="81" spans="1:14" x14ac:dyDescent="0.2">
      <c r="A81" s="413" t="s">
        <v>76</v>
      </c>
      <c r="B81" s="414" t="s">
        <v>280</v>
      </c>
      <c r="C81" s="418" t="s">
        <v>294</v>
      </c>
      <c r="D81" s="415">
        <v>0.75</v>
      </c>
      <c r="E81" s="416">
        <v>1500</v>
      </c>
      <c r="F81" s="416">
        <v>82.5</v>
      </c>
      <c r="G81" s="416">
        <v>300</v>
      </c>
      <c r="H81" s="417">
        <f t="shared" si="2"/>
        <v>1882.5</v>
      </c>
      <c r="I81" s="393">
        <f t="shared" si="3"/>
        <v>1361.05</v>
      </c>
      <c r="K81" s="23"/>
      <c r="L81" s="23" t="s">
        <v>294</v>
      </c>
      <c r="M81" s="23" t="s">
        <v>529</v>
      </c>
      <c r="N81" s="23">
        <v>801000010</v>
      </c>
    </row>
    <row r="82" spans="1:14" x14ac:dyDescent="0.2">
      <c r="A82" s="413" t="s">
        <v>76</v>
      </c>
      <c r="B82" s="414" t="s">
        <v>280</v>
      </c>
      <c r="C82" s="418" t="s">
        <v>294</v>
      </c>
      <c r="D82" s="415">
        <v>0.25</v>
      </c>
      <c r="E82" s="416">
        <v>1500</v>
      </c>
      <c r="F82" s="416">
        <v>195</v>
      </c>
      <c r="G82" s="416">
        <v>300</v>
      </c>
      <c r="H82" s="417">
        <f t="shared" si="2"/>
        <v>1995</v>
      </c>
      <c r="I82" s="393">
        <f t="shared" si="3"/>
        <v>480.8</v>
      </c>
      <c r="K82" s="23"/>
      <c r="L82" s="23" t="s">
        <v>294</v>
      </c>
      <c r="M82" s="23" t="s">
        <v>529</v>
      </c>
      <c r="N82" s="23">
        <v>801000010</v>
      </c>
    </row>
    <row r="83" spans="1:14" x14ac:dyDescent="0.2">
      <c r="A83" s="413" t="s">
        <v>76</v>
      </c>
      <c r="B83" s="414" t="s">
        <v>280</v>
      </c>
      <c r="C83" s="418" t="s">
        <v>294</v>
      </c>
      <c r="D83" s="415">
        <v>0.5</v>
      </c>
      <c r="E83" s="416">
        <v>1500</v>
      </c>
      <c r="F83" s="416">
        <v>165</v>
      </c>
      <c r="G83" s="416">
        <v>300</v>
      </c>
      <c r="H83" s="417">
        <f t="shared" si="2"/>
        <v>1965</v>
      </c>
      <c r="I83" s="393">
        <f t="shared" si="3"/>
        <v>947.13</v>
      </c>
      <c r="K83" s="23"/>
      <c r="L83" s="23" t="s">
        <v>294</v>
      </c>
      <c r="M83" s="23" t="s">
        <v>529</v>
      </c>
      <c r="N83" s="23">
        <v>801000010</v>
      </c>
    </row>
    <row r="84" spans="1:14" x14ac:dyDescent="0.2">
      <c r="A84" s="1" t="s">
        <v>14</v>
      </c>
      <c r="B84" s="241"/>
      <c r="C84" s="241"/>
      <c r="D84" s="18">
        <f>SUM(D60:D83)</f>
        <v>18.25</v>
      </c>
      <c r="E84" s="394" t="s">
        <v>538</v>
      </c>
      <c r="F84" s="394" t="s">
        <v>538</v>
      </c>
      <c r="G84" s="394" t="s">
        <v>538</v>
      </c>
      <c r="H84" s="395" t="s">
        <v>538</v>
      </c>
      <c r="I84" s="396" t="s">
        <v>538</v>
      </c>
      <c r="K84" s="23"/>
      <c r="L84" s="23"/>
      <c r="M84" s="23"/>
      <c r="N84" s="23"/>
    </row>
    <row r="85" spans="1:14" x14ac:dyDescent="0.2">
      <c r="A85" s="754" t="s">
        <v>79</v>
      </c>
      <c r="B85" s="755"/>
      <c r="C85" s="755"/>
      <c r="D85" s="755"/>
      <c r="E85" s="755"/>
      <c r="F85" s="755"/>
      <c r="G85" s="755"/>
      <c r="H85" s="755"/>
      <c r="I85" s="389"/>
      <c r="K85" s="23"/>
      <c r="L85" s="23"/>
      <c r="M85" s="23"/>
      <c r="N85" s="23"/>
    </row>
    <row r="86" spans="1:14" ht="63.75" x14ac:dyDescent="0.2">
      <c r="A86" s="20" t="s">
        <v>282</v>
      </c>
      <c r="B86" s="242"/>
      <c r="C86" s="242"/>
      <c r="D86" s="17"/>
      <c r="E86" s="397"/>
      <c r="F86" s="397"/>
      <c r="G86" s="397"/>
      <c r="H86" s="391"/>
      <c r="I86" s="392"/>
      <c r="K86" s="23"/>
      <c r="L86" s="23"/>
      <c r="M86" s="23"/>
      <c r="N86" s="23"/>
    </row>
    <row r="87" spans="1:14" x14ac:dyDescent="0.2">
      <c r="A87" s="413" t="s">
        <v>75</v>
      </c>
      <c r="B87" s="414" t="s">
        <v>283</v>
      </c>
      <c r="C87" s="418" t="s">
        <v>542</v>
      </c>
      <c r="D87" s="415">
        <v>1</v>
      </c>
      <c r="E87" s="416">
        <v>1580</v>
      </c>
      <c r="F87" s="416">
        <v>110.6</v>
      </c>
      <c r="G87" s="416">
        <v>316</v>
      </c>
      <c r="H87" s="417">
        <f t="shared" ref="H87:H136" si="4">G87+F87+E87</f>
        <v>2006.6</v>
      </c>
      <c r="I87" s="393">
        <f>ROUND((E87+F87+G87)*0.065*D87*12*(1+0.2359),2)</f>
        <v>1934.37</v>
      </c>
      <c r="K87" s="23"/>
      <c r="L87" s="23" t="s">
        <v>542</v>
      </c>
      <c r="M87" s="23" t="s">
        <v>529</v>
      </c>
      <c r="N87" s="23">
        <v>801000010</v>
      </c>
    </row>
    <row r="88" spans="1:14" x14ac:dyDescent="0.2">
      <c r="A88" s="413" t="s">
        <v>75</v>
      </c>
      <c r="B88" s="414" t="s">
        <v>283</v>
      </c>
      <c r="C88" s="418" t="s">
        <v>285</v>
      </c>
      <c r="D88" s="415">
        <v>1</v>
      </c>
      <c r="E88" s="416">
        <v>1580</v>
      </c>
      <c r="F88" s="416">
        <v>94.8</v>
      </c>
      <c r="G88" s="416">
        <v>316</v>
      </c>
      <c r="H88" s="417">
        <f t="shared" si="4"/>
        <v>1990.8</v>
      </c>
      <c r="I88" s="393">
        <f t="shared" ref="I88:I136" si="5">ROUND((E88+F88+G88)*0.065*D88*12*(1+0.2359),2)</f>
        <v>1919.14</v>
      </c>
      <c r="K88" s="23"/>
      <c r="L88" s="23" t="s">
        <v>285</v>
      </c>
      <c r="M88" s="23" t="s">
        <v>529</v>
      </c>
      <c r="N88" s="23">
        <v>801000010</v>
      </c>
    </row>
    <row r="89" spans="1:14" x14ac:dyDescent="0.2">
      <c r="A89" s="413" t="s">
        <v>75</v>
      </c>
      <c r="B89" s="414" t="s">
        <v>283</v>
      </c>
      <c r="C89" s="418" t="s">
        <v>543</v>
      </c>
      <c r="D89" s="415">
        <v>1</v>
      </c>
      <c r="E89" s="416">
        <v>1580</v>
      </c>
      <c r="F89" s="416">
        <v>221.2</v>
      </c>
      <c r="G89" s="416">
        <v>316</v>
      </c>
      <c r="H89" s="417">
        <f t="shared" si="4"/>
        <v>2117.1999999999998</v>
      </c>
      <c r="I89" s="393">
        <f t="shared" si="5"/>
        <v>2040.99</v>
      </c>
      <c r="K89" s="23"/>
      <c r="L89" s="23" t="s">
        <v>543</v>
      </c>
      <c r="M89" s="23" t="s">
        <v>529</v>
      </c>
      <c r="N89" s="23">
        <v>801000010</v>
      </c>
    </row>
    <row r="90" spans="1:14" x14ac:dyDescent="0.2">
      <c r="A90" s="413" t="s">
        <v>75</v>
      </c>
      <c r="B90" s="414" t="s">
        <v>283</v>
      </c>
      <c r="C90" s="418" t="s">
        <v>291</v>
      </c>
      <c r="D90" s="415">
        <v>1</v>
      </c>
      <c r="E90" s="416">
        <v>1580</v>
      </c>
      <c r="F90" s="416">
        <v>181.7</v>
      </c>
      <c r="G90" s="416">
        <v>316</v>
      </c>
      <c r="H90" s="417">
        <f t="shared" si="4"/>
        <v>2077.6999999999998</v>
      </c>
      <c r="I90" s="393">
        <f t="shared" si="5"/>
        <v>2002.91</v>
      </c>
      <c r="K90" s="23"/>
      <c r="L90" s="23" t="s">
        <v>291</v>
      </c>
      <c r="M90" s="23" t="s">
        <v>529</v>
      </c>
      <c r="N90" s="23">
        <v>801000010</v>
      </c>
    </row>
    <row r="91" spans="1:14" x14ac:dyDescent="0.2">
      <c r="A91" s="413" t="s">
        <v>75</v>
      </c>
      <c r="B91" s="414" t="s">
        <v>283</v>
      </c>
      <c r="C91" s="418" t="s">
        <v>291</v>
      </c>
      <c r="D91" s="415">
        <v>1</v>
      </c>
      <c r="E91" s="416">
        <v>1580</v>
      </c>
      <c r="F91" s="416">
        <v>205.4</v>
      </c>
      <c r="G91" s="416">
        <v>316</v>
      </c>
      <c r="H91" s="417">
        <f t="shared" si="4"/>
        <v>2101.4</v>
      </c>
      <c r="I91" s="393">
        <f t="shared" si="5"/>
        <v>2025.75</v>
      </c>
      <c r="K91" s="23"/>
      <c r="L91" s="23" t="s">
        <v>291</v>
      </c>
      <c r="M91" s="23" t="s">
        <v>529</v>
      </c>
      <c r="N91" s="23">
        <v>801000010</v>
      </c>
    </row>
    <row r="92" spans="1:14" x14ac:dyDescent="0.2">
      <c r="A92" s="413" t="s">
        <v>75</v>
      </c>
      <c r="B92" s="414" t="s">
        <v>283</v>
      </c>
      <c r="C92" s="418" t="s">
        <v>544</v>
      </c>
      <c r="D92" s="415">
        <v>1</v>
      </c>
      <c r="E92" s="416">
        <v>1580</v>
      </c>
      <c r="F92" s="416">
        <v>205.4</v>
      </c>
      <c r="G92" s="416">
        <v>316</v>
      </c>
      <c r="H92" s="417">
        <f t="shared" si="4"/>
        <v>2101.4</v>
      </c>
      <c r="I92" s="393">
        <f t="shared" si="5"/>
        <v>2025.75</v>
      </c>
      <c r="K92" s="23"/>
      <c r="L92" s="23" t="s">
        <v>544</v>
      </c>
      <c r="M92" s="23" t="s">
        <v>529</v>
      </c>
      <c r="N92" s="23">
        <v>801000010</v>
      </c>
    </row>
    <row r="93" spans="1:14" x14ac:dyDescent="0.2">
      <c r="A93" s="413" t="s">
        <v>75</v>
      </c>
      <c r="B93" s="414" t="s">
        <v>283</v>
      </c>
      <c r="C93" s="418" t="s">
        <v>291</v>
      </c>
      <c r="D93" s="415">
        <v>1</v>
      </c>
      <c r="E93" s="416">
        <v>1580</v>
      </c>
      <c r="F93" s="416">
        <v>181.7</v>
      </c>
      <c r="G93" s="416">
        <v>316</v>
      </c>
      <c r="H93" s="417">
        <f t="shared" si="4"/>
        <v>2077.6999999999998</v>
      </c>
      <c r="I93" s="393">
        <f t="shared" si="5"/>
        <v>2002.91</v>
      </c>
      <c r="K93" s="23"/>
      <c r="L93" s="23" t="s">
        <v>291</v>
      </c>
      <c r="M93" s="23" t="s">
        <v>529</v>
      </c>
      <c r="N93" s="23">
        <v>801000010</v>
      </c>
    </row>
    <row r="94" spans="1:14" x14ac:dyDescent="0.2">
      <c r="A94" s="413" t="s">
        <v>75</v>
      </c>
      <c r="B94" s="414" t="s">
        <v>283</v>
      </c>
      <c r="C94" s="418" t="s">
        <v>291</v>
      </c>
      <c r="D94" s="415">
        <v>1</v>
      </c>
      <c r="E94" s="416">
        <v>1580</v>
      </c>
      <c r="F94" s="416">
        <v>205.4</v>
      </c>
      <c r="G94" s="416">
        <v>316</v>
      </c>
      <c r="H94" s="417">
        <f t="shared" si="4"/>
        <v>2101.4</v>
      </c>
      <c r="I94" s="393">
        <f t="shared" si="5"/>
        <v>2025.75</v>
      </c>
      <c r="K94" s="23"/>
      <c r="L94" s="23" t="s">
        <v>291</v>
      </c>
      <c r="M94" s="23" t="s">
        <v>529</v>
      </c>
      <c r="N94" s="23">
        <v>801000010</v>
      </c>
    </row>
    <row r="95" spans="1:14" x14ac:dyDescent="0.2">
      <c r="A95" s="413" t="s">
        <v>75</v>
      </c>
      <c r="B95" s="414" t="s">
        <v>283</v>
      </c>
      <c r="C95" s="418" t="s">
        <v>419</v>
      </c>
      <c r="D95" s="415">
        <v>1</v>
      </c>
      <c r="E95" s="416">
        <v>1580</v>
      </c>
      <c r="F95" s="416">
        <v>158</v>
      </c>
      <c r="G95" s="416">
        <v>316</v>
      </c>
      <c r="H95" s="417">
        <f t="shared" si="4"/>
        <v>2054</v>
      </c>
      <c r="I95" s="393">
        <f t="shared" si="5"/>
        <v>1980.06</v>
      </c>
      <c r="K95" s="23"/>
      <c r="L95" s="23" t="s">
        <v>419</v>
      </c>
      <c r="M95" s="23" t="s">
        <v>529</v>
      </c>
      <c r="N95" s="23">
        <v>801000010</v>
      </c>
    </row>
    <row r="96" spans="1:14" x14ac:dyDescent="0.2">
      <c r="A96" s="413" t="s">
        <v>8</v>
      </c>
      <c r="B96" s="414" t="s">
        <v>284</v>
      </c>
      <c r="C96" s="418" t="s">
        <v>285</v>
      </c>
      <c r="D96" s="415">
        <v>1</v>
      </c>
      <c r="E96" s="416">
        <v>1580</v>
      </c>
      <c r="F96" s="416">
        <v>126.4</v>
      </c>
      <c r="G96" s="416">
        <v>316</v>
      </c>
      <c r="H96" s="417">
        <f t="shared" si="4"/>
        <v>2022.4</v>
      </c>
      <c r="I96" s="393">
        <f t="shared" si="5"/>
        <v>1949.6</v>
      </c>
      <c r="K96" s="23"/>
      <c r="L96" s="23" t="s">
        <v>285</v>
      </c>
      <c r="M96" s="23" t="s">
        <v>529</v>
      </c>
      <c r="N96" s="23">
        <v>801000010</v>
      </c>
    </row>
    <row r="97" spans="1:14" x14ac:dyDescent="0.2">
      <c r="A97" s="413" t="s">
        <v>78</v>
      </c>
      <c r="B97" s="414" t="s">
        <v>373</v>
      </c>
      <c r="C97" s="418" t="s">
        <v>291</v>
      </c>
      <c r="D97" s="415">
        <v>1</v>
      </c>
      <c r="E97" s="416">
        <v>1365</v>
      </c>
      <c r="F97" s="416">
        <v>88.73</v>
      </c>
      <c r="G97" s="416">
        <v>273</v>
      </c>
      <c r="H97" s="417">
        <f t="shared" si="4"/>
        <v>1726.73</v>
      </c>
      <c r="I97" s="393">
        <f t="shared" si="5"/>
        <v>1664.57</v>
      </c>
      <c r="K97" s="23"/>
      <c r="L97" s="23" t="s">
        <v>291</v>
      </c>
      <c r="M97" s="23" t="s">
        <v>529</v>
      </c>
      <c r="N97" s="23">
        <v>801000010</v>
      </c>
    </row>
    <row r="98" spans="1:14" x14ac:dyDescent="0.2">
      <c r="A98" s="413" t="s">
        <v>78</v>
      </c>
      <c r="B98" s="414" t="s">
        <v>373</v>
      </c>
      <c r="C98" s="418" t="s">
        <v>412</v>
      </c>
      <c r="D98" s="415">
        <v>1</v>
      </c>
      <c r="E98" s="416">
        <v>1365</v>
      </c>
      <c r="F98" s="416">
        <v>156.97999999999999</v>
      </c>
      <c r="G98" s="416">
        <v>273</v>
      </c>
      <c r="H98" s="417">
        <f t="shared" si="4"/>
        <v>1794.98</v>
      </c>
      <c r="I98" s="393">
        <f t="shared" si="5"/>
        <v>1730.36</v>
      </c>
      <c r="K98" s="23"/>
      <c r="L98" s="23" t="s">
        <v>412</v>
      </c>
      <c r="M98" s="23" t="s">
        <v>529</v>
      </c>
      <c r="N98" s="23">
        <v>801000010</v>
      </c>
    </row>
    <row r="99" spans="1:14" x14ac:dyDescent="0.2">
      <c r="A99" s="413" t="s">
        <v>78</v>
      </c>
      <c r="B99" s="414" t="s">
        <v>373</v>
      </c>
      <c r="C99" s="418" t="s">
        <v>291</v>
      </c>
      <c r="D99" s="415">
        <v>1</v>
      </c>
      <c r="E99" s="416">
        <v>1365</v>
      </c>
      <c r="F99" s="416">
        <v>156.97999999999999</v>
      </c>
      <c r="G99" s="416">
        <v>273</v>
      </c>
      <c r="H99" s="417">
        <f t="shared" si="4"/>
        <v>1794.98</v>
      </c>
      <c r="I99" s="393">
        <f t="shared" si="5"/>
        <v>1730.36</v>
      </c>
      <c r="K99" s="23"/>
      <c r="L99" s="23" t="s">
        <v>291</v>
      </c>
      <c r="M99" s="23" t="s">
        <v>529</v>
      </c>
      <c r="N99" s="23">
        <v>801000010</v>
      </c>
    </row>
    <row r="100" spans="1:14" x14ac:dyDescent="0.2">
      <c r="A100" s="413" t="s">
        <v>78</v>
      </c>
      <c r="B100" s="414" t="s">
        <v>373</v>
      </c>
      <c r="C100" s="418" t="s">
        <v>291</v>
      </c>
      <c r="D100" s="415">
        <v>1</v>
      </c>
      <c r="E100" s="416">
        <v>1365</v>
      </c>
      <c r="F100" s="416">
        <v>109.2</v>
      </c>
      <c r="G100" s="416">
        <v>273</v>
      </c>
      <c r="H100" s="417">
        <f t="shared" si="4"/>
        <v>1747.2</v>
      </c>
      <c r="I100" s="393">
        <f t="shared" si="5"/>
        <v>1684.3</v>
      </c>
      <c r="K100" s="23"/>
      <c r="L100" s="23" t="s">
        <v>291</v>
      </c>
      <c r="M100" s="23" t="s">
        <v>529</v>
      </c>
      <c r="N100" s="23">
        <v>801000010</v>
      </c>
    </row>
    <row r="101" spans="1:14" x14ac:dyDescent="0.2">
      <c r="A101" s="413" t="s">
        <v>78</v>
      </c>
      <c r="B101" s="414" t="s">
        <v>373</v>
      </c>
      <c r="C101" s="418" t="s">
        <v>291</v>
      </c>
      <c r="D101" s="415">
        <v>1</v>
      </c>
      <c r="E101" s="416">
        <v>1365</v>
      </c>
      <c r="F101" s="416">
        <v>156.97999999999999</v>
      </c>
      <c r="G101" s="416">
        <v>273</v>
      </c>
      <c r="H101" s="417">
        <f t="shared" si="4"/>
        <v>1794.98</v>
      </c>
      <c r="I101" s="393">
        <f t="shared" si="5"/>
        <v>1730.36</v>
      </c>
      <c r="K101" s="23"/>
      <c r="L101" s="23" t="s">
        <v>291</v>
      </c>
      <c r="M101" s="23" t="s">
        <v>529</v>
      </c>
      <c r="N101" s="23">
        <v>801000010</v>
      </c>
    </row>
    <row r="102" spans="1:14" x14ac:dyDescent="0.2">
      <c r="A102" s="413" t="s">
        <v>78</v>
      </c>
      <c r="B102" s="414" t="s">
        <v>373</v>
      </c>
      <c r="C102" s="418" t="s">
        <v>291</v>
      </c>
      <c r="D102" s="415">
        <v>1</v>
      </c>
      <c r="E102" s="416">
        <v>1365</v>
      </c>
      <c r="F102" s="416">
        <v>95.55</v>
      </c>
      <c r="G102" s="416">
        <v>273</v>
      </c>
      <c r="H102" s="417">
        <f t="shared" si="4"/>
        <v>1733.55</v>
      </c>
      <c r="I102" s="393">
        <f t="shared" si="5"/>
        <v>1671.15</v>
      </c>
      <c r="K102" s="23"/>
      <c r="L102" s="23" t="s">
        <v>291</v>
      </c>
      <c r="M102" s="23" t="s">
        <v>529</v>
      </c>
      <c r="N102" s="23">
        <v>801000010</v>
      </c>
    </row>
    <row r="103" spans="1:14" x14ac:dyDescent="0.2">
      <c r="A103" s="413" t="s">
        <v>78</v>
      </c>
      <c r="B103" s="414" t="s">
        <v>373</v>
      </c>
      <c r="C103" s="418" t="s">
        <v>291</v>
      </c>
      <c r="D103" s="415">
        <v>1</v>
      </c>
      <c r="E103" s="416">
        <v>1365</v>
      </c>
      <c r="F103" s="416">
        <v>156.97999999999999</v>
      </c>
      <c r="G103" s="416">
        <v>273</v>
      </c>
      <c r="H103" s="417">
        <f t="shared" si="4"/>
        <v>1794.98</v>
      </c>
      <c r="I103" s="393">
        <f t="shared" si="5"/>
        <v>1730.36</v>
      </c>
      <c r="K103" s="23"/>
      <c r="L103" s="23" t="s">
        <v>291</v>
      </c>
      <c r="M103" s="23" t="s">
        <v>529</v>
      </c>
      <c r="N103" s="23">
        <v>801000010</v>
      </c>
    </row>
    <row r="104" spans="1:14" x14ac:dyDescent="0.2">
      <c r="A104" s="413" t="s">
        <v>78</v>
      </c>
      <c r="B104" s="414" t="s">
        <v>373</v>
      </c>
      <c r="C104" s="418" t="s">
        <v>291</v>
      </c>
      <c r="D104" s="415">
        <v>1</v>
      </c>
      <c r="E104" s="416">
        <v>1365</v>
      </c>
      <c r="F104" s="416">
        <v>81.900000000000006</v>
      </c>
      <c r="G104" s="416">
        <v>273</v>
      </c>
      <c r="H104" s="417">
        <f t="shared" si="4"/>
        <v>1719.9</v>
      </c>
      <c r="I104" s="393">
        <f t="shared" si="5"/>
        <v>1657.99</v>
      </c>
      <c r="K104" s="23"/>
      <c r="L104" s="23" t="s">
        <v>291</v>
      </c>
      <c r="M104" s="23" t="s">
        <v>529</v>
      </c>
      <c r="N104" s="23">
        <v>801000010</v>
      </c>
    </row>
    <row r="105" spans="1:14" x14ac:dyDescent="0.2">
      <c r="A105" s="413" t="s">
        <v>78</v>
      </c>
      <c r="B105" s="414" t="s">
        <v>373</v>
      </c>
      <c r="C105" s="418" t="s">
        <v>291</v>
      </c>
      <c r="D105" s="415">
        <v>0.5</v>
      </c>
      <c r="E105" s="416">
        <v>1365</v>
      </c>
      <c r="F105" s="416">
        <v>122.85</v>
      </c>
      <c r="G105" s="416">
        <v>273</v>
      </c>
      <c r="H105" s="417">
        <f t="shared" si="4"/>
        <v>1760.85</v>
      </c>
      <c r="I105" s="393">
        <f t="shared" si="5"/>
        <v>848.73</v>
      </c>
      <c r="K105" s="23"/>
      <c r="L105" s="23" t="s">
        <v>291</v>
      </c>
      <c r="M105" s="23" t="s">
        <v>529</v>
      </c>
      <c r="N105" s="23">
        <v>801000010</v>
      </c>
    </row>
    <row r="106" spans="1:14" x14ac:dyDescent="0.2">
      <c r="A106" s="413" t="s">
        <v>78</v>
      </c>
      <c r="B106" s="414" t="s">
        <v>373</v>
      </c>
      <c r="C106" s="418" t="s">
        <v>291</v>
      </c>
      <c r="D106" s="415">
        <v>1</v>
      </c>
      <c r="E106" s="416">
        <v>1365</v>
      </c>
      <c r="F106" s="416">
        <v>109.2</v>
      </c>
      <c r="G106" s="416">
        <v>273</v>
      </c>
      <c r="H106" s="417">
        <f t="shared" si="4"/>
        <v>1747.2</v>
      </c>
      <c r="I106" s="393">
        <f t="shared" si="5"/>
        <v>1684.3</v>
      </c>
      <c r="K106" s="23"/>
      <c r="L106" s="23" t="s">
        <v>291</v>
      </c>
      <c r="M106" s="23" t="s">
        <v>529</v>
      </c>
      <c r="N106" s="23">
        <v>801000010</v>
      </c>
    </row>
    <row r="107" spans="1:14" x14ac:dyDescent="0.2">
      <c r="A107" s="413" t="s">
        <v>78</v>
      </c>
      <c r="B107" s="414" t="s">
        <v>373</v>
      </c>
      <c r="C107" s="418" t="s">
        <v>291</v>
      </c>
      <c r="D107" s="415">
        <v>1</v>
      </c>
      <c r="E107" s="416">
        <v>1300</v>
      </c>
      <c r="F107" s="416">
        <v>104</v>
      </c>
      <c r="G107" s="416">
        <v>260</v>
      </c>
      <c r="H107" s="417">
        <f t="shared" si="4"/>
        <v>1664</v>
      </c>
      <c r="I107" s="393">
        <f t="shared" si="5"/>
        <v>1604.1</v>
      </c>
      <c r="K107" s="23"/>
      <c r="L107" s="23" t="s">
        <v>291</v>
      </c>
      <c r="M107" s="23" t="s">
        <v>529</v>
      </c>
      <c r="N107" s="23">
        <v>801000010</v>
      </c>
    </row>
    <row r="108" spans="1:14" x14ac:dyDescent="0.2">
      <c r="A108" s="413" t="s">
        <v>78</v>
      </c>
      <c r="B108" s="414" t="s">
        <v>373</v>
      </c>
      <c r="C108" s="418" t="s">
        <v>291</v>
      </c>
      <c r="D108" s="415">
        <v>1</v>
      </c>
      <c r="E108" s="416">
        <v>1365</v>
      </c>
      <c r="F108" s="416">
        <v>81.900000000000006</v>
      </c>
      <c r="G108" s="416">
        <v>273</v>
      </c>
      <c r="H108" s="417">
        <f t="shared" si="4"/>
        <v>1719.9</v>
      </c>
      <c r="I108" s="393">
        <f t="shared" si="5"/>
        <v>1657.99</v>
      </c>
      <c r="K108" s="23"/>
      <c r="L108" s="23" t="s">
        <v>291</v>
      </c>
      <c r="M108" s="23" t="s">
        <v>529</v>
      </c>
      <c r="N108" s="23">
        <v>801000010</v>
      </c>
    </row>
    <row r="109" spans="1:14" x14ac:dyDescent="0.2">
      <c r="A109" s="413" t="s">
        <v>78</v>
      </c>
      <c r="B109" s="414" t="s">
        <v>373</v>
      </c>
      <c r="C109" s="418" t="s">
        <v>291</v>
      </c>
      <c r="D109" s="415">
        <v>1</v>
      </c>
      <c r="E109" s="416">
        <v>1365</v>
      </c>
      <c r="F109" s="416">
        <v>95.55</v>
      </c>
      <c r="G109" s="416">
        <v>273</v>
      </c>
      <c r="H109" s="417">
        <f t="shared" si="4"/>
        <v>1733.55</v>
      </c>
      <c r="I109" s="393">
        <f t="shared" si="5"/>
        <v>1671.15</v>
      </c>
      <c r="K109" s="23"/>
      <c r="L109" s="23" t="s">
        <v>291</v>
      </c>
      <c r="M109" s="23" t="s">
        <v>529</v>
      </c>
      <c r="N109" s="23">
        <v>801000010</v>
      </c>
    </row>
    <row r="110" spans="1:14" x14ac:dyDescent="0.2">
      <c r="A110" s="413" t="s">
        <v>78</v>
      </c>
      <c r="B110" s="414" t="s">
        <v>373</v>
      </c>
      <c r="C110" s="418" t="s">
        <v>291</v>
      </c>
      <c r="D110" s="415">
        <v>1</v>
      </c>
      <c r="E110" s="416">
        <v>1365</v>
      </c>
      <c r="F110" s="416">
        <v>156.97999999999999</v>
      </c>
      <c r="G110" s="416">
        <v>273</v>
      </c>
      <c r="H110" s="417">
        <f t="shared" si="4"/>
        <v>1794.98</v>
      </c>
      <c r="I110" s="393">
        <f t="shared" si="5"/>
        <v>1730.36</v>
      </c>
      <c r="K110" s="23"/>
      <c r="L110" s="23" t="s">
        <v>291</v>
      </c>
      <c r="M110" s="23" t="s">
        <v>529</v>
      </c>
      <c r="N110" s="23">
        <v>801000010</v>
      </c>
    </row>
    <row r="111" spans="1:14" x14ac:dyDescent="0.2">
      <c r="A111" s="413" t="s">
        <v>78</v>
      </c>
      <c r="B111" s="414" t="s">
        <v>373</v>
      </c>
      <c r="C111" s="418" t="s">
        <v>291</v>
      </c>
      <c r="D111" s="415">
        <v>1</v>
      </c>
      <c r="E111" s="416">
        <v>1365</v>
      </c>
      <c r="F111" s="416">
        <v>156.97999999999999</v>
      </c>
      <c r="G111" s="416">
        <v>273</v>
      </c>
      <c r="H111" s="417">
        <f t="shared" si="4"/>
        <v>1794.98</v>
      </c>
      <c r="I111" s="393">
        <f t="shared" si="5"/>
        <v>1730.36</v>
      </c>
      <c r="K111" s="23"/>
      <c r="L111" s="23" t="s">
        <v>291</v>
      </c>
      <c r="M111" s="23" t="s">
        <v>529</v>
      </c>
      <c r="N111" s="23">
        <v>801000010</v>
      </c>
    </row>
    <row r="112" spans="1:14" x14ac:dyDescent="0.2">
      <c r="A112" s="413" t="s">
        <v>78</v>
      </c>
      <c r="B112" s="414" t="s">
        <v>373</v>
      </c>
      <c r="C112" s="418" t="s">
        <v>285</v>
      </c>
      <c r="D112" s="415">
        <v>1</v>
      </c>
      <c r="E112" s="416">
        <v>1365</v>
      </c>
      <c r="F112" s="416">
        <v>156.97999999999999</v>
      </c>
      <c r="G112" s="416">
        <v>273</v>
      </c>
      <c r="H112" s="417">
        <f t="shared" si="4"/>
        <v>1794.98</v>
      </c>
      <c r="I112" s="393">
        <f t="shared" si="5"/>
        <v>1730.36</v>
      </c>
      <c r="K112" s="23"/>
      <c r="L112" s="23" t="s">
        <v>285</v>
      </c>
      <c r="M112" s="23" t="s">
        <v>529</v>
      </c>
      <c r="N112" s="23">
        <v>801000010</v>
      </c>
    </row>
    <row r="113" spans="1:14" x14ac:dyDescent="0.2">
      <c r="A113" s="413" t="s">
        <v>78</v>
      </c>
      <c r="B113" s="414" t="s">
        <v>373</v>
      </c>
      <c r="C113" s="418" t="s">
        <v>291</v>
      </c>
      <c r="D113" s="415">
        <v>1</v>
      </c>
      <c r="E113" s="416">
        <v>1365</v>
      </c>
      <c r="F113" s="416">
        <v>156.97999999999999</v>
      </c>
      <c r="G113" s="416">
        <v>273</v>
      </c>
      <c r="H113" s="417">
        <f t="shared" si="4"/>
        <v>1794.98</v>
      </c>
      <c r="I113" s="393">
        <f t="shared" si="5"/>
        <v>1730.36</v>
      </c>
      <c r="K113" s="23"/>
      <c r="L113" s="23" t="s">
        <v>291</v>
      </c>
      <c r="M113" s="23" t="s">
        <v>529</v>
      </c>
      <c r="N113" s="23">
        <v>801000010</v>
      </c>
    </row>
    <row r="114" spans="1:14" x14ac:dyDescent="0.2">
      <c r="A114" s="413" t="s">
        <v>78</v>
      </c>
      <c r="B114" s="414" t="s">
        <v>373</v>
      </c>
      <c r="C114" s="418" t="s">
        <v>542</v>
      </c>
      <c r="D114" s="415">
        <v>0.5</v>
      </c>
      <c r="E114" s="416">
        <v>1365</v>
      </c>
      <c r="F114" s="416">
        <v>95.55</v>
      </c>
      <c r="G114" s="416">
        <v>273</v>
      </c>
      <c r="H114" s="417">
        <f t="shared" si="4"/>
        <v>1733.55</v>
      </c>
      <c r="I114" s="393">
        <f t="shared" si="5"/>
        <v>835.57</v>
      </c>
      <c r="K114" s="23"/>
      <c r="L114" s="23" t="s">
        <v>542</v>
      </c>
      <c r="M114" s="23" t="s">
        <v>529</v>
      </c>
      <c r="N114" s="23">
        <v>801000010</v>
      </c>
    </row>
    <row r="115" spans="1:14" x14ac:dyDescent="0.2">
      <c r="A115" s="413" t="s">
        <v>78</v>
      </c>
      <c r="B115" s="414" t="s">
        <v>373</v>
      </c>
      <c r="C115" s="418" t="s">
        <v>291</v>
      </c>
      <c r="D115" s="415">
        <v>1</v>
      </c>
      <c r="E115" s="416">
        <v>1365</v>
      </c>
      <c r="F115" s="416">
        <v>81.900000000000006</v>
      </c>
      <c r="G115" s="416">
        <v>273</v>
      </c>
      <c r="H115" s="417">
        <f t="shared" si="4"/>
        <v>1719.9</v>
      </c>
      <c r="I115" s="393">
        <f t="shared" si="5"/>
        <v>1657.99</v>
      </c>
      <c r="K115" s="23"/>
      <c r="L115" s="23" t="s">
        <v>291</v>
      </c>
      <c r="M115" s="23" t="s">
        <v>529</v>
      </c>
      <c r="N115" s="23">
        <v>801000010</v>
      </c>
    </row>
    <row r="116" spans="1:14" x14ac:dyDescent="0.2">
      <c r="A116" s="413" t="s">
        <v>78</v>
      </c>
      <c r="B116" s="414" t="s">
        <v>373</v>
      </c>
      <c r="C116" s="418" t="s">
        <v>291</v>
      </c>
      <c r="D116" s="415">
        <v>1</v>
      </c>
      <c r="E116" s="416">
        <v>1365</v>
      </c>
      <c r="F116" s="416">
        <v>163.80000000000001</v>
      </c>
      <c r="G116" s="416">
        <v>273</v>
      </c>
      <c r="H116" s="417">
        <f t="shared" si="4"/>
        <v>1801.8</v>
      </c>
      <c r="I116" s="393">
        <f t="shared" si="5"/>
        <v>1736.94</v>
      </c>
      <c r="K116" s="23"/>
      <c r="L116" s="23" t="s">
        <v>291</v>
      </c>
      <c r="M116" s="23" t="s">
        <v>529</v>
      </c>
      <c r="N116" s="23">
        <v>801000010</v>
      </c>
    </row>
    <row r="117" spans="1:14" x14ac:dyDescent="0.2">
      <c r="A117" s="413" t="s">
        <v>78</v>
      </c>
      <c r="B117" s="414" t="s">
        <v>373</v>
      </c>
      <c r="C117" s="418" t="s">
        <v>291</v>
      </c>
      <c r="D117" s="415">
        <v>1</v>
      </c>
      <c r="E117" s="416">
        <v>1365</v>
      </c>
      <c r="F117" s="416">
        <v>156.97999999999999</v>
      </c>
      <c r="G117" s="416">
        <v>273</v>
      </c>
      <c r="H117" s="417">
        <f t="shared" si="4"/>
        <v>1794.98</v>
      </c>
      <c r="I117" s="393">
        <f t="shared" si="5"/>
        <v>1730.36</v>
      </c>
      <c r="K117" s="23"/>
      <c r="L117" s="23" t="s">
        <v>291</v>
      </c>
      <c r="M117" s="23" t="s">
        <v>529</v>
      </c>
      <c r="N117" s="23">
        <v>801000010</v>
      </c>
    </row>
    <row r="118" spans="1:14" x14ac:dyDescent="0.2">
      <c r="A118" s="413" t="s">
        <v>78</v>
      </c>
      <c r="B118" s="414" t="s">
        <v>373</v>
      </c>
      <c r="C118" s="418" t="s">
        <v>291</v>
      </c>
      <c r="D118" s="415">
        <v>1</v>
      </c>
      <c r="E118" s="416">
        <v>1365</v>
      </c>
      <c r="F118" s="416">
        <v>150.15</v>
      </c>
      <c r="G118" s="416">
        <v>273</v>
      </c>
      <c r="H118" s="417">
        <f t="shared" si="4"/>
        <v>1788.15</v>
      </c>
      <c r="I118" s="393">
        <f t="shared" si="5"/>
        <v>1723.78</v>
      </c>
      <c r="K118" s="23"/>
      <c r="L118" s="23" t="s">
        <v>291</v>
      </c>
      <c r="M118" s="23" t="s">
        <v>529</v>
      </c>
      <c r="N118" s="23">
        <v>801000010</v>
      </c>
    </row>
    <row r="119" spans="1:14" x14ac:dyDescent="0.2">
      <c r="A119" s="413" t="s">
        <v>78</v>
      </c>
      <c r="B119" s="414" t="s">
        <v>373</v>
      </c>
      <c r="C119" s="418" t="s">
        <v>291</v>
      </c>
      <c r="D119" s="415">
        <v>1</v>
      </c>
      <c r="E119" s="416">
        <v>1365</v>
      </c>
      <c r="F119" s="416">
        <v>156.97999999999999</v>
      </c>
      <c r="G119" s="416">
        <v>273</v>
      </c>
      <c r="H119" s="417">
        <f t="shared" si="4"/>
        <v>1794.98</v>
      </c>
      <c r="I119" s="393">
        <f t="shared" si="5"/>
        <v>1730.36</v>
      </c>
      <c r="K119" s="23"/>
      <c r="L119" s="23" t="s">
        <v>291</v>
      </c>
      <c r="M119" s="23" t="s">
        <v>529</v>
      </c>
      <c r="N119" s="23">
        <v>801000010</v>
      </c>
    </row>
    <row r="120" spans="1:14" x14ac:dyDescent="0.2">
      <c r="A120" s="413" t="s">
        <v>78</v>
      </c>
      <c r="B120" s="414" t="s">
        <v>373</v>
      </c>
      <c r="C120" s="418" t="s">
        <v>291</v>
      </c>
      <c r="D120" s="415">
        <v>1</v>
      </c>
      <c r="E120" s="416">
        <v>1365</v>
      </c>
      <c r="F120" s="416">
        <v>150.15</v>
      </c>
      <c r="G120" s="416">
        <v>273</v>
      </c>
      <c r="H120" s="417">
        <f t="shared" si="4"/>
        <v>1788.15</v>
      </c>
      <c r="I120" s="393">
        <f t="shared" si="5"/>
        <v>1723.78</v>
      </c>
      <c r="K120" s="23"/>
      <c r="L120" s="23" t="s">
        <v>291</v>
      </c>
      <c r="M120" s="23" t="s">
        <v>529</v>
      </c>
      <c r="N120" s="23">
        <v>801000010</v>
      </c>
    </row>
    <row r="121" spans="1:14" x14ac:dyDescent="0.2">
      <c r="A121" s="413" t="s">
        <v>78</v>
      </c>
      <c r="B121" s="414" t="s">
        <v>373</v>
      </c>
      <c r="C121" s="418" t="s">
        <v>291</v>
      </c>
      <c r="D121" s="415">
        <v>1</v>
      </c>
      <c r="E121" s="416">
        <v>1365</v>
      </c>
      <c r="F121" s="416">
        <v>81.900000000000006</v>
      </c>
      <c r="G121" s="416">
        <v>273</v>
      </c>
      <c r="H121" s="417">
        <f t="shared" si="4"/>
        <v>1719.9</v>
      </c>
      <c r="I121" s="393">
        <f t="shared" si="5"/>
        <v>1657.99</v>
      </c>
      <c r="K121" s="23"/>
      <c r="L121" s="23" t="s">
        <v>291</v>
      </c>
      <c r="M121" s="23" t="s">
        <v>529</v>
      </c>
      <c r="N121" s="23">
        <v>801000010</v>
      </c>
    </row>
    <row r="122" spans="1:14" x14ac:dyDescent="0.2">
      <c r="A122" s="413" t="s">
        <v>78</v>
      </c>
      <c r="B122" s="414" t="s">
        <v>373</v>
      </c>
      <c r="C122" s="418" t="s">
        <v>291</v>
      </c>
      <c r="D122" s="415">
        <v>1</v>
      </c>
      <c r="E122" s="416">
        <v>1365</v>
      </c>
      <c r="F122" s="416">
        <v>81.900000000000006</v>
      </c>
      <c r="G122" s="416">
        <v>273</v>
      </c>
      <c r="H122" s="417">
        <f t="shared" si="4"/>
        <v>1719.9</v>
      </c>
      <c r="I122" s="393">
        <f t="shared" si="5"/>
        <v>1657.99</v>
      </c>
      <c r="K122" s="23"/>
      <c r="L122" s="23" t="s">
        <v>291</v>
      </c>
      <c r="M122" s="23" t="s">
        <v>529</v>
      </c>
      <c r="N122" s="23">
        <v>801000010</v>
      </c>
    </row>
    <row r="123" spans="1:14" x14ac:dyDescent="0.2">
      <c r="A123" s="413" t="s">
        <v>78</v>
      </c>
      <c r="B123" s="414" t="s">
        <v>373</v>
      </c>
      <c r="C123" s="418" t="s">
        <v>542</v>
      </c>
      <c r="D123" s="415">
        <v>0.5</v>
      </c>
      <c r="E123" s="416">
        <v>1365</v>
      </c>
      <c r="F123" s="416">
        <v>163.80000000000001</v>
      </c>
      <c r="G123" s="416">
        <v>273</v>
      </c>
      <c r="H123" s="417">
        <f t="shared" si="4"/>
        <v>1801.8</v>
      </c>
      <c r="I123" s="393">
        <f t="shared" si="5"/>
        <v>868.47</v>
      </c>
      <c r="K123" s="23"/>
      <c r="L123" s="23" t="s">
        <v>542</v>
      </c>
      <c r="M123" s="23" t="s">
        <v>529</v>
      </c>
      <c r="N123" s="23">
        <v>801000010</v>
      </c>
    </row>
    <row r="124" spans="1:14" x14ac:dyDescent="0.2">
      <c r="A124" s="413" t="s">
        <v>78</v>
      </c>
      <c r="B124" s="414" t="s">
        <v>373</v>
      </c>
      <c r="C124" s="418" t="s">
        <v>291</v>
      </c>
      <c r="D124" s="415">
        <v>1</v>
      </c>
      <c r="E124" s="416">
        <v>1365</v>
      </c>
      <c r="F124" s="416">
        <v>163.80000000000001</v>
      </c>
      <c r="G124" s="416">
        <v>273</v>
      </c>
      <c r="H124" s="417">
        <f t="shared" si="4"/>
        <v>1801.8</v>
      </c>
      <c r="I124" s="393">
        <f t="shared" si="5"/>
        <v>1736.94</v>
      </c>
      <c r="K124" s="23"/>
      <c r="L124" s="23" t="s">
        <v>291</v>
      </c>
      <c r="M124" s="23" t="s">
        <v>529</v>
      </c>
      <c r="N124" s="23">
        <v>801000010</v>
      </c>
    </row>
    <row r="125" spans="1:14" x14ac:dyDescent="0.2">
      <c r="A125" s="413" t="s">
        <v>78</v>
      </c>
      <c r="B125" s="414" t="s">
        <v>347</v>
      </c>
      <c r="C125" s="418" t="s">
        <v>348</v>
      </c>
      <c r="D125" s="415">
        <v>1</v>
      </c>
      <c r="E125" s="416">
        <v>1365</v>
      </c>
      <c r="F125" s="416">
        <v>163.80000000000001</v>
      </c>
      <c r="G125" s="416">
        <v>273</v>
      </c>
      <c r="H125" s="417">
        <f t="shared" si="4"/>
        <v>1801.8</v>
      </c>
      <c r="I125" s="393">
        <f t="shared" si="5"/>
        <v>1736.94</v>
      </c>
      <c r="K125" s="23"/>
      <c r="L125" s="23" t="s">
        <v>348</v>
      </c>
      <c r="M125" s="23" t="s">
        <v>529</v>
      </c>
      <c r="N125" s="23">
        <v>801000010</v>
      </c>
    </row>
    <row r="126" spans="1:14" x14ac:dyDescent="0.2">
      <c r="A126" s="413" t="s">
        <v>78</v>
      </c>
      <c r="B126" s="414" t="s">
        <v>347</v>
      </c>
      <c r="C126" s="418" t="s">
        <v>348</v>
      </c>
      <c r="D126" s="415">
        <v>1</v>
      </c>
      <c r="E126" s="416">
        <v>1365</v>
      </c>
      <c r="F126" s="416">
        <v>177.45</v>
      </c>
      <c r="G126" s="416">
        <v>273</v>
      </c>
      <c r="H126" s="417">
        <f t="shared" si="4"/>
        <v>1815.45</v>
      </c>
      <c r="I126" s="393">
        <f t="shared" si="5"/>
        <v>1750.1</v>
      </c>
      <c r="K126" s="23"/>
      <c r="L126" s="23" t="s">
        <v>348</v>
      </c>
      <c r="M126" s="23" t="s">
        <v>529</v>
      </c>
      <c r="N126" s="23">
        <v>801000010</v>
      </c>
    </row>
    <row r="127" spans="1:14" x14ac:dyDescent="0.2">
      <c r="A127" s="413" t="s">
        <v>78</v>
      </c>
      <c r="B127" s="414" t="s">
        <v>347</v>
      </c>
      <c r="C127" s="418" t="s">
        <v>291</v>
      </c>
      <c r="D127" s="415">
        <v>1</v>
      </c>
      <c r="E127" s="416">
        <v>1365</v>
      </c>
      <c r="F127" s="416">
        <v>156.97999999999999</v>
      </c>
      <c r="G127" s="416">
        <v>273</v>
      </c>
      <c r="H127" s="417">
        <f t="shared" si="4"/>
        <v>1794.98</v>
      </c>
      <c r="I127" s="393">
        <f t="shared" si="5"/>
        <v>1730.36</v>
      </c>
      <c r="K127" s="23"/>
      <c r="L127" s="23" t="s">
        <v>291</v>
      </c>
      <c r="M127" s="23" t="s">
        <v>529</v>
      </c>
      <c r="N127" s="23">
        <v>801000010</v>
      </c>
    </row>
    <row r="128" spans="1:14" x14ac:dyDescent="0.2">
      <c r="A128" s="413" t="s">
        <v>78</v>
      </c>
      <c r="B128" s="414" t="s">
        <v>347</v>
      </c>
      <c r="C128" s="418" t="s">
        <v>348</v>
      </c>
      <c r="D128" s="415">
        <v>1</v>
      </c>
      <c r="E128" s="416">
        <v>1365</v>
      </c>
      <c r="F128" s="416">
        <v>122.85</v>
      </c>
      <c r="G128" s="416">
        <v>273</v>
      </c>
      <c r="H128" s="417">
        <f t="shared" si="4"/>
        <v>1760.85</v>
      </c>
      <c r="I128" s="393">
        <f t="shared" si="5"/>
        <v>1697.46</v>
      </c>
      <c r="K128" s="23"/>
      <c r="L128" s="23" t="s">
        <v>348</v>
      </c>
      <c r="M128" s="23" t="s">
        <v>529</v>
      </c>
      <c r="N128" s="23">
        <v>801000010</v>
      </c>
    </row>
    <row r="129" spans="1:14" x14ac:dyDescent="0.2">
      <c r="A129" s="413" t="s">
        <v>78</v>
      </c>
      <c r="B129" s="414" t="s">
        <v>345</v>
      </c>
      <c r="C129" s="418" t="s">
        <v>542</v>
      </c>
      <c r="D129" s="415">
        <v>1</v>
      </c>
      <c r="E129" s="416">
        <v>1365</v>
      </c>
      <c r="F129" s="416">
        <v>156.97999999999999</v>
      </c>
      <c r="G129" s="416">
        <v>273</v>
      </c>
      <c r="H129" s="417">
        <f t="shared" si="4"/>
        <v>1794.98</v>
      </c>
      <c r="I129" s="393">
        <f t="shared" si="5"/>
        <v>1730.36</v>
      </c>
      <c r="K129" s="23"/>
      <c r="L129" s="23" t="s">
        <v>542</v>
      </c>
      <c r="M129" s="23" t="s">
        <v>529</v>
      </c>
      <c r="N129" s="23">
        <v>801000010</v>
      </c>
    </row>
    <row r="130" spans="1:14" x14ac:dyDescent="0.2">
      <c r="A130" s="413" t="s">
        <v>78</v>
      </c>
      <c r="B130" s="414" t="s">
        <v>345</v>
      </c>
      <c r="C130" s="418" t="s">
        <v>542</v>
      </c>
      <c r="D130" s="415">
        <v>1</v>
      </c>
      <c r="E130" s="416">
        <v>1365</v>
      </c>
      <c r="F130" s="416">
        <v>95.55</v>
      </c>
      <c r="G130" s="416">
        <v>273</v>
      </c>
      <c r="H130" s="417">
        <f t="shared" si="4"/>
        <v>1733.55</v>
      </c>
      <c r="I130" s="393">
        <f t="shared" si="5"/>
        <v>1671.15</v>
      </c>
      <c r="K130" s="23"/>
      <c r="L130" s="23" t="s">
        <v>542</v>
      </c>
      <c r="M130" s="23" t="s">
        <v>529</v>
      </c>
      <c r="N130" s="23">
        <v>801000010</v>
      </c>
    </row>
    <row r="131" spans="1:14" x14ac:dyDescent="0.2">
      <c r="A131" s="413" t="s">
        <v>78</v>
      </c>
      <c r="B131" s="414" t="s">
        <v>345</v>
      </c>
      <c r="C131" s="418" t="s">
        <v>542</v>
      </c>
      <c r="D131" s="415">
        <v>1</v>
      </c>
      <c r="E131" s="416">
        <v>1365</v>
      </c>
      <c r="F131" s="416">
        <v>81.900000000000006</v>
      </c>
      <c r="G131" s="416">
        <v>273</v>
      </c>
      <c r="H131" s="417">
        <f t="shared" si="4"/>
        <v>1719.9</v>
      </c>
      <c r="I131" s="393">
        <f t="shared" si="5"/>
        <v>1657.99</v>
      </c>
      <c r="K131" s="23"/>
      <c r="L131" s="23" t="s">
        <v>542</v>
      </c>
      <c r="M131" s="23" t="s">
        <v>529</v>
      </c>
      <c r="N131" s="23">
        <v>801000010</v>
      </c>
    </row>
    <row r="132" spans="1:14" x14ac:dyDescent="0.2">
      <c r="A132" s="413" t="s">
        <v>78</v>
      </c>
      <c r="B132" s="414" t="s">
        <v>349</v>
      </c>
      <c r="C132" s="418" t="s">
        <v>545</v>
      </c>
      <c r="D132" s="415">
        <v>1</v>
      </c>
      <c r="E132" s="416">
        <v>1365</v>
      </c>
      <c r="F132" s="416">
        <v>150.15</v>
      </c>
      <c r="G132" s="416">
        <v>273</v>
      </c>
      <c r="H132" s="417">
        <f t="shared" si="4"/>
        <v>1788.15</v>
      </c>
      <c r="I132" s="393">
        <f t="shared" si="5"/>
        <v>1723.78</v>
      </c>
      <c r="K132" s="23"/>
      <c r="L132" s="23" t="s">
        <v>545</v>
      </c>
      <c r="M132" s="23" t="s">
        <v>529</v>
      </c>
      <c r="N132" s="23">
        <v>801000010</v>
      </c>
    </row>
    <row r="133" spans="1:14" x14ac:dyDescent="0.2">
      <c r="A133" s="413" t="s">
        <v>78</v>
      </c>
      <c r="B133" s="414" t="s">
        <v>546</v>
      </c>
      <c r="C133" s="418" t="s">
        <v>419</v>
      </c>
      <c r="D133" s="415">
        <v>1</v>
      </c>
      <c r="E133" s="416">
        <v>1365</v>
      </c>
      <c r="F133" s="416">
        <v>150.15</v>
      </c>
      <c r="G133" s="416">
        <v>273</v>
      </c>
      <c r="H133" s="417">
        <f t="shared" si="4"/>
        <v>1788.15</v>
      </c>
      <c r="I133" s="393">
        <f t="shared" si="5"/>
        <v>1723.78</v>
      </c>
      <c r="K133" s="23"/>
      <c r="L133" s="23" t="s">
        <v>419</v>
      </c>
      <c r="M133" s="23" t="s">
        <v>529</v>
      </c>
      <c r="N133" s="23">
        <v>801000010</v>
      </c>
    </row>
    <row r="134" spans="1:14" x14ac:dyDescent="0.2">
      <c r="A134" s="413" t="s">
        <v>78</v>
      </c>
      <c r="B134" s="414" t="s">
        <v>546</v>
      </c>
      <c r="C134" s="418" t="s">
        <v>419</v>
      </c>
      <c r="D134" s="415">
        <v>1</v>
      </c>
      <c r="E134" s="416">
        <v>1365</v>
      </c>
      <c r="F134" s="416">
        <v>150.15</v>
      </c>
      <c r="G134" s="416">
        <v>273</v>
      </c>
      <c r="H134" s="417">
        <f t="shared" si="4"/>
        <v>1788.15</v>
      </c>
      <c r="I134" s="393">
        <f t="shared" si="5"/>
        <v>1723.78</v>
      </c>
      <c r="K134" s="23"/>
      <c r="L134" s="23" t="s">
        <v>419</v>
      </c>
      <c r="M134" s="23" t="s">
        <v>529</v>
      </c>
      <c r="N134" s="23">
        <v>801000010</v>
      </c>
    </row>
    <row r="135" spans="1:14" x14ac:dyDescent="0.2">
      <c r="A135" s="413" t="s">
        <v>78</v>
      </c>
      <c r="B135" s="414" t="s">
        <v>546</v>
      </c>
      <c r="C135" s="418" t="s">
        <v>419</v>
      </c>
      <c r="D135" s="415">
        <v>1</v>
      </c>
      <c r="E135" s="416">
        <v>1365</v>
      </c>
      <c r="F135" s="416">
        <v>81.900000000000006</v>
      </c>
      <c r="G135" s="416">
        <v>273</v>
      </c>
      <c r="H135" s="417">
        <f t="shared" si="4"/>
        <v>1719.9</v>
      </c>
      <c r="I135" s="393">
        <f t="shared" si="5"/>
        <v>1657.99</v>
      </c>
      <c r="K135" s="23"/>
      <c r="L135" s="23" t="s">
        <v>419</v>
      </c>
      <c r="M135" s="23" t="s">
        <v>529</v>
      </c>
      <c r="N135" s="23">
        <v>801000010</v>
      </c>
    </row>
    <row r="136" spans="1:14" x14ac:dyDescent="0.2">
      <c r="A136" s="413" t="s">
        <v>78</v>
      </c>
      <c r="B136" s="414" t="s">
        <v>546</v>
      </c>
      <c r="C136" s="418" t="s">
        <v>547</v>
      </c>
      <c r="D136" s="415">
        <v>1</v>
      </c>
      <c r="E136" s="416">
        <v>1365</v>
      </c>
      <c r="F136" s="416">
        <v>156.97999999999999</v>
      </c>
      <c r="G136" s="416">
        <v>273</v>
      </c>
      <c r="H136" s="417">
        <f t="shared" si="4"/>
        <v>1794.98</v>
      </c>
      <c r="I136" s="393">
        <f t="shared" si="5"/>
        <v>1730.36</v>
      </c>
      <c r="K136" s="23"/>
      <c r="L136" s="23" t="s">
        <v>547</v>
      </c>
      <c r="M136" s="23" t="s">
        <v>529</v>
      </c>
      <c r="N136" s="23">
        <v>801000010</v>
      </c>
    </row>
    <row r="137" spans="1:14" x14ac:dyDescent="0.2">
      <c r="A137" s="1" t="s">
        <v>14</v>
      </c>
      <c r="B137" s="241"/>
      <c r="C137" s="241"/>
      <c r="D137" s="18">
        <f>SUM(D87:D136)</f>
        <v>48.5</v>
      </c>
      <c r="E137" s="394" t="s">
        <v>538</v>
      </c>
      <c r="F137" s="394" t="s">
        <v>538</v>
      </c>
      <c r="G137" s="394" t="s">
        <v>538</v>
      </c>
      <c r="H137" s="395" t="s">
        <v>538</v>
      </c>
      <c r="I137" s="396" t="s">
        <v>538</v>
      </c>
      <c r="K137" s="23"/>
      <c r="L137" s="23"/>
      <c r="M137" s="23"/>
      <c r="N137" s="23"/>
    </row>
    <row r="138" spans="1:14" x14ac:dyDescent="0.2">
      <c r="A138" s="20" t="s">
        <v>286</v>
      </c>
      <c r="B138" s="242"/>
      <c r="C138" s="242"/>
      <c r="D138" s="17"/>
      <c r="E138" s="397"/>
      <c r="F138" s="397"/>
      <c r="G138" s="397"/>
      <c r="H138" s="391"/>
      <c r="I138" s="392"/>
      <c r="K138" s="23"/>
      <c r="L138" s="23"/>
      <c r="M138" s="23"/>
      <c r="N138" s="23"/>
    </row>
    <row r="139" spans="1:14" x14ac:dyDescent="0.2">
      <c r="A139" s="413" t="s">
        <v>11</v>
      </c>
      <c r="B139" s="419" t="s">
        <v>287</v>
      </c>
      <c r="C139" s="419" t="s">
        <v>288</v>
      </c>
      <c r="D139" s="415">
        <v>1</v>
      </c>
      <c r="E139" s="416">
        <v>955</v>
      </c>
      <c r="F139" s="416">
        <v>57.3</v>
      </c>
      <c r="G139" s="416">
        <v>191</v>
      </c>
      <c r="H139" s="417">
        <f t="shared" ref="H139:H142" si="6">G139+F139+E139</f>
        <v>1203.3</v>
      </c>
      <c r="I139" s="393">
        <f>ROUND((E139+F139+G139)*0.069*D139*12*(1+0.2359),2)</f>
        <v>1231.3699999999999</v>
      </c>
      <c r="K139" s="23"/>
      <c r="L139" s="23" t="s">
        <v>288</v>
      </c>
      <c r="M139" s="23" t="s">
        <v>529</v>
      </c>
      <c r="N139" s="23">
        <v>801000010</v>
      </c>
    </row>
    <row r="140" spans="1:14" x14ac:dyDescent="0.2">
      <c r="A140" s="413" t="s">
        <v>11</v>
      </c>
      <c r="B140" s="419" t="s">
        <v>287</v>
      </c>
      <c r="C140" s="419" t="s">
        <v>288</v>
      </c>
      <c r="D140" s="415">
        <v>1</v>
      </c>
      <c r="E140" s="416">
        <v>955</v>
      </c>
      <c r="F140" s="416">
        <v>52.53</v>
      </c>
      <c r="G140" s="416">
        <v>191</v>
      </c>
      <c r="H140" s="417">
        <f t="shared" si="6"/>
        <v>1198.53</v>
      </c>
      <c r="I140" s="393">
        <f t="shared" ref="I140:I142" si="7">ROUND((E140+F140+G140)*0.069*D140*12*(1+0.2359),2)</f>
        <v>1226.49</v>
      </c>
      <c r="K140" s="23"/>
      <c r="L140" s="23" t="s">
        <v>288</v>
      </c>
      <c r="M140" s="23" t="s">
        <v>529</v>
      </c>
      <c r="N140" s="23">
        <v>801000010</v>
      </c>
    </row>
    <row r="141" spans="1:14" x14ac:dyDescent="0.2">
      <c r="A141" s="413" t="s">
        <v>11</v>
      </c>
      <c r="B141" s="419" t="s">
        <v>287</v>
      </c>
      <c r="C141" s="419" t="s">
        <v>288</v>
      </c>
      <c r="D141" s="415">
        <v>1</v>
      </c>
      <c r="E141" s="416">
        <v>955</v>
      </c>
      <c r="F141" s="416">
        <v>47.75</v>
      </c>
      <c r="G141" s="416">
        <v>191</v>
      </c>
      <c r="H141" s="417">
        <f t="shared" si="6"/>
        <v>1193.75</v>
      </c>
      <c r="I141" s="393">
        <f t="shared" si="7"/>
        <v>1221.5899999999999</v>
      </c>
      <c r="K141" s="23"/>
      <c r="L141" s="23" t="s">
        <v>288</v>
      </c>
      <c r="M141" s="23" t="s">
        <v>529</v>
      </c>
      <c r="N141" s="23">
        <v>801000010</v>
      </c>
    </row>
    <row r="142" spans="1:14" x14ac:dyDescent="0.2">
      <c r="A142" s="413" t="s">
        <v>11</v>
      </c>
      <c r="B142" s="419" t="s">
        <v>287</v>
      </c>
      <c r="C142" s="419" t="s">
        <v>288</v>
      </c>
      <c r="D142" s="415">
        <v>1</v>
      </c>
      <c r="E142" s="416">
        <v>955</v>
      </c>
      <c r="F142" s="416">
        <v>57.3</v>
      </c>
      <c r="G142" s="416">
        <v>191</v>
      </c>
      <c r="H142" s="417">
        <f t="shared" si="6"/>
        <v>1203.3</v>
      </c>
      <c r="I142" s="393">
        <f t="shared" si="7"/>
        <v>1231.3699999999999</v>
      </c>
      <c r="K142" s="23"/>
      <c r="L142" s="23" t="s">
        <v>288</v>
      </c>
      <c r="M142" s="23" t="s">
        <v>529</v>
      </c>
      <c r="N142" s="23">
        <v>801000010</v>
      </c>
    </row>
    <row r="143" spans="1:14" x14ac:dyDescent="0.2">
      <c r="A143" s="1" t="s">
        <v>14</v>
      </c>
      <c r="B143" s="241"/>
      <c r="C143" s="241"/>
      <c r="D143" s="18">
        <f>SUM(D139:D142)</f>
        <v>4</v>
      </c>
      <c r="E143" s="394" t="s">
        <v>538</v>
      </c>
      <c r="F143" s="394" t="s">
        <v>538</v>
      </c>
      <c r="G143" s="394" t="s">
        <v>538</v>
      </c>
      <c r="H143" s="395" t="s">
        <v>538</v>
      </c>
      <c r="I143" s="396" t="s">
        <v>538</v>
      </c>
      <c r="K143" s="23"/>
      <c r="L143" s="23"/>
      <c r="M143" s="23"/>
      <c r="N143" s="23"/>
    </row>
    <row r="144" spans="1:14" ht="13.5" thickBot="1" x14ac:dyDescent="0.25">
      <c r="A144" s="14" t="s">
        <v>16</v>
      </c>
      <c r="B144" s="243"/>
      <c r="C144" s="243"/>
      <c r="D144" s="398">
        <f>D143+D137+D84+D58</f>
        <v>104.85</v>
      </c>
      <c r="E144" s="15"/>
      <c r="F144" s="15"/>
      <c r="G144" s="15"/>
      <c r="H144" s="399"/>
      <c r="I144" s="400">
        <f>SUM(I11:I57,I60:I83,I87:I136,I139:I142)</f>
        <v>275699.59999999986</v>
      </c>
      <c r="K144" s="23"/>
      <c r="L144" s="23"/>
      <c r="M144" s="23"/>
      <c r="N144" s="23"/>
    </row>
    <row r="145" spans="1:14" ht="13.5" thickBot="1" x14ac:dyDescent="0.25">
      <c r="K145" s="23"/>
      <c r="L145" s="23"/>
      <c r="M145" s="23"/>
      <c r="N145" s="23"/>
    </row>
    <row r="146" spans="1:14" ht="15.75" customHeight="1" x14ac:dyDescent="0.2">
      <c r="A146" s="769" t="s">
        <v>289</v>
      </c>
      <c r="B146" s="770"/>
      <c r="C146" s="770"/>
      <c r="D146" s="770"/>
      <c r="E146" s="770"/>
      <c r="F146" s="770"/>
      <c r="G146" s="770"/>
      <c r="H146" s="770"/>
      <c r="I146" s="771"/>
      <c r="K146" s="23"/>
      <c r="L146" s="23"/>
      <c r="M146" s="23"/>
      <c r="N146" s="23"/>
    </row>
    <row r="147" spans="1:14" ht="30.75" customHeight="1" x14ac:dyDescent="0.2">
      <c r="A147" s="772" t="s">
        <v>548</v>
      </c>
      <c r="B147" s="773"/>
      <c r="C147" s="773"/>
      <c r="D147" s="773"/>
      <c r="E147" s="773"/>
      <c r="F147" s="773"/>
      <c r="G147" s="773"/>
      <c r="H147" s="773"/>
      <c r="I147" s="774"/>
      <c r="K147" s="23"/>
      <c r="L147" s="23"/>
      <c r="M147" s="23"/>
      <c r="N147" s="23"/>
    </row>
    <row r="148" spans="1:14" ht="12.75" customHeight="1" x14ac:dyDescent="0.2">
      <c r="A148" s="401" t="s">
        <v>23</v>
      </c>
      <c r="B148" s="402"/>
      <c r="C148" s="402"/>
      <c r="D148" s="402"/>
      <c r="E148" s="402"/>
      <c r="F148" s="402"/>
      <c r="G148" s="402"/>
      <c r="H148" s="402"/>
      <c r="I148" s="403"/>
      <c r="K148" s="23"/>
      <c r="L148" s="23"/>
      <c r="M148" s="23"/>
      <c r="N148" s="23"/>
    </row>
    <row r="149" spans="1:14" x14ac:dyDescent="0.2">
      <c r="A149" s="430" t="s">
        <v>24</v>
      </c>
      <c r="B149" s="430"/>
      <c r="C149" s="430"/>
      <c r="D149" s="431">
        <f>SUM(D150:D190)</f>
        <v>26.5</v>
      </c>
      <c r="E149" s="431">
        <f t="shared" ref="E149:H149" si="8">SUM(E150:E190)</f>
        <v>90045</v>
      </c>
      <c r="F149" s="431">
        <f t="shared" si="8"/>
        <v>7736.835</v>
      </c>
      <c r="G149" s="431">
        <f t="shared" si="8"/>
        <v>0</v>
      </c>
      <c r="H149" s="431">
        <f t="shared" si="8"/>
        <v>65338.334999999992</v>
      </c>
      <c r="I149" s="431"/>
      <c r="K149" s="23"/>
      <c r="L149" s="23"/>
      <c r="M149" s="23"/>
      <c r="N149" s="23"/>
    </row>
    <row r="150" spans="1:14" ht="38.25" x14ac:dyDescent="0.2">
      <c r="A150" s="421" t="s">
        <v>73</v>
      </c>
      <c r="B150" s="422" t="s">
        <v>300</v>
      </c>
      <c r="C150" s="427" t="s">
        <v>549</v>
      </c>
      <c r="D150" s="423">
        <v>1</v>
      </c>
      <c r="E150" s="424">
        <v>2445</v>
      </c>
      <c r="F150" s="424">
        <f>E150*D150*0.15</f>
        <v>366.75</v>
      </c>
      <c r="G150" s="424"/>
      <c r="H150" s="426">
        <f>D150*E150+F150+G150</f>
        <v>2811.75</v>
      </c>
      <c r="I150" s="420">
        <f>ROUND((E150+F150+G150)*0.106*D150*12*(1+0.2359),2)</f>
        <v>4420.25</v>
      </c>
      <c r="K150" s="23"/>
      <c r="L150" s="404" t="s">
        <v>549</v>
      </c>
      <c r="M150" s="23" t="s">
        <v>529</v>
      </c>
      <c r="N150" s="23" t="s">
        <v>550</v>
      </c>
    </row>
    <row r="151" spans="1:14" ht="27.75" customHeight="1" x14ac:dyDescent="0.2">
      <c r="A151" s="428" t="s">
        <v>551</v>
      </c>
      <c r="B151" s="422" t="s">
        <v>300</v>
      </c>
      <c r="C151" s="427" t="s">
        <v>552</v>
      </c>
      <c r="D151" s="423">
        <v>1</v>
      </c>
      <c r="E151" s="424">
        <v>1935</v>
      </c>
      <c r="F151" s="424">
        <f t="shared" ref="F151:F189" si="9">E151*D151*0.15</f>
        <v>290.25</v>
      </c>
      <c r="G151" s="424"/>
      <c r="H151" s="426">
        <f t="shared" ref="H151:H190" si="10">D151*E151+F151+G151</f>
        <v>2225.25</v>
      </c>
      <c r="I151" s="420">
        <f t="shared" ref="I151:I194" si="11">ROUND((E151+F151+G151)*0.106*D151*12*(1+0.2359),2)</f>
        <v>3498.24</v>
      </c>
      <c r="K151" s="23"/>
      <c r="L151" s="404" t="s">
        <v>552</v>
      </c>
      <c r="M151" s="23" t="s">
        <v>529</v>
      </c>
      <c r="N151" s="23" t="s">
        <v>553</v>
      </c>
    </row>
    <row r="152" spans="1:14" x14ac:dyDescent="0.2">
      <c r="A152" s="421" t="s">
        <v>554</v>
      </c>
      <c r="B152" s="422" t="s">
        <v>300</v>
      </c>
      <c r="C152" s="427" t="s">
        <v>555</v>
      </c>
      <c r="D152" s="423">
        <v>1</v>
      </c>
      <c r="E152" s="424">
        <v>1935</v>
      </c>
      <c r="F152" s="424">
        <f t="shared" si="9"/>
        <v>290.25</v>
      </c>
      <c r="G152" s="424"/>
      <c r="H152" s="426">
        <f t="shared" si="10"/>
        <v>2225.25</v>
      </c>
      <c r="I152" s="420">
        <f t="shared" si="11"/>
        <v>3498.24</v>
      </c>
      <c r="K152" s="23"/>
      <c r="L152" s="404" t="s">
        <v>555</v>
      </c>
      <c r="M152" s="23" t="s">
        <v>529</v>
      </c>
      <c r="N152" s="23" t="s">
        <v>553</v>
      </c>
    </row>
    <row r="153" spans="1:14" x14ac:dyDescent="0.2">
      <c r="A153" s="421" t="s">
        <v>556</v>
      </c>
      <c r="B153" s="422" t="s">
        <v>300</v>
      </c>
      <c r="C153" s="427" t="s">
        <v>557</v>
      </c>
      <c r="D153" s="423">
        <v>0.75</v>
      </c>
      <c r="E153" s="424">
        <v>1935</v>
      </c>
      <c r="F153" s="424">
        <f t="shared" si="9"/>
        <v>217.6875</v>
      </c>
      <c r="G153" s="424"/>
      <c r="H153" s="426">
        <f t="shared" si="10"/>
        <v>1668.9375</v>
      </c>
      <c r="I153" s="420">
        <f t="shared" si="11"/>
        <v>2538.12</v>
      </c>
      <c r="K153" s="23"/>
      <c r="L153" s="404" t="s">
        <v>557</v>
      </c>
      <c r="M153" s="23" t="s">
        <v>529</v>
      </c>
      <c r="N153" s="23" t="s">
        <v>553</v>
      </c>
    </row>
    <row r="154" spans="1:14" ht="38.25" x14ac:dyDescent="0.2">
      <c r="A154" s="421" t="s">
        <v>551</v>
      </c>
      <c r="B154" s="422" t="s">
        <v>300</v>
      </c>
      <c r="C154" s="427" t="s">
        <v>558</v>
      </c>
      <c r="D154" s="423">
        <v>0.8</v>
      </c>
      <c r="E154" s="424">
        <v>1935</v>
      </c>
      <c r="F154" s="424">
        <f>E154*D154*0.15</f>
        <v>232.2</v>
      </c>
      <c r="G154" s="424"/>
      <c r="H154" s="426">
        <f>D154*E154+F154+G154</f>
        <v>1780.2</v>
      </c>
      <c r="I154" s="420">
        <f t="shared" si="11"/>
        <v>2725.58</v>
      </c>
      <c r="K154" s="23"/>
      <c r="L154" s="404" t="s">
        <v>558</v>
      </c>
      <c r="M154" s="23" t="s">
        <v>529</v>
      </c>
      <c r="N154" s="23" t="s">
        <v>559</v>
      </c>
    </row>
    <row r="155" spans="1:14" ht="12.75" customHeight="1" x14ac:dyDescent="0.2">
      <c r="A155" s="421" t="s">
        <v>551</v>
      </c>
      <c r="B155" s="422" t="s">
        <v>300</v>
      </c>
      <c r="C155" s="427" t="s">
        <v>560</v>
      </c>
      <c r="D155" s="423">
        <v>0.8</v>
      </c>
      <c r="E155" s="424">
        <v>1935</v>
      </c>
      <c r="F155" s="424">
        <f>E155*D155*0.15</f>
        <v>232.2</v>
      </c>
      <c r="G155" s="424"/>
      <c r="H155" s="426">
        <f>D155*E155+F155+G155</f>
        <v>1780.2</v>
      </c>
      <c r="I155" s="420">
        <f t="shared" si="11"/>
        <v>2725.58</v>
      </c>
      <c r="K155" s="23"/>
      <c r="L155" s="404" t="s">
        <v>560</v>
      </c>
      <c r="M155" s="23" t="s">
        <v>529</v>
      </c>
      <c r="N155" s="23" t="s">
        <v>559</v>
      </c>
    </row>
    <row r="156" spans="1:14" ht="28.5" customHeight="1" x14ac:dyDescent="0.2">
      <c r="A156" s="421" t="s">
        <v>551</v>
      </c>
      <c r="B156" s="422" t="s">
        <v>300</v>
      </c>
      <c r="C156" s="427" t="s">
        <v>552</v>
      </c>
      <c r="D156" s="423">
        <v>0.3</v>
      </c>
      <c r="E156" s="424">
        <v>1935</v>
      </c>
      <c r="F156" s="424">
        <f>E156*D156*0.05</f>
        <v>29.025000000000002</v>
      </c>
      <c r="G156" s="424"/>
      <c r="H156" s="426">
        <f t="shared" si="10"/>
        <v>609.52499999999998</v>
      </c>
      <c r="I156" s="420">
        <f t="shared" si="11"/>
        <v>926.27</v>
      </c>
      <c r="K156" s="23"/>
      <c r="L156" s="404" t="s">
        <v>552</v>
      </c>
      <c r="M156" s="23" t="s">
        <v>529</v>
      </c>
      <c r="N156" s="23" t="s">
        <v>561</v>
      </c>
    </row>
    <row r="157" spans="1:14" ht="23.25" customHeight="1" x14ac:dyDescent="0.2">
      <c r="A157" s="421" t="s">
        <v>551</v>
      </c>
      <c r="B157" s="422" t="s">
        <v>300</v>
      </c>
      <c r="C157" s="427" t="s">
        <v>552</v>
      </c>
      <c r="D157" s="423">
        <v>0.7</v>
      </c>
      <c r="E157" s="424">
        <v>1935</v>
      </c>
      <c r="F157" s="424">
        <f>E157*D157*0.05</f>
        <v>67.725000000000009</v>
      </c>
      <c r="G157" s="424"/>
      <c r="H157" s="426">
        <f t="shared" si="10"/>
        <v>1422.2249999999999</v>
      </c>
      <c r="I157" s="420">
        <f t="shared" si="11"/>
        <v>2203.89</v>
      </c>
      <c r="K157" s="23"/>
      <c r="L157" s="404" t="s">
        <v>552</v>
      </c>
      <c r="M157" s="23" t="s">
        <v>529</v>
      </c>
      <c r="N157" s="23" t="s">
        <v>561</v>
      </c>
    </row>
    <row r="158" spans="1:14" x14ac:dyDescent="0.2">
      <c r="A158" s="421" t="s">
        <v>551</v>
      </c>
      <c r="B158" s="422" t="s">
        <v>300</v>
      </c>
      <c r="C158" s="427" t="s">
        <v>557</v>
      </c>
      <c r="D158" s="423">
        <v>0.4</v>
      </c>
      <c r="E158" s="424">
        <v>1935</v>
      </c>
      <c r="F158" s="424">
        <f t="shared" si="9"/>
        <v>116.1</v>
      </c>
      <c r="G158" s="424"/>
      <c r="H158" s="426">
        <f t="shared" si="10"/>
        <v>890.1</v>
      </c>
      <c r="I158" s="420">
        <f t="shared" si="11"/>
        <v>1289.78</v>
      </c>
      <c r="K158" s="23"/>
      <c r="L158" s="404" t="s">
        <v>557</v>
      </c>
      <c r="M158" s="23" t="s">
        <v>529</v>
      </c>
      <c r="N158" s="23" t="s">
        <v>562</v>
      </c>
    </row>
    <row r="159" spans="1:14" ht="67.5" customHeight="1" x14ac:dyDescent="0.2">
      <c r="A159" s="421" t="s">
        <v>551</v>
      </c>
      <c r="B159" s="422" t="s">
        <v>300</v>
      </c>
      <c r="C159" s="427" t="s">
        <v>563</v>
      </c>
      <c r="D159" s="423">
        <v>1</v>
      </c>
      <c r="E159" s="424">
        <v>1935</v>
      </c>
      <c r="F159" s="424">
        <f t="shared" si="9"/>
        <v>290.25</v>
      </c>
      <c r="G159" s="424"/>
      <c r="H159" s="426">
        <f t="shared" si="10"/>
        <v>2225.25</v>
      </c>
      <c r="I159" s="420">
        <f t="shared" si="11"/>
        <v>3498.24</v>
      </c>
      <c r="K159" s="23"/>
      <c r="L159" s="404" t="s">
        <v>563</v>
      </c>
      <c r="M159" s="23" t="s">
        <v>529</v>
      </c>
      <c r="N159" s="23" t="s">
        <v>562</v>
      </c>
    </row>
    <row r="160" spans="1:14" ht="30.75" customHeight="1" x14ac:dyDescent="0.2">
      <c r="A160" s="421" t="s">
        <v>551</v>
      </c>
      <c r="B160" s="422" t="s">
        <v>300</v>
      </c>
      <c r="C160" s="427" t="s">
        <v>552</v>
      </c>
      <c r="D160" s="423">
        <v>0.2</v>
      </c>
      <c r="E160" s="424">
        <v>1935</v>
      </c>
      <c r="F160" s="424">
        <f>E160*D160*0.08</f>
        <v>30.96</v>
      </c>
      <c r="G160" s="424"/>
      <c r="H160" s="426">
        <f t="shared" si="10"/>
        <v>417.96</v>
      </c>
      <c r="I160" s="420">
        <f t="shared" si="11"/>
        <v>618.12</v>
      </c>
      <c r="K160" s="23"/>
      <c r="L160" s="404" t="s">
        <v>552</v>
      </c>
      <c r="M160" s="23" t="s">
        <v>529</v>
      </c>
      <c r="N160" s="23" t="s">
        <v>562</v>
      </c>
    </row>
    <row r="161" spans="1:14" x14ac:dyDescent="0.2">
      <c r="A161" s="421" t="s">
        <v>551</v>
      </c>
      <c r="B161" s="422" t="s">
        <v>300</v>
      </c>
      <c r="C161" s="427" t="s">
        <v>555</v>
      </c>
      <c r="D161" s="423">
        <v>0.2</v>
      </c>
      <c r="E161" s="424">
        <v>1935</v>
      </c>
      <c r="F161" s="424">
        <f>E161*D161*0.08</f>
        <v>30.96</v>
      </c>
      <c r="G161" s="424"/>
      <c r="H161" s="426">
        <f t="shared" si="10"/>
        <v>417.96</v>
      </c>
      <c r="I161" s="420">
        <f t="shared" si="11"/>
        <v>618.12</v>
      </c>
      <c r="K161" s="23"/>
      <c r="L161" s="404" t="s">
        <v>555</v>
      </c>
      <c r="M161" s="23" t="s">
        <v>529</v>
      </c>
      <c r="N161" s="23" t="s">
        <v>562</v>
      </c>
    </row>
    <row r="162" spans="1:14" x14ac:dyDescent="0.2">
      <c r="A162" s="421" t="s">
        <v>551</v>
      </c>
      <c r="B162" s="422" t="s">
        <v>300</v>
      </c>
      <c r="C162" s="427" t="s">
        <v>564</v>
      </c>
      <c r="D162" s="423">
        <v>0.2</v>
      </c>
      <c r="E162" s="424">
        <v>1935</v>
      </c>
      <c r="F162" s="424">
        <f>E162*D162*0.05</f>
        <v>19.350000000000001</v>
      </c>
      <c r="G162" s="424"/>
      <c r="H162" s="426">
        <f t="shared" si="10"/>
        <v>406.35</v>
      </c>
      <c r="I162" s="420">
        <f t="shared" si="11"/>
        <v>614.47</v>
      </c>
      <c r="K162" s="23"/>
      <c r="L162" s="404" t="s">
        <v>564</v>
      </c>
      <c r="M162" s="23" t="s">
        <v>529</v>
      </c>
      <c r="N162" s="23" t="s">
        <v>562</v>
      </c>
    </row>
    <row r="163" spans="1:14" x14ac:dyDescent="0.2">
      <c r="A163" s="421" t="s">
        <v>73</v>
      </c>
      <c r="B163" s="422" t="s">
        <v>300</v>
      </c>
      <c r="C163" s="427" t="s">
        <v>555</v>
      </c>
      <c r="D163" s="423">
        <v>0.6</v>
      </c>
      <c r="E163" s="424">
        <v>2445</v>
      </c>
      <c r="F163" s="424">
        <f t="shared" si="9"/>
        <v>220.04999999999998</v>
      </c>
      <c r="G163" s="424"/>
      <c r="H163" s="426">
        <f t="shared" si="10"/>
        <v>1687.05</v>
      </c>
      <c r="I163" s="420">
        <f t="shared" si="11"/>
        <v>2513.7800000000002</v>
      </c>
      <c r="K163" s="23"/>
      <c r="L163" s="404" t="s">
        <v>555</v>
      </c>
      <c r="M163" s="23" t="s">
        <v>529</v>
      </c>
      <c r="N163" s="23" t="s">
        <v>565</v>
      </c>
    </row>
    <row r="164" spans="1:14" x14ac:dyDescent="0.2">
      <c r="A164" s="421" t="s">
        <v>73</v>
      </c>
      <c r="B164" s="422" t="s">
        <v>300</v>
      </c>
      <c r="C164" s="427" t="s">
        <v>566</v>
      </c>
      <c r="D164" s="423">
        <v>0.4</v>
      </c>
      <c r="E164" s="424">
        <v>2445</v>
      </c>
      <c r="F164" s="424">
        <f>E164*D164*0.1</f>
        <v>97.800000000000011</v>
      </c>
      <c r="G164" s="424"/>
      <c r="H164" s="426">
        <f t="shared" si="10"/>
        <v>1075.8</v>
      </c>
      <c r="I164" s="420">
        <f t="shared" si="11"/>
        <v>1598.98</v>
      </c>
      <c r="K164" s="23"/>
      <c r="L164" s="404" t="s">
        <v>566</v>
      </c>
      <c r="M164" s="23" t="s">
        <v>529</v>
      </c>
      <c r="N164" s="23" t="s">
        <v>565</v>
      </c>
    </row>
    <row r="165" spans="1:14" ht="16.5" customHeight="1" x14ac:dyDescent="0.2">
      <c r="A165" s="421" t="s">
        <v>73</v>
      </c>
      <c r="B165" s="422" t="s">
        <v>300</v>
      </c>
      <c r="C165" s="427" t="s">
        <v>567</v>
      </c>
      <c r="D165" s="423">
        <v>1</v>
      </c>
      <c r="E165" s="424">
        <v>2445</v>
      </c>
      <c r="F165" s="424">
        <f t="shared" si="9"/>
        <v>366.75</v>
      </c>
      <c r="G165" s="424"/>
      <c r="H165" s="426">
        <f t="shared" si="10"/>
        <v>2811.75</v>
      </c>
      <c r="I165" s="420">
        <f t="shared" si="11"/>
        <v>4420.25</v>
      </c>
      <c r="K165" s="23"/>
      <c r="L165" s="404" t="s">
        <v>567</v>
      </c>
      <c r="M165" s="23" t="s">
        <v>529</v>
      </c>
      <c r="N165" s="23" t="s">
        <v>565</v>
      </c>
    </row>
    <row r="166" spans="1:14" ht="26.25" customHeight="1" x14ac:dyDescent="0.2">
      <c r="A166" s="421" t="s">
        <v>73</v>
      </c>
      <c r="B166" s="422" t="s">
        <v>300</v>
      </c>
      <c r="C166" s="427" t="s">
        <v>568</v>
      </c>
      <c r="D166" s="423">
        <v>0.8</v>
      </c>
      <c r="E166" s="424">
        <v>2445</v>
      </c>
      <c r="F166" s="424">
        <f>E166*D166*0.12</f>
        <v>234.72</v>
      </c>
      <c r="G166" s="424"/>
      <c r="H166" s="426">
        <f t="shared" si="10"/>
        <v>2190.7199999999998</v>
      </c>
      <c r="I166" s="420">
        <f t="shared" si="11"/>
        <v>3370.15</v>
      </c>
      <c r="K166" s="23"/>
      <c r="L166" s="404" t="s">
        <v>568</v>
      </c>
      <c r="M166" s="23" t="s">
        <v>529</v>
      </c>
      <c r="N166" s="23" t="s">
        <v>565</v>
      </c>
    </row>
    <row r="167" spans="1:14" ht="25.5" x14ac:dyDescent="0.2">
      <c r="A167" s="421" t="s">
        <v>73</v>
      </c>
      <c r="B167" s="422" t="s">
        <v>300</v>
      </c>
      <c r="C167" s="427" t="s">
        <v>569</v>
      </c>
      <c r="D167" s="423">
        <v>0.8</v>
      </c>
      <c r="E167" s="424">
        <v>2445</v>
      </c>
      <c r="F167" s="424">
        <f t="shared" si="9"/>
        <v>293.39999999999998</v>
      </c>
      <c r="G167" s="424"/>
      <c r="H167" s="426">
        <f t="shared" si="10"/>
        <v>2249.4</v>
      </c>
      <c r="I167" s="420">
        <f t="shared" si="11"/>
        <v>3443.95</v>
      </c>
      <c r="K167" s="23"/>
      <c r="L167" s="404" t="s">
        <v>569</v>
      </c>
      <c r="M167" s="23" t="s">
        <v>529</v>
      </c>
      <c r="N167" s="23" t="s">
        <v>565</v>
      </c>
    </row>
    <row r="168" spans="1:14" ht="24" customHeight="1" x14ac:dyDescent="0.2">
      <c r="A168" s="421" t="s">
        <v>73</v>
      </c>
      <c r="B168" s="422" t="s">
        <v>300</v>
      </c>
      <c r="C168" s="427" t="s">
        <v>552</v>
      </c>
      <c r="D168" s="423">
        <v>0.2</v>
      </c>
      <c r="E168" s="424">
        <v>2445</v>
      </c>
      <c r="F168" s="424">
        <f>E168*D168*0.08</f>
        <v>39.119999999999997</v>
      </c>
      <c r="G168" s="424"/>
      <c r="H168" s="426">
        <f t="shared" si="10"/>
        <v>528.12</v>
      </c>
      <c r="I168" s="420">
        <f t="shared" si="11"/>
        <v>781.04</v>
      </c>
      <c r="K168" s="23"/>
      <c r="L168" s="404" t="s">
        <v>552</v>
      </c>
      <c r="M168" s="23" t="s">
        <v>529</v>
      </c>
      <c r="N168" s="23" t="s">
        <v>565</v>
      </c>
    </row>
    <row r="169" spans="1:14" ht="15" customHeight="1" x14ac:dyDescent="0.2">
      <c r="A169" s="421" t="s">
        <v>73</v>
      </c>
      <c r="B169" s="422" t="s">
        <v>300</v>
      </c>
      <c r="C169" s="427" t="s">
        <v>570</v>
      </c>
      <c r="D169" s="423">
        <v>1</v>
      </c>
      <c r="E169" s="424">
        <v>2445</v>
      </c>
      <c r="F169" s="424">
        <f t="shared" si="9"/>
        <v>366.75</v>
      </c>
      <c r="G169" s="424"/>
      <c r="H169" s="426">
        <f t="shared" si="10"/>
        <v>2811.75</v>
      </c>
      <c r="I169" s="420">
        <f t="shared" si="11"/>
        <v>4420.25</v>
      </c>
      <c r="K169" s="23"/>
      <c r="L169" s="404" t="s">
        <v>570</v>
      </c>
      <c r="M169" s="23" t="s">
        <v>529</v>
      </c>
      <c r="N169" s="23" t="s">
        <v>565</v>
      </c>
    </row>
    <row r="170" spans="1:14" ht="15.75" customHeight="1" x14ac:dyDescent="0.2">
      <c r="A170" s="421" t="s">
        <v>73</v>
      </c>
      <c r="B170" s="422" t="s">
        <v>300</v>
      </c>
      <c r="C170" s="427" t="s">
        <v>571</v>
      </c>
      <c r="D170" s="423">
        <v>1</v>
      </c>
      <c r="E170" s="424">
        <v>2445</v>
      </c>
      <c r="F170" s="424">
        <f>E170*D170*0.15</f>
        <v>366.75</v>
      </c>
      <c r="G170" s="424"/>
      <c r="H170" s="426">
        <f t="shared" si="10"/>
        <v>2811.75</v>
      </c>
      <c r="I170" s="420">
        <f t="shared" si="11"/>
        <v>4420.25</v>
      </c>
      <c r="K170" s="23"/>
      <c r="L170" s="404" t="s">
        <v>571</v>
      </c>
      <c r="M170" s="23" t="s">
        <v>529</v>
      </c>
      <c r="N170" s="23" t="s">
        <v>565</v>
      </c>
    </row>
    <row r="171" spans="1:14" ht="41.25" customHeight="1" x14ac:dyDescent="0.2">
      <c r="A171" s="421" t="s">
        <v>73</v>
      </c>
      <c r="B171" s="422" t="s">
        <v>300</v>
      </c>
      <c r="C171" s="427" t="s">
        <v>572</v>
      </c>
      <c r="D171" s="423">
        <v>0.8</v>
      </c>
      <c r="E171" s="424">
        <v>2445</v>
      </c>
      <c r="F171" s="424">
        <f t="shared" si="9"/>
        <v>293.39999999999998</v>
      </c>
      <c r="G171" s="424"/>
      <c r="H171" s="426">
        <f t="shared" si="10"/>
        <v>2249.4</v>
      </c>
      <c r="I171" s="420">
        <f t="shared" si="11"/>
        <v>3443.95</v>
      </c>
      <c r="K171" s="23"/>
      <c r="L171" s="404" t="s">
        <v>572</v>
      </c>
      <c r="M171" s="23" t="s">
        <v>529</v>
      </c>
      <c r="N171" s="23" t="s">
        <v>565</v>
      </c>
    </row>
    <row r="172" spans="1:14" ht="25.5" x14ac:dyDescent="0.2">
      <c r="A172" s="421" t="s">
        <v>73</v>
      </c>
      <c r="B172" s="422" t="s">
        <v>300</v>
      </c>
      <c r="C172" s="427" t="s">
        <v>573</v>
      </c>
      <c r="D172" s="423">
        <v>0.4</v>
      </c>
      <c r="E172" s="424">
        <v>2445</v>
      </c>
      <c r="F172" s="424">
        <f t="shared" si="9"/>
        <v>146.69999999999999</v>
      </c>
      <c r="G172" s="424"/>
      <c r="H172" s="426">
        <f t="shared" si="10"/>
        <v>1124.7</v>
      </c>
      <c r="I172" s="420">
        <f t="shared" si="11"/>
        <v>1629.73</v>
      </c>
      <c r="K172" s="23"/>
      <c r="L172" s="404" t="s">
        <v>573</v>
      </c>
      <c r="M172" s="23" t="s">
        <v>529</v>
      </c>
      <c r="N172" s="23" t="s">
        <v>565</v>
      </c>
    </row>
    <row r="173" spans="1:14" ht="30" customHeight="1" x14ac:dyDescent="0.2">
      <c r="A173" s="421" t="s">
        <v>73</v>
      </c>
      <c r="B173" s="422" t="s">
        <v>300</v>
      </c>
      <c r="C173" s="427" t="s">
        <v>552</v>
      </c>
      <c r="D173" s="423">
        <v>0.6</v>
      </c>
      <c r="E173" s="424">
        <v>2445</v>
      </c>
      <c r="F173" s="424">
        <f t="shared" si="9"/>
        <v>220.04999999999998</v>
      </c>
      <c r="G173" s="424"/>
      <c r="H173" s="426">
        <f t="shared" si="10"/>
        <v>1687.05</v>
      </c>
      <c r="I173" s="420">
        <f t="shared" si="11"/>
        <v>2513.7800000000002</v>
      </c>
      <c r="K173" s="23"/>
      <c r="L173" s="404" t="s">
        <v>552</v>
      </c>
      <c r="M173" s="23" t="s">
        <v>529</v>
      </c>
      <c r="N173" s="23" t="s">
        <v>565</v>
      </c>
    </row>
    <row r="174" spans="1:14" ht="27.75" customHeight="1" x14ac:dyDescent="0.2">
      <c r="A174" s="421" t="s">
        <v>73</v>
      </c>
      <c r="B174" s="422" t="s">
        <v>300</v>
      </c>
      <c r="C174" s="427" t="s">
        <v>552</v>
      </c>
      <c r="D174" s="423">
        <v>0.4</v>
      </c>
      <c r="E174" s="424">
        <v>2445</v>
      </c>
      <c r="F174" s="424">
        <f>E174*D174*0.08</f>
        <v>78.239999999999995</v>
      </c>
      <c r="G174" s="424"/>
      <c r="H174" s="426">
        <f t="shared" si="10"/>
        <v>1056.24</v>
      </c>
      <c r="I174" s="420">
        <f t="shared" si="11"/>
        <v>1586.68</v>
      </c>
      <c r="K174" s="23"/>
      <c r="L174" s="404" t="s">
        <v>552</v>
      </c>
      <c r="M174" s="23" t="s">
        <v>529</v>
      </c>
      <c r="N174" s="23" t="s">
        <v>565</v>
      </c>
    </row>
    <row r="175" spans="1:14" ht="32.25" customHeight="1" x14ac:dyDescent="0.2">
      <c r="A175" s="421" t="s">
        <v>73</v>
      </c>
      <c r="B175" s="422" t="s">
        <v>300</v>
      </c>
      <c r="C175" s="427" t="s">
        <v>552</v>
      </c>
      <c r="D175" s="423">
        <v>0.4</v>
      </c>
      <c r="E175" s="424">
        <v>2445</v>
      </c>
      <c r="F175" s="424">
        <f>E175*D175*0.15</f>
        <v>146.69999999999999</v>
      </c>
      <c r="G175" s="424"/>
      <c r="H175" s="426">
        <f t="shared" si="10"/>
        <v>1124.7</v>
      </c>
      <c r="I175" s="420">
        <f t="shared" si="11"/>
        <v>1629.73</v>
      </c>
      <c r="K175" s="23"/>
      <c r="L175" s="404" t="s">
        <v>552</v>
      </c>
      <c r="M175" s="23" t="s">
        <v>529</v>
      </c>
      <c r="N175" s="23" t="s">
        <v>565</v>
      </c>
    </row>
    <row r="176" spans="1:14" ht="30.75" customHeight="1" x14ac:dyDescent="0.2">
      <c r="A176" s="421" t="s">
        <v>73</v>
      </c>
      <c r="B176" s="422" t="s">
        <v>300</v>
      </c>
      <c r="C176" s="427" t="s">
        <v>552</v>
      </c>
      <c r="D176" s="423">
        <v>0.8</v>
      </c>
      <c r="E176" s="424">
        <v>2445</v>
      </c>
      <c r="F176" s="424">
        <f>E176*D176*0.12</f>
        <v>234.72</v>
      </c>
      <c r="G176" s="424"/>
      <c r="H176" s="426">
        <f t="shared" si="10"/>
        <v>2190.7199999999998</v>
      </c>
      <c r="I176" s="420">
        <f t="shared" si="11"/>
        <v>3370.15</v>
      </c>
      <c r="K176" s="23"/>
      <c r="L176" s="404" t="s">
        <v>552</v>
      </c>
      <c r="M176" s="23" t="s">
        <v>529</v>
      </c>
      <c r="N176" s="23" t="s">
        <v>565</v>
      </c>
    </row>
    <row r="177" spans="1:14" ht="28.5" customHeight="1" x14ac:dyDescent="0.2">
      <c r="A177" s="421" t="s">
        <v>73</v>
      </c>
      <c r="B177" s="422" t="s">
        <v>300</v>
      </c>
      <c r="C177" s="427" t="s">
        <v>567</v>
      </c>
      <c r="D177" s="423">
        <v>0.2</v>
      </c>
      <c r="E177" s="424">
        <v>2445</v>
      </c>
      <c r="F177" s="424">
        <f>E177*D177*0.08</f>
        <v>39.119999999999997</v>
      </c>
      <c r="G177" s="424"/>
      <c r="H177" s="426">
        <f t="shared" si="10"/>
        <v>528.12</v>
      </c>
      <c r="I177" s="420">
        <f t="shared" si="11"/>
        <v>781.04</v>
      </c>
      <c r="K177" s="23"/>
      <c r="L177" s="404" t="s">
        <v>567</v>
      </c>
      <c r="M177" s="23" t="s">
        <v>529</v>
      </c>
      <c r="N177" s="23" t="s">
        <v>565</v>
      </c>
    </row>
    <row r="178" spans="1:14" x14ac:dyDescent="0.2">
      <c r="A178" s="421" t="s">
        <v>73</v>
      </c>
      <c r="B178" s="422" t="s">
        <v>300</v>
      </c>
      <c r="C178" s="427" t="s">
        <v>566</v>
      </c>
      <c r="D178" s="423">
        <v>0.4</v>
      </c>
      <c r="E178" s="424">
        <v>2445</v>
      </c>
      <c r="F178" s="424">
        <f t="shared" si="9"/>
        <v>146.69999999999999</v>
      </c>
      <c r="G178" s="424"/>
      <c r="H178" s="426">
        <f t="shared" si="10"/>
        <v>1124.7</v>
      </c>
      <c r="I178" s="420">
        <f t="shared" si="11"/>
        <v>1629.73</v>
      </c>
      <c r="K178" s="23"/>
      <c r="L178" s="404" t="s">
        <v>566</v>
      </c>
      <c r="M178" s="23" t="s">
        <v>529</v>
      </c>
      <c r="N178" s="23" t="s">
        <v>565</v>
      </c>
    </row>
    <row r="179" spans="1:14" x14ac:dyDescent="0.2">
      <c r="A179" s="421" t="s">
        <v>73</v>
      </c>
      <c r="B179" s="422" t="s">
        <v>300</v>
      </c>
      <c r="C179" s="427" t="s">
        <v>555</v>
      </c>
      <c r="D179" s="423">
        <v>0.6</v>
      </c>
      <c r="E179" s="424">
        <v>2445</v>
      </c>
      <c r="F179" s="424">
        <f>E179*D179*0.05</f>
        <v>73.350000000000009</v>
      </c>
      <c r="G179" s="424"/>
      <c r="H179" s="426">
        <f t="shared" si="10"/>
        <v>1540.35</v>
      </c>
      <c r="I179" s="420">
        <f t="shared" si="11"/>
        <v>2375.41</v>
      </c>
      <c r="K179" s="23"/>
      <c r="L179" s="404" t="s">
        <v>555</v>
      </c>
      <c r="M179" s="23" t="s">
        <v>529</v>
      </c>
      <c r="N179" s="23" t="s">
        <v>565</v>
      </c>
    </row>
    <row r="180" spans="1:14" x14ac:dyDescent="0.2">
      <c r="A180" s="421" t="s">
        <v>73</v>
      </c>
      <c r="B180" s="422" t="s">
        <v>300</v>
      </c>
      <c r="C180" s="427" t="s">
        <v>570</v>
      </c>
      <c r="D180" s="423">
        <v>0.3</v>
      </c>
      <c r="E180" s="424">
        <v>2445</v>
      </c>
      <c r="F180" s="429">
        <f>E180*D180*0.15</f>
        <v>110.02499999999999</v>
      </c>
      <c r="G180" s="424"/>
      <c r="H180" s="426">
        <f t="shared" si="10"/>
        <v>843.52499999999998</v>
      </c>
      <c r="I180" s="420">
        <f t="shared" si="11"/>
        <v>1205</v>
      </c>
      <c r="K180" s="23"/>
      <c r="L180" s="404" t="s">
        <v>570</v>
      </c>
      <c r="M180" s="23" t="s">
        <v>529</v>
      </c>
      <c r="N180" s="23" t="s">
        <v>565</v>
      </c>
    </row>
    <row r="181" spans="1:14" x14ac:dyDescent="0.2">
      <c r="A181" s="421" t="s">
        <v>73</v>
      </c>
      <c r="B181" s="422" t="s">
        <v>300</v>
      </c>
      <c r="C181" s="427" t="s">
        <v>574</v>
      </c>
      <c r="D181" s="423">
        <v>0.3</v>
      </c>
      <c r="E181" s="424">
        <v>2445</v>
      </c>
      <c r="F181" s="429">
        <f>E181*D181*0.12</f>
        <v>88.02</v>
      </c>
      <c r="G181" s="424"/>
      <c r="H181" s="426">
        <f t="shared" si="10"/>
        <v>821.52</v>
      </c>
      <c r="I181" s="420">
        <f t="shared" si="11"/>
        <v>1194.6199999999999</v>
      </c>
      <c r="K181" s="23"/>
      <c r="L181" s="404" t="s">
        <v>574</v>
      </c>
      <c r="M181" s="23" t="s">
        <v>529</v>
      </c>
      <c r="N181" s="23" t="s">
        <v>565</v>
      </c>
    </row>
    <row r="182" spans="1:14" x14ac:dyDescent="0.2">
      <c r="A182" s="421" t="s">
        <v>73</v>
      </c>
      <c r="B182" s="422" t="s">
        <v>300</v>
      </c>
      <c r="C182" s="427" t="s">
        <v>557</v>
      </c>
      <c r="D182" s="423">
        <v>0.4</v>
      </c>
      <c r="E182" s="424">
        <v>2445</v>
      </c>
      <c r="F182" s="424">
        <f>E182*D182*0.15</f>
        <v>146.69999999999999</v>
      </c>
      <c r="G182" s="424"/>
      <c r="H182" s="426">
        <f t="shared" si="10"/>
        <v>1124.7</v>
      </c>
      <c r="I182" s="420">
        <f t="shared" si="11"/>
        <v>1629.73</v>
      </c>
      <c r="K182" s="23"/>
      <c r="L182" s="404" t="s">
        <v>557</v>
      </c>
      <c r="M182" s="23" t="s">
        <v>529</v>
      </c>
      <c r="N182" s="23" t="s">
        <v>565</v>
      </c>
    </row>
    <row r="183" spans="1:14" x14ac:dyDescent="0.2">
      <c r="A183" s="421" t="s">
        <v>551</v>
      </c>
      <c r="B183" s="422" t="s">
        <v>300</v>
      </c>
      <c r="C183" s="427" t="s">
        <v>575</v>
      </c>
      <c r="D183" s="423">
        <v>1</v>
      </c>
      <c r="E183" s="424">
        <v>1935</v>
      </c>
      <c r="F183" s="424">
        <f t="shared" ref="F183" si="12">E183*D183*0.15</f>
        <v>290.25</v>
      </c>
      <c r="G183" s="424"/>
      <c r="H183" s="426">
        <f t="shared" si="10"/>
        <v>2225.25</v>
      </c>
      <c r="I183" s="420">
        <f t="shared" si="11"/>
        <v>3498.24</v>
      </c>
      <c r="K183" s="23"/>
      <c r="L183" s="404" t="s">
        <v>575</v>
      </c>
      <c r="M183" s="23" t="s">
        <v>529</v>
      </c>
      <c r="N183" s="23" t="s">
        <v>565</v>
      </c>
    </row>
    <row r="184" spans="1:14" x14ac:dyDescent="0.2">
      <c r="A184" s="421" t="s">
        <v>551</v>
      </c>
      <c r="B184" s="422" t="s">
        <v>300</v>
      </c>
      <c r="C184" s="427" t="s">
        <v>576</v>
      </c>
      <c r="D184" s="423">
        <v>0.5</v>
      </c>
      <c r="E184" s="424">
        <v>1935</v>
      </c>
      <c r="F184" s="429">
        <f>E184*D184*0.15</f>
        <v>145.125</v>
      </c>
      <c r="G184" s="424"/>
      <c r="H184" s="426">
        <f t="shared" si="10"/>
        <v>1112.625</v>
      </c>
      <c r="I184" s="420">
        <f t="shared" si="11"/>
        <v>1635.05</v>
      </c>
      <c r="K184" s="23"/>
      <c r="L184" s="404" t="s">
        <v>576</v>
      </c>
      <c r="M184" s="23" t="s">
        <v>529</v>
      </c>
      <c r="N184" s="23" t="s">
        <v>565</v>
      </c>
    </row>
    <row r="185" spans="1:14" x14ac:dyDescent="0.2">
      <c r="A185" s="421" t="s">
        <v>551</v>
      </c>
      <c r="B185" s="422" t="s">
        <v>300</v>
      </c>
      <c r="C185" s="427" t="s">
        <v>555</v>
      </c>
      <c r="D185" s="423">
        <v>1</v>
      </c>
      <c r="E185" s="424">
        <v>1935</v>
      </c>
      <c r="F185" s="429">
        <f t="shared" ref="F185" si="13">E185*D185*0.15</f>
        <v>290.25</v>
      </c>
      <c r="G185" s="424"/>
      <c r="H185" s="426">
        <f t="shared" si="10"/>
        <v>2225.25</v>
      </c>
      <c r="I185" s="420">
        <f t="shared" si="11"/>
        <v>3498.24</v>
      </c>
      <c r="K185" s="23"/>
      <c r="L185" s="404" t="s">
        <v>555</v>
      </c>
      <c r="M185" s="23" t="s">
        <v>529</v>
      </c>
      <c r="N185" s="23" t="s">
        <v>577</v>
      </c>
    </row>
    <row r="186" spans="1:14" ht="25.5" x14ac:dyDescent="0.2">
      <c r="A186" s="421" t="s">
        <v>551</v>
      </c>
      <c r="B186" s="422" t="s">
        <v>300</v>
      </c>
      <c r="C186" s="427" t="s">
        <v>578</v>
      </c>
      <c r="D186" s="423">
        <v>0.5</v>
      </c>
      <c r="E186" s="424">
        <v>1935</v>
      </c>
      <c r="F186" s="429">
        <f>E186*D186*0.1</f>
        <v>96.75</v>
      </c>
      <c r="G186" s="424"/>
      <c r="H186" s="426">
        <f t="shared" si="10"/>
        <v>1064.25</v>
      </c>
      <c r="I186" s="420">
        <f t="shared" si="11"/>
        <v>1597.02</v>
      </c>
      <c r="K186" s="23"/>
      <c r="L186" s="404" t="s">
        <v>578</v>
      </c>
      <c r="M186" s="23" t="s">
        <v>529</v>
      </c>
      <c r="N186" s="23" t="s">
        <v>577</v>
      </c>
    </row>
    <row r="187" spans="1:14" ht="26.25" customHeight="1" x14ac:dyDescent="0.2">
      <c r="A187" s="421" t="s">
        <v>551</v>
      </c>
      <c r="B187" s="422" t="s">
        <v>300</v>
      </c>
      <c r="C187" s="427" t="s">
        <v>552</v>
      </c>
      <c r="D187" s="423">
        <v>1</v>
      </c>
      <c r="E187" s="424">
        <v>1935</v>
      </c>
      <c r="F187" s="429">
        <f t="shared" ref="F187:F188" si="14">E187*D187*0.15</f>
        <v>290.25</v>
      </c>
      <c r="G187" s="424"/>
      <c r="H187" s="426">
        <f t="shared" si="10"/>
        <v>2225.25</v>
      </c>
      <c r="I187" s="420">
        <f t="shared" si="11"/>
        <v>3498.24</v>
      </c>
      <c r="K187" s="23"/>
      <c r="L187" s="404" t="s">
        <v>552</v>
      </c>
      <c r="M187" s="23" t="s">
        <v>529</v>
      </c>
      <c r="N187" s="23" t="s">
        <v>577</v>
      </c>
    </row>
    <row r="188" spans="1:14" ht="27" customHeight="1" x14ac:dyDescent="0.2">
      <c r="A188" s="421" t="s">
        <v>551</v>
      </c>
      <c r="B188" s="422" t="s">
        <v>300</v>
      </c>
      <c r="C188" s="427" t="s">
        <v>552</v>
      </c>
      <c r="D188" s="423">
        <v>0.75</v>
      </c>
      <c r="E188" s="424">
        <v>1935</v>
      </c>
      <c r="F188" s="429">
        <f t="shared" si="14"/>
        <v>217.6875</v>
      </c>
      <c r="G188" s="424"/>
      <c r="H188" s="426">
        <f t="shared" si="10"/>
        <v>1668.9375</v>
      </c>
      <c r="I188" s="420">
        <f t="shared" si="11"/>
        <v>2538.12</v>
      </c>
      <c r="K188" s="23"/>
      <c r="L188" s="404" t="s">
        <v>552</v>
      </c>
      <c r="M188" s="23" t="s">
        <v>529</v>
      </c>
      <c r="N188" s="23" t="s">
        <v>577</v>
      </c>
    </row>
    <row r="189" spans="1:14" ht="25.5" x14ac:dyDescent="0.2">
      <c r="A189" s="421" t="s">
        <v>551</v>
      </c>
      <c r="B189" s="422" t="s">
        <v>300</v>
      </c>
      <c r="C189" s="427" t="s">
        <v>579</v>
      </c>
      <c r="D189" s="423">
        <v>1</v>
      </c>
      <c r="E189" s="424">
        <v>1935</v>
      </c>
      <c r="F189" s="429">
        <f t="shared" si="9"/>
        <v>290.25</v>
      </c>
      <c r="G189" s="424"/>
      <c r="H189" s="426">
        <f t="shared" si="10"/>
        <v>2225.25</v>
      </c>
      <c r="I189" s="420">
        <f t="shared" si="11"/>
        <v>3498.24</v>
      </c>
      <c r="K189" s="23"/>
      <c r="L189" s="404" t="s">
        <v>579</v>
      </c>
      <c r="M189" s="23" t="s">
        <v>529</v>
      </c>
      <c r="N189" s="23" t="s">
        <v>577</v>
      </c>
    </row>
    <row r="190" spans="1:14" x14ac:dyDescent="0.2">
      <c r="A190" s="421" t="s">
        <v>551</v>
      </c>
      <c r="B190" s="422" t="s">
        <v>300</v>
      </c>
      <c r="C190" s="427" t="s">
        <v>564</v>
      </c>
      <c r="D190" s="423">
        <v>1</v>
      </c>
      <c r="E190" s="424">
        <v>1935</v>
      </c>
      <c r="F190" s="429">
        <f>E190*D190*0.1</f>
        <v>193.5</v>
      </c>
      <c r="G190" s="424"/>
      <c r="H190" s="426">
        <f t="shared" si="10"/>
        <v>2128.5</v>
      </c>
      <c r="I190" s="420">
        <f t="shared" si="11"/>
        <v>3346.14</v>
      </c>
      <c r="K190" s="23"/>
      <c r="L190" s="404" t="s">
        <v>564</v>
      </c>
      <c r="M190" s="23" t="s">
        <v>529</v>
      </c>
      <c r="N190" s="23" t="s">
        <v>577</v>
      </c>
    </row>
    <row r="191" spans="1:14" ht="24" customHeight="1" x14ac:dyDescent="0.2">
      <c r="A191" s="432" t="s">
        <v>50</v>
      </c>
      <c r="B191" s="433"/>
      <c r="C191" s="433"/>
      <c r="D191" s="434">
        <f>SUM(D192:D194)</f>
        <v>1.7999999999999998</v>
      </c>
      <c r="E191" s="434">
        <f>SUM(E192:E194)</f>
        <v>5400</v>
      </c>
      <c r="F191" s="434">
        <f t="shared" ref="F191:H191" si="15">SUM(F192:F194)</f>
        <v>259.2</v>
      </c>
      <c r="G191" s="434"/>
      <c r="H191" s="434">
        <f t="shared" si="15"/>
        <v>3499.2</v>
      </c>
      <c r="I191" s="435"/>
      <c r="K191" s="23"/>
      <c r="L191" s="23"/>
      <c r="M191" s="23"/>
      <c r="N191" s="23"/>
    </row>
    <row r="192" spans="1:14" ht="13.5" customHeight="1" x14ac:dyDescent="0.2">
      <c r="A192" s="421" t="s">
        <v>84</v>
      </c>
      <c r="B192" s="422" t="s">
        <v>391</v>
      </c>
      <c r="C192" s="275" t="s">
        <v>580</v>
      </c>
      <c r="D192" s="423">
        <v>1</v>
      </c>
      <c r="E192" s="424">
        <v>1800</v>
      </c>
      <c r="F192" s="425">
        <f>E192*D192*0.08</f>
        <v>144</v>
      </c>
      <c r="G192" s="424"/>
      <c r="H192" s="426">
        <f t="shared" ref="H192:H194" si="16">D192*E192+F192+G192</f>
        <v>1944</v>
      </c>
      <c r="I192" s="420">
        <f t="shared" si="11"/>
        <v>3056.09</v>
      </c>
      <c r="K192" s="23"/>
      <c r="L192" s="23" t="s">
        <v>580</v>
      </c>
      <c r="M192" s="23" t="s">
        <v>529</v>
      </c>
      <c r="N192" s="23" t="s">
        <v>562</v>
      </c>
    </row>
    <row r="193" spans="1:14" ht="12.75" customHeight="1" x14ac:dyDescent="0.2">
      <c r="A193" s="421" t="s">
        <v>84</v>
      </c>
      <c r="B193" s="422" t="s">
        <v>391</v>
      </c>
      <c r="C193" s="275" t="s">
        <v>580</v>
      </c>
      <c r="D193" s="423">
        <v>0.4</v>
      </c>
      <c r="E193" s="424">
        <v>1800</v>
      </c>
      <c r="F193" s="424">
        <f>E193*D193*0.08</f>
        <v>57.6</v>
      </c>
      <c r="G193" s="424"/>
      <c r="H193" s="426">
        <f t="shared" si="16"/>
        <v>777.6</v>
      </c>
      <c r="I193" s="420">
        <f t="shared" si="11"/>
        <v>1168.1099999999999</v>
      </c>
      <c r="K193" s="23"/>
      <c r="L193" s="23" t="s">
        <v>580</v>
      </c>
      <c r="M193" s="23" t="s">
        <v>529</v>
      </c>
      <c r="N193" s="23" t="s">
        <v>562</v>
      </c>
    </row>
    <row r="194" spans="1:14" ht="12.75" customHeight="1" x14ac:dyDescent="0.2">
      <c r="A194" s="421" t="s">
        <v>84</v>
      </c>
      <c r="B194" s="422" t="s">
        <v>391</v>
      </c>
      <c r="C194" s="275" t="s">
        <v>580</v>
      </c>
      <c r="D194" s="423">
        <v>0.4</v>
      </c>
      <c r="E194" s="424">
        <v>1800</v>
      </c>
      <c r="F194" s="424">
        <f>E194*D194*0.08</f>
        <v>57.6</v>
      </c>
      <c r="G194" s="424"/>
      <c r="H194" s="426">
        <f t="shared" si="16"/>
        <v>777.6</v>
      </c>
      <c r="I194" s="420">
        <f t="shared" si="11"/>
        <v>1168.1099999999999</v>
      </c>
      <c r="K194" s="23"/>
      <c r="L194" s="23" t="s">
        <v>580</v>
      </c>
      <c r="M194" s="23" t="s">
        <v>529</v>
      </c>
      <c r="N194" s="23" t="s">
        <v>562</v>
      </c>
    </row>
    <row r="195" spans="1:14" ht="63.75" x14ac:dyDescent="0.2">
      <c r="A195" s="436" t="s">
        <v>409</v>
      </c>
      <c r="B195" s="437"/>
      <c r="C195" s="437"/>
      <c r="D195" s="438">
        <f>SUM(D196:D240)</f>
        <v>40.1</v>
      </c>
      <c r="E195" s="438">
        <f t="shared" ref="E195:H195" si="17">SUM(E196:E240)</f>
        <v>74715</v>
      </c>
      <c r="F195" s="438">
        <f t="shared" si="17"/>
        <v>8220.15</v>
      </c>
      <c r="G195" s="438"/>
      <c r="H195" s="438">
        <f t="shared" si="17"/>
        <v>74776.900000000009</v>
      </c>
      <c r="I195" s="437"/>
      <c r="K195" s="23"/>
      <c r="L195" s="23"/>
      <c r="M195" s="23"/>
      <c r="N195" s="23"/>
    </row>
    <row r="196" spans="1:14" ht="25.5" x14ac:dyDescent="0.2">
      <c r="A196" s="421" t="s">
        <v>75</v>
      </c>
      <c r="B196" s="422" t="s">
        <v>357</v>
      </c>
      <c r="C196" s="427" t="s">
        <v>581</v>
      </c>
      <c r="D196" s="423">
        <v>1</v>
      </c>
      <c r="E196" s="424">
        <v>1670</v>
      </c>
      <c r="F196" s="424">
        <f>D196*E196*0.15</f>
        <v>250.5</v>
      </c>
      <c r="G196" s="424"/>
      <c r="H196" s="426">
        <f t="shared" ref="H196:H240" si="18">D196*E196+F196+G196</f>
        <v>1920.5</v>
      </c>
      <c r="I196" s="420">
        <f t="shared" ref="I196:I239" si="19">ROUND((E196+F196+G196)*0.065*D196*12*(1+0.2359),2)</f>
        <v>1851.37</v>
      </c>
      <c r="K196" s="23"/>
      <c r="L196" s="404" t="s">
        <v>581</v>
      </c>
      <c r="M196" s="23" t="s">
        <v>529</v>
      </c>
      <c r="N196" s="23" t="s">
        <v>550</v>
      </c>
    </row>
    <row r="197" spans="1:14" ht="27" customHeight="1" x14ac:dyDescent="0.2">
      <c r="A197" s="421" t="s">
        <v>75</v>
      </c>
      <c r="B197" s="422" t="s">
        <v>357</v>
      </c>
      <c r="C197" s="427" t="s">
        <v>581</v>
      </c>
      <c r="D197" s="423">
        <v>1</v>
      </c>
      <c r="E197" s="424">
        <v>1670</v>
      </c>
      <c r="F197" s="424">
        <f t="shared" ref="F197:F206" si="20">D197*E197*0.15</f>
        <v>250.5</v>
      </c>
      <c r="G197" s="424"/>
      <c r="H197" s="426">
        <f t="shared" si="18"/>
        <v>1920.5</v>
      </c>
      <c r="I197" s="420">
        <f t="shared" si="19"/>
        <v>1851.37</v>
      </c>
      <c r="K197" s="23"/>
      <c r="L197" s="404" t="s">
        <v>581</v>
      </c>
      <c r="M197" s="23" t="s">
        <v>529</v>
      </c>
      <c r="N197" s="23" t="s">
        <v>550</v>
      </c>
    </row>
    <row r="198" spans="1:14" ht="38.25" x14ac:dyDescent="0.2">
      <c r="A198" s="421" t="s">
        <v>9</v>
      </c>
      <c r="B198" s="422" t="s">
        <v>279</v>
      </c>
      <c r="C198" s="427" t="s">
        <v>582</v>
      </c>
      <c r="D198" s="423">
        <v>0.8</v>
      </c>
      <c r="E198" s="424">
        <v>1665</v>
      </c>
      <c r="F198" s="424">
        <f t="shared" si="20"/>
        <v>199.79999999999998</v>
      </c>
      <c r="G198" s="424"/>
      <c r="H198" s="426">
        <f>D198*E198+F198+G198</f>
        <v>1531.8</v>
      </c>
      <c r="I198" s="420">
        <f t="shared" si="19"/>
        <v>1438.14</v>
      </c>
      <c r="K198" s="23"/>
      <c r="L198" s="404" t="s">
        <v>582</v>
      </c>
      <c r="M198" s="23" t="s">
        <v>529</v>
      </c>
      <c r="N198" s="23" t="s">
        <v>565</v>
      </c>
    </row>
    <row r="199" spans="1:14" ht="25.5" x14ac:dyDescent="0.2">
      <c r="A199" s="421" t="s">
        <v>75</v>
      </c>
      <c r="B199" s="422" t="s">
        <v>357</v>
      </c>
      <c r="C199" s="427" t="s">
        <v>581</v>
      </c>
      <c r="D199" s="423">
        <v>1</v>
      </c>
      <c r="E199" s="424">
        <v>1670</v>
      </c>
      <c r="F199" s="424">
        <f t="shared" si="20"/>
        <v>250.5</v>
      </c>
      <c r="G199" s="424"/>
      <c r="H199" s="426">
        <f t="shared" si="18"/>
        <v>1920.5</v>
      </c>
      <c r="I199" s="420">
        <f t="shared" si="19"/>
        <v>1851.37</v>
      </c>
      <c r="K199" s="23"/>
      <c r="L199" s="404" t="s">
        <v>581</v>
      </c>
      <c r="M199" s="23" t="s">
        <v>529</v>
      </c>
      <c r="N199" s="23" t="s">
        <v>561</v>
      </c>
    </row>
    <row r="200" spans="1:14" ht="38.25" x14ac:dyDescent="0.2">
      <c r="A200" s="421" t="s">
        <v>9</v>
      </c>
      <c r="B200" s="422" t="s">
        <v>279</v>
      </c>
      <c r="C200" s="427" t="s">
        <v>582</v>
      </c>
      <c r="D200" s="423">
        <v>1</v>
      </c>
      <c r="E200" s="424">
        <v>1665</v>
      </c>
      <c r="F200" s="424">
        <f>D200*E200*0.08</f>
        <v>133.19999999999999</v>
      </c>
      <c r="G200" s="424"/>
      <c r="H200" s="426">
        <f t="shared" si="18"/>
        <v>1798.2</v>
      </c>
      <c r="I200" s="420">
        <f t="shared" si="19"/>
        <v>1733.47</v>
      </c>
      <c r="K200" s="23"/>
      <c r="L200" s="404" t="s">
        <v>582</v>
      </c>
      <c r="M200" s="23" t="s">
        <v>529</v>
      </c>
      <c r="N200" s="23" t="s">
        <v>561</v>
      </c>
    </row>
    <row r="201" spans="1:14" ht="25.5" x14ac:dyDescent="0.2">
      <c r="A201" s="421" t="s">
        <v>9</v>
      </c>
      <c r="B201" s="422" t="s">
        <v>279</v>
      </c>
      <c r="C201" s="427" t="s">
        <v>583</v>
      </c>
      <c r="D201" s="423">
        <v>1</v>
      </c>
      <c r="E201" s="424">
        <v>1665</v>
      </c>
      <c r="F201" s="424">
        <f t="shared" ref="F201:F202" si="21">D201*E201*0.15</f>
        <v>249.75</v>
      </c>
      <c r="G201" s="424"/>
      <c r="H201" s="426">
        <f t="shared" si="18"/>
        <v>1914.75</v>
      </c>
      <c r="I201" s="420">
        <f t="shared" si="19"/>
        <v>1845.82</v>
      </c>
      <c r="K201" s="23"/>
      <c r="L201" s="404" t="s">
        <v>583</v>
      </c>
      <c r="M201" s="23" t="s">
        <v>529</v>
      </c>
      <c r="N201" s="23" t="s">
        <v>561</v>
      </c>
    </row>
    <row r="202" spans="1:14" ht="25.5" x14ac:dyDescent="0.2">
      <c r="A202" s="421" t="s">
        <v>9</v>
      </c>
      <c r="B202" s="422" t="s">
        <v>279</v>
      </c>
      <c r="C202" s="427" t="s">
        <v>584</v>
      </c>
      <c r="D202" s="423">
        <v>1</v>
      </c>
      <c r="E202" s="424">
        <v>1665</v>
      </c>
      <c r="F202" s="424">
        <f t="shared" si="21"/>
        <v>249.75</v>
      </c>
      <c r="G202" s="424"/>
      <c r="H202" s="426">
        <f t="shared" si="18"/>
        <v>1914.75</v>
      </c>
      <c r="I202" s="420">
        <f t="shared" si="19"/>
        <v>1845.82</v>
      </c>
      <c r="K202" s="23"/>
      <c r="L202" s="404" t="s">
        <v>584</v>
      </c>
      <c r="M202" s="23" t="s">
        <v>529</v>
      </c>
      <c r="N202" s="23" t="s">
        <v>559</v>
      </c>
    </row>
    <row r="203" spans="1:14" ht="38.25" x14ac:dyDescent="0.2">
      <c r="A203" s="421" t="s">
        <v>9</v>
      </c>
      <c r="B203" s="422" t="s">
        <v>279</v>
      </c>
      <c r="C203" s="427" t="s">
        <v>582</v>
      </c>
      <c r="D203" s="423">
        <v>1</v>
      </c>
      <c r="E203" s="424">
        <v>1665</v>
      </c>
      <c r="F203" s="424">
        <f t="shared" si="20"/>
        <v>249.75</v>
      </c>
      <c r="G203" s="424"/>
      <c r="H203" s="426">
        <f t="shared" si="18"/>
        <v>1914.75</v>
      </c>
      <c r="I203" s="420">
        <f t="shared" si="19"/>
        <v>1845.82</v>
      </c>
      <c r="K203" s="23"/>
      <c r="L203" s="404" t="s">
        <v>582</v>
      </c>
      <c r="M203" s="23" t="s">
        <v>529</v>
      </c>
      <c r="N203" s="23" t="s">
        <v>565</v>
      </c>
    </row>
    <row r="204" spans="1:14" ht="25.5" x14ac:dyDescent="0.2">
      <c r="A204" s="421" t="s">
        <v>585</v>
      </c>
      <c r="B204" s="422" t="s">
        <v>357</v>
      </c>
      <c r="C204" s="427" t="s">
        <v>581</v>
      </c>
      <c r="D204" s="423">
        <v>1</v>
      </c>
      <c r="E204" s="424">
        <v>1520</v>
      </c>
      <c r="F204" s="424">
        <f t="shared" si="20"/>
        <v>228</v>
      </c>
      <c r="G204" s="424"/>
      <c r="H204" s="426">
        <f t="shared" si="18"/>
        <v>1748</v>
      </c>
      <c r="I204" s="420">
        <f t="shared" si="19"/>
        <v>1685.08</v>
      </c>
      <c r="K204" s="23"/>
      <c r="L204" s="404" t="s">
        <v>581</v>
      </c>
      <c r="M204" s="23" t="s">
        <v>529</v>
      </c>
      <c r="N204" s="23" t="s">
        <v>565</v>
      </c>
    </row>
    <row r="205" spans="1:14" ht="25.5" x14ac:dyDescent="0.2">
      <c r="A205" s="421" t="s">
        <v>6</v>
      </c>
      <c r="B205" s="422" t="s">
        <v>292</v>
      </c>
      <c r="C205" s="427" t="s">
        <v>586</v>
      </c>
      <c r="D205" s="423">
        <v>1</v>
      </c>
      <c r="E205" s="424">
        <v>1655</v>
      </c>
      <c r="F205" s="424">
        <f>D205*E205*0.15</f>
        <v>248.25</v>
      </c>
      <c r="G205" s="424"/>
      <c r="H205" s="426">
        <f t="shared" si="18"/>
        <v>1903.25</v>
      </c>
      <c r="I205" s="420">
        <f t="shared" si="19"/>
        <v>1834.74</v>
      </c>
      <c r="K205" s="23"/>
      <c r="L205" s="404" t="s">
        <v>586</v>
      </c>
      <c r="M205" s="23" t="s">
        <v>529</v>
      </c>
      <c r="N205" s="23" t="s">
        <v>565</v>
      </c>
    </row>
    <row r="206" spans="1:14" ht="25.5" x14ac:dyDescent="0.2">
      <c r="A206" s="421" t="s">
        <v>6</v>
      </c>
      <c r="B206" s="422" t="s">
        <v>292</v>
      </c>
      <c r="C206" s="427" t="s">
        <v>586</v>
      </c>
      <c r="D206" s="423">
        <v>0.9</v>
      </c>
      <c r="E206" s="424">
        <v>1655</v>
      </c>
      <c r="F206" s="429">
        <f t="shared" si="20"/>
        <v>223.42499999999998</v>
      </c>
      <c r="G206" s="424"/>
      <c r="H206" s="426">
        <f t="shared" si="18"/>
        <v>1712.925</v>
      </c>
      <c r="I206" s="420">
        <f t="shared" si="19"/>
        <v>1629.72</v>
      </c>
      <c r="K206" s="23"/>
      <c r="L206" s="404" t="s">
        <v>586</v>
      </c>
      <c r="M206" s="23" t="s">
        <v>529</v>
      </c>
      <c r="N206" s="23" t="s">
        <v>565</v>
      </c>
    </row>
    <row r="207" spans="1:14" ht="15" customHeight="1" x14ac:dyDescent="0.2">
      <c r="A207" s="421" t="s">
        <v>76</v>
      </c>
      <c r="B207" s="422" t="s">
        <v>280</v>
      </c>
      <c r="C207" s="427" t="s">
        <v>587</v>
      </c>
      <c r="D207" s="423">
        <v>0.2</v>
      </c>
      <c r="E207" s="424">
        <v>1660</v>
      </c>
      <c r="F207" s="424">
        <f>D207*E207*0.1</f>
        <v>33.200000000000003</v>
      </c>
      <c r="G207" s="424"/>
      <c r="H207" s="426">
        <f t="shared" si="18"/>
        <v>365.2</v>
      </c>
      <c r="I207" s="420">
        <f t="shared" si="19"/>
        <v>326.45</v>
      </c>
      <c r="K207" s="23"/>
      <c r="L207" s="404" t="s">
        <v>587</v>
      </c>
      <c r="M207" s="23" t="s">
        <v>529</v>
      </c>
      <c r="N207" s="23" t="s">
        <v>565</v>
      </c>
    </row>
    <row r="208" spans="1:14" ht="18" customHeight="1" x14ac:dyDescent="0.2">
      <c r="A208" s="421" t="s">
        <v>76</v>
      </c>
      <c r="B208" s="422" t="s">
        <v>280</v>
      </c>
      <c r="C208" s="427" t="s">
        <v>587</v>
      </c>
      <c r="D208" s="423">
        <v>0.8</v>
      </c>
      <c r="E208" s="424">
        <v>1660</v>
      </c>
      <c r="F208" s="424">
        <f>D208*E208*0.15</f>
        <v>199.2</v>
      </c>
      <c r="G208" s="424"/>
      <c r="H208" s="426">
        <f t="shared" si="18"/>
        <v>1527.2</v>
      </c>
      <c r="I208" s="420">
        <f t="shared" si="19"/>
        <v>1433.82</v>
      </c>
      <c r="K208" s="23"/>
      <c r="L208" s="404" t="s">
        <v>587</v>
      </c>
      <c r="M208" s="23" t="s">
        <v>529</v>
      </c>
      <c r="N208" s="23" t="s">
        <v>565</v>
      </c>
    </row>
    <row r="209" spans="1:14" ht="26.25" x14ac:dyDescent="0.25">
      <c r="A209" s="421" t="s">
        <v>9</v>
      </c>
      <c r="B209" s="422" t="s">
        <v>279</v>
      </c>
      <c r="C209" s="427" t="s">
        <v>583</v>
      </c>
      <c r="D209" s="423">
        <v>0.8</v>
      </c>
      <c r="E209" s="424">
        <v>1665</v>
      </c>
      <c r="F209" s="424">
        <f t="shared" ref="F209:F226" si="22">D209*E209*0.15</f>
        <v>199.79999999999998</v>
      </c>
      <c r="G209" s="439"/>
      <c r="H209" s="426">
        <f t="shared" si="18"/>
        <v>1531.8</v>
      </c>
      <c r="I209" s="420">
        <f t="shared" si="19"/>
        <v>1438.14</v>
      </c>
      <c r="K209" s="23"/>
      <c r="L209" s="404" t="s">
        <v>583</v>
      </c>
      <c r="M209" s="23" t="s">
        <v>529</v>
      </c>
      <c r="N209" s="23" t="s">
        <v>565</v>
      </c>
    </row>
    <row r="210" spans="1:14" ht="26.25" x14ac:dyDescent="0.25">
      <c r="A210" s="421" t="s">
        <v>75</v>
      </c>
      <c r="B210" s="422" t="s">
        <v>357</v>
      </c>
      <c r="C210" s="427" t="s">
        <v>581</v>
      </c>
      <c r="D210" s="429">
        <v>1</v>
      </c>
      <c r="E210" s="424">
        <v>1670</v>
      </c>
      <c r="F210" s="424">
        <f>D210*E210*0.12</f>
        <v>200.4</v>
      </c>
      <c r="G210" s="439"/>
      <c r="H210" s="426">
        <f t="shared" si="18"/>
        <v>1870.4</v>
      </c>
      <c r="I210" s="420">
        <f t="shared" si="19"/>
        <v>1803.07</v>
      </c>
      <c r="K210" s="23"/>
      <c r="L210" s="404" t="s">
        <v>581</v>
      </c>
      <c r="M210" s="23" t="s">
        <v>529</v>
      </c>
      <c r="N210" s="23" t="s">
        <v>577</v>
      </c>
    </row>
    <row r="211" spans="1:14" ht="39" customHeight="1" x14ac:dyDescent="0.25">
      <c r="A211" s="421" t="s">
        <v>75</v>
      </c>
      <c r="B211" s="422" t="s">
        <v>357</v>
      </c>
      <c r="C211" s="427" t="s">
        <v>588</v>
      </c>
      <c r="D211" s="429">
        <v>1</v>
      </c>
      <c r="E211" s="424">
        <v>1670</v>
      </c>
      <c r="F211" s="424">
        <f>D211*E211*0.08</f>
        <v>133.6</v>
      </c>
      <c r="G211" s="439"/>
      <c r="H211" s="426">
        <f t="shared" si="18"/>
        <v>1803.6</v>
      </c>
      <c r="I211" s="420">
        <f t="shared" si="19"/>
        <v>1738.67</v>
      </c>
      <c r="K211" s="23"/>
      <c r="L211" s="404" t="s">
        <v>588</v>
      </c>
      <c r="M211" s="23" t="s">
        <v>529</v>
      </c>
      <c r="N211" s="23" t="s">
        <v>577</v>
      </c>
    </row>
    <row r="212" spans="1:14" ht="26.25" x14ac:dyDescent="0.25">
      <c r="A212" s="421" t="s">
        <v>75</v>
      </c>
      <c r="B212" s="422" t="s">
        <v>357</v>
      </c>
      <c r="C212" s="427" t="s">
        <v>581</v>
      </c>
      <c r="D212" s="429">
        <v>1</v>
      </c>
      <c r="E212" s="424">
        <v>1670</v>
      </c>
      <c r="F212" s="424">
        <f t="shared" ref="F212" si="23">D212*E212*0.15</f>
        <v>250.5</v>
      </c>
      <c r="G212" s="439"/>
      <c r="H212" s="426">
        <f t="shared" si="18"/>
        <v>1920.5</v>
      </c>
      <c r="I212" s="420">
        <f t="shared" si="19"/>
        <v>1851.37</v>
      </c>
      <c r="K212" s="23"/>
      <c r="L212" s="404" t="s">
        <v>581</v>
      </c>
      <c r="M212" s="23" t="s">
        <v>529</v>
      </c>
      <c r="N212" s="23" t="s">
        <v>577</v>
      </c>
    </row>
    <row r="213" spans="1:14" ht="26.25" x14ac:dyDescent="0.25">
      <c r="A213" s="421" t="s">
        <v>75</v>
      </c>
      <c r="B213" s="422" t="s">
        <v>357</v>
      </c>
      <c r="C213" s="427" t="s">
        <v>581</v>
      </c>
      <c r="D213" s="429">
        <v>1</v>
      </c>
      <c r="E213" s="424">
        <v>1670</v>
      </c>
      <c r="F213" s="424">
        <f>D213*E213*0.08</f>
        <v>133.6</v>
      </c>
      <c r="G213" s="439"/>
      <c r="H213" s="426">
        <f t="shared" si="18"/>
        <v>1803.6</v>
      </c>
      <c r="I213" s="420">
        <f t="shared" si="19"/>
        <v>1738.67</v>
      </c>
      <c r="K213" s="23"/>
      <c r="L213" s="404" t="s">
        <v>581</v>
      </c>
      <c r="M213" s="23" t="s">
        <v>529</v>
      </c>
      <c r="N213" s="23" t="s">
        <v>577</v>
      </c>
    </row>
    <row r="214" spans="1:14" ht="39" x14ac:dyDescent="0.25">
      <c r="A214" s="421" t="s">
        <v>9</v>
      </c>
      <c r="B214" s="422" t="s">
        <v>279</v>
      </c>
      <c r="C214" s="427" t="s">
        <v>582</v>
      </c>
      <c r="D214" s="429">
        <v>1</v>
      </c>
      <c r="E214" s="424">
        <v>1665</v>
      </c>
      <c r="F214" s="424">
        <f>D214*E214*0.05</f>
        <v>83.25</v>
      </c>
      <c r="G214" s="439"/>
      <c r="H214" s="426">
        <f t="shared" si="18"/>
        <v>1748.25</v>
      </c>
      <c r="I214" s="420">
        <f t="shared" si="19"/>
        <v>1685.32</v>
      </c>
      <c r="K214" s="23"/>
      <c r="L214" s="404" t="s">
        <v>582</v>
      </c>
      <c r="M214" s="23" t="s">
        <v>529</v>
      </c>
      <c r="N214" s="23" t="s">
        <v>577</v>
      </c>
    </row>
    <row r="215" spans="1:14" ht="26.25" x14ac:dyDescent="0.25">
      <c r="A215" s="421" t="s">
        <v>75</v>
      </c>
      <c r="B215" s="422" t="s">
        <v>357</v>
      </c>
      <c r="C215" s="427" t="s">
        <v>581</v>
      </c>
      <c r="D215" s="429">
        <v>1</v>
      </c>
      <c r="E215" s="424">
        <v>1670</v>
      </c>
      <c r="F215" s="424">
        <f>D215*E215*0.08</f>
        <v>133.6</v>
      </c>
      <c r="G215" s="439"/>
      <c r="H215" s="426">
        <f t="shared" si="18"/>
        <v>1803.6</v>
      </c>
      <c r="I215" s="420">
        <f t="shared" si="19"/>
        <v>1738.67</v>
      </c>
      <c r="K215" s="23"/>
      <c r="L215" s="404" t="s">
        <v>581</v>
      </c>
      <c r="M215" s="23" t="s">
        <v>529</v>
      </c>
      <c r="N215" s="23" t="s">
        <v>577</v>
      </c>
    </row>
    <row r="216" spans="1:14" ht="26.25" x14ac:dyDescent="0.25">
      <c r="A216" s="421" t="s">
        <v>75</v>
      </c>
      <c r="B216" s="422" t="s">
        <v>357</v>
      </c>
      <c r="C216" s="427" t="s">
        <v>581</v>
      </c>
      <c r="D216" s="429">
        <v>0.5</v>
      </c>
      <c r="E216" s="424">
        <v>1670</v>
      </c>
      <c r="F216" s="424">
        <f>D216*E216*0.08</f>
        <v>66.8</v>
      </c>
      <c r="G216" s="439"/>
      <c r="H216" s="426">
        <f t="shared" si="18"/>
        <v>901.8</v>
      </c>
      <c r="I216" s="420">
        <f t="shared" si="19"/>
        <v>837.14</v>
      </c>
      <c r="K216" s="23"/>
      <c r="L216" s="404" t="s">
        <v>581</v>
      </c>
      <c r="M216" s="23" t="s">
        <v>529</v>
      </c>
      <c r="N216" s="23" t="s">
        <v>577</v>
      </c>
    </row>
    <row r="217" spans="1:14" ht="26.25" x14ac:dyDescent="0.25">
      <c r="A217" s="421" t="s">
        <v>75</v>
      </c>
      <c r="B217" s="422" t="s">
        <v>357</v>
      </c>
      <c r="C217" s="427" t="s">
        <v>581</v>
      </c>
      <c r="D217" s="429">
        <v>1</v>
      </c>
      <c r="E217" s="424">
        <v>1670</v>
      </c>
      <c r="F217" s="424">
        <f t="shared" si="22"/>
        <v>250.5</v>
      </c>
      <c r="G217" s="439"/>
      <c r="H217" s="426">
        <f t="shared" si="18"/>
        <v>1920.5</v>
      </c>
      <c r="I217" s="420">
        <f t="shared" si="19"/>
        <v>1851.37</v>
      </c>
      <c r="K217" s="23"/>
      <c r="L217" s="404" t="s">
        <v>581</v>
      </c>
      <c r="M217" s="23" t="s">
        <v>529</v>
      </c>
      <c r="N217" s="23" t="s">
        <v>577</v>
      </c>
    </row>
    <row r="218" spans="1:14" ht="26.25" x14ac:dyDescent="0.25">
      <c r="A218" s="421" t="s">
        <v>75</v>
      </c>
      <c r="B218" s="422" t="s">
        <v>357</v>
      </c>
      <c r="C218" s="427" t="s">
        <v>581</v>
      </c>
      <c r="D218" s="429">
        <v>0.65</v>
      </c>
      <c r="E218" s="424">
        <v>1670</v>
      </c>
      <c r="F218" s="429">
        <f t="shared" si="22"/>
        <v>162.82499999999999</v>
      </c>
      <c r="G218" s="439"/>
      <c r="H218" s="426">
        <f t="shared" si="18"/>
        <v>1248.325</v>
      </c>
      <c r="I218" s="420">
        <f t="shared" si="19"/>
        <v>1148.45</v>
      </c>
      <c r="K218" s="23"/>
      <c r="L218" s="404" t="s">
        <v>581</v>
      </c>
      <c r="M218" s="23" t="s">
        <v>529</v>
      </c>
      <c r="N218" s="23" t="s">
        <v>577</v>
      </c>
    </row>
    <row r="219" spans="1:14" ht="39" x14ac:dyDescent="0.25">
      <c r="A219" s="421" t="s">
        <v>9</v>
      </c>
      <c r="B219" s="422" t="s">
        <v>279</v>
      </c>
      <c r="C219" s="427" t="s">
        <v>582</v>
      </c>
      <c r="D219" s="429">
        <v>0.5</v>
      </c>
      <c r="E219" s="424">
        <v>1665</v>
      </c>
      <c r="F219" s="424">
        <f>D219*E219*0.05</f>
        <v>41.625</v>
      </c>
      <c r="G219" s="439"/>
      <c r="H219" s="426">
        <f t="shared" si="18"/>
        <v>874.125</v>
      </c>
      <c r="I219" s="420">
        <f t="shared" si="19"/>
        <v>822.59</v>
      </c>
      <c r="K219" s="23"/>
      <c r="L219" s="404" t="s">
        <v>582</v>
      </c>
      <c r="M219" s="23" t="s">
        <v>529</v>
      </c>
      <c r="N219" s="23" t="s">
        <v>577</v>
      </c>
    </row>
    <row r="220" spans="1:14" ht="39" x14ac:dyDescent="0.25">
      <c r="A220" s="421" t="s">
        <v>9</v>
      </c>
      <c r="B220" s="422" t="s">
        <v>279</v>
      </c>
      <c r="C220" s="427" t="s">
        <v>582</v>
      </c>
      <c r="D220" s="429">
        <v>0.5</v>
      </c>
      <c r="E220" s="424">
        <v>1665</v>
      </c>
      <c r="F220" s="424">
        <f>D220*E220*0.15</f>
        <v>124.875</v>
      </c>
      <c r="G220" s="439"/>
      <c r="H220" s="426">
        <f t="shared" si="18"/>
        <v>957.375</v>
      </c>
      <c r="I220" s="420">
        <f t="shared" si="19"/>
        <v>862.72</v>
      </c>
      <c r="K220" s="23"/>
      <c r="L220" s="404" t="s">
        <v>582</v>
      </c>
      <c r="M220" s="23" t="s">
        <v>529</v>
      </c>
      <c r="N220" s="23" t="s">
        <v>577</v>
      </c>
    </row>
    <row r="221" spans="1:14" ht="39" x14ac:dyDescent="0.25">
      <c r="A221" s="421" t="s">
        <v>9</v>
      </c>
      <c r="B221" s="422" t="s">
        <v>279</v>
      </c>
      <c r="C221" s="427" t="s">
        <v>582</v>
      </c>
      <c r="D221" s="429">
        <v>0.5</v>
      </c>
      <c r="E221" s="424">
        <v>1665</v>
      </c>
      <c r="F221" s="424">
        <f>D221*E221*0.08</f>
        <v>66.599999999999994</v>
      </c>
      <c r="G221" s="439"/>
      <c r="H221" s="426">
        <f t="shared" si="18"/>
        <v>899.1</v>
      </c>
      <c r="I221" s="420">
        <f t="shared" si="19"/>
        <v>834.63</v>
      </c>
      <c r="K221" s="23"/>
      <c r="L221" s="404" t="s">
        <v>582</v>
      </c>
      <c r="M221" s="23" t="s">
        <v>529</v>
      </c>
      <c r="N221" s="23" t="s">
        <v>577</v>
      </c>
    </row>
    <row r="222" spans="1:14" ht="26.25" x14ac:dyDescent="0.25">
      <c r="A222" s="421" t="s">
        <v>75</v>
      </c>
      <c r="B222" s="422" t="s">
        <v>357</v>
      </c>
      <c r="C222" s="427" t="s">
        <v>581</v>
      </c>
      <c r="D222" s="429">
        <v>0.85</v>
      </c>
      <c r="E222" s="424">
        <v>1670</v>
      </c>
      <c r="F222" s="429">
        <f t="shared" si="22"/>
        <v>212.92499999999998</v>
      </c>
      <c r="G222" s="439"/>
      <c r="H222" s="426">
        <f t="shared" si="18"/>
        <v>1632.425</v>
      </c>
      <c r="I222" s="420">
        <f t="shared" si="19"/>
        <v>1542.87</v>
      </c>
      <c r="K222" s="23"/>
      <c r="L222" s="404" t="s">
        <v>581</v>
      </c>
      <c r="M222" s="23" t="s">
        <v>529</v>
      </c>
      <c r="N222" s="23" t="s">
        <v>577</v>
      </c>
    </row>
    <row r="223" spans="1:14" ht="26.25" x14ac:dyDescent="0.25">
      <c r="A223" s="421" t="s">
        <v>75</v>
      </c>
      <c r="B223" s="422" t="s">
        <v>357</v>
      </c>
      <c r="C223" s="427" t="s">
        <v>581</v>
      </c>
      <c r="D223" s="429">
        <v>1</v>
      </c>
      <c r="E223" s="424">
        <v>1670</v>
      </c>
      <c r="F223" s="424">
        <f t="shared" si="22"/>
        <v>250.5</v>
      </c>
      <c r="G223" s="439"/>
      <c r="H223" s="426">
        <f t="shared" si="18"/>
        <v>1920.5</v>
      </c>
      <c r="I223" s="420">
        <f t="shared" si="19"/>
        <v>1851.37</v>
      </c>
      <c r="K223" s="23"/>
      <c r="L223" s="404" t="s">
        <v>581</v>
      </c>
      <c r="M223" s="23" t="s">
        <v>529</v>
      </c>
      <c r="N223" s="23" t="s">
        <v>577</v>
      </c>
    </row>
    <row r="224" spans="1:14" ht="26.25" x14ac:dyDescent="0.25">
      <c r="A224" s="421" t="s">
        <v>75</v>
      </c>
      <c r="B224" s="422" t="s">
        <v>357</v>
      </c>
      <c r="C224" s="427" t="s">
        <v>581</v>
      </c>
      <c r="D224" s="429">
        <v>1</v>
      </c>
      <c r="E224" s="424">
        <v>1670</v>
      </c>
      <c r="F224" s="424">
        <f t="shared" si="22"/>
        <v>250.5</v>
      </c>
      <c r="G224" s="439"/>
      <c r="H224" s="426">
        <f t="shared" si="18"/>
        <v>1920.5</v>
      </c>
      <c r="I224" s="420">
        <f t="shared" si="19"/>
        <v>1851.37</v>
      </c>
      <c r="K224" s="23"/>
      <c r="L224" s="404" t="s">
        <v>581</v>
      </c>
      <c r="M224" s="23" t="s">
        <v>529</v>
      </c>
      <c r="N224" s="23" t="s">
        <v>577</v>
      </c>
    </row>
    <row r="225" spans="1:14" ht="26.25" x14ac:dyDescent="0.25">
      <c r="A225" s="421" t="s">
        <v>75</v>
      </c>
      <c r="B225" s="422" t="s">
        <v>357</v>
      </c>
      <c r="C225" s="427" t="s">
        <v>581</v>
      </c>
      <c r="D225" s="429">
        <v>1</v>
      </c>
      <c r="E225" s="424">
        <v>1670</v>
      </c>
      <c r="F225" s="424">
        <f t="shared" si="22"/>
        <v>250.5</v>
      </c>
      <c r="G225" s="439"/>
      <c r="H225" s="426">
        <f t="shared" si="18"/>
        <v>1920.5</v>
      </c>
      <c r="I225" s="420">
        <f t="shared" si="19"/>
        <v>1851.37</v>
      </c>
      <c r="K225" s="23"/>
      <c r="L225" s="404" t="s">
        <v>581</v>
      </c>
      <c r="M225" s="23" t="s">
        <v>529</v>
      </c>
      <c r="N225" s="23" t="s">
        <v>577</v>
      </c>
    </row>
    <row r="226" spans="1:14" ht="26.25" x14ac:dyDescent="0.25">
      <c r="A226" s="421" t="s">
        <v>75</v>
      </c>
      <c r="B226" s="422" t="s">
        <v>357</v>
      </c>
      <c r="C226" s="427" t="s">
        <v>581</v>
      </c>
      <c r="D226" s="429">
        <v>0.85</v>
      </c>
      <c r="E226" s="424">
        <v>1670</v>
      </c>
      <c r="F226" s="429">
        <f t="shared" si="22"/>
        <v>212.92499999999998</v>
      </c>
      <c r="G226" s="439"/>
      <c r="H226" s="426">
        <f t="shared" si="18"/>
        <v>1632.425</v>
      </c>
      <c r="I226" s="420">
        <f t="shared" si="19"/>
        <v>1542.87</v>
      </c>
      <c r="K226" s="23"/>
      <c r="L226" s="404" t="s">
        <v>581</v>
      </c>
      <c r="M226" s="23" t="s">
        <v>529</v>
      </c>
      <c r="N226" s="23" t="s">
        <v>577</v>
      </c>
    </row>
    <row r="227" spans="1:14" ht="39" x14ac:dyDescent="0.25">
      <c r="A227" s="421" t="s">
        <v>585</v>
      </c>
      <c r="B227" s="422" t="s">
        <v>357</v>
      </c>
      <c r="C227" s="427" t="s">
        <v>589</v>
      </c>
      <c r="D227" s="429">
        <v>1</v>
      </c>
      <c r="E227" s="424">
        <v>1520</v>
      </c>
      <c r="F227" s="429">
        <f>D227*E227*0.15</f>
        <v>228</v>
      </c>
      <c r="G227" s="439"/>
      <c r="H227" s="426">
        <f t="shared" si="18"/>
        <v>1748</v>
      </c>
      <c r="I227" s="420">
        <f t="shared" si="19"/>
        <v>1685.08</v>
      </c>
      <c r="K227" s="23"/>
      <c r="L227" s="404" t="s">
        <v>589</v>
      </c>
      <c r="M227" s="23" t="s">
        <v>529</v>
      </c>
      <c r="N227" s="23" t="s">
        <v>577</v>
      </c>
    </row>
    <row r="228" spans="1:14" ht="39" x14ac:dyDescent="0.25">
      <c r="A228" s="421" t="s">
        <v>9</v>
      </c>
      <c r="B228" s="422" t="s">
        <v>279</v>
      </c>
      <c r="C228" s="427" t="s">
        <v>582</v>
      </c>
      <c r="D228" s="429">
        <v>1</v>
      </c>
      <c r="E228" s="424">
        <v>1665</v>
      </c>
      <c r="F228" s="424">
        <f>D228*E228*0.15</f>
        <v>249.75</v>
      </c>
      <c r="G228" s="439"/>
      <c r="H228" s="426">
        <f t="shared" si="18"/>
        <v>1914.75</v>
      </c>
      <c r="I228" s="420">
        <f t="shared" si="19"/>
        <v>1845.82</v>
      </c>
      <c r="K228" s="23"/>
      <c r="L228" s="404" t="s">
        <v>582</v>
      </c>
      <c r="M228" s="23" t="s">
        <v>529</v>
      </c>
      <c r="N228" s="23" t="s">
        <v>577</v>
      </c>
    </row>
    <row r="229" spans="1:14" ht="26.25" x14ac:dyDescent="0.25">
      <c r="A229" s="421" t="s">
        <v>75</v>
      </c>
      <c r="B229" s="422" t="s">
        <v>357</v>
      </c>
      <c r="C229" s="427" t="s">
        <v>581</v>
      </c>
      <c r="D229" s="429">
        <v>1</v>
      </c>
      <c r="E229" s="424">
        <v>1670</v>
      </c>
      <c r="F229" s="429">
        <f>D229*E229*0.12</f>
        <v>200.4</v>
      </c>
      <c r="G229" s="439"/>
      <c r="H229" s="426">
        <f t="shared" si="18"/>
        <v>1870.4</v>
      </c>
      <c r="I229" s="420">
        <f t="shared" si="19"/>
        <v>1803.07</v>
      </c>
      <c r="K229" s="23"/>
      <c r="L229" s="404" t="s">
        <v>581</v>
      </c>
      <c r="M229" s="23" t="s">
        <v>529</v>
      </c>
      <c r="N229" s="23" t="s">
        <v>577</v>
      </c>
    </row>
    <row r="230" spans="1:14" ht="26.25" x14ac:dyDescent="0.25">
      <c r="A230" s="421" t="s">
        <v>75</v>
      </c>
      <c r="B230" s="422" t="s">
        <v>357</v>
      </c>
      <c r="C230" s="427" t="s">
        <v>581</v>
      </c>
      <c r="D230" s="429">
        <v>1</v>
      </c>
      <c r="E230" s="424">
        <v>1670</v>
      </c>
      <c r="F230" s="429">
        <f>D230*E230*0.05</f>
        <v>83.5</v>
      </c>
      <c r="G230" s="439"/>
      <c r="H230" s="426">
        <f t="shared" si="18"/>
        <v>1753.5</v>
      </c>
      <c r="I230" s="420">
        <f t="shared" si="19"/>
        <v>1690.38</v>
      </c>
      <c r="K230" s="23"/>
      <c r="L230" s="404" t="s">
        <v>581</v>
      </c>
      <c r="M230" s="23" t="s">
        <v>529</v>
      </c>
      <c r="N230" s="23" t="s">
        <v>577</v>
      </c>
    </row>
    <row r="231" spans="1:14" ht="26.25" x14ac:dyDescent="0.25">
      <c r="A231" s="421" t="s">
        <v>75</v>
      </c>
      <c r="B231" s="422" t="s">
        <v>357</v>
      </c>
      <c r="C231" s="427" t="s">
        <v>581</v>
      </c>
      <c r="D231" s="429">
        <v>1</v>
      </c>
      <c r="E231" s="424">
        <v>1670</v>
      </c>
      <c r="F231" s="429">
        <f t="shared" ref="F231" si="24">D231*E231*0.15</f>
        <v>250.5</v>
      </c>
      <c r="G231" s="439"/>
      <c r="H231" s="426">
        <f t="shared" si="18"/>
        <v>1920.5</v>
      </c>
      <c r="I231" s="420">
        <f t="shared" si="19"/>
        <v>1851.37</v>
      </c>
      <c r="K231" s="23"/>
      <c r="L231" s="404" t="s">
        <v>581</v>
      </c>
      <c r="M231" s="23" t="s">
        <v>529</v>
      </c>
      <c r="N231" s="23" t="s">
        <v>577</v>
      </c>
    </row>
    <row r="232" spans="1:14" ht="26.25" x14ac:dyDescent="0.25">
      <c r="A232" s="421" t="s">
        <v>75</v>
      </c>
      <c r="B232" s="422" t="s">
        <v>357</v>
      </c>
      <c r="C232" s="427" t="s">
        <v>581</v>
      </c>
      <c r="D232" s="429">
        <v>1</v>
      </c>
      <c r="E232" s="424">
        <v>1670</v>
      </c>
      <c r="F232" s="429">
        <f>D232*E232*0.12</f>
        <v>200.4</v>
      </c>
      <c r="G232" s="439"/>
      <c r="H232" s="426">
        <f t="shared" si="18"/>
        <v>1870.4</v>
      </c>
      <c r="I232" s="420">
        <f t="shared" si="19"/>
        <v>1803.07</v>
      </c>
      <c r="K232" s="23"/>
      <c r="L232" s="404" t="s">
        <v>581</v>
      </c>
      <c r="M232" s="23" t="s">
        <v>529</v>
      </c>
      <c r="N232" s="23" t="s">
        <v>577</v>
      </c>
    </row>
    <row r="233" spans="1:14" ht="26.25" x14ac:dyDescent="0.25">
      <c r="A233" s="421" t="s">
        <v>75</v>
      </c>
      <c r="B233" s="422" t="s">
        <v>357</v>
      </c>
      <c r="C233" s="427" t="s">
        <v>581</v>
      </c>
      <c r="D233" s="429">
        <v>1</v>
      </c>
      <c r="E233" s="424">
        <v>1670</v>
      </c>
      <c r="F233" s="429">
        <f>D233*E233*0.1</f>
        <v>167</v>
      </c>
      <c r="G233" s="439"/>
      <c r="H233" s="426">
        <f t="shared" si="18"/>
        <v>1837</v>
      </c>
      <c r="I233" s="420">
        <f t="shared" si="19"/>
        <v>1770.87</v>
      </c>
      <c r="K233" s="23"/>
      <c r="L233" s="404" t="s">
        <v>581</v>
      </c>
      <c r="M233" s="23" t="s">
        <v>529</v>
      </c>
      <c r="N233" s="23" t="s">
        <v>577</v>
      </c>
    </row>
    <row r="234" spans="1:14" ht="26.25" x14ac:dyDescent="0.25">
      <c r="A234" s="421" t="s">
        <v>75</v>
      </c>
      <c r="B234" s="422" t="s">
        <v>357</v>
      </c>
      <c r="C234" s="427" t="s">
        <v>581</v>
      </c>
      <c r="D234" s="429">
        <v>1</v>
      </c>
      <c r="E234" s="424">
        <v>1670</v>
      </c>
      <c r="F234" s="429">
        <f>D234*E234*0.1</f>
        <v>167</v>
      </c>
      <c r="G234" s="439"/>
      <c r="H234" s="426">
        <f t="shared" si="18"/>
        <v>1837</v>
      </c>
      <c r="I234" s="420">
        <f t="shared" si="19"/>
        <v>1770.87</v>
      </c>
      <c r="K234" s="23"/>
      <c r="L234" s="404" t="s">
        <v>581</v>
      </c>
      <c r="M234" s="23" t="s">
        <v>529</v>
      </c>
      <c r="N234" s="23" t="s">
        <v>577</v>
      </c>
    </row>
    <row r="235" spans="1:14" ht="26.25" x14ac:dyDescent="0.25">
      <c r="A235" s="421" t="s">
        <v>9</v>
      </c>
      <c r="B235" s="422" t="s">
        <v>279</v>
      </c>
      <c r="C235" s="427" t="s">
        <v>584</v>
      </c>
      <c r="D235" s="429">
        <v>1</v>
      </c>
      <c r="E235" s="424">
        <v>1665</v>
      </c>
      <c r="F235" s="424">
        <f>D235*E235*0.05</f>
        <v>83.25</v>
      </c>
      <c r="G235" s="439"/>
      <c r="H235" s="426">
        <f t="shared" si="18"/>
        <v>1748.25</v>
      </c>
      <c r="I235" s="420">
        <f t="shared" si="19"/>
        <v>1685.32</v>
      </c>
      <c r="K235" s="23"/>
      <c r="L235" s="404" t="s">
        <v>584</v>
      </c>
      <c r="M235" s="23" t="s">
        <v>529</v>
      </c>
      <c r="N235" s="23" t="s">
        <v>577</v>
      </c>
    </row>
    <row r="236" spans="1:14" ht="39" x14ac:dyDescent="0.25">
      <c r="A236" s="421" t="s">
        <v>9</v>
      </c>
      <c r="B236" s="422" t="s">
        <v>279</v>
      </c>
      <c r="C236" s="427" t="s">
        <v>582</v>
      </c>
      <c r="D236" s="429">
        <v>1</v>
      </c>
      <c r="E236" s="424">
        <v>1665</v>
      </c>
      <c r="F236" s="424">
        <f>D236*E236*0.08</f>
        <v>133.19999999999999</v>
      </c>
      <c r="G236" s="439"/>
      <c r="H236" s="426">
        <f t="shared" si="18"/>
        <v>1798.2</v>
      </c>
      <c r="I236" s="420">
        <f t="shared" si="19"/>
        <v>1733.47</v>
      </c>
      <c r="K236" s="23"/>
      <c r="L236" s="404" t="s">
        <v>582</v>
      </c>
      <c r="M236" s="23" t="s">
        <v>529</v>
      </c>
      <c r="N236" s="23" t="s">
        <v>577</v>
      </c>
    </row>
    <row r="237" spans="1:14" ht="26.25" x14ac:dyDescent="0.25">
      <c r="A237" s="421" t="s">
        <v>9</v>
      </c>
      <c r="B237" s="422" t="s">
        <v>279</v>
      </c>
      <c r="C237" s="427" t="s">
        <v>583</v>
      </c>
      <c r="D237" s="429">
        <v>1</v>
      </c>
      <c r="E237" s="424">
        <v>1665</v>
      </c>
      <c r="F237" s="424">
        <f>D237*E237*0.15</f>
        <v>249.75</v>
      </c>
      <c r="G237" s="439"/>
      <c r="H237" s="426">
        <f t="shared" si="18"/>
        <v>1914.75</v>
      </c>
      <c r="I237" s="420">
        <f t="shared" si="19"/>
        <v>1845.82</v>
      </c>
      <c r="K237" s="23"/>
      <c r="L237" s="404" t="s">
        <v>583</v>
      </c>
      <c r="M237" s="23" t="s">
        <v>529</v>
      </c>
      <c r="N237" s="23" t="s">
        <v>577</v>
      </c>
    </row>
    <row r="238" spans="1:14" ht="39" x14ac:dyDescent="0.25">
      <c r="A238" s="421" t="s">
        <v>9</v>
      </c>
      <c r="B238" s="422" t="s">
        <v>279</v>
      </c>
      <c r="C238" s="427" t="s">
        <v>582</v>
      </c>
      <c r="D238" s="429">
        <v>0.5</v>
      </c>
      <c r="E238" s="424">
        <v>1665</v>
      </c>
      <c r="F238" s="429">
        <f>D238*E238*0.08</f>
        <v>66.599999999999994</v>
      </c>
      <c r="G238" s="439"/>
      <c r="H238" s="426">
        <f t="shared" si="18"/>
        <v>899.1</v>
      </c>
      <c r="I238" s="420">
        <f t="shared" si="19"/>
        <v>834.63</v>
      </c>
      <c r="K238" s="23"/>
      <c r="L238" s="404" t="s">
        <v>582</v>
      </c>
      <c r="M238" s="23" t="s">
        <v>529</v>
      </c>
      <c r="N238" s="23" t="s">
        <v>553</v>
      </c>
    </row>
    <row r="239" spans="1:14" ht="26.25" x14ac:dyDescent="0.25">
      <c r="A239" s="421" t="s">
        <v>9</v>
      </c>
      <c r="B239" s="422" t="s">
        <v>279</v>
      </c>
      <c r="C239" s="427" t="s">
        <v>583</v>
      </c>
      <c r="D239" s="423">
        <v>1</v>
      </c>
      <c r="E239" s="424">
        <v>1665</v>
      </c>
      <c r="F239" s="429">
        <f>D239*E239*0.15</f>
        <v>249.75</v>
      </c>
      <c r="G239" s="439"/>
      <c r="H239" s="426">
        <f t="shared" si="18"/>
        <v>1914.75</v>
      </c>
      <c r="I239" s="420">
        <f t="shared" si="19"/>
        <v>1845.82</v>
      </c>
      <c r="K239" s="23"/>
      <c r="L239" s="404" t="s">
        <v>583</v>
      </c>
      <c r="M239" s="23" t="s">
        <v>529</v>
      </c>
      <c r="N239" s="23" t="s">
        <v>559</v>
      </c>
    </row>
    <row r="240" spans="1:14" ht="39" x14ac:dyDescent="0.25">
      <c r="A240" s="421" t="s">
        <v>9</v>
      </c>
      <c r="B240" s="422" t="s">
        <v>279</v>
      </c>
      <c r="C240" s="427" t="s">
        <v>582</v>
      </c>
      <c r="D240" s="429">
        <v>0.75</v>
      </c>
      <c r="E240" s="424">
        <v>1665</v>
      </c>
      <c r="F240" s="424">
        <f>D240*E240*0.08</f>
        <v>99.9</v>
      </c>
      <c r="G240" s="439"/>
      <c r="H240" s="426">
        <f t="shared" si="18"/>
        <v>1348.65</v>
      </c>
      <c r="I240" s="420">
        <f>ROUND((E240+F240+G240)*0.065*D240*12*(1+0.2359),2)</f>
        <v>1276.03</v>
      </c>
      <c r="K240" s="23"/>
      <c r="L240" s="404" t="s">
        <v>582</v>
      </c>
      <c r="M240" s="23" t="s">
        <v>529</v>
      </c>
      <c r="N240" s="23" t="s">
        <v>577</v>
      </c>
    </row>
    <row r="241" spans="1:14" ht="25.5" x14ac:dyDescent="0.2">
      <c r="A241" s="287" t="s">
        <v>590</v>
      </c>
      <c r="B241" s="287"/>
      <c r="C241" s="287"/>
      <c r="D241" s="287"/>
      <c r="E241" s="287"/>
      <c r="F241" s="287"/>
      <c r="G241" s="287"/>
      <c r="H241" s="287"/>
      <c r="I241" s="287"/>
      <c r="K241" s="23"/>
      <c r="L241" s="23"/>
      <c r="M241" s="23"/>
      <c r="N241" s="23"/>
    </row>
    <row r="242" spans="1:14" x14ac:dyDescent="0.2">
      <c r="A242" s="440" t="s">
        <v>286</v>
      </c>
      <c r="B242" s="437"/>
      <c r="C242" s="437"/>
      <c r="D242" s="438">
        <f>SUM(D243:D246)</f>
        <v>4</v>
      </c>
      <c r="E242" s="438">
        <f t="shared" ref="E242:H242" si="25">SUM(E243:E246)</f>
        <v>5020</v>
      </c>
      <c r="F242" s="438">
        <f t="shared" si="25"/>
        <v>502</v>
      </c>
      <c r="G242" s="438"/>
      <c r="H242" s="438">
        <f t="shared" si="25"/>
        <v>5522</v>
      </c>
      <c r="I242" s="437"/>
      <c r="K242" s="23"/>
      <c r="L242" s="23"/>
      <c r="M242" s="23"/>
      <c r="N242" s="23"/>
    </row>
    <row r="243" spans="1:14" x14ac:dyDescent="0.2">
      <c r="A243" s="441" t="s">
        <v>591</v>
      </c>
      <c r="B243" s="442" t="s">
        <v>287</v>
      </c>
      <c r="C243" s="275" t="s">
        <v>592</v>
      </c>
      <c r="D243" s="443">
        <v>1</v>
      </c>
      <c r="E243" s="444">
        <v>1255</v>
      </c>
      <c r="F243" s="424">
        <f>D243*E243*0.12</f>
        <v>150.6</v>
      </c>
      <c r="G243" s="444"/>
      <c r="H243" s="426">
        <f>D243*E243+F243+G243</f>
        <v>1405.6</v>
      </c>
      <c r="I243" s="420">
        <f>ROUND((E243+F243+G243)*0.069*D243*12*(1+0.2359),2)</f>
        <v>1438.39</v>
      </c>
      <c r="K243" s="23"/>
      <c r="L243" s="23" t="s">
        <v>592</v>
      </c>
      <c r="M243" s="23" t="s">
        <v>529</v>
      </c>
      <c r="N243" s="23" t="s">
        <v>553</v>
      </c>
    </row>
    <row r="244" spans="1:14" x14ac:dyDescent="0.2">
      <c r="A244" s="441" t="s">
        <v>591</v>
      </c>
      <c r="B244" s="442" t="s">
        <v>287</v>
      </c>
      <c r="C244" s="275" t="s">
        <v>592</v>
      </c>
      <c r="D244" s="443">
        <v>1</v>
      </c>
      <c r="E244" s="444">
        <v>1255</v>
      </c>
      <c r="F244" s="424">
        <f>D244*E244*0.05</f>
        <v>62.75</v>
      </c>
      <c r="G244" s="444"/>
      <c r="H244" s="426">
        <f t="shared" ref="H244:H246" si="26">D244*E244+F244+G244</f>
        <v>1317.75</v>
      </c>
      <c r="I244" s="420">
        <f t="shared" ref="I244:I246" si="27">ROUND((E244+F244+G244)*0.069*D244*12*(1+0.2359),2)</f>
        <v>1348.49</v>
      </c>
      <c r="K244" s="23"/>
      <c r="L244" s="23" t="s">
        <v>592</v>
      </c>
      <c r="M244" s="23" t="s">
        <v>529</v>
      </c>
      <c r="N244" s="23" t="s">
        <v>553</v>
      </c>
    </row>
    <row r="245" spans="1:14" x14ac:dyDescent="0.2">
      <c r="A245" s="441" t="s">
        <v>591</v>
      </c>
      <c r="B245" s="442" t="s">
        <v>287</v>
      </c>
      <c r="C245" s="275" t="s">
        <v>592</v>
      </c>
      <c r="D245" s="443">
        <v>1</v>
      </c>
      <c r="E245" s="444">
        <v>1255</v>
      </c>
      <c r="F245" s="424">
        <f>D245*E245*0.08</f>
        <v>100.4</v>
      </c>
      <c r="G245" s="444"/>
      <c r="H245" s="426">
        <f t="shared" si="26"/>
        <v>1355.4</v>
      </c>
      <c r="I245" s="420">
        <f t="shared" si="27"/>
        <v>1387.01</v>
      </c>
      <c r="J245" s="459"/>
      <c r="K245" s="23"/>
      <c r="L245" s="23" t="s">
        <v>592</v>
      </c>
      <c r="M245" s="23" t="s">
        <v>529</v>
      </c>
      <c r="N245" s="23" t="s">
        <v>553</v>
      </c>
    </row>
    <row r="246" spans="1:14" ht="15.75" thickBot="1" x14ac:dyDescent="0.3">
      <c r="A246" s="441" t="s">
        <v>591</v>
      </c>
      <c r="B246" s="442" t="s">
        <v>287</v>
      </c>
      <c r="C246" s="275" t="s">
        <v>592</v>
      </c>
      <c r="D246" s="443">
        <v>1</v>
      </c>
      <c r="E246" s="444">
        <v>1255</v>
      </c>
      <c r="F246" s="424">
        <f t="shared" ref="F246" si="28">D246*E246*0.15</f>
        <v>188.25</v>
      </c>
      <c r="G246" s="445"/>
      <c r="H246" s="426">
        <f t="shared" si="26"/>
        <v>1443.25</v>
      </c>
      <c r="I246" s="420">
        <f t="shared" si="27"/>
        <v>1476.91</v>
      </c>
      <c r="K246" s="23"/>
      <c r="L246" s="23" t="s">
        <v>592</v>
      </c>
      <c r="M246" s="23" t="s">
        <v>529</v>
      </c>
      <c r="N246" s="23" t="s">
        <v>553</v>
      </c>
    </row>
    <row r="247" spans="1:14" ht="15.75" thickBot="1" x14ac:dyDescent="0.3">
      <c r="A247" s="405" t="s">
        <v>14</v>
      </c>
      <c r="B247" s="406"/>
      <c r="C247" s="406"/>
      <c r="D247" s="407">
        <f>D242+D195+D191+D149</f>
        <v>72.400000000000006</v>
      </c>
      <c r="E247" s="408" t="s">
        <v>69</v>
      </c>
      <c r="F247" s="408" t="s">
        <v>69</v>
      </c>
      <c r="G247" s="408" t="s">
        <v>69</v>
      </c>
      <c r="H247" s="409" t="s">
        <v>69</v>
      </c>
      <c r="I247" s="512">
        <f>SUM(I150:I246)</f>
        <v>182890.77000000011</v>
      </c>
      <c r="J247" s="459"/>
    </row>
    <row r="248" spans="1:14" ht="13.5" thickBot="1" x14ac:dyDescent="0.25">
      <c r="K248" s="453"/>
    </row>
    <row r="249" spans="1:14" ht="15.75" customHeight="1" x14ac:dyDescent="0.2">
      <c r="A249" s="769" t="s">
        <v>593</v>
      </c>
      <c r="B249" s="770"/>
      <c r="C249" s="770"/>
      <c r="D249" s="770"/>
      <c r="E249" s="770"/>
      <c r="F249" s="770"/>
      <c r="G249" s="770"/>
      <c r="H249" s="770"/>
      <c r="I249" s="771"/>
      <c r="K249" s="23"/>
      <c r="L249" s="23"/>
      <c r="M249" s="23"/>
      <c r="N249" s="23"/>
    </row>
    <row r="250" spans="1:14" ht="13.5" x14ac:dyDescent="0.2">
      <c r="A250" s="772" t="s">
        <v>594</v>
      </c>
      <c r="B250" s="773"/>
      <c r="C250" s="773"/>
      <c r="D250" s="773"/>
      <c r="E250" s="773"/>
      <c r="F250" s="773"/>
      <c r="G250" s="773"/>
      <c r="H250" s="773"/>
      <c r="I250" s="774"/>
      <c r="K250" s="23"/>
      <c r="L250" s="23"/>
      <c r="M250" s="23"/>
      <c r="N250" s="23"/>
    </row>
    <row r="251" spans="1:14" ht="12.75" customHeight="1" x14ac:dyDescent="0.2">
      <c r="A251" s="401" t="s">
        <v>23</v>
      </c>
      <c r="B251" s="402"/>
      <c r="C251" s="402"/>
      <c r="D251" s="402"/>
      <c r="E251" s="402"/>
      <c r="F251" s="402"/>
      <c r="G251" s="402"/>
      <c r="H251" s="402"/>
      <c r="I251" s="403"/>
      <c r="K251" s="23"/>
      <c r="L251" s="23"/>
      <c r="M251" s="23"/>
      <c r="N251" s="23"/>
    </row>
    <row r="252" spans="1:14" ht="54" customHeight="1" x14ac:dyDescent="0.2">
      <c r="A252" s="446" t="s">
        <v>409</v>
      </c>
      <c r="B252" s="446"/>
      <c r="C252" s="446"/>
      <c r="D252" s="447">
        <f>SUM(D253:D254)</f>
        <v>4</v>
      </c>
      <c r="E252" s="447">
        <f t="shared" ref="E252:H252" si="29">SUM(E253:E254)</f>
        <v>2309</v>
      </c>
      <c r="F252" s="447">
        <f t="shared" si="29"/>
        <v>346.35</v>
      </c>
      <c r="G252" s="447">
        <f t="shared" si="29"/>
        <v>369.44</v>
      </c>
      <c r="H252" s="447">
        <f t="shared" si="29"/>
        <v>5410.79</v>
      </c>
      <c r="I252" s="446"/>
      <c r="K252" s="23"/>
      <c r="L252" s="23"/>
      <c r="M252" s="23"/>
      <c r="N252" s="23"/>
    </row>
    <row r="253" spans="1:14" ht="25.5" x14ac:dyDescent="0.2">
      <c r="A253" s="448" t="s">
        <v>595</v>
      </c>
      <c r="B253" s="449" t="s">
        <v>279</v>
      </c>
      <c r="C253" s="427" t="s">
        <v>584</v>
      </c>
      <c r="D253" s="450">
        <v>3</v>
      </c>
      <c r="E253" s="451">
        <v>1193</v>
      </c>
      <c r="F253" s="451">
        <v>178.95</v>
      </c>
      <c r="G253" s="451">
        <v>190.88</v>
      </c>
      <c r="H253" s="452">
        <f t="shared" ref="H253:H254" si="30">D253*E253+F253+G253</f>
        <v>3948.83</v>
      </c>
      <c r="I253" s="410">
        <f>ROUND((E253+F253+G253)*0.065*D253*12*(1+0.2359),2)</f>
        <v>4519.71</v>
      </c>
      <c r="K253" s="23"/>
      <c r="L253" s="404" t="s">
        <v>584</v>
      </c>
      <c r="M253" s="23" t="s">
        <v>529</v>
      </c>
      <c r="N253" s="23"/>
    </row>
    <row r="254" spans="1:14" ht="26.25" thickBot="1" x14ac:dyDescent="0.25">
      <c r="A254" s="448" t="s">
        <v>596</v>
      </c>
      <c r="B254" s="449" t="s">
        <v>373</v>
      </c>
      <c r="C254" s="427" t="s">
        <v>581</v>
      </c>
      <c r="D254" s="450">
        <v>1</v>
      </c>
      <c r="E254" s="451">
        <v>1116</v>
      </c>
      <c r="F254" s="451">
        <v>167.4</v>
      </c>
      <c r="G254" s="451">
        <v>178.56</v>
      </c>
      <c r="H254" s="452">
        <f t="shared" si="30"/>
        <v>1461.96</v>
      </c>
      <c r="I254" s="410">
        <f>ROUND((E254+F254+G254)*0.065*D254*12*(1+0.2359),2)</f>
        <v>1409.33</v>
      </c>
      <c r="K254" s="23"/>
      <c r="L254" s="404" t="s">
        <v>581</v>
      </c>
      <c r="M254" s="23" t="s">
        <v>529</v>
      </c>
      <c r="N254" s="23"/>
    </row>
    <row r="255" spans="1:14" ht="15.75" thickBot="1" x14ac:dyDescent="0.3">
      <c r="A255" s="405" t="s">
        <v>14</v>
      </c>
      <c r="B255" s="406"/>
      <c r="C255" s="406"/>
      <c r="D255" s="407">
        <f>D253+D254</f>
        <v>4</v>
      </c>
      <c r="E255" s="408" t="s">
        <v>69</v>
      </c>
      <c r="F255" s="408" t="s">
        <v>69</v>
      </c>
      <c r="G255" s="408" t="s">
        <v>69</v>
      </c>
      <c r="H255" s="409" t="s">
        <v>69</v>
      </c>
      <c r="I255" s="512">
        <f>I253+I254</f>
        <v>5929.04</v>
      </c>
    </row>
  </sheetData>
  <mergeCells count="19">
    <mergeCell ref="A85:H85"/>
    <mergeCell ref="A146:I146"/>
    <mergeCell ref="A147:I147"/>
    <mergeCell ref="A249:I249"/>
    <mergeCell ref="A250:I250"/>
    <mergeCell ref="A7:H7"/>
    <mergeCell ref="A8:H8"/>
    <mergeCell ref="A9:H9"/>
    <mergeCell ref="F4:F5"/>
    <mergeCell ref="H1:I1"/>
    <mergeCell ref="A2:I2"/>
    <mergeCell ref="E4:E5"/>
    <mergeCell ref="G4:G5"/>
    <mergeCell ref="H4:H5"/>
    <mergeCell ref="I4:I5"/>
    <mergeCell ref="A4:A5"/>
    <mergeCell ref="B4:B5"/>
    <mergeCell ref="C4:C5"/>
    <mergeCell ref="D4:D5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EB173-90B8-4D6E-84E1-0954A406924B}">
  <sheetPr>
    <tabColor theme="9" tint="0.79998168889431442"/>
  </sheetPr>
  <dimension ref="A1:M120"/>
  <sheetViews>
    <sheetView topLeftCell="A52" zoomScaleNormal="100" workbookViewId="0">
      <selection activeCell="K13" sqref="K13"/>
    </sheetView>
  </sheetViews>
  <sheetFormatPr defaultRowHeight="15" x14ac:dyDescent="0.25"/>
  <cols>
    <col min="1" max="1" width="40.140625" customWidth="1"/>
    <col min="2" max="2" width="15.42578125" customWidth="1"/>
    <col min="3" max="3" width="14.7109375" customWidth="1"/>
    <col min="4" max="4" width="10.42578125" customWidth="1"/>
    <col min="6" max="6" width="10" customWidth="1"/>
    <col min="8" max="8" width="12.28515625" customWidth="1"/>
    <col min="9" max="9" width="14.140625" customWidth="1"/>
    <col min="10" max="10" width="14" bestFit="1" customWidth="1"/>
    <col min="11" max="11" width="14" customWidth="1"/>
    <col min="12" max="12" width="21.85546875" customWidth="1"/>
    <col min="13" max="13" width="18.85546875" customWidth="1"/>
  </cols>
  <sheetData>
    <row r="1" spans="1:13" x14ac:dyDescent="0.25">
      <c r="H1" s="710" t="s">
        <v>674</v>
      </c>
      <c r="I1" s="710"/>
    </row>
    <row r="2" spans="1:13" ht="15" customHeight="1" x14ac:dyDescent="0.25">
      <c r="A2" s="776" t="s">
        <v>615</v>
      </c>
      <c r="B2" s="776"/>
      <c r="C2" s="776"/>
      <c r="D2" s="776"/>
      <c r="E2" s="776"/>
      <c r="F2" s="776"/>
      <c r="G2" s="776"/>
      <c r="H2" s="776"/>
      <c r="I2" s="370"/>
    </row>
    <row r="3" spans="1:13" ht="15.75" x14ac:dyDescent="0.25">
      <c r="A3" s="776"/>
      <c r="B3" s="776"/>
      <c r="C3" s="776"/>
      <c r="D3" s="776"/>
      <c r="E3" s="776"/>
      <c r="F3" s="776"/>
      <c r="G3" s="776"/>
      <c r="H3" s="776"/>
      <c r="I3" s="370"/>
    </row>
    <row r="4" spans="1:13" ht="16.5" customHeight="1" x14ac:dyDescent="0.25"/>
    <row r="5" spans="1:13" ht="15.75" x14ac:dyDescent="0.25">
      <c r="A5" s="777" t="s">
        <v>0</v>
      </c>
      <c r="B5" s="777"/>
      <c r="C5" s="777"/>
      <c r="D5" s="777"/>
      <c r="E5" s="777"/>
      <c r="F5" s="777"/>
      <c r="G5" s="777"/>
      <c r="H5" s="777"/>
      <c r="I5" s="777"/>
    </row>
    <row r="6" spans="1:13" x14ac:dyDescent="0.25">
      <c r="A6" s="778" t="s">
        <v>20</v>
      </c>
      <c r="B6" s="778" t="s">
        <v>270</v>
      </c>
      <c r="C6" s="778" t="s">
        <v>271</v>
      </c>
      <c r="D6" s="780" t="s">
        <v>21</v>
      </c>
      <c r="E6" s="778" t="s">
        <v>22</v>
      </c>
      <c r="F6" s="778" t="s">
        <v>521</v>
      </c>
      <c r="G6" s="778" t="s">
        <v>616</v>
      </c>
      <c r="H6" s="778" t="s">
        <v>617</v>
      </c>
      <c r="I6" s="779" t="s">
        <v>618</v>
      </c>
    </row>
    <row r="7" spans="1:13" ht="68.25" customHeight="1" x14ac:dyDescent="0.25">
      <c r="A7" s="778"/>
      <c r="B7" s="778"/>
      <c r="C7" s="778"/>
      <c r="D7" s="780"/>
      <c r="E7" s="778"/>
      <c r="F7" s="778"/>
      <c r="G7" s="778"/>
      <c r="H7" s="778"/>
      <c r="I7" s="779"/>
      <c r="K7" s="479" t="s">
        <v>525</v>
      </c>
      <c r="L7" s="479" t="s">
        <v>271</v>
      </c>
      <c r="M7" s="479" t="s">
        <v>526</v>
      </c>
    </row>
    <row r="8" spans="1:13" ht="16.5" customHeight="1" x14ac:dyDescent="0.25">
      <c r="A8" s="750" t="s">
        <v>17</v>
      </c>
      <c r="B8" s="750"/>
      <c r="C8" s="750"/>
      <c r="D8" s="750"/>
      <c r="E8" s="750"/>
      <c r="F8" s="750"/>
      <c r="G8" s="750"/>
      <c r="H8" s="750"/>
      <c r="I8" s="369"/>
      <c r="K8" s="368"/>
      <c r="L8" s="368"/>
      <c r="M8" s="368"/>
    </row>
    <row r="9" spans="1:13" x14ac:dyDescent="0.25">
      <c r="A9" s="775" t="s">
        <v>19</v>
      </c>
      <c r="B9" s="775"/>
      <c r="C9" s="775"/>
      <c r="D9" s="775"/>
      <c r="E9" s="775"/>
      <c r="F9" s="775"/>
      <c r="G9" s="775"/>
      <c r="H9" s="775"/>
      <c r="I9" s="371"/>
      <c r="K9" s="368"/>
      <c r="L9" s="368"/>
      <c r="M9" s="368"/>
    </row>
    <row r="10" spans="1:13" x14ac:dyDescent="0.25">
      <c r="A10" s="298" t="s">
        <v>23</v>
      </c>
      <c r="B10" s="298"/>
      <c r="C10" s="298"/>
      <c r="D10" s="299"/>
      <c r="E10" s="12"/>
      <c r="F10" s="12"/>
      <c r="G10" s="12"/>
      <c r="H10" s="496"/>
      <c r="I10" s="497">
        <f>I11+I49</f>
        <v>4089023.72</v>
      </c>
      <c r="K10" s="368"/>
      <c r="L10" s="368"/>
      <c r="M10" s="368"/>
    </row>
    <row r="11" spans="1:13" ht="15.75" customHeight="1" x14ac:dyDescent="0.25">
      <c r="A11" s="300" t="s">
        <v>70</v>
      </c>
      <c r="B11" s="300"/>
      <c r="C11" s="300"/>
      <c r="D11" s="5"/>
      <c r="E11" s="6"/>
      <c r="F11" s="6"/>
      <c r="G11" s="6"/>
      <c r="H11" s="498"/>
      <c r="I11" s="499">
        <f>SUM(I12:I48)</f>
        <v>1166724.5999999996</v>
      </c>
      <c r="K11" s="368"/>
      <c r="L11" s="368"/>
      <c r="M11" s="368"/>
    </row>
    <row r="12" spans="1:13" x14ac:dyDescent="0.25">
      <c r="A12" s="489" t="s">
        <v>619</v>
      </c>
      <c r="B12" s="486" t="s">
        <v>297</v>
      </c>
      <c r="C12" s="454" t="s">
        <v>302</v>
      </c>
      <c r="D12" s="491">
        <v>1</v>
      </c>
      <c r="E12" s="51">
        <v>2500</v>
      </c>
      <c r="F12" s="482">
        <v>74.924999999999997</v>
      </c>
      <c r="G12" s="482">
        <v>75</v>
      </c>
      <c r="H12" s="482">
        <f>E12+F12+G12</f>
        <v>2649.9250000000002</v>
      </c>
      <c r="I12" s="500">
        <f>ROUND((E12+F12+G12)*('[4]29_01_H_2020'!$O$9)*D12*12*(1+'[4]29_01_H_2020'!$O$24),2)</f>
        <v>4165.8500000000004</v>
      </c>
      <c r="J12" s="24"/>
      <c r="K12" s="464" t="s">
        <v>620</v>
      </c>
      <c r="L12" s="368" t="s">
        <v>302</v>
      </c>
      <c r="M12" s="368" t="s">
        <v>621</v>
      </c>
    </row>
    <row r="13" spans="1:13" x14ac:dyDescent="0.25">
      <c r="A13" s="489" t="s">
        <v>25</v>
      </c>
      <c r="B13" s="486" t="s">
        <v>299</v>
      </c>
      <c r="C13" s="454" t="s">
        <v>298</v>
      </c>
      <c r="D13" s="491">
        <v>4</v>
      </c>
      <c r="E13" s="51">
        <v>1647</v>
      </c>
      <c r="F13" s="482">
        <v>49.41</v>
      </c>
      <c r="G13" s="482">
        <v>131.76</v>
      </c>
      <c r="H13" s="482">
        <f t="shared" ref="H13:H48" si="0">E13+F13+G13</f>
        <v>1828.17</v>
      </c>
      <c r="I13" s="500">
        <f>ROUND((E13+F13+G13)*('[4]29_01_H_2020'!$O$9)*D13*12*(1+'[4]29_01_H_2020'!$O$24),2)</f>
        <v>11496.01</v>
      </c>
      <c r="J13" s="24"/>
      <c r="K13" s="464" t="s">
        <v>622</v>
      </c>
      <c r="L13" s="368" t="s">
        <v>298</v>
      </c>
      <c r="M13" s="368" t="s">
        <v>621</v>
      </c>
    </row>
    <row r="14" spans="1:13" ht="25.5" x14ac:dyDescent="0.25">
      <c r="A14" s="489" t="s">
        <v>26</v>
      </c>
      <c r="B14" s="486" t="s">
        <v>300</v>
      </c>
      <c r="C14" s="454" t="s">
        <v>301</v>
      </c>
      <c r="D14" s="491">
        <v>28.5</v>
      </c>
      <c r="E14" s="51">
        <v>2250</v>
      </c>
      <c r="F14" s="482">
        <v>67.5</v>
      </c>
      <c r="G14" s="482">
        <v>1164.3750000000002</v>
      </c>
      <c r="H14" s="482">
        <f t="shared" si="0"/>
        <v>3481.875</v>
      </c>
      <c r="I14" s="500">
        <f>ROUND((E14+F14+G14)*('[4]29_01_H_2020'!$O$9)*D14*12*(1+'[4]29_01_H_2020'!$O$24),2)</f>
        <v>156001.39000000001</v>
      </c>
      <c r="J14" s="24"/>
      <c r="K14" s="464" t="s">
        <v>623</v>
      </c>
      <c r="L14" s="368" t="s">
        <v>301</v>
      </c>
      <c r="M14" s="368" t="s">
        <v>621</v>
      </c>
    </row>
    <row r="15" spans="1:13" x14ac:dyDescent="0.25">
      <c r="A15" s="489" t="s">
        <v>27</v>
      </c>
      <c r="B15" s="486" t="s">
        <v>297</v>
      </c>
      <c r="C15" s="490" t="s">
        <v>302</v>
      </c>
      <c r="D15" s="491">
        <v>42.75</v>
      </c>
      <c r="E15" s="51">
        <v>2000</v>
      </c>
      <c r="F15" s="482">
        <v>60</v>
      </c>
      <c r="G15" s="482">
        <v>1035.0000000000002</v>
      </c>
      <c r="H15" s="482">
        <f t="shared" si="0"/>
        <v>3095</v>
      </c>
      <c r="I15" s="500">
        <f>ROUND((E15+F15+G15)*('[4]29_01_H_2020'!$O$9)*D15*12*(1+'[4]29_01_H_2020'!$O$24),2)</f>
        <v>208001.86</v>
      </c>
      <c r="J15" s="24"/>
      <c r="K15" s="464" t="s">
        <v>620</v>
      </c>
      <c r="L15" s="368" t="s">
        <v>302</v>
      </c>
      <c r="M15" s="368" t="s">
        <v>621</v>
      </c>
    </row>
    <row r="16" spans="1:13" ht="25.5" x14ac:dyDescent="0.25">
      <c r="A16" s="489" t="s">
        <v>624</v>
      </c>
      <c r="B16" s="486" t="s">
        <v>297</v>
      </c>
      <c r="C16" s="490" t="s">
        <v>303</v>
      </c>
      <c r="D16" s="491">
        <v>4.75</v>
      </c>
      <c r="E16" s="51">
        <v>2250</v>
      </c>
      <c r="F16" s="482">
        <v>67.5</v>
      </c>
      <c r="G16" s="482">
        <v>1179.6975000000002</v>
      </c>
      <c r="H16" s="482">
        <f t="shared" si="0"/>
        <v>3497.1975000000002</v>
      </c>
      <c r="I16" s="500">
        <f>ROUND((E16+F16+G16)*('[4]29_01_H_2020'!$O$9)*D16*12*(1+'[4]29_01_H_2020'!$O$24),2)</f>
        <v>26114.65</v>
      </c>
      <c r="J16" s="24"/>
      <c r="K16" s="464" t="s">
        <v>625</v>
      </c>
      <c r="L16" s="368" t="s">
        <v>303</v>
      </c>
      <c r="M16" s="368" t="s">
        <v>621</v>
      </c>
    </row>
    <row r="17" spans="1:13" x14ac:dyDescent="0.25">
      <c r="A17" s="489" t="s">
        <v>28</v>
      </c>
      <c r="B17" s="486" t="s">
        <v>304</v>
      </c>
      <c r="C17" s="490" t="s">
        <v>303</v>
      </c>
      <c r="D17" s="491">
        <v>4.75</v>
      </c>
      <c r="E17" s="51">
        <v>2250</v>
      </c>
      <c r="F17" s="482">
        <v>67.5</v>
      </c>
      <c r="G17" s="482">
        <v>1164.3750000000002</v>
      </c>
      <c r="H17" s="482">
        <f t="shared" si="0"/>
        <v>3481.875</v>
      </c>
      <c r="I17" s="500">
        <f>ROUND((E17+F17+G17)*('[4]29_01_H_2020'!$O$9)*D17*12*(1+'[4]29_01_H_2020'!$O$24),2)</f>
        <v>26000.23</v>
      </c>
      <c r="J17" s="24"/>
      <c r="K17" s="464" t="s">
        <v>625</v>
      </c>
      <c r="L17" s="368" t="s">
        <v>303</v>
      </c>
      <c r="M17" s="368" t="s">
        <v>621</v>
      </c>
    </row>
    <row r="18" spans="1:13" x14ac:dyDescent="0.25">
      <c r="A18" s="489" t="s">
        <v>231</v>
      </c>
      <c r="B18" s="486" t="s">
        <v>304</v>
      </c>
      <c r="C18" s="490" t="s">
        <v>303</v>
      </c>
      <c r="D18" s="491">
        <v>4.75</v>
      </c>
      <c r="E18" s="51">
        <v>2250</v>
      </c>
      <c r="F18" s="482">
        <v>67.5</v>
      </c>
      <c r="G18" s="482">
        <v>1164.3750000000002</v>
      </c>
      <c r="H18" s="482">
        <f t="shared" si="0"/>
        <v>3481.875</v>
      </c>
      <c r="I18" s="500">
        <f>ROUND((E18+F18+G18)*('[4]29_01_H_2020'!$O$9)*D18*12*(1+'[4]29_01_H_2020'!$O$24),2)</f>
        <v>26000.23</v>
      </c>
      <c r="J18" s="24"/>
      <c r="K18" s="464" t="s">
        <v>625</v>
      </c>
      <c r="L18" s="368" t="s">
        <v>303</v>
      </c>
      <c r="M18" s="368" t="s">
        <v>621</v>
      </c>
    </row>
    <row r="19" spans="1:13" x14ac:dyDescent="0.25">
      <c r="A19" s="489" t="s">
        <v>29</v>
      </c>
      <c r="B19" s="486" t="s">
        <v>305</v>
      </c>
      <c r="C19" s="490" t="s">
        <v>306</v>
      </c>
      <c r="D19" s="491">
        <v>9.5</v>
      </c>
      <c r="E19" s="51">
        <v>2250</v>
      </c>
      <c r="F19" s="482">
        <v>67.5</v>
      </c>
      <c r="G19" s="482">
        <v>1164.3750000000002</v>
      </c>
      <c r="H19" s="482">
        <f t="shared" si="0"/>
        <v>3481.875</v>
      </c>
      <c r="I19" s="500">
        <f>ROUND((E19+F19+G19)*('[4]29_01_H_2020'!$O$9)*D19*12*(1+'[4]29_01_H_2020'!$O$24),2)</f>
        <v>52000.46</v>
      </c>
      <c r="J19" s="24"/>
      <c r="K19" s="464" t="s">
        <v>626</v>
      </c>
      <c r="L19" s="368" t="s">
        <v>306</v>
      </c>
      <c r="M19" s="368" t="s">
        <v>621</v>
      </c>
    </row>
    <row r="20" spans="1:13" x14ac:dyDescent="0.25">
      <c r="A20" s="489" t="s">
        <v>28</v>
      </c>
      <c r="B20" s="486" t="s">
        <v>304</v>
      </c>
      <c r="C20" s="490" t="s">
        <v>303</v>
      </c>
      <c r="D20" s="491">
        <v>4.75</v>
      </c>
      <c r="E20" s="51">
        <v>2900</v>
      </c>
      <c r="F20" s="482">
        <v>87</v>
      </c>
      <c r="G20" s="482">
        <v>203.00000000000003</v>
      </c>
      <c r="H20" s="482">
        <f t="shared" si="0"/>
        <v>3190</v>
      </c>
      <c r="I20" s="500">
        <f>ROUND((E20+F20+G20)*('[4]29_01_H_2020'!$O$9)*D20*12*(1+'[4]29_01_H_2020'!$O$24),2)</f>
        <v>23820.71</v>
      </c>
      <c r="J20" s="24"/>
      <c r="K20" s="464" t="s">
        <v>625</v>
      </c>
      <c r="L20" s="368" t="s">
        <v>303</v>
      </c>
      <c r="M20" s="368" t="s">
        <v>621</v>
      </c>
    </row>
    <row r="21" spans="1:13" x14ac:dyDescent="0.25">
      <c r="A21" s="489" t="s">
        <v>30</v>
      </c>
      <c r="B21" s="486" t="s">
        <v>307</v>
      </c>
      <c r="C21" s="490" t="s">
        <v>308</v>
      </c>
      <c r="D21" s="491">
        <v>4.75</v>
      </c>
      <c r="E21" s="51">
        <v>2900</v>
      </c>
      <c r="F21" s="482">
        <v>87</v>
      </c>
      <c r="G21" s="482">
        <v>203.00000000000003</v>
      </c>
      <c r="H21" s="482">
        <f t="shared" si="0"/>
        <v>3190</v>
      </c>
      <c r="I21" s="500">
        <f>ROUND((E21+F21+G21)*('[4]29_01_H_2020'!$O$9)*D21*12*(1+'[4]29_01_H_2020'!$O$24),2)</f>
        <v>23820.71</v>
      </c>
      <c r="J21" s="24"/>
      <c r="K21" s="464" t="s">
        <v>627</v>
      </c>
      <c r="L21" s="368" t="s">
        <v>308</v>
      </c>
      <c r="M21" s="368" t="s">
        <v>621</v>
      </c>
    </row>
    <row r="22" spans="1:13" x14ac:dyDescent="0.25">
      <c r="A22" s="489" t="s">
        <v>31</v>
      </c>
      <c r="B22" s="486" t="s">
        <v>309</v>
      </c>
      <c r="C22" s="490" t="s">
        <v>310</v>
      </c>
      <c r="D22" s="491">
        <v>4.75</v>
      </c>
      <c r="E22" s="51">
        <v>2900</v>
      </c>
      <c r="F22" s="482">
        <v>87</v>
      </c>
      <c r="G22" s="482">
        <v>203.00000000000003</v>
      </c>
      <c r="H22" s="482">
        <f t="shared" si="0"/>
        <v>3190</v>
      </c>
      <c r="I22" s="500">
        <f>ROUND((E22+F22+G22)*('[4]29_01_H_2020'!$O$9)*D22*12*(1+'[4]29_01_H_2020'!$O$24),2)</f>
        <v>23820.71</v>
      </c>
      <c r="J22" s="24"/>
      <c r="K22" s="464" t="s">
        <v>628</v>
      </c>
      <c r="L22" s="368" t="s">
        <v>310</v>
      </c>
      <c r="M22" s="368" t="s">
        <v>621</v>
      </c>
    </row>
    <row r="23" spans="1:13" x14ac:dyDescent="0.25">
      <c r="A23" s="489" t="s">
        <v>32</v>
      </c>
      <c r="B23" s="486" t="s">
        <v>311</v>
      </c>
      <c r="C23" s="490" t="s">
        <v>312</v>
      </c>
      <c r="D23" s="491">
        <v>4.75</v>
      </c>
      <c r="E23" s="51">
        <v>2900</v>
      </c>
      <c r="F23" s="482">
        <v>87</v>
      </c>
      <c r="G23" s="482">
        <v>203.00000000000003</v>
      </c>
      <c r="H23" s="482">
        <f t="shared" si="0"/>
        <v>3190</v>
      </c>
      <c r="I23" s="500">
        <f>ROUND((E23+F23+G23)*('[4]29_01_H_2020'!$O$9)*D23*12*(1+'[4]29_01_H_2020'!$O$24),2)</f>
        <v>23820.71</v>
      </c>
      <c r="J23" s="24"/>
      <c r="K23" s="464" t="s">
        <v>629</v>
      </c>
      <c r="L23" s="368" t="s">
        <v>312</v>
      </c>
      <c r="M23" s="368" t="s">
        <v>621</v>
      </c>
    </row>
    <row r="24" spans="1:13" x14ac:dyDescent="0.25">
      <c r="A24" s="489" t="s">
        <v>33</v>
      </c>
      <c r="B24" s="486" t="s">
        <v>313</v>
      </c>
      <c r="C24" s="490" t="s">
        <v>314</v>
      </c>
      <c r="D24" s="491">
        <v>4.75</v>
      </c>
      <c r="E24" s="51">
        <v>2900</v>
      </c>
      <c r="F24" s="482">
        <v>87</v>
      </c>
      <c r="G24" s="482">
        <v>203.00000000000003</v>
      </c>
      <c r="H24" s="482">
        <f t="shared" si="0"/>
        <v>3190</v>
      </c>
      <c r="I24" s="500">
        <f>ROUND((E24+F24+G24)*('[4]29_01_H_2020'!$O$9)*D24*12*(1+'[4]29_01_H_2020'!$O$24),2)</f>
        <v>23820.71</v>
      </c>
      <c r="J24" s="24"/>
      <c r="K24" s="464" t="s">
        <v>630</v>
      </c>
      <c r="L24" s="368" t="s">
        <v>314</v>
      </c>
      <c r="M24" s="368" t="s">
        <v>621</v>
      </c>
    </row>
    <row r="25" spans="1:13" x14ac:dyDescent="0.25">
      <c r="A25" s="489" t="s">
        <v>34</v>
      </c>
      <c r="B25" s="486" t="s">
        <v>300</v>
      </c>
      <c r="C25" s="490" t="s">
        <v>631</v>
      </c>
      <c r="D25" s="491">
        <v>4.75</v>
      </c>
      <c r="E25" s="51">
        <v>2900</v>
      </c>
      <c r="F25" s="482">
        <v>87</v>
      </c>
      <c r="G25" s="482">
        <v>203.00000000000003</v>
      </c>
      <c r="H25" s="482">
        <f t="shared" si="0"/>
        <v>3190</v>
      </c>
      <c r="I25" s="500">
        <f>ROUND((E25+F25+G25)*('[4]29_01_H_2020'!$O$9)*D25*12*(1+'[4]29_01_H_2020'!$O$24),2)</f>
        <v>23820.71</v>
      </c>
      <c r="J25" s="24"/>
      <c r="K25" s="464" t="s">
        <v>632</v>
      </c>
      <c r="L25" s="368" t="s">
        <v>631</v>
      </c>
      <c r="M25" s="368" t="s">
        <v>621</v>
      </c>
    </row>
    <row r="26" spans="1:13" x14ac:dyDescent="0.25">
      <c r="A26" s="489" t="s">
        <v>35</v>
      </c>
      <c r="B26" s="486" t="s">
        <v>315</v>
      </c>
      <c r="C26" s="454" t="s">
        <v>316</v>
      </c>
      <c r="D26" s="491">
        <v>4.75</v>
      </c>
      <c r="E26" s="51">
        <v>2900</v>
      </c>
      <c r="F26" s="482">
        <v>87</v>
      </c>
      <c r="G26" s="482">
        <v>203.00000000000003</v>
      </c>
      <c r="H26" s="482">
        <f t="shared" si="0"/>
        <v>3190</v>
      </c>
      <c r="I26" s="500">
        <f>ROUND((E26+F26+G26)*('[4]29_01_H_2020'!$O$9)*D26*12*(1+'[4]29_01_H_2020'!$O$24),2)</f>
        <v>23820.71</v>
      </c>
      <c r="J26" s="24"/>
      <c r="K26" s="464" t="s">
        <v>633</v>
      </c>
      <c r="L26" s="368" t="s">
        <v>316</v>
      </c>
      <c r="M26" s="368" t="s">
        <v>621</v>
      </c>
    </row>
    <row r="27" spans="1:13" x14ac:dyDescent="0.25">
      <c r="A27" s="489" t="s">
        <v>36</v>
      </c>
      <c r="B27" s="486" t="s">
        <v>317</v>
      </c>
      <c r="C27" s="490" t="s">
        <v>318</v>
      </c>
      <c r="D27" s="491">
        <v>4.75</v>
      </c>
      <c r="E27" s="51">
        <v>2900</v>
      </c>
      <c r="F27" s="482">
        <v>87</v>
      </c>
      <c r="G27" s="482">
        <v>203.00000000000003</v>
      </c>
      <c r="H27" s="482">
        <f t="shared" si="0"/>
        <v>3190</v>
      </c>
      <c r="I27" s="500">
        <f>ROUND((E27+F27+G27)*('[4]29_01_H_2020'!$O$9)*D27*12*(1+'[4]29_01_H_2020'!$O$24),2)</f>
        <v>23820.71</v>
      </c>
      <c r="J27" s="24"/>
      <c r="K27" s="464" t="s">
        <v>634</v>
      </c>
      <c r="L27" s="368" t="s">
        <v>318</v>
      </c>
      <c r="M27" s="368" t="s">
        <v>621</v>
      </c>
    </row>
    <row r="28" spans="1:13" x14ac:dyDescent="0.25">
      <c r="A28" s="489" t="s">
        <v>37</v>
      </c>
      <c r="B28" s="486" t="s">
        <v>319</v>
      </c>
      <c r="C28" s="490" t="s">
        <v>320</v>
      </c>
      <c r="D28" s="491">
        <v>4.75</v>
      </c>
      <c r="E28" s="51">
        <v>2450</v>
      </c>
      <c r="F28" s="482">
        <v>73.5</v>
      </c>
      <c r="G28" s="482">
        <v>171.50000000000003</v>
      </c>
      <c r="H28" s="482">
        <f t="shared" si="0"/>
        <v>2695</v>
      </c>
      <c r="I28" s="500">
        <f>ROUND((E28+F28+G28)*('[4]29_01_H_2020'!$O$9)*D28*12*(1+'[4]29_01_H_2020'!$O$24),2)</f>
        <v>20124.39</v>
      </c>
      <c r="J28" s="24"/>
      <c r="K28" s="464" t="s">
        <v>635</v>
      </c>
      <c r="L28" s="368" t="s">
        <v>320</v>
      </c>
      <c r="M28" s="368" t="s">
        <v>621</v>
      </c>
    </row>
    <row r="29" spans="1:13" x14ac:dyDescent="0.25">
      <c r="A29" s="489" t="s">
        <v>38</v>
      </c>
      <c r="B29" s="486" t="s">
        <v>321</v>
      </c>
      <c r="C29" s="490" t="s">
        <v>322</v>
      </c>
      <c r="D29" s="491">
        <v>4.75</v>
      </c>
      <c r="E29" s="51">
        <v>2450</v>
      </c>
      <c r="F29" s="482">
        <v>73.5</v>
      </c>
      <c r="G29" s="482">
        <v>171.50000000000003</v>
      </c>
      <c r="H29" s="482">
        <f t="shared" si="0"/>
        <v>2695</v>
      </c>
      <c r="I29" s="500">
        <f>ROUND((E29+F29+G29)*('[4]29_01_H_2020'!$O$9)*D29*12*(1+'[4]29_01_H_2020'!$O$24),2)</f>
        <v>20124.39</v>
      </c>
      <c r="J29" s="24"/>
      <c r="K29" s="464" t="s">
        <v>636</v>
      </c>
      <c r="L29" s="368" t="s">
        <v>322</v>
      </c>
      <c r="M29" s="368" t="s">
        <v>621</v>
      </c>
    </row>
    <row r="30" spans="1:13" x14ac:dyDescent="0.25">
      <c r="A30" s="489" t="s">
        <v>40</v>
      </c>
      <c r="B30" s="486" t="s">
        <v>323</v>
      </c>
      <c r="C30" s="490" t="s">
        <v>324</v>
      </c>
      <c r="D30" s="491">
        <v>4.75</v>
      </c>
      <c r="E30" s="51">
        <v>2900</v>
      </c>
      <c r="F30" s="482">
        <v>87</v>
      </c>
      <c r="G30" s="482">
        <v>203.00000000000003</v>
      </c>
      <c r="H30" s="482">
        <f t="shared" si="0"/>
        <v>3190</v>
      </c>
      <c r="I30" s="500">
        <f>ROUND((E30+F30+G30)*('[4]29_01_H_2020'!$O$9)*D30*12*(1+'[4]29_01_H_2020'!$O$24),2)</f>
        <v>23820.71</v>
      </c>
      <c r="J30" s="24"/>
      <c r="K30" s="464" t="s">
        <v>637</v>
      </c>
      <c r="L30" s="368" t="s">
        <v>324</v>
      </c>
      <c r="M30" s="368" t="s">
        <v>621</v>
      </c>
    </row>
    <row r="31" spans="1:13" x14ac:dyDescent="0.25">
      <c r="A31" s="489" t="s">
        <v>41</v>
      </c>
      <c r="B31" s="486" t="s">
        <v>313</v>
      </c>
      <c r="C31" s="490" t="s">
        <v>314</v>
      </c>
      <c r="D31" s="491">
        <v>9.5</v>
      </c>
      <c r="E31" s="51">
        <v>2900</v>
      </c>
      <c r="F31" s="482">
        <v>87</v>
      </c>
      <c r="G31" s="482">
        <v>203.00000000000003</v>
      </c>
      <c r="H31" s="482">
        <f t="shared" si="0"/>
        <v>3190</v>
      </c>
      <c r="I31" s="500">
        <f>ROUND((E31+F31+G31)*('[4]29_01_H_2020'!$O$9)*D31*12*(1+'[4]29_01_H_2020'!$O$24),2)</f>
        <v>47641.42</v>
      </c>
      <c r="J31" s="24"/>
      <c r="K31" s="464" t="s">
        <v>630</v>
      </c>
      <c r="L31" s="368" t="s">
        <v>314</v>
      </c>
      <c r="M31" s="368" t="s">
        <v>621</v>
      </c>
    </row>
    <row r="32" spans="1:13" x14ac:dyDescent="0.25">
      <c r="A32" s="489" t="s">
        <v>42</v>
      </c>
      <c r="B32" s="486" t="s">
        <v>325</v>
      </c>
      <c r="C32" s="490" t="s">
        <v>326</v>
      </c>
      <c r="D32" s="491">
        <v>4.75</v>
      </c>
      <c r="E32" s="51">
        <v>2450</v>
      </c>
      <c r="F32" s="482">
        <v>73.5</v>
      </c>
      <c r="G32" s="482">
        <v>171.50000000000003</v>
      </c>
      <c r="H32" s="482">
        <f t="shared" si="0"/>
        <v>2695</v>
      </c>
      <c r="I32" s="500">
        <f>ROUND((E32+F32+G32)*('[4]29_01_H_2020'!$O$9)*D32*12*(1+'[4]29_01_H_2020'!$O$24),2)</f>
        <v>20124.39</v>
      </c>
      <c r="J32" s="24"/>
      <c r="K32" s="464" t="s">
        <v>638</v>
      </c>
      <c r="L32" s="368" t="s">
        <v>326</v>
      </c>
      <c r="M32" s="368" t="s">
        <v>621</v>
      </c>
    </row>
    <row r="33" spans="1:13" x14ac:dyDescent="0.25">
      <c r="A33" s="489" t="s">
        <v>43</v>
      </c>
      <c r="B33" s="486" t="s">
        <v>327</v>
      </c>
      <c r="C33" s="490" t="s">
        <v>328</v>
      </c>
      <c r="D33" s="491">
        <v>4.75</v>
      </c>
      <c r="E33" s="51">
        <v>2900</v>
      </c>
      <c r="F33" s="482">
        <v>87</v>
      </c>
      <c r="G33" s="482">
        <v>203.00000000000003</v>
      </c>
      <c r="H33" s="482">
        <f t="shared" si="0"/>
        <v>3190</v>
      </c>
      <c r="I33" s="500">
        <f>ROUND((E33+F33+G33)*('[4]29_01_H_2020'!$O$9)*D33*12*(1+'[4]29_01_H_2020'!$O$24),2)</f>
        <v>23820.71</v>
      </c>
      <c r="J33" s="24"/>
      <c r="K33" s="464" t="s">
        <v>639</v>
      </c>
      <c r="L33" s="368" t="s">
        <v>328</v>
      </c>
      <c r="M33" s="368" t="s">
        <v>621</v>
      </c>
    </row>
    <row r="34" spans="1:13" x14ac:dyDescent="0.25">
      <c r="A34" s="489" t="s">
        <v>44</v>
      </c>
      <c r="B34" s="486" t="s">
        <v>329</v>
      </c>
      <c r="C34" s="490" t="s">
        <v>330</v>
      </c>
      <c r="D34" s="491">
        <v>4.75</v>
      </c>
      <c r="E34" s="51">
        <v>2900</v>
      </c>
      <c r="F34" s="482">
        <v>87</v>
      </c>
      <c r="G34" s="482">
        <v>203.00000000000003</v>
      </c>
      <c r="H34" s="482">
        <f t="shared" si="0"/>
        <v>3190</v>
      </c>
      <c r="I34" s="500">
        <f>ROUND((E34+F34+G34)*('[4]29_01_H_2020'!$O$9)*D34*12*(1+'[4]29_01_H_2020'!$O$24),2)</f>
        <v>23820.71</v>
      </c>
      <c r="J34" s="24"/>
      <c r="K34" s="464" t="s">
        <v>640</v>
      </c>
      <c r="L34" s="368" t="s">
        <v>330</v>
      </c>
      <c r="M34" s="368" t="s">
        <v>621</v>
      </c>
    </row>
    <row r="35" spans="1:13" x14ac:dyDescent="0.25">
      <c r="A35" s="489" t="s">
        <v>45</v>
      </c>
      <c r="B35" s="486" t="s">
        <v>331</v>
      </c>
      <c r="C35" s="490" t="s">
        <v>332</v>
      </c>
      <c r="D35" s="491">
        <v>4.75</v>
      </c>
      <c r="E35" s="51">
        <v>2900</v>
      </c>
      <c r="F35" s="482">
        <v>87</v>
      </c>
      <c r="G35" s="482">
        <v>203.00000000000003</v>
      </c>
      <c r="H35" s="482">
        <f t="shared" si="0"/>
        <v>3190</v>
      </c>
      <c r="I35" s="500">
        <f>ROUND((E35+F35+G35)*('[4]29_01_H_2020'!$O$9)*D35*12*(1+'[4]29_01_H_2020'!$O$24),2)</f>
        <v>23820.71</v>
      </c>
      <c r="J35" s="24"/>
      <c r="K35" s="464" t="s">
        <v>641</v>
      </c>
      <c r="L35" s="368" t="s">
        <v>332</v>
      </c>
      <c r="M35" s="368" t="s">
        <v>621</v>
      </c>
    </row>
    <row r="36" spans="1:13" x14ac:dyDescent="0.25">
      <c r="A36" s="489" t="s">
        <v>46</v>
      </c>
      <c r="B36" s="486" t="s">
        <v>333</v>
      </c>
      <c r="C36" s="490" t="s">
        <v>334</v>
      </c>
      <c r="D36" s="491">
        <v>4.75</v>
      </c>
      <c r="E36" s="51">
        <v>2900</v>
      </c>
      <c r="F36" s="482">
        <v>87</v>
      </c>
      <c r="G36" s="482">
        <v>203.00000000000003</v>
      </c>
      <c r="H36" s="482">
        <f t="shared" si="0"/>
        <v>3190</v>
      </c>
      <c r="I36" s="500">
        <f>ROUND((E36+F36+G36)*('[4]29_01_H_2020'!$O$9)*D36*12*(1+'[4]29_01_H_2020'!$O$24),2)</f>
        <v>23820.71</v>
      </c>
      <c r="J36" s="24"/>
      <c r="K36" s="464" t="s">
        <v>642</v>
      </c>
      <c r="L36" s="368" t="s">
        <v>334</v>
      </c>
      <c r="M36" s="368" t="s">
        <v>621</v>
      </c>
    </row>
    <row r="37" spans="1:13" x14ac:dyDescent="0.25">
      <c r="A37" s="489" t="s">
        <v>643</v>
      </c>
      <c r="B37" s="486" t="s">
        <v>335</v>
      </c>
      <c r="C37" s="490" t="s">
        <v>336</v>
      </c>
      <c r="D37" s="491">
        <v>4.75</v>
      </c>
      <c r="E37" s="51">
        <v>2900</v>
      </c>
      <c r="F37" s="482">
        <v>87</v>
      </c>
      <c r="G37" s="482">
        <v>203.00000000000003</v>
      </c>
      <c r="H37" s="482">
        <f t="shared" si="0"/>
        <v>3190</v>
      </c>
      <c r="I37" s="500">
        <f>ROUND((E37+F37+G37)*('[4]29_01_H_2020'!$O$9)*D37*12*(1+'[4]29_01_H_2020'!$O$24),2)</f>
        <v>23820.71</v>
      </c>
      <c r="J37" s="24"/>
      <c r="K37" s="464" t="s">
        <v>643</v>
      </c>
      <c r="L37" s="368" t="s">
        <v>336</v>
      </c>
      <c r="M37" s="368" t="s">
        <v>621</v>
      </c>
    </row>
    <row r="38" spans="1:13" x14ac:dyDescent="0.25">
      <c r="A38" s="489" t="s">
        <v>47</v>
      </c>
      <c r="B38" s="486" t="s">
        <v>297</v>
      </c>
      <c r="C38" s="490" t="s">
        <v>302</v>
      </c>
      <c r="D38" s="491">
        <v>4.5</v>
      </c>
      <c r="E38" s="51">
        <v>2600</v>
      </c>
      <c r="F38" s="482">
        <v>78</v>
      </c>
      <c r="G38" s="482">
        <v>877.49999999999989</v>
      </c>
      <c r="H38" s="482">
        <f t="shared" si="0"/>
        <v>3555.5</v>
      </c>
      <c r="I38" s="500">
        <f>ROUND((E38+F38+G38)*('[4]29_01_H_2020'!$O$9)*D38*12*(1+'[4]29_01_H_2020'!$O$24),2)</f>
        <v>25152.639999999999</v>
      </c>
      <c r="J38" s="24"/>
      <c r="K38" s="464" t="s">
        <v>620</v>
      </c>
      <c r="L38" s="368" t="s">
        <v>302</v>
      </c>
      <c r="M38" s="368" t="s">
        <v>621</v>
      </c>
    </row>
    <row r="39" spans="1:13" x14ac:dyDescent="0.25">
      <c r="A39" s="489" t="s">
        <v>232</v>
      </c>
      <c r="B39" s="486" t="s">
        <v>297</v>
      </c>
      <c r="C39" s="490" t="s">
        <v>302</v>
      </c>
      <c r="D39" s="491">
        <v>11.5</v>
      </c>
      <c r="E39" s="51">
        <v>2500</v>
      </c>
      <c r="F39" s="482">
        <v>75</v>
      </c>
      <c r="G39" s="482">
        <v>843.74999999999989</v>
      </c>
      <c r="H39" s="482">
        <f t="shared" si="0"/>
        <v>3418.75</v>
      </c>
      <c r="I39" s="500">
        <f>ROUND((E39+F39+G39)*('[4]29_01_H_2020'!$O$9)*D39*12*(1+'[4]29_01_H_2020'!$O$24),2)</f>
        <v>61806.71</v>
      </c>
      <c r="J39" s="24"/>
      <c r="K39" s="464" t="s">
        <v>620</v>
      </c>
      <c r="L39" s="368" t="s">
        <v>302</v>
      </c>
      <c r="M39" s="368" t="s">
        <v>621</v>
      </c>
    </row>
    <row r="40" spans="1:13" ht="25.5" x14ac:dyDescent="0.25">
      <c r="A40" s="489" t="s">
        <v>48</v>
      </c>
      <c r="B40" s="486" t="s">
        <v>297</v>
      </c>
      <c r="C40" s="490" t="s">
        <v>337</v>
      </c>
      <c r="D40" s="491">
        <v>9</v>
      </c>
      <c r="E40" s="51">
        <v>2350</v>
      </c>
      <c r="F40" s="482">
        <v>70.5</v>
      </c>
      <c r="G40" s="482">
        <v>793.12499999999989</v>
      </c>
      <c r="H40" s="482">
        <f t="shared" si="0"/>
        <v>3213.625</v>
      </c>
      <c r="I40" s="500">
        <f>ROUND((E40+F40+G40)*('[4]29_01_H_2020'!$O$9)*D40*12*(1+'[4]29_01_H_2020'!$O$24),2)</f>
        <v>45468.24</v>
      </c>
      <c r="J40" s="24"/>
      <c r="K40" s="464" t="s">
        <v>620</v>
      </c>
      <c r="L40" s="368" t="s">
        <v>337</v>
      </c>
      <c r="M40" s="368" t="s">
        <v>621</v>
      </c>
    </row>
    <row r="41" spans="1:13" ht="38.25" x14ac:dyDescent="0.25">
      <c r="A41" s="489" t="s">
        <v>644</v>
      </c>
      <c r="B41" s="486" t="s">
        <v>290</v>
      </c>
      <c r="C41" s="454" t="s">
        <v>338</v>
      </c>
      <c r="D41" s="491">
        <v>1</v>
      </c>
      <c r="E41" s="51">
        <v>2255</v>
      </c>
      <c r="F41" s="482">
        <v>67.649999999999991</v>
      </c>
      <c r="G41" s="482">
        <v>761.06249999999989</v>
      </c>
      <c r="H41" s="482">
        <f t="shared" si="0"/>
        <v>3083.7125000000001</v>
      </c>
      <c r="I41" s="500">
        <f>ROUND((E41+F41+G41)*('[4]29_01_H_2020'!$O$9)*D41*12*(1+'[4]29_01_H_2020'!$O$24),2)</f>
        <v>4847.8</v>
      </c>
      <c r="J41" s="24"/>
      <c r="K41" s="464"/>
      <c r="L41" s="368" t="s">
        <v>338</v>
      </c>
      <c r="M41" s="368" t="s">
        <v>621</v>
      </c>
    </row>
    <row r="42" spans="1:13" ht="25.5" x14ac:dyDescent="0.25">
      <c r="A42" s="489" t="s">
        <v>49</v>
      </c>
      <c r="B42" s="486" t="s">
        <v>290</v>
      </c>
      <c r="C42" s="490" t="s">
        <v>338</v>
      </c>
      <c r="D42" s="491">
        <v>8</v>
      </c>
      <c r="E42" s="51">
        <v>2050</v>
      </c>
      <c r="F42" s="482">
        <v>61.5</v>
      </c>
      <c r="G42" s="482">
        <v>691.87499999999989</v>
      </c>
      <c r="H42" s="482">
        <f t="shared" si="0"/>
        <v>2803.375</v>
      </c>
      <c r="I42" s="500">
        <f>ROUND((E42+F42+G42)*('[4]29_01_H_2020'!$O$9)*D42*12*(1+'[4]29_01_H_2020'!$O$24),2)</f>
        <v>35256.699999999997</v>
      </c>
      <c r="J42" s="24"/>
      <c r="K42" s="464" t="s">
        <v>645</v>
      </c>
      <c r="L42" s="368" t="s">
        <v>338</v>
      </c>
      <c r="M42" s="368" t="s">
        <v>621</v>
      </c>
    </row>
    <row r="43" spans="1:13" x14ac:dyDescent="0.25">
      <c r="A43" s="489" t="s">
        <v>39</v>
      </c>
      <c r="B43" s="486" t="s">
        <v>321</v>
      </c>
      <c r="C43" s="490" t="s">
        <v>322</v>
      </c>
      <c r="D43" s="491">
        <v>1</v>
      </c>
      <c r="E43" s="51">
        <v>2450</v>
      </c>
      <c r="F43" s="482">
        <v>73.5</v>
      </c>
      <c r="G43" s="482">
        <v>73.5</v>
      </c>
      <c r="H43" s="482">
        <f t="shared" si="0"/>
        <v>2597</v>
      </c>
      <c r="I43" s="500">
        <f>ROUND((E43+F43+G43)*('[4]29_01_H_2020'!$O$9)*D43*12*(1+'[4]29_01_H_2020'!$O$24),2)</f>
        <v>4082.65</v>
      </c>
      <c r="J43" s="24"/>
      <c r="K43" s="464" t="s">
        <v>636</v>
      </c>
      <c r="L43" s="368" t="s">
        <v>322</v>
      </c>
      <c r="M43" s="368" t="s">
        <v>621</v>
      </c>
    </row>
    <row r="44" spans="1:13" ht="25.5" x14ac:dyDescent="0.25">
      <c r="A44" s="489" t="s">
        <v>234</v>
      </c>
      <c r="B44" s="486" t="s">
        <v>304</v>
      </c>
      <c r="C44" s="490" t="s">
        <v>339</v>
      </c>
      <c r="D44" s="491">
        <v>0.75</v>
      </c>
      <c r="E44" s="51">
        <v>1640</v>
      </c>
      <c r="F44" s="482">
        <v>49.199999999999996</v>
      </c>
      <c r="G44" s="482">
        <v>49.199999999999996</v>
      </c>
      <c r="H44" s="482">
        <f t="shared" si="0"/>
        <v>1738.4</v>
      </c>
      <c r="I44" s="500">
        <f>ROUND((E44+F44+G44)*('[4]29_01_H_2020'!$O$9)*D44*12*(1+'[4]29_01_H_2020'!$O$24),2)</f>
        <v>2049.66</v>
      </c>
      <c r="J44" s="24"/>
      <c r="K44" s="464" t="s">
        <v>625</v>
      </c>
      <c r="L44" s="368" t="s">
        <v>339</v>
      </c>
      <c r="M44" s="368" t="s">
        <v>621</v>
      </c>
    </row>
    <row r="45" spans="1:13" x14ac:dyDescent="0.25">
      <c r="A45" s="489" t="s">
        <v>340</v>
      </c>
      <c r="B45" s="486" t="s">
        <v>299</v>
      </c>
      <c r="C45" s="490" t="s">
        <v>334</v>
      </c>
      <c r="D45" s="491">
        <v>2</v>
      </c>
      <c r="E45" s="51">
        <v>1880</v>
      </c>
      <c r="F45" s="482">
        <v>56.4</v>
      </c>
      <c r="G45" s="482">
        <v>56.4</v>
      </c>
      <c r="H45" s="482">
        <f t="shared" si="0"/>
        <v>1992.8000000000002</v>
      </c>
      <c r="I45" s="500">
        <f>ROUND((E45+F45+G45)*('[4]29_01_H_2020'!$O$9)*D45*12*(1+'[4]29_01_H_2020'!$O$24),2)</f>
        <v>6265.62</v>
      </c>
      <c r="J45" s="24"/>
      <c r="K45" s="464" t="s">
        <v>646</v>
      </c>
      <c r="L45" s="368" t="s">
        <v>334</v>
      </c>
      <c r="M45" s="368" t="s">
        <v>621</v>
      </c>
    </row>
    <row r="46" spans="1:13" x14ac:dyDescent="0.25">
      <c r="A46" s="489" t="s">
        <v>341</v>
      </c>
      <c r="B46" s="486" t="s">
        <v>647</v>
      </c>
      <c r="C46" s="490" t="s">
        <v>298</v>
      </c>
      <c r="D46" s="491">
        <v>1</v>
      </c>
      <c r="E46" s="51">
        <v>1850</v>
      </c>
      <c r="F46" s="482">
        <v>55.5</v>
      </c>
      <c r="G46" s="482">
        <v>55.5</v>
      </c>
      <c r="H46" s="482">
        <f t="shared" si="0"/>
        <v>1961</v>
      </c>
      <c r="I46" s="500">
        <f>ROUND((E46+F46+G46)*('[4]29_01_H_2020'!$O$9)*D46*12*(1+'[4]29_01_H_2020'!$O$24),2)</f>
        <v>3082.82</v>
      </c>
      <c r="J46" s="24"/>
      <c r="K46" s="464" t="s">
        <v>646</v>
      </c>
      <c r="L46" s="368" t="s">
        <v>298</v>
      </c>
      <c r="M46" s="368" t="s">
        <v>621</v>
      </c>
    </row>
    <row r="47" spans="1:13" x14ac:dyDescent="0.25">
      <c r="A47" s="489" t="s">
        <v>341</v>
      </c>
      <c r="B47" s="486" t="s">
        <v>299</v>
      </c>
      <c r="C47" s="454" t="s">
        <v>298</v>
      </c>
      <c r="D47" s="491">
        <v>6</v>
      </c>
      <c r="E47" s="51">
        <v>1820</v>
      </c>
      <c r="F47" s="482">
        <v>54.6</v>
      </c>
      <c r="G47" s="482">
        <v>54.6</v>
      </c>
      <c r="H47" s="482">
        <f t="shared" si="0"/>
        <v>1929.1999999999998</v>
      </c>
      <c r="I47" s="500">
        <f>ROUND((E47+F47+G47)*('[4]29_01_H_2020'!$O$9)*D47*12*(1+'[4]29_01_H_2020'!$O$24),2)</f>
        <v>18196.96</v>
      </c>
      <c r="J47" s="24"/>
      <c r="K47" s="464" t="s">
        <v>646</v>
      </c>
      <c r="L47" s="368" t="s">
        <v>298</v>
      </c>
      <c r="M47" s="368" t="s">
        <v>621</v>
      </c>
    </row>
    <row r="48" spans="1:13" ht="25.5" x14ac:dyDescent="0.25">
      <c r="A48" s="489" t="s">
        <v>648</v>
      </c>
      <c r="B48" s="486" t="s">
        <v>297</v>
      </c>
      <c r="C48" s="454" t="s">
        <v>531</v>
      </c>
      <c r="D48" s="491">
        <v>3</v>
      </c>
      <c r="E48" s="51">
        <v>1900</v>
      </c>
      <c r="F48" s="482">
        <v>57</v>
      </c>
      <c r="G48" s="482"/>
      <c r="H48" s="482">
        <f t="shared" si="0"/>
        <v>1957</v>
      </c>
      <c r="I48" s="500">
        <f>ROUND((E48+F48+G48)*('[4]29_01_H_2020'!$O$9)*D48*12*(1+'[4]29_01_H_2020'!$O$24),2)</f>
        <v>9229.59</v>
      </c>
      <c r="J48" s="24"/>
      <c r="K48" s="464"/>
      <c r="L48" s="368" t="s">
        <v>531</v>
      </c>
      <c r="M48" s="368"/>
    </row>
    <row r="49" spans="1:13" ht="38.25" x14ac:dyDescent="0.25">
      <c r="A49" s="301" t="s">
        <v>342</v>
      </c>
      <c r="B49" s="301"/>
      <c r="C49" s="301"/>
      <c r="D49" s="13"/>
      <c r="E49" s="8"/>
      <c r="F49" s="8"/>
      <c r="G49" s="8"/>
      <c r="H49" s="8"/>
      <c r="I49" s="248">
        <f>SUM(I50:I85)</f>
        <v>2922299.1200000006</v>
      </c>
      <c r="K49" s="368"/>
      <c r="L49" s="368"/>
      <c r="M49" s="368"/>
    </row>
    <row r="50" spans="1:13" x14ac:dyDescent="0.25">
      <c r="A50" s="501" t="s">
        <v>649</v>
      </c>
      <c r="B50" s="486" t="s">
        <v>344</v>
      </c>
      <c r="C50" s="454" t="s">
        <v>343</v>
      </c>
      <c r="D50" s="491">
        <v>13</v>
      </c>
      <c r="E50" s="51">
        <v>2350</v>
      </c>
      <c r="F50" s="482">
        <v>70.5</v>
      </c>
      <c r="G50" s="482">
        <v>70.5</v>
      </c>
      <c r="H50" s="482">
        <f>E50+F50+G50</f>
        <v>2491</v>
      </c>
      <c r="I50" s="500">
        <f>ROUND((E50+F50+G50)*('[4]29_01_H_2020'!$O$13)*D50*12*(1+'[4]29_01_H_2020'!$O$24),2)</f>
        <v>31217.279999999999</v>
      </c>
      <c r="J50" s="24"/>
      <c r="K50" s="464" t="s">
        <v>620</v>
      </c>
      <c r="L50" s="368" t="s">
        <v>343</v>
      </c>
      <c r="M50" s="368" t="s">
        <v>621</v>
      </c>
    </row>
    <row r="51" spans="1:13" x14ac:dyDescent="0.25">
      <c r="A51" s="501" t="s">
        <v>52</v>
      </c>
      <c r="B51" s="502" t="s">
        <v>344</v>
      </c>
      <c r="C51" s="454" t="s">
        <v>343</v>
      </c>
      <c r="D51" s="491">
        <v>8</v>
      </c>
      <c r="E51" s="51">
        <v>1960</v>
      </c>
      <c r="F51" s="482">
        <v>58.8</v>
      </c>
      <c r="G51" s="482">
        <v>58.8</v>
      </c>
      <c r="H51" s="482">
        <f t="shared" ref="H51:H85" si="1">E51+F51+G51</f>
        <v>2077.6</v>
      </c>
      <c r="I51" s="500">
        <f>ROUND((E51+F51+G51)*('[4]29_01_H_2020'!$O$13)*D51*12*(1+'[4]29_01_H_2020'!$O$24),2)</f>
        <v>16022.48</v>
      </c>
      <c r="J51" s="24"/>
      <c r="K51" s="464" t="s">
        <v>650</v>
      </c>
      <c r="L51" s="368" t="s">
        <v>343</v>
      </c>
      <c r="M51" s="368" t="s">
        <v>621</v>
      </c>
    </row>
    <row r="52" spans="1:13" x14ac:dyDescent="0.25">
      <c r="A52" s="501" t="s">
        <v>52</v>
      </c>
      <c r="B52" s="502" t="s">
        <v>344</v>
      </c>
      <c r="C52" s="454" t="s">
        <v>343</v>
      </c>
      <c r="D52" s="491">
        <v>6</v>
      </c>
      <c r="E52" s="51">
        <v>2000</v>
      </c>
      <c r="F52" s="482">
        <v>60</v>
      </c>
      <c r="G52" s="482">
        <v>60</v>
      </c>
      <c r="H52" s="482">
        <f t="shared" si="1"/>
        <v>2120</v>
      </c>
      <c r="I52" s="500">
        <f>ROUND((E52+F52+G52)*('[4]29_01_H_2020'!$O$13)*D52*12*(1+'[4]29_01_H_2020'!$O$24),2)</f>
        <v>12262.11</v>
      </c>
      <c r="J52" s="24"/>
      <c r="K52" s="464" t="s">
        <v>650</v>
      </c>
      <c r="L52" s="368" t="s">
        <v>343</v>
      </c>
      <c r="M52" s="368" t="s">
        <v>621</v>
      </c>
    </row>
    <row r="53" spans="1:13" x14ac:dyDescent="0.25">
      <c r="A53" s="501" t="s">
        <v>53</v>
      </c>
      <c r="B53" s="502" t="s">
        <v>344</v>
      </c>
      <c r="C53" s="454" t="s">
        <v>343</v>
      </c>
      <c r="D53" s="491">
        <v>6</v>
      </c>
      <c r="E53" s="51">
        <v>1830</v>
      </c>
      <c r="F53" s="482">
        <v>54.9</v>
      </c>
      <c r="G53" s="482">
        <v>54.9</v>
      </c>
      <c r="H53" s="482">
        <f t="shared" si="1"/>
        <v>1939.8000000000002</v>
      </c>
      <c r="I53" s="500">
        <f>ROUND((E53+F53+G53)*('[4]29_01_H_2020'!$O$13)*D53*12*(1+'[4]29_01_H_2020'!$O$24),2)</f>
        <v>11219.83</v>
      </c>
      <c r="J53" s="24"/>
      <c r="K53" s="464" t="s">
        <v>650</v>
      </c>
      <c r="L53" s="368" t="s">
        <v>343</v>
      </c>
      <c r="M53" s="368" t="s">
        <v>621</v>
      </c>
    </row>
    <row r="54" spans="1:13" x14ac:dyDescent="0.25">
      <c r="A54" s="501" t="s">
        <v>54</v>
      </c>
      <c r="B54" s="502" t="s">
        <v>344</v>
      </c>
      <c r="C54" s="454" t="s">
        <v>343</v>
      </c>
      <c r="D54" s="491">
        <v>6</v>
      </c>
      <c r="E54" s="51">
        <v>2050</v>
      </c>
      <c r="F54" s="482">
        <v>61.5</v>
      </c>
      <c r="G54" s="482">
        <v>61.5</v>
      </c>
      <c r="H54" s="482">
        <f t="shared" si="1"/>
        <v>2173</v>
      </c>
      <c r="I54" s="500">
        <f>ROUND((E54+F54+G54)*('[4]29_01_H_2020'!$O$13)*D54*12*(1+'[4]29_01_H_2020'!$O$24),2)</f>
        <v>12568.66</v>
      </c>
      <c r="J54" s="24"/>
      <c r="K54" s="464" t="s">
        <v>650</v>
      </c>
      <c r="L54" s="368" t="s">
        <v>343</v>
      </c>
      <c r="M54" s="368" t="s">
        <v>621</v>
      </c>
    </row>
    <row r="55" spans="1:13" x14ac:dyDescent="0.25">
      <c r="A55" s="501" t="s">
        <v>651</v>
      </c>
      <c r="B55" s="502" t="s">
        <v>344</v>
      </c>
      <c r="C55" s="454" t="s">
        <v>343</v>
      </c>
      <c r="D55" s="491">
        <v>33.6</v>
      </c>
      <c r="E55" s="51">
        <v>1780</v>
      </c>
      <c r="F55" s="482">
        <v>53.4</v>
      </c>
      <c r="G55" s="482">
        <v>1116.9499999999998</v>
      </c>
      <c r="H55" s="482">
        <f t="shared" si="1"/>
        <v>2950.35</v>
      </c>
      <c r="I55" s="500">
        <f>ROUND((E55+F55+G55)*('[4]29_01_H_2020'!$O$13)*D55*12*(1+'[4]29_01_H_2020'!$O$24),2)</f>
        <v>95563.21</v>
      </c>
      <c r="J55" s="24"/>
      <c r="K55" s="464" t="s">
        <v>650</v>
      </c>
      <c r="L55" s="368" t="s">
        <v>343</v>
      </c>
      <c r="M55" s="368" t="s">
        <v>621</v>
      </c>
    </row>
    <row r="56" spans="1:13" x14ac:dyDescent="0.25">
      <c r="A56" s="501" t="s">
        <v>184</v>
      </c>
      <c r="B56" s="502" t="s">
        <v>344</v>
      </c>
      <c r="C56" s="454" t="s">
        <v>343</v>
      </c>
      <c r="D56" s="491">
        <v>43.1</v>
      </c>
      <c r="E56" s="51">
        <v>1515</v>
      </c>
      <c r="F56" s="482">
        <v>45.449999999999996</v>
      </c>
      <c r="G56" s="482">
        <v>1238.5125000000003</v>
      </c>
      <c r="H56" s="482">
        <f t="shared" si="1"/>
        <v>2798.9625000000005</v>
      </c>
      <c r="I56" s="500">
        <f>ROUND((E56+F56+G56)*('[4]29_01_H_2020'!$O$13)*D56*12*(1+'[4]29_01_H_2020'!$O$24),2)</f>
        <v>116292.65</v>
      </c>
      <c r="J56" s="24"/>
      <c r="K56" s="464" t="s">
        <v>650</v>
      </c>
      <c r="L56" s="368" t="s">
        <v>343</v>
      </c>
      <c r="M56" s="368" t="s">
        <v>621</v>
      </c>
    </row>
    <row r="57" spans="1:13" x14ac:dyDescent="0.25">
      <c r="A57" s="501" t="s">
        <v>55</v>
      </c>
      <c r="B57" s="502" t="s">
        <v>344</v>
      </c>
      <c r="C57" s="454" t="s">
        <v>343</v>
      </c>
      <c r="D57" s="491">
        <v>653.15</v>
      </c>
      <c r="E57" s="51">
        <v>1515</v>
      </c>
      <c r="F57" s="482">
        <v>45.449999999999996</v>
      </c>
      <c r="G57" s="482">
        <v>784.01250000000016</v>
      </c>
      <c r="H57" s="482">
        <f t="shared" si="1"/>
        <v>2344.4625000000001</v>
      </c>
      <c r="I57" s="500">
        <f>ROUND((E57+F57+G57)*('[4]29_01_H_2020'!$O$13)*D57*12*(1+'[4]29_01_H_2020'!$O$24),2)</f>
        <v>1476162.46</v>
      </c>
      <c r="J57" s="24"/>
      <c r="K57" s="464" t="s">
        <v>650</v>
      </c>
      <c r="L57" s="368" t="s">
        <v>343</v>
      </c>
      <c r="M57" s="368" t="s">
        <v>621</v>
      </c>
    </row>
    <row r="58" spans="1:13" ht="26.25" x14ac:dyDescent="0.25">
      <c r="A58" s="501" t="s">
        <v>652</v>
      </c>
      <c r="B58" s="502" t="s">
        <v>344</v>
      </c>
      <c r="C58" s="454" t="s">
        <v>343</v>
      </c>
      <c r="D58" s="491">
        <v>3.2</v>
      </c>
      <c r="E58" s="51">
        <v>1330</v>
      </c>
      <c r="F58" s="482">
        <v>39.9</v>
      </c>
      <c r="G58" s="482">
        <v>794.67500000000007</v>
      </c>
      <c r="H58" s="482">
        <f t="shared" si="1"/>
        <v>2164.5750000000003</v>
      </c>
      <c r="I58" s="500">
        <f>ROUND((E58+F58+G58)*('[4]29_01_H_2020'!$O$13)*D58*12*(1+'[4]29_01_H_2020'!$O$24),2)</f>
        <v>6677.29</v>
      </c>
      <c r="J58" s="24"/>
      <c r="K58" s="464" t="s">
        <v>650</v>
      </c>
      <c r="L58" s="368" t="s">
        <v>343</v>
      </c>
      <c r="M58" s="368" t="s">
        <v>621</v>
      </c>
    </row>
    <row r="59" spans="1:13" ht="26.25" x14ac:dyDescent="0.25">
      <c r="A59" s="501" t="s">
        <v>653</v>
      </c>
      <c r="B59" s="502" t="s">
        <v>344</v>
      </c>
      <c r="C59" s="454" t="s">
        <v>343</v>
      </c>
      <c r="D59" s="491">
        <v>210.5</v>
      </c>
      <c r="E59" s="51">
        <v>1287.75</v>
      </c>
      <c r="F59" s="482">
        <v>38.6325</v>
      </c>
      <c r="G59" s="482">
        <v>666.4106250000001</v>
      </c>
      <c r="H59" s="482">
        <f t="shared" si="1"/>
        <v>1992.7931250000001</v>
      </c>
      <c r="I59" s="500">
        <f>ROUND((E59+F59+G59)*('[4]29_01_H_2020'!$O$13)*D59*12*(1+'[4]29_01_H_2020'!$O$24),2)</f>
        <v>404382.41</v>
      </c>
      <c r="J59" s="24"/>
      <c r="K59" s="464" t="s">
        <v>650</v>
      </c>
      <c r="L59" s="368" t="s">
        <v>343</v>
      </c>
      <c r="M59" s="368" t="s">
        <v>621</v>
      </c>
    </row>
    <row r="60" spans="1:13" x14ac:dyDescent="0.25">
      <c r="A60" s="501" t="s">
        <v>185</v>
      </c>
      <c r="B60" s="502" t="s">
        <v>344</v>
      </c>
      <c r="C60" s="454" t="s">
        <v>343</v>
      </c>
      <c r="D60" s="503">
        <v>36.5</v>
      </c>
      <c r="E60" s="482">
        <v>1580</v>
      </c>
      <c r="F60" s="482">
        <v>47.4</v>
      </c>
      <c r="G60" s="482">
        <v>817.65000000000009</v>
      </c>
      <c r="H60" s="482">
        <f t="shared" si="1"/>
        <v>2445.0500000000002</v>
      </c>
      <c r="I60" s="500">
        <f>ROUND((E60+F60+G60)*('[4]29_01_H_2020'!$O$13)*D60*12*(1+'[4]29_01_H_2020'!$O$24),2)</f>
        <v>86031.71</v>
      </c>
      <c r="J60" s="24"/>
      <c r="K60" s="464" t="s">
        <v>650</v>
      </c>
      <c r="L60" s="368" t="s">
        <v>343</v>
      </c>
      <c r="M60" s="368" t="s">
        <v>621</v>
      </c>
    </row>
    <row r="61" spans="1:13" ht="26.25" x14ac:dyDescent="0.25">
      <c r="A61" s="501" t="s">
        <v>235</v>
      </c>
      <c r="B61" s="502" t="s">
        <v>344</v>
      </c>
      <c r="C61" s="454" t="s">
        <v>343</v>
      </c>
      <c r="D61" s="503">
        <v>12</v>
      </c>
      <c r="E61" s="482">
        <v>1675</v>
      </c>
      <c r="F61" s="482">
        <v>50.25</v>
      </c>
      <c r="G61" s="482">
        <v>1084.5625</v>
      </c>
      <c r="H61" s="482">
        <f t="shared" si="1"/>
        <v>2809.8125</v>
      </c>
      <c r="I61" s="500">
        <f>ROUND((E61+F61+G61)*('[4]29_01_H_2020'!$O$13)*D61*12*(1+'[4]29_01_H_2020'!$O$24),2)</f>
        <v>32503.98</v>
      </c>
      <c r="J61" s="24"/>
      <c r="K61" s="464" t="s">
        <v>650</v>
      </c>
      <c r="L61" s="368" t="s">
        <v>343</v>
      </c>
      <c r="M61" s="368" t="s">
        <v>621</v>
      </c>
    </row>
    <row r="62" spans="1:13" ht="26.25" x14ac:dyDescent="0.25">
      <c r="A62" s="501" t="s">
        <v>236</v>
      </c>
      <c r="B62" s="502" t="s">
        <v>344</v>
      </c>
      <c r="C62" s="454" t="s">
        <v>343</v>
      </c>
      <c r="D62" s="503">
        <v>7</v>
      </c>
      <c r="E62" s="482">
        <v>1675</v>
      </c>
      <c r="F62" s="482">
        <v>50.25</v>
      </c>
      <c r="G62" s="482">
        <v>1017.5625000000001</v>
      </c>
      <c r="H62" s="482">
        <f t="shared" si="1"/>
        <v>2742.8125</v>
      </c>
      <c r="I62" s="500">
        <f>ROUND((E62+F62+G62)*('[4]29_01_H_2020'!$O$13)*D62*12*(1+'[4]29_01_H_2020'!$O$24),2)</f>
        <v>18508.54</v>
      </c>
      <c r="J62" s="24"/>
      <c r="K62" s="464" t="s">
        <v>650</v>
      </c>
      <c r="L62" s="368" t="s">
        <v>343</v>
      </c>
      <c r="M62" s="368" t="s">
        <v>621</v>
      </c>
    </row>
    <row r="63" spans="1:13" ht="26.25" x14ac:dyDescent="0.25">
      <c r="A63" s="501" t="s">
        <v>237</v>
      </c>
      <c r="B63" s="502" t="s">
        <v>344</v>
      </c>
      <c r="C63" s="454" t="s">
        <v>343</v>
      </c>
      <c r="D63" s="503">
        <v>3</v>
      </c>
      <c r="E63" s="482">
        <v>1675</v>
      </c>
      <c r="F63" s="482">
        <v>50.25</v>
      </c>
      <c r="G63" s="482">
        <v>1252.0625</v>
      </c>
      <c r="H63" s="482">
        <f t="shared" si="1"/>
        <v>2977.3125</v>
      </c>
      <c r="I63" s="500">
        <f>ROUND((E63+F63+G63)*('[4]29_01_H_2020'!$O$13)*D63*12*(1+'[4]29_01_H_2020'!$O$24),2)</f>
        <v>8610.41</v>
      </c>
      <c r="J63" s="24"/>
      <c r="K63" s="464" t="s">
        <v>650</v>
      </c>
      <c r="L63" s="368" t="s">
        <v>343</v>
      </c>
      <c r="M63" s="368" t="s">
        <v>621</v>
      </c>
    </row>
    <row r="64" spans="1:13" ht="26.25" x14ac:dyDescent="0.25">
      <c r="A64" s="501" t="s">
        <v>56</v>
      </c>
      <c r="B64" s="502" t="s">
        <v>344</v>
      </c>
      <c r="C64" s="454" t="s">
        <v>343</v>
      </c>
      <c r="D64" s="503">
        <v>42.75</v>
      </c>
      <c r="E64" s="482">
        <v>1515</v>
      </c>
      <c r="F64" s="482">
        <v>45.449999999999996</v>
      </c>
      <c r="G64" s="482">
        <v>784.01250000000016</v>
      </c>
      <c r="H64" s="482">
        <f t="shared" si="1"/>
        <v>2344.4625000000001</v>
      </c>
      <c r="I64" s="500">
        <f>ROUND((E64+F64+G64)*('[4]29_01_H_2020'!$O$13)*D64*12*(1+'[4]29_01_H_2020'!$O$24),2)</f>
        <v>96617.84</v>
      </c>
      <c r="J64" s="24"/>
      <c r="K64" s="464" t="s">
        <v>650</v>
      </c>
      <c r="L64" s="368" t="s">
        <v>343</v>
      </c>
      <c r="M64" s="368" t="s">
        <v>621</v>
      </c>
    </row>
    <row r="65" spans="1:13" ht="26.25" x14ac:dyDescent="0.25">
      <c r="A65" s="501" t="s">
        <v>57</v>
      </c>
      <c r="B65" s="502" t="s">
        <v>344</v>
      </c>
      <c r="C65" s="454" t="s">
        <v>343</v>
      </c>
      <c r="D65" s="503">
        <v>33.25</v>
      </c>
      <c r="E65" s="482">
        <v>1513</v>
      </c>
      <c r="F65" s="482">
        <v>45.39</v>
      </c>
      <c r="G65" s="482">
        <v>782.97750000000008</v>
      </c>
      <c r="H65" s="482">
        <f t="shared" si="1"/>
        <v>2341.3675000000003</v>
      </c>
      <c r="I65" s="500">
        <f>ROUND((E65+F65+G65)*('[4]29_01_H_2020'!$O$13)*D65*12*(1+'[4]29_01_H_2020'!$O$24),2)</f>
        <v>75048.009999999995</v>
      </c>
      <c r="J65" s="24"/>
      <c r="K65" s="464" t="s">
        <v>650</v>
      </c>
      <c r="L65" s="368" t="s">
        <v>343</v>
      </c>
      <c r="M65" s="368" t="s">
        <v>621</v>
      </c>
    </row>
    <row r="66" spans="1:13" x14ac:dyDescent="0.25">
      <c r="A66" s="501" t="s">
        <v>654</v>
      </c>
      <c r="B66" s="502" t="s">
        <v>344</v>
      </c>
      <c r="C66" s="454" t="s">
        <v>343</v>
      </c>
      <c r="D66" s="503">
        <v>4.5</v>
      </c>
      <c r="E66" s="482">
        <v>2040</v>
      </c>
      <c r="F66" s="482">
        <v>61.199999999999996</v>
      </c>
      <c r="G66" s="482">
        <v>688.49999999999989</v>
      </c>
      <c r="H66" s="482">
        <f t="shared" si="1"/>
        <v>2789.7</v>
      </c>
      <c r="I66" s="500">
        <f>ROUND((E66+F66+G66)*('[4]29_01_H_2020'!$O$13)*D66*12*(1+'[4]29_01_H_2020'!$O$24),2)</f>
        <v>12101.74</v>
      </c>
      <c r="J66" s="24"/>
      <c r="K66" s="464" t="s">
        <v>650</v>
      </c>
      <c r="L66" s="368" t="s">
        <v>343</v>
      </c>
      <c r="M66" s="368" t="s">
        <v>621</v>
      </c>
    </row>
    <row r="67" spans="1:13" x14ac:dyDescent="0.25">
      <c r="A67" s="501" t="s">
        <v>655</v>
      </c>
      <c r="B67" s="502" t="s">
        <v>344</v>
      </c>
      <c r="C67" s="454" t="s">
        <v>343</v>
      </c>
      <c r="D67" s="503">
        <v>10.5</v>
      </c>
      <c r="E67" s="482">
        <v>1730</v>
      </c>
      <c r="F67" s="482">
        <v>51.9</v>
      </c>
      <c r="G67" s="482">
        <v>583.87499999999989</v>
      </c>
      <c r="H67" s="482">
        <f t="shared" si="1"/>
        <v>2365.7750000000001</v>
      </c>
      <c r="I67" s="500">
        <f>ROUND((E67+F67+G67)*('[4]29_01_H_2020'!$O$13)*D67*12*(1+'[4]29_01_H_2020'!$O$24),2)</f>
        <v>23946.42</v>
      </c>
      <c r="J67" s="24"/>
      <c r="K67" s="464" t="s">
        <v>650</v>
      </c>
      <c r="L67" s="368" t="s">
        <v>343</v>
      </c>
      <c r="M67" s="368" t="s">
        <v>621</v>
      </c>
    </row>
    <row r="68" spans="1:13" x14ac:dyDescent="0.25">
      <c r="A68" s="501" t="s">
        <v>656</v>
      </c>
      <c r="B68" s="502" t="s">
        <v>344</v>
      </c>
      <c r="C68" s="454" t="s">
        <v>343</v>
      </c>
      <c r="D68" s="503">
        <v>9</v>
      </c>
      <c r="E68" s="482">
        <v>1750</v>
      </c>
      <c r="F68" s="482">
        <v>52.5</v>
      </c>
      <c r="G68" s="482">
        <v>590.62499999999989</v>
      </c>
      <c r="H68" s="482">
        <f t="shared" si="1"/>
        <v>2393.125</v>
      </c>
      <c r="I68" s="500">
        <f>ROUND((E68+F68+G68)*('[4]29_01_H_2020'!$O$13)*D68*12*(1+'[4]29_01_H_2020'!$O$24),2)</f>
        <v>20762.8</v>
      </c>
      <c r="J68" s="24"/>
      <c r="K68" s="464" t="s">
        <v>650</v>
      </c>
      <c r="L68" s="368" t="s">
        <v>343</v>
      </c>
      <c r="M68" s="368" t="s">
        <v>621</v>
      </c>
    </row>
    <row r="69" spans="1:13" x14ac:dyDescent="0.25">
      <c r="A69" s="504" t="s">
        <v>238</v>
      </c>
      <c r="B69" s="505" t="s">
        <v>344</v>
      </c>
      <c r="C69" s="505" t="s">
        <v>343</v>
      </c>
      <c r="D69" s="503">
        <v>41</v>
      </c>
      <c r="E69" s="482">
        <v>1830</v>
      </c>
      <c r="F69" s="482">
        <v>54.9</v>
      </c>
      <c r="G69" s="482">
        <v>617.62499999999989</v>
      </c>
      <c r="H69" s="482">
        <f t="shared" si="1"/>
        <v>2502.5250000000001</v>
      </c>
      <c r="I69" s="500">
        <f>ROUND((E69+F69+G69)*('[4]29_01_H_2020'!$O$13)*D69*12*(1+'[4]29_01_H_2020'!$O$24),2)</f>
        <v>98910</v>
      </c>
      <c r="J69" s="24"/>
      <c r="K69" s="464" t="s">
        <v>650</v>
      </c>
      <c r="L69" s="368" t="s">
        <v>343</v>
      </c>
      <c r="M69" s="368" t="s">
        <v>621</v>
      </c>
    </row>
    <row r="70" spans="1:13" ht="25.5" x14ac:dyDescent="0.25">
      <c r="A70" s="485" t="s">
        <v>239</v>
      </c>
      <c r="B70" s="505" t="s">
        <v>344</v>
      </c>
      <c r="C70" s="505" t="s">
        <v>343</v>
      </c>
      <c r="D70" s="503">
        <v>40</v>
      </c>
      <c r="E70" s="482">
        <v>1430</v>
      </c>
      <c r="F70" s="482">
        <v>42.9</v>
      </c>
      <c r="G70" s="482">
        <v>482.62499999999994</v>
      </c>
      <c r="H70" s="482">
        <f t="shared" si="1"/>
        <v>1955.5250000000001</v>
      </c>
      <c r="I70" s="500">
        <f>ROUND((E70+F70+G70)*('[4]29_01_H_2020'!$O$13)*D70*12*(1+'[4]29_01_H_2020'!$O$24),2)</f>
        <v>75405.2</v>
      </c>
      <c r="J70" s="24"/>
      <c r="K70" s="464" t="s">
        <v>650</v>
      </c>
      <c r="L70" s="368" t="s">
        <v>343</v>
      </c>
      <c r="M70" s="368" t="s">
        <v>621</v>
      </c>
    </row>
    <row r="71" spans="1:13" ht="25.5" x14ac:dyDescent="0.25">
      <c r="A71" s="485" t="s">
        <v>239</v>
      </c>
      <c r="B71" s="505" t="s">
        <v>344</v>
      </c>
      <c r="C71" s="505" t="s">
        <v>343</v>
      </c>
      <c r="D71" s="503">
        <v>14</v>
      </c>
      <c r="E71" s="482">
        <v>1300</v>
      </c>
      <c r="F71" s="482">
        <v>39</v>
      </c>
      <c r="G71" s="482">
        <v>438.74999999999994</v>
      </c>
      <c r="H71" s="482">
        <f t="shared" si="1"/>
        <v>1777.75</v>
      </c>
      <c r="I71" s="500">
        <f>ROUND((E71+F71+G71)*('[4]29_01_H_2020'!$O$13)*D71*12*(1+'[4]29_01_H_2020'!$O$24),2)</f>
        <v>23992.560000000001</v>
      </c>
      <c r="J71" s="24"/>
      <c r="K71" s="464" t="s">
        <v>650</v>
      </c>
      <c r="L71" s="368" t="s">
        <v>343</v>
      </c>
      <c r="M71" s="368" t="s">
        <v>621</v>
      </c>
    </row>
    <row r="72" spans="1:13" ht="26.25" x14ac:dyDescent="0.25">
      <c r="A72" s="501" t="s">
        <v>186</v>
      </c>
      <c r="B72" s="502" t="s">
        <v>344</v>
      </c>
      <c r="C72" s="454" t="s">
        <v>343</v>
      </c>
      <c r="D72" s="503">
        <v>25.5</v>
      </c>
      <c r="E72" s="482">
        <v>1670</v>
      </c>
      <c r="F72" s="482">
        <v>50.1</v>
      </c>
      <c r="G72" s="482">
        <v>563.625</v>
      </c>
      <c r="H72" s="482">
        <f t="shared" si="1"/>
        <v>2283.7249999999999</v>
      </c>
      <c r="I72" s="500">
        <f>ROUND((E72+F72+G72)*('[4]29_01_H_2020'!$O$13)*D72*12*(1+'[4]29_01_H_2020'!$O$24),2)</f>
        <v>56138.64</v>
      </c>
      <c r="J72" s="24"/>
      <c r="K72" s="464" t="s">
        <v>650</v>
      </c>
      <c r="L72" s="368" t="s">
        <v>343</v>
      </c>
      <c r="M72" s="368" t="s">
        <v>621</v>
      </c>
    </row>
    <row r="73" spans="1:13" x14ac:dyDescent="0.25">
      <c r="A73" s="501" t="s">
        <v>657</v>
      </c>
      <c r="B73" s="502" t="s">
        <v>344</v>
      </c>
      <c r="C73" s="454" t="s">
        <v>343</v>
      </c>
      <c r="D73" s="503">
        <v>9.5</v>
      </c>
      <c r="E73" s="482">
        <v>1700</v>
      </c>
      <c r="F73" s="482">
        <v>51</v>
      </c>
      <c r="G73" s="482">
        <v>573.75</v>
      </c>
      <c r="H73" s="482">
        <f t="shared" si="1"/>
        <v>2324.75</v>
      </c>
      <c r="I73" s="500">
        <f>ROUND((E73+F73+G73)*('[4]29_01_H_2020'!$O$13)*D73*12*(1+'[4]29_01_H_2020'!$O$24),2)</f>
        <v>21290.1</v>
      </c>
      <c r="J73" s="24"/>
      <c r="K73" s="464" t="s">
        <v>650</v>
      </c>
      <c r="L73" s="368" t="s">
        <v>343</v>
      </c>
      <c r="M73" s="368" t="s">
        <v>621</v>
      </c>
    </row>
    <row r="74" spans="1:13" x14ac:dyDescent="0.25">
      <c r="A74" s="501" t="s">
        <v>242</v>
      </c>
      <c r="B74" s="502" t="s">
        <v>344</v>
      </c>
      <c r="C74" s="454" t="s">
        <v>343</v>
      </c>
      <c r="D74" s="503">
        <v>1</v>
      </c>
      <c r="E74" s="482">
        <v>1820</v>
      </c>
      <c r="F74" s="482">
        <v>54.6</v>
      </c>
      <c r="G74" s="482">
        <v>54.6</v>
      </c>
      <c r="H74" s="482">
        <f t="shared" si="1"/>
        <v>1929.1999999999998</v>
      </c>
      <c r="I74" s="500">
        <f>ROUND((E74+F74+G74)*('[4]29_01_H_2020'!$O$13)*D74*12*(1+'[4]29_01_H_2020'!$O$24),2)</f>
        <v>1859.75</v>
      </c>
      <c r="J74" s="24"/>
      <c r="K74" s="464" t="s">
        <v>650</v>
      </c>
      <c r="L74" s="368" t="s">
        <v>343</v>
      </c>
      <c r="M74" s="368" t="s">
        <v>621</v>
      </c>
    </row>
    <row r="75" spans="1:13" x14ac:dyDescent="0.25">
      <c r="A75" s="501" t="s">
        <v>243</v>
      </c>
      <c r="B75" s="502" t="s">
        <v>344</v>
      </c>
      <c r="C75" s="454" t="s">
        <v>343</v>
      </c>
      <c r="D75" s="503">
        <v>9.5</v>
      </c>
      <c r="E75" s="482">
        <v>1450</v>
      </c>
      <c r="F75" s="482">
        <v>43.5</v>
      </c>
      <c r="G75" s="482">
        <v>750.37500000000011</v>
      </c>
      <c r="H75" s="482">
        <f t="shared" si="1"/>
        <v>2243.875</v>
      </c>
      <c r="I75" s="500">
        <f>ROUND((E75+F75+G75)*('[4]29_01_H_2020'!$O$13)*D75*12*(1+'[4]29_01_H_2020'!$O$24),2)</f>
        <v>20549.45</v>
      </c>
      <c r="J75" s="24"/>
      <c r="K75" s="464" t="s">
        <v>650</v>
      </c>
      <c r="L75" s="368" t="s">
        <v>343</v>
      </c>
      <c r="M75" s="368" t="s">
        <v>621</v>
      </c>
    </row>
    <row r="76" spans="1:13" x14ac:dyDescent="0.25">
      <c r="A76" s="485" t="s">
        <v>58</v>
      </c>
      <c r="B76" s="502" t="s">
        <v>345</v>
      </c>
      <c r="C76" s="505" t="s">
        <v>346</v>
      </c>
      <c r="D76" s="503">
        <v>4.75</v>
      </c>
      <c r="E76" s="482">
        <v>1450</v>
      </c>
      <c r="F76" s="482">
        <v>43.5</v>
      </c>
      <c r="G76" s="482">
        <v>750.37500000000011</v>
      </c>
      <c r="H76" s="482">
        <f t="shared" si="1"/>
        <v>2243.875</v>
      </c>
      <c r="I76" s="500">
        <f>ROUND((E76+F76+G76)*('[4]29_01_H_2020'!$O$13)*D76*12*(1+'[4]29_01_H_2020'!$O$24),2)</f>
        <v>10274.719999999999</v>
      </c>
      <c r="J76" s="24"/>
      <c r="K76" s="464" t="s">
        <v>658</v>
      </c>
      <c r="L76" s="368" t="s">
        <v>346</v>
      </c>
      <c r="M76" s="368" t="s">
        <v>621</v>
      </c>
    </row>
    <row r="77" spans="1:13" x14ac:dyDescent="0.25">
      <c r="A77" s="501" t="s">
        <v>59</v>
      </c>
      <c r="B77" s="502" t="s">
        <v>347</v>
      </c>
      <c r="C77" s="505" t="s">
        <v>348</v>
      </c>
      <c r="D77" s="503">
        <v>9.5</v>
      </c>
      <c r="E77" s="482">
        <v>1450</v>
      </c>
      <c r="F77" s="482">
        <v>43.5</v>
      </c>
      <c r="G77" s="482">
        <v>750.37500000000011</v>
      </c>
      <c r="H77" s="482">
        <f t="shared" si="1"/>
        <v>2243.875</v>
      </c>
      <c r="I77" s="500">
        <f>ROUND((E77+F77+G77)*('[4]29_01_H_2020'!$O$13)*D77*12*(1+'[4]29_01_H_2020'!$O$24),2)</f>
        <v>20549.45</v>
      </c>
      <c r="J77" s="24"/>
      <c r="K77" s="464" t="s">
        <v>659</v>
      </c>
      <c r="L77" s="368" t="s">
        <v>348</v>
      </c>
      <c r="M77" s="368" t="s">
        <v>621</v>
      </c>
    </row>
    <row r="78" spans="1:13" x14ac:dyDescent="0.25">
      <c r="A78" s="501" t="s">
        <v>60</v>
      </c>
      <c r="B78" s="502" t="s">
        <v>349</v>
      </c>
      <c r="C78" s="505" t="s">
        <v>285</v>
      </c>
      <c r="D78" s="503">
        <v>2</v>
      </c>
      <c r="E78" s="482">
        <v>1450</v>
      </c>
      <c r="F78" s="482">
        <v>43.5</v>
      </c>
      <c r="G78" s="482">
        <v>750.37500000000011</v>
      </c>
      <c r="H78" s="482">
        <f t="shared" si="1"/>
        <v>2243.875</v>
      </c>
      <c r="I78" s="500">
        <f>ROUND((E78+F78+G78)*('[4]29_01_H_2020'!$O$13)*D78*12*(1+'[4]29_01_H_2020'!$O$24),2)</f>
        <v>4326.2</v>
      </c>
      <c r="J78" s="24"/>
      <c r="K78" s="464" t="s">
        <v>660</v>
      </c>
      <c r="L78" s="368" t="s">
        <v>285</v>
      </c>
      <c r="M78" s="368" t="s">
        <v>621</v>
      </c>
    </row>
    <row r="79" spans="1:13" ht="26.25" x14ac:dyDescent="0.25">
      <c r="A79" s="501" t="s">
        <v>244</v>
      </c>
      <c r="B79" s="502" t="s">
        <v>344</v>
      </c>
      <c r="C79" s="505" t="s">
        <v>343</v>
      </c>
      <c r="D79" s="503">
        <v>2</v>
      </c>
      <c r="E79" s="482">
        <v>1450</v>
      </c>
      <c r="F79" s="482">
        <v>43.5</v>
      </c>
      <c r="G79" s="482">
        <v>489.37499999999994</v>
      </c>
      <c r="H79" s="482">
        <f t="shared" si="1"/>
        <v>1982.875</v>
      </c>
      <c r="I79" s="500">
        <f>ROUND((E79+F79+G79)*('[4]29_01_H_2020'!$O$13)*D79*12*(1+'[4]29_01_H_2020'!$O$24),2)</f>
        <v>3822.99</v>
      </c>
      <c r="J79" s="24"/>
      <c r="K79" s="464" t="s">
        <v>650</v>
      </c>
      <c r="L79" s="368" t="s">
        <v>343</v>
      </c>
      <c r="M79" s="368" t="s">
        <v>621</v>
      </c>
    </row>
    <row r="80" spans="1:13" x14ac:dyDescent="0.25">
      <c r="A80" s="501" t="s">
        <v>350</v>
      </c>
      <c r="B80" s="502" t="s">
        <v>344</v>
      </c>
      <c r="C80" s="505" t="s">
        <v>343</v>
      </c>
      <c r="D80" s="503">
        <v>7.75</v>
      </c>
      <c r="E80" s="482">
        <v>1730</v>
      </c>
      <c r="F80" s="482">
        <v>51.9</v>
      </c>
      <c r="G80" s="482"/>
      <c r="H80" s="482">
        <f t="shared" si="1"/>
        <v>1781.9</v>
      </c>
      <c r="I80" s="500">
        <f>ROUND((E80+F80+G80)*('[4]29_01_H_2020'!$O$13)*D80*12*(1+'[4]29_01_H_2020'!$O$24),2)</f>
        <v>13312.6</v>
      </c>
      <c r="J80" s="24"/>
      <c r="K80" s="464" t="s">
        <v>650</v>
      </c>
      <c r="L80" s="368" t="s">
        <v>343</v>
      </c>
      <c r="M80" s="368" t="s">
        <v>621</v>
      </c>
    </row>
    <row r="81" spans="1:13" x14ac:dyDescent="0.25">
      <c r="A81" s="501" t="s">
        <v>661</v>
      </c>
      <c r="B81" s="502" t="s">
        <v>662</v>
      </c>
      <c r="C81" s="505" t="s">
        <v>285</v>
      </c>
      <c r="D81" s="503">
        <v>1</v>
      </c>
      <c r="E81" s="482">
        <v>1800</v>
      </c>
      <c r="F81" s="482">
        <v>54</v>
      </c>
      <c r="G81" s="482"/>
      <c r="H81" s="482">
        <f t="shared" si="1"/>
        <v>1854</v>
      </c>
      <c r="I81" s="500">
        <f>ROUND((E81+F81+G81)*('[4]29_01_H_2020'!$O$13)*D81*12*(1+'[4]29_01_H_2020'!$O$24),2)</f>
        <v>1787.26</v>
      </c>
      <c r="J81" s="24"/>
      <c r="K81" s="464" t="s">
        <v>663</v>
      </c>
      <c r="L81" s="368" t="s">
        <v>285</v>
      </c>
      <c r="M81" s="368" t="s">
        <v>621</v>
      </c>
    </row>
    <row r="82" spans="1:13" ht="26.25" x14ac:dyDescent="0.25">
      <c r="A82" s="501" t="s">
        <v>245</v>
      </c>
      <c r="B82" s="502" t="s">
        <v>344</v>
      </c>
      <c r="C82" s="505" t="s">
        <v>343</v>
      </c>
      <c r="D82" s="503">
        <v>1</v>
      </c>
      <c r="E82" s="482">
        <v>1700</v>
      </c>
      <c r="F82" s="482">
        <v>51</v>
      </c>
      <c r="G82" s="482">
        <v>51</v>
      </c>
      <c r="H82" s="482">
        <f t="shared" si="1"/>
        <v>1802</v>
      </c>
      <c r="I82" s="500">
        <f>ROUND((E82+F82+G82)*('[4]29_01_H_2020'!$O$13)*D82*12*(1+'[4]29_01_H_2020'!$O$24),2)</f>
        <v>1737.13</v>
      </c>
      <c r="J82" s="24"/>
      <c r="K82" s="464" t="s">
        <v>650</v>
      </c>
      <c r="L82" s="368" t="s">
        <v>343</v>
      </c>
      <c r="M82" s="368" t="s">
        <v>621</v>
      </c>
    </row>
    <row r="83" spans="1:13" ht="26.25" x14ac:dyDescent="0.25">
      <c r="A83" s="501" t="s">
        <v>246</v>
      </c>
      <c r="B83" s="502" t="s">
        <v>344</v>
      </c>
      <c r="C83" s="454" t="s">
        <v>343</v>
      </c>
      <c r="D83" s="506">
        <v>1</v>
      </c>
      <c r="E83" s="482">
        <v>1330</v>
      </c>
      <c r="F83" s="482">
        <v>39.9</v>
      </c>
      <c r="G83" s="482">
        <v>39.9</v>
      </c>
      <c r="H83" s="482">
        <f t="shared" si="1"/>
        <v>1409.8000000000002</v>
      </c>
      <c r="I83" s="500">
        <f>ROUND((E83+F83+G83)*('[4]29_01_H_2020'!$O$13)*D83*12*(1+'[4]29_01_H_2020'!$O$24),2)</f>
        <v>1359.05</v>
      </c>
      <c r="J83" s="24"/>
      <c r="K83" s="464" t="s">
        <v>650</v>
      </c>
      <c r="L83" s="368" t="s">
        <v>343</v>
      </c>
      <c r="M83" s="368" t="s">
        <v>621</v>
      </c>
    </row>
    <row r="84" spans="1:13" ht="25.5" x14ac:dyDescent="0.25">
      <c r="A84" s="485" t="s">
        <v>664</v>
      </c>
      <c r="B84" s="502" t="s">
        <v>351</v>
      </c>
      <c r="C84" s="454" t="s">
        <v>343</v>
      </c>
      <c r="D84" s="506">
        <v>4</v>
      </c>
      <c r="E84" s="482">
        <v>1450</v>
      </c>
      <c r="F84" s="482">
        <v>43.5</v>
      </c>
      <c r="G84" s="482">
        <v>43.5</v>
      </c>
      <c r="H84" s="482">
        <f t="shared" si="1"/>
        <v>1537</v>
      </c>
      <c r="I84" s="500">
        <f>ROUND((E84+F84+G84)*('[4]29_01_H_2020'!$O$13)*D84*12*(1+'[4]29_01_H_2020'!$O$24),2)</f>
        <v>5926.68</v>
      </c>
      <c r="J84" s="24"/>
      <c r="K84" s="464" t="s">
        <v>665</v>
      </c>
      <c r="L84" s="368" t="s">
        <v>343</v>
      </c>
      <c r="M84" s="368" t="s">
        <v>621</v>
      </c>
    </row>
    <row r="85" spans="1:13" ht="26.25" x14ac:dyDescent="0.25">
      <c r="A85" s="501" t="s">
        <v>666</v>
      </c>
      <c r="B85" s="502" t="s">
        <v>344</v>
      </c>
      <c r="C85" s="505" t="s">
        <v>343</v>
      </c>
      <c r="D85" s="506">
        <v>3</v>
      </c>
      <c r="E85" s="482">
        <v>1530</v>
      </c>
      <c r="F85" s="482">
        <v>45.9</v>
      </c>
      <c r="G85" s="482"/>
      <c r="H85" s="482">
        <f t="shared" si="1"/>
        <v>1575.9</v>
      </c>
      <c r="I85" s="500">
        <f>ROUND((E85+F85+G85)*('[4]29_01_H_2020'!$O$13)*D85*12*(1+'[4]29_01_H_2020'!$O$24),2)</f>
        <v>4557.51</v>
      </c>
      <c r="J85" s="24"/>
      <c r="K85" s="464" t="s">
        <v>667</v>
      </c>
      <c r="L85" s="368" t="s">
        <v>343</v>
      </c>
      <c r="M85" s="368"/>
    </row>
    <row r="86" spans="1:13" x14ac:dyDescent="0.25">
      <c r="A86" s="302" t="s">
        <v>62</v>
      </c>
      <c r="B86" s="302"/>
      <c r="C86" s="302"/>
      <c r="D86" s="303"/>
      <c r="E86" s="470"/>
      <c r="F86" s="470"/>
      <c r="G86" s="470"/>
      <c r="H86" s="470"/>
      <c r="I86" s="249">
        <f>I87+I92+I94</f>
        <v>1081349.8</v>
      </c>
      <c r="K86" s="368"/>
      <c r="L86" s="368"/>
      <c r="M86" s="368"/>
    </row>
    <row r="87" spans="1:13" x14ac:dyDescent="0.25">
      <c r="A87" s="304" t="s">
        <v>71</v>
      </c>
      <c r="B87" s="304"/>
      <c r="C87" s="304"/>
      <c r="D87" s="9"/>
      <c r="E87" s="6"/>
      <c r="F87" s="6"/>
      <c r="G87" s="6"/>
      <c r="H87" s="507"/>
      <c r="I87" s="248">
        <f>I88+I91+I89+I90</f>
        <v>283695.46000000002</v>
      </c>
      <c r="K87" s="368"/>
      <c r="L87" s="368"/>
      <c r="M87" s="368"/>
    </row>
    <row r="88" spans="1:13" x14ac:dyDescent="0.25">
      <c r="A88" s="485" t="s">
        <v>63</v>
      </c>
      <c r="B88" s="486" t="s">
        <v>300</v>
      </c>
      <c r="C88" s="454" t="s">
        <v>298</v>
      </c>
      <c r="D88" s="487">
        <v>2</v>
      </c>
      <c r="E88" s="488">
        <v>1850</v>
      </c>
      <c r="F88" s="488">
        <v>55.5</v>
      </c>
      <c r="G88" s="488">
        <v>624.37499999999989</v>
      </c>
      <c r="H88" s="482">
        <f t="shared" ref="H88:H100" si="2">E88+F88+G88</f>
        <v>2529.875</v>
      </c>
      <c r="I88" s="500">
        <f>ROUND((E88+F88+G88)*('[4]29_01_H_2020'!$O$9)*D88*12*(1+'[4]29_01_H_2020'!$O$24),2)</f>
        <v>7954.25</v>
      </c>
      <c r="J88" s="24"/>
      <c r="K88" s="464" t="s">
        <v>668</v>
      </c>
      <c r="L88" s="368" t="s">
        <v>298</v>
      </c>
      <c r="M88" s="368" t="s">
        <v>621</v>
      </c>
    </row>
    <row r="89" spans="1:13" ht="25.5" x14ac:dyDescent="0.25">
      <c r="A89" s="485" t="s">
        <v>233</v>
      </c>
      <c r="B89" s="486" t="s">
        <v>352</v>
      </c>
      <c r="C89" s="454" t="s">
        <v>298</v>
      </c>
      <c r="D89" s="487">
        <v>2</v>
      </c>
      <c r="E89" s="488">
        <v>2350</v>
      </c>
      <c r="F89" s="488">
        <v>70.5</v>
      </c>
      <c r="G89" s="488">
        <v>816.62499999999989</v>
      </c>
      <c r="H89" s="482">
        <f t="shared" si="2"/>
        <v>3237.125</v>
      </c>
      <c r="I89" s="500">
        <f>ROUND((E89+F89+G89)*('[4]29_01_H_2020'!$O$9)*D89*12*(1+'[4]29_01_H_2020'!$O$24),2)</f>
        <v>10177.94</v>
      </c>
      <c r="J89" s="24"/>
      <c r="K89" s="464" t="s">
        <v>669</v>
      </c>
      <c r="L89" s="368" t="s">
        <v>298</v>
      </c>
      <c r="M89" s="368" t="s">
        <v>621</v>
      </c>
    </row>
    <row r="90" spans="1:13" ht="25.5" x14ac:dyDescent="0.25">
      <c r="A90" s="485" t="s">
        <v>64</v>
      </c>
      <c r="B90" s="486" t="s">
        <v>354</v>
      </c>
      <c r="C90" s="454" t="s">
        <v>298</v>
      </c>
      <c r="D90" s="487">
        <v>44</v>
      </c>
      <c r="E90" s="488">
        <v>1515</v>
      </c>
      <c r="F90" s="488">
        <v>45.449999999999996</v>
      </c>
      <c r="G90" s="488">
        <v>935.51250000000005</v>
      </c>
      <c r="H90" s="482">
        <f t="shared" si="2"/>
        <v>2495.9625000000001</v>
      </c>
      <c r="I90" s="500">
        <f>ROUND((E90+F90+G90)*('[4]29_01_H_2020'!$O$9)*D90*12*(1+'[4]29_01_H_2020'!$O$24),2)</f>
        <v>172647.85</v>
      </c>
      <c r="J90" s="24"/>
      <c r="K90" s="464" t="s">
        <v>670</v>
      </c>
      <c r="L90" s="368" t="s">
        <v>298</v>
      </c>
      <c r="M90" s="368" t="s">
        <v>621</v>
      </c>
    </row>
    <row r="91" spans="1:13" ht="63.75" x14ac:dyDescent="0.25">
      <c r="A91" s="489" t="s">
        <v>187</v>
      </c>
      <c r="B91" s="486" t="s">
        <v>300</v>
      </c>
      <c r="C91" s="490" t="s">
        <v>298</v>
      </c>
      <c r="D91" s="491">
        <v>20.5</v>
      </c>
      <c r="E91" s="51">
        <v>1750</v>
      </c>
      <c r="F91" s="482">
        <v>52.5</v>
      </c>
      <c r="G91" s="482">
        <v>1080.625</v>
      </c>
      <c r="H91" s="482">
        <f t="shared" si="2"/>
        <v>2883.125</v>
      </c>
      <c r="I91" s="500">
        <f>ROUND((E91+F91+G91)*('[4]29_01_H_2020'!$O$9)*D91*12*(1+'[4]29_01_H_2020'!$O$24),2)</f>
        <v>92915.42</v>
      </c>
      <c r="J91" s="24"/>
      <c r="K91" s="464" t="s">
        <v>632</v>
      </c>
      <c r="L91" s="368" t="s">
        <v>298</v>
      </c>
      <c r="M91" s="368" t="s">
        <v>621</v>
      </c>
    </row>
    <row r="92" spans="1:13" ht="51" x14ac:dyDescent="0.25">
      <c r="A92" s="304" t="s">
        <v>353</v>
      </c>
      <c r="B92" s="304"/>
      <c r="C92" s="304"/>
      <c r="D92" s="9"/>
      <c r="E92" s="6"/>
      <c r="F92" s="6"/>
      <c r="G92" s="6"/>
      <c r="H92" s="6"/>
      <c r="I92" s="248">
        <f>I93</f>
        <v>86848.76</v>
      </c>
      <c r="K92" s="368"/>
      <c r="L92" s="368"/>
      <c r="M92" s="368"/>
    </row>
    <row r="93" spans="1:13" ht="25.5" x14ac:dyDescent="0.25">
      <c r="A93" s="485" t="s">
        <v>66</v>
      </c>
      <c r="B93" s="486" t="s">
        <v>373</v>
      </c>
      <c r="C93" s="454" t="s">
        <v>291</v>
      </c>
      <c r="D93" s="492">
        <v>49</v>
      </c>
      <c r="E93" s="51">
        <v>1116</v>
      </c>
      <c r="F93" s="482">
        <v>33.479999999999997</v>
      </c>
      <c r="G93" s="482">
        <v>689.13000000000011</v>
      </c>
      <c r="H93" s="482">
        <f t="shared" si="2"/>
        <v>1838.6100000000001</v>
      </c>
      <c r="I93" s="500">
        <f>ROUND((E93+F93+G93)*('[4]29_01_H_2020'!$O$13)*D93*12*(1+'[4]29_01_H_2020'!$O$24),2)</f>
        <v>86848.76</v>
      </c>
      <c r="J93" s="24"/>
      <c r="K93" s="464" t="s">
        <v>671</v>
      </c>
      <c r="L93" s="368" t="s">
        <v>291</v>
      </c>
      <c r="M93" s="368" t="s">
        <v>621</v>
      </c>
    </row>
    <row r="94" spans="1:13" ht="38.25" x14ac:dyDescent="0.25">
      <c r="A94" s="304" t="s">
        <v>355</v>
      </c>
      <c r="B94" s="304"/>
      <c r="C94" s="304"/>
      <c r="D94" s="9"/>
      <c r="E94" s="8"/>
      <c r="F94" s="8"/>
      <c r="G94" s="8"/>
      <c r="H94" s="8"/>
      <c r="I94" s="248">
        <f>SUM(I95:I100)</f>
        <v>710805.58000000007</v>
      </c>
      <c r="K94" s="368"/>
      <c r="L94" s="368"/>
      <c r="M94" s="368"/>
    </row>
    <row r="95" spans="1:13" x14ac:dyDescent="0.25">
      <c r="A95" s="501" t="s">
        <v>241</v>
      </c>
      <c r="B95" s="502" t="s">
        <v>344</v>
      </c>
      <c r="C95" s="454" t="s">
        <v>343</v>
      </c>
      <c r="D95" s="503">
        <v>8.5</v>
      </c>
      <c r="E95" s="482">
        <v>1450</v>
      </c>
      <c r="F95" s="482">
        <v>43.5</v>
      </c>
      <c r="G95" s="482">
        <v>489.37499999999994</v>
      </c>
      <c r="H95" s="482">
        <f t="shared" si="2"/>
        <v>1982.875</v>
      </c>
      <c r="I95" s="500">
        <f>ROUND((E95+F95+G95)*('[4]29_01_H_2020'!$O$13)*D95*12*(1+'[4]29_01_H_2020'!$O$24),2)</f>
        <v>16247.71</v>
      </c>
      <c r="J95" s="24"/>
      <c r="K95" s="464" t="s">
        <v>667</v>
      </c>
      <c r="L95" s="368" t="s">
        <v>343</v>
      </c>
      <c r="M95" s="368" t="s">
        <v>621</v>
      </c>
    </row>
    <row r="96" spans="1:13" ht="26.25" x14ac:dyDescent="0.25">
      <c r="A96" s="501" t="s">
        <v>240</v>
      </c>
      <c r="B96" s="502" t="s">
        <v>344</v>
      </c>
      <c r="C96" s="454" t="s">
        <v>343</v>
      </c>
      <c r="D96" s="503">
        <v>25</v>
      </c>
      <c r="E96" s="482">
        <v>1120</v>
      </c>
      <c r="F96" s="482">
        <v>33.6</v>
      </c>
      <c r="G96" s="482">
        <v>377.99999999999994</v>
      </c>
      <c r="H96" s="482">
        <f t="shared" si="2"/>
        <v>1531.6</v>
      </c>
      <c r="I96" s="500">
        <f>ROUND((E96+F96+G96)*('[4]29_01_H_2020'!$O$13)*D96*12*(1+'[4]29_01_H_2020'!$O$24),2)</f>
        <v>36911.64</v>
      </c>
      <c r="J96" s="24"/>
      <c r="K96" s="464" t="s">
        <v>667</v>
      </c>
      <c r="L96" s="368" t="s">
        <v>343</v>
      </c>
      <c r="M96" s="368" t="s">
        <v>621</v>
      </c>
    </row>
    <row r="97" spans="1:13" ht="26.25" x14ac:dyDescent="0.25">
      <c r="A97" s="501" t="s">
        <v>240</v>
      </c>
      <c r="B97" s="505" t="s">
        <v>344</v>
      </c>
      <c r="C97" s="505" t="s">
        <v>343</v>
      </c>
      <c r="D97" s="503">
        <v>7</v>
      </c>
      <c r="E97" s="482">
        <v>1230</v>
      </c>
      <c r="F97" s="482">
        <v>36.9</v>
      </c>
      <c r="G97" s="482">
        <v>415.12499999999994</v>
      </c>
      <c r="H97" s="482">
        <f t="shared" si="2"/>
        <v>1682.0250000000001</v>
      </c>
      <c r="I97" s="500">
        <f>ROUND((E97+F97+G97)*('[4]29_01_H_2020'!$O$13)*D97*12*(1+'[4]29_01_H_2020'!$O$24),2)</f>
        <v>11350.33</v>
      </c>
      <c r="J97" s="24"/>
      <c r="K97" s="464" t="s">
        <v>667</v>
      </c>
      <c r="L97" s="368" t="s">
        <v>343</v>
      </c>
      <c r="M97" s="368" t="s">
        <v>621</v>
      </c>
    </row>
    <row r="98" spans="1:13" x14ac:dyDescent="0.25">
      <c r="A98" s="244" t="s">
        <v>356</v>
      </c>
      <c r="B98" s="502" t="s">
        <v>344</v>
      </c>
      <c r="C98" s="454" t="s">
        <v>343</v>
      </c>
      <c r="D98" s="506">
        <v>1</v>
      </c>
      <c r="E98" s="482">
        <v>1450</v>
      </c>
      <c r="F98" s="482">
        <v>43.5</v>
      </c>
      <c r="G98" s="493"/>
      <c r="H98" s="482">
        <f t="shared" si="2"/>
        <v>1493.5</v>
      </c>
      <c r="I98" s="500">
        <f>ROUND((E98+F98+G98)*('[4]29_01_H_2020'!$O$13)*D98*12*(1+'[4]29_01_H_2020'!$O$24),2)</f>
        <v>1439.74</v>
      </c>
      <c r="J98" s="24"/>
      <c r="K98" s="464" t="s">
        <v>667</v>
      </c>
      <c r="L98" s="368" t="s">
        <v>343</v>
      </c>
      <c r="M98" s="368" t="s">
        <v>621</v>
      </c>
    </row>
    <row r="99" spans="1:13" x14ac:dyDescent="0.25">
      <c r="A99" s="489" t="s">
        <v>65</v>
      </c>
      <c r="B99" s="502" t="s">
        <v>344</v>
      </c>
      <c r="C99" s="490" t="s">
        <v>295</v>
      </c>
      <c r="D99" s="492">
        <v>352.35</v>
      </c>
      <c r="E99" s="51">
        <v>1116</v>
      </c>
      <c r="F99" s="494">
        <v>33.479999999999997</v>
      </c>
      <c r="G99" s="494">
        <v>577.53000000000009</v>
      </c>
      <c r="H99" s="482">
        <f t="shared" si="2"/>
        <v>1727.0100000000002</v>
      </c>
      <c r="I99" s="500">
        <f>ROUND((E99+F99+G99)*('[4]29_01_H_2020'!$O$13)*D99*12*(1+'[4]29_01_H_2020'!$O$24),2)</f>
        <v>586606.76</v>
      </c>
      <c r="J99" s="24"/>
      <c r="K99" s="464" t="s">
        <v>667</v>
      </c>
      <c r="L99" s="368" t="s">
        <v>295</v>
      </c>
      <c r="M99" s="368" t="s">
        <v>621</v>
      </c>
    </row>
    <row r="100" spans="1:13" ht="25.5" x14ac:dyDescent="0.25">
      <c r="A100" s="489" t="s">
        <v>672</v>
      </c>
      <c r="B100" s="486" t="s">
        <v>344</v>
      </c>
      <c r="C100" s="490" t="s">
        <v>295</v>
      </c>
      <c r="D100" s="492">
        <v>28.8</v>
      </c>
      <c r="E100" s="51">
        <v>1330</v>
      </c>
      <c r="F100" s="494">
        <v>39.9</v>
      </c>
      <c r="G100" s="494">
        <v>728.17499999999995</v>
      </c>
      <c r="H100" s="482">
        <f t="shared" si="2"/>
        <v>2098.0749999999998</v>
      </c>
      <c r="I100" s="500">
        <f>ROUND((E100+F100+G100)*('[4]29_01_H_2020'!$O$13)*D100*12*(1+'[4]29_01_H_2020'!$O$24),2)</f>
        <v>58249.4</v>
      </c>
      <c r="J100" s="24"/>
      <c r="K100" s="464" t="s">
        <v>667</v>
      </c>
      <c r="L100" s="368" t="s">
        <v>295</v>
      </c>
      <c r="M100" s="368" t="s">
        <v>621</v>
      </c>
    </row>
    <row r="101" spans="1:13" x14ac:dyDescent="0.25">
      <c r="A101" s="302" t="s">
        <v>67</v>
      </c>
      <c r="B101" s="302"/>
      <c r="C101" s="302"/>
      <c r="D101" s="303"/>
      <c r="E101" s="470"/>
      <c r="F101" s="470"/>
      <c r="G101" s="470"/>
      <c r="H101" s="470"/>
      <c r="I101" s="250">
        <f t="shared" ref="I101" si="3">I102</f>
        <v>1286781.0899999999</v>
      </c>
      <c r="K101" s="368"/>
      <c r="L101" s="368"/>
      <c r="M101" s="368"/>
    </row>
    <row r="102" spans="1:13" x14ac:dyDescent="0.25">
      <c r="A102" s="304" t="s">
        <v>72</v>
      </c>
      <c r="B102" s="304"/>
      <c r="C102" s="304"/>
      <c r="D102" s="9"/>
      <c r="E102" s="6"/>
      <c r="F102" s="6"/>
      <c r="G102" s="6"/>
      <c r="H102" s="6"/>
      <c r="I102" s="248">
        <f>SUM(I103:I107)</f>
        <v>1286781.0899999999</v>
      </c>
      <c r="K102" s="368"/>
      <c r="L102" s="368"/>
      <c r="M102" s="368"/>
    </row>
    <row r="103" spans="1:13" x14ac:dyDescent="0.25">
      <c r="A103" s="508" t="s">
        <v>247</v>
      </c>
      <c r="B103" s="509" t="s">
        <v>358</v>
      </c>
      <c r="C103" s="508"/>
      <c r="D103" s="506">
        <v>724.3</v>
      </c>
      <c r="E103" s="482">
        <v>960</v>
      </c>
      <c r="F103" s="482">
        <v>28.799999999999997</v>
      </c>
      <c r="G103" s="482">
        <v>496.80000000000007</v>
      </c>
      <c r="H103" s="482">
        <f t="shared" ref="H103:H107" si="4">E103+F103+G103</f>
        <v>1485.6</v>
      </c>
      <c r="I103" s="500">
        <f>ROUND((E103+F103+G103)*('[4]29_01_H_2020'!$O$16)*D103*12*(1+'[4]29_01_H_2020'!$O$24),2)</f>
        <v>1101118.46</v>
      </c>
      <c r="J103" s="24"/>
      <c r="K103" s="464" t="s">
        <v>673</v>
      </c>
      <c r="L103" s="368"/>
      <c r="M103" s="368" t="s">
        <v>621</v>
      </c>
    </row>
    <row r="104" spans="1:13" x14ac:dyDescent="0.25">
      <c r="A104" s="508" t="s">
        <v>188</v>
      </c>
      <c r="B104" s="509" t="s">
        <v>358</v>
      </c>
      <c r="C104" s="508"/>
      <c r="D104" s="506">
        <v>30</v>
      </c>
      <c r="E104" s="482">
        <v>1024</v>
      </c>
      <c r="F104" s="482">
        <v>30.72</v>
      </c>
      <c r="G104" s="482">
        <v>529.92000000000007</v>
      </c>
      <c r="H104" s="482">
        <f t="shared" si="4"/>
        <v>1584.64</v>
      </c>
      <c r="I104" s="500">
        <f>ROUND((E104+F104+G104)*('[4]29_01_H_2020'!$O$16)*D104*12*(1+'[4]29_01_H_2020'!$O$24),2)</f>
        <v>48648.06</v>
      </c>
      <c r="J104" s="24"/>
      <c r="K104" s="464" t="s">
        <v>673</v>
      </c>
      <c r="L104" s="368"/>
      <c r="M104" s="368" t="s">
        <v>621</v>
      </c>
    </row>
    <row r="105" spans="1:13" x14ac:dyDescent="0.25">
      <c r="A105" s="508" t="s">
        <v>188</v>
      </c>
      <c r="B105" s="509" t="s">
        <v>358</v>
      </c>
      <c r="C105" s="508"/>
      <c r="D105" s="506">
        <v>14</v>
      </c>
      <c r="E105" s="482">
        <v>1102</v>
      </c>
      <c r="F105" s="482">
        <v>33.06</v>
      </c>
      <c r="G105" s="482">
        <v>658.44500000000005</v>
      </c>
      <c r="H105" s="482">
        <f t="shared" si="4"/>
        <v>1793.5050000000001</v>
      </c>
      <c r="I105" s="500">
        <f>ROUND((E105+F105+G105)*('[4]29_01_H_2020'!$O$16)*D105*12*(1+'[4]29_01_H_2020'!$O$24),2)</f>
        <v>25694.74</v>
      </c>
      <c r="J105" s="24"/>
      <c r="K105" s="464" t="s">
        <v>673</v>
      </c>
      <c r="L105" s="368"/>
      <c r="M105" s="368" t="s">
        <v>621</v>
      </c>
    </row>
    <row r="106" spans="1:13" x14ac:dyDescent="0.25">
      <c r="A106" s="508" t="s">
        <v>188</v>
      </c>
      <c r="B106" s="509" t="s">
        <v>358</v>
      </c>
      <c r="C106" s="508"/>
      <c r="D106" s="506">
        <v>31</v>
      </c>
      <c r="E106" s="482">
        <v>1102</v>
      </c>
      <c r="F106" s="482">
        <v>33.06</v>
      </c>
      <c r="G106" s="482">
        <v>768.64499999999998</v>
      </c>
      <c r="H106" s="482">
        <f t="shared" si="4"/>
        <v>1903.7049999999999</v>
      </c>
      <c r="I106" s="500">
        <f>ROUND((E106+F106+G106)*('[4]29_01_H_2020'!$O$16)*D106*12*(1+'[4]29_01_H_2020'!$O$24),2)</f>
        <v>60391.39</v>
      </c>
      <c r="J106" s="24"/>
      <c r="K106" s="464" t="s">
        <v>673</v>
      </c>
      <c r="L106" s="368"/>
      <c r="M106" s="368" t="s">
        <v>621</v>
      </c>
    </row>
    <row r="107" spans="1:13" x14ac:dyDescent="0.25">
      <c r="A107" s="508" t="s">
        <v>68</v>
      </c>
      <c r="B107" s="509" t="s">
        <v>358</v>
      </c>
      <c r="C107" s="508"/>
      <c r="D107" s="506">
        <v>33.5</v>
      </c>
      <c r="E107" s="482">
        <v>960</v>
      </c>
      <c r="F107" s="482">
        <v>28.799999999999997</v>
      </c>
      <c r="G107" s="482">
        <v>496.80000000000007</v>
      </c>
      <c r="H107" s="482">
        <f t="shared" si="4"/>
        <v>1485.6</v>
      </c>
      <c r="I107" s="500">
        <f>ROUND((E107+F107+G107)*('[4]29_01_H_2020'!$O$16)*D107*12*(1+'[4]29_01_H_2020'!$O$24),2)</f>
        <v>50928.44</v>
      </c>
      <c r="J107" s="24"/>
      <c r="K107" s="464" t="s">
        <v>673</v>
      </c>
      <c r="L107" s="368"/>
      <c r="M107" s="368" t="s">
        <v>621</v>
      </c>
    </row>
    <row r="108" spans="1:13" x14ac:dyDescent="0.25">
      <c r="A108" s="302" t="s">
        <v>359</v>
      </c>
      <c r="B108" s="302"/>
      <c r="C108" s="302"/>
      <c r="D108" s="303"/>
      <c r="E108" s="470"/>
      <c r="F108" s="470"/>
      <c r="G108" s="470"/>
      <c r="H108" s="470"/>
      <c r="I108" s="250">
        <f t="shared" ref="I108" si="5">I109</f>
        <v>151039.4</v>
      </c>
      <c r="K108" s="368"/>
      <c r="L108" s="368"/>
      <c r="M108" s="368"/>
    </row>
    <row r="109" spans="1:13" x14ac:dyDescent="0.25">
      <c r="A109" s="304" t="s">
        <v>360</v>
      </c>
      <c r="B109" s="304"/>
      <c r="C109" s="304"/>
      <c r="D109" s="9"/>
      <c r="E109" s="6"/>
      <c r="F109" s="6"/>
      <c r="G109" s="6"/>
      <c r="H109" s="6"/>
      <c r="I109" s="248">
        <f t="shared" ref="I109" si="6">SUM(I110:I110)</f>
        <v>151039.4</v>
      </c>
      <c r="K109" s="368"/>
      <c r="L109" s="368"/>
      <c r="M109" s="368"/>
    </row>
    <row r="110" spans="1:13" x14ac:dyDescent="0.25">
      <c r="A110" s="508" t="s">
        <v>18</v>
      </c>
      <c r="B110" s="510" t="s">
        <v>361</v>
      </c>
      <c r="C110" s="508"/>
      <c r="D110" s="506">
        <v>117.75</v>
      </c>
      <c r="E110" s="482">
        <v>810</v>
      </c>
      <c r="F110" s="482">
        <v>24.3</v>
      </c>
      <c r="G110" s="482">
        <v>419.17500000000007</v>
      </c>
      <c r="H110" s="482">
        <f t="shared" ref="H110" si="7">E110+F110+G110</f>
        <v>1253.4749999999999</v>
      </c>
      <c r="I110" s="500">
        <f>ROUND((E110+F110+G110)*('[4]29_01_H_2020'!$O$16)*D110*12*(1+'[4]29_01_H_2020'!$O$24),2)</f>
        <v>151039.4</v>
      </c>
      <c r="J110" s="24"/>
      <c r="K110" s="464"/>
      <c r="L110" s="368"/>
      <c r="M110" s="368"/>
    </row>
    <row r="111" spans="1:13" x14ac:dyDescent="0.25">
      <c r="A111" s="305" t="s">
        <v>14</v>
      </c>
      <c r="B111" s="305"/>
      <c r="C111" s="305"/>
      <c r="D111" s="306">
        <f>SUM(D12:D48,D50:D85,D88:D91,D93:D93,D95:D100,D103:D110)</f>
        <v>3046.25</v>
      </c>
      <c r="E111" s="511" t="s">
        <v>69</v>
      </c>
      <c r="F111" s="511" t="s">
        <v>69</v>
      </c>
      <c r="G111" s="511" t="s">
        <v>69</v>
      </c>
      <c r="H111" s="511" t="s">
        <v>69</v>
      </c>
      <c r="I111" s="497">
        <f>I101+I86+I10+I108</f>
        <v>6608194.0099999998</v>
      </c>
      <c r="K111" s="368"/>
      <c r="L111" s="368"/>
      <c r="M111" s="368"/>
    </row>
    <row r="112" spans="1:13" x14ac:dyDescent="0.25">
      <c r="A112" s="2"/>
      <c r="B112" s="2"/>
      <c r="C112" s="2"/>
      <c r="D112" s="3"/>
      <c r="E112" s="2"/>
      <c r="F112" s="2"/>
      <c r="G112" s="2"/>
      <c r="H112" s="477"/>
      <c r="I112" s="478"/>
    </row>
    <row r="113" spans="1:11" ht="15" customHeight="1" x14ac:dyDescent="0.25">
      <c r="A113" s="53"/>
      <c r="B113" s="53"/>
      <c r="C113" s="53"/>
      <c r="D113" s="53"/>
      <c r="E113" s="53"/>
      <c r="F113" s="53"/>
      <c r="G113" s="53"/>
      <c r="H113" s="53"/>
      <c r="I113" s="53"/>
      <c r="J113" s="83"/>
      <c r="K113" s="83"/>
    </row>
    <row r="114" spans="1:11" x14ac:dyDescent="0.25">
      <c r="A114" s="53"/>
      <c r="B114" s="53"/>
      <c r="C114" s="53"/>
      <c r="D114" s="77"/>
      <c r="E114" s="53"/>
      <c r="F114" s="53"/>
      <c r="G114" s="53"/>
      <c r="H114" s="53"/>
      <c r="I114" s="53"/>
    </row>
    <row r="115" spans="1:11" x14ac:dyDescent="0.25">
      <c r="A115" s="53"/>
      <c r="B115" s="53"/>
      <c r="C115" s="53"/>
      <c r="D115" s="77"/>
      <c r="E115" s="53"/>
      <c r="F115" s="53"/>
      <c r="G115" s="53"/>
      <c r="H115" s="53"/>
      <c r="I115" s="53"/>
    </row>
    <row r="116" spans="1:11" x14ac:dyDescent="0.25">
      <c r="D116" s="78"/>
    </row>
    <row r="117" spans="1:11" x14ac:dyDescent="0.25">
      <c r="D117" s="78"/>
    </row>
    <row r="118" spans="1:11" x14ac:dyDescent="0.25">
      <c r="D118" s="78"/>
    </row>
    <row r="119" spans="1:11" x14ac:dyDescent="0.25">
      <c r="D119" s="78"/>
    </row>
    <row r="120" spans="1:11" x14ac:dyDescent="0.25">
      <c r="D120" s="78"/>
    </row>
  </sheetData>
  <mergeCells count="14">
    <mergeCell ref="A8:H8"/>
    <mergeCell ref="A9:H9"/>
    <mergeCell ref="H1:I1"/>
    <mergeCell ref="A2:H3"/>
    <mergeCell ref="A5:I5"/>
    <mergeCell ref="E6:E7"/>
    <mergeCell ref="G6:G7"/>
    <mergeCell ref="H6:H7"/>
    <mergeCell ref="I6:I7"/>
    <mergeCell ref="F6:F7"/>
    <mergeCell ref="A6:A7"/>
    <mergeCell ref="B6:B7"/>
    <mergeCell ref="C6:C7"/>
    <mergeCell ref="D6:D7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144F0-6F3A-4EBE-860C-B3BA8810319A}">
  <sheetPr>
    <tabColor theme="9" tint="0.79998168889431442"/>
  </sheetPr>
  <dimension ref="A1:M83"/>
  <sheetViews>
    <sheetView topLeftCell="A34" zoomScaleNormal="100" workbookViewId="0">
      <selection activeCell="O14" sqref="O14"/>
    </sheetView>
  </sheetViews>
  <sheetFormatPr defaultColWidth="9.140625" defaultRowHeight="15" x14ac:dyDescent="0.25"/>
  <cols>
    <col min="1" max="1" width="40.140625" customWidth="1"/>
    <col min="2" max="2" width="16" customWidth="1"/>
    <col min="3" max="3" width="13.42578125" customWidth="1"/>
    <col min="4" max="4" width="10.42578125" customWidth="1"/>
    <col min="6" max="6" width="9.7109375" customWidth="1"/>
    <col min="8" max="8" width="9.85546875" bestFit="1" customWidth="1"/>
    <col min="9" max="9" width="13.140625" customWidth="1"/>
    <col min="10" max="10" width="14" bestFit="1" customWidth="1"/>
    <col min="11" max="11" width="16.7109375" customWidth="1"/>
    <col min="12" max="12" width="18.140625" customWidth="1"/>
    <col min="13" max="13" width="18.42578125" customWidth="1"/>
  </cols>
  <sheetData>
    <row r="1" spans="1:13" x14ac:dyDescent="0.25">
      <c r="H1" s="710" t="s">
        <v>698</v>
      </c>
      <c r="I1" s="710"/>
    </row>
    <row r="2" spans="1:13" x14ac:dyDescent="0.25">
      <c r="A2" s="776" t="s">
        <v>675</v>
      </c>
      <c r="B2" s="776"/>
      <c r="C2" s="776"/>
      <c r="D2" s="776"/>
      <c r="E2" s="776"/>
      <c r="F2" s="776"/>
      <c r="G2" s="776"/>
      <c r="H2" s="776"/>
    </row>
    <row r="3" spans="1:13" x14ac:dyDescent="0.25">
      <c r="A3" s="776"/>
      <c r="B3" s="776"/>
      <c r="C3" s="776"/>
      <c r="D3" s="776"/>
      <c r="E3" s="776"/>
      <c r="F3" s="776"/>
      <c r="G3" s="776"/>
      <c r="H3" s="776"/>
    </row>
    <row r="4" spans="1:13" ht="15.75" thickBot="1" x14ac:dyDescent="0.3">
      <c r="I4" s="385" t="s">
        <v>519</v>
      </c>
    </row>
    <row r="5" spans="1:13" ht="15.75" x14ac:dyDescent="0.25">
      <c r="A5" s="786" t="s">
        <v>0</v>
      </c>
      <c r="B5" s="787"/>
      <c r="C5" s="787"/>
      <c r="D5" s="787"/>
      <c r="E5" s="787"/>
      <c r="F5" s="787"/>
      <c r="G5" s="787"/>
      <c r="H5" s="787"/>
      <c r="I5" s="788"/>
    </row>
    <row r="6" spans="1:13" x14ac:dyDescent="0.25">
      <c r="A6" s="794" t="s">
        <v>20</v>
      </c>
      <c r="B6" s="789" t="s">
        <v>270</v>
      </c>
      <c r="C6" s="789" t="s">
        <v>271</v>
      </c>
      <c r="D6" s="780" t="s">
        <v>21</v>
      </c>
      <c r="E6" s="778" t="s">
        <v>22</v>
      </c>
      <c r="F6" s="778" t="s">
        <v>521</v>
      </c>
      <c r="G6" s="778" t="s">
        <v>522</v>
      </c>
      <c r="H6" s="790" t="s">
        <v>617</v>
      </c>
      <c r="I6" s="792" t="s">
        <v>524</v>
      </c>
    </row>
    <row r="7" spans="1:13" ht="68.25" customHeight="1" thickBot="1" x14ac:dyDescent="0.3">
      <c r="A7" s="795"/>
      <c r="B7" s="796"/>
      <c r="C7" s="796"/>
      <c r="D7" s="797"/>
      <c r="E7" s="789"/>
      <c r="F7" s="789"/>
      <c r="G7" s="789"/>
      <c r="H7" s="791"/>
      <c r="I7" s="793"/>
      <c r="K7" s="479" t="s">
        <v>525</v>
      </c>
      <c r="L7" s="479" t="s">
        <v>271</v>
      </c>
      <c r="M7" s="479" t="s">
        <v>526</v>
      </c>
    </row>
    <row r="8" spans="1:13" ht="15.75" thickBot="1" x14ac:dyDescent="0.3">
      <c r="A8" s="781" t="s">
        <v>15</v>
      </c>
      <c r="B8" s="782"/>
      <c r="C8" s="782"/>
      <c r="D8" s="782"/>
      <c r="E8" s="782"/>
      <c r="F8" s="782"/>
      <c r="G8" s="782"/>
      <c r="H8" s="782"/>
      <c r="I8" s="513"/>
      <c r="K8" s="368"/>
      <c r="L8" s="368"/>
      <c r="M8" s="368"/>
    </row>
    <row r="9" spans="1:13" x14ac:dyDescent="0.25">
      <c r="A9" s="784" t="s">
        <v>1</v>
      </c>
      <c r="B9" s="785"/>
      <c r="C9" s="785"/>
      <c r="D9" s="785"/>
      <c r="E9" s="785"/>
      <c r="F9" s="785"/>
      <c r="G9" s="785"/>
      <c r="H9" s="785"/>
      <c r="I9" s="514"/>
      <c r="K9" s="368"/>
      <c r="L9" s="368"/>
      <c r="M9" s="368"/>
    </row>
    <row r="10" spans="1:13" x14ac:dyDescent="0.25">
      <c r="A10" s="10" t="s">
        <v>23</v>
      </c>
      <c r="B10" s="245"/>
      <c r="C10" s="245"/>
      <c r="D10" s="11"/>
      <c r="E10" s="12"/>
      <c r="F10" s="12"/>
      <c r="G10" s="12"/>
      <c r="H10" s="460"/>
      <c r="I10" s="461">
        <f>I11+I27</f>
        <v>101595.25999999998</v>
      </c>
      <c r="K10" s="368"/>
      <c r="L10" s="368"/>
      <c r="M10" s="368"/>
    </row>
    <row r="11" spans="1:13" x14ac:dyDescent="0.25">
      <c r="A11" s="7" t="s">
        <v>70</v>
      </c>
      <c r="B11" s="246"/>
      <c r="C11" s="246"/>
      <c r="D11" s="5"/>
      <c r="E11" s="6"/>
      <c r="F11" s="6"/>
      <c r="G11" s="6"/>
      <c r="H11" s="462"/>
      <c r="I11" s="463">
        <f>SUM(I12:I26)</f>
        <v>48410.689999999988</v>
      </c>
      <c r="K11" s="368"/>
      <c r="L11" s="368"/>
      <c r="M11" s="368"/>
    </row>
    <row r="12" spans="1:13" x14ac:dyDescent="0.25">
      <c r="A12" s="480" t="s">
        <v>248</v>
      </c>
      <c r="B12" s="519">
        <v>134203</v>
      </c>
      <c r="C12" s="520" t="s">
        <v>362</v>
      </c>
      <c r="D12" s="481">
        <v>1</v>
      </c>
      <c r="E12" s="51">
        <v>2526</v>
      </c>
      <c r="F12" s="482">
        <v>75.78</v>
      </c>
      <c r="G12" s="482">
        <v>105.25</v>
      </c>
      <c r="H12" s="483">
        <f>E12+F12+G12</f>
        <v>2707.03</v>
      </c>
      <c r="I12" s="393">
        <f>ROUND((E12+F12+G12)*('[4]29_01_H_2020'!$O$9)*D12*12*(1+'[4]29_01_H_2020'!$O$24),2)</f>
        <v>4255.63</v>
      </c>
      <c r="J12" s="24"/>
      <c r="K12" s="368"/>
      <c r="L12" s="368" t="s">
        <v>362</v>
      </c>
      <c r="M12" s="368">
        <v>10015701</v>
      </c>
    </row>
    <row r="13" spans="1:13" x14ac:dyDescent="0.25">
      <c r="A13" s="480" t="s">
        <v>249</v>
      </c>
      <c r="B13" s="521">
        <v>134203</v>
      </c>
      <c r="C13" s="520" t="s">
        <v>362</v>
      </c>
      <c r="D13" s="481">
        <v>1</v>
      </c>
      <c r="E13" s="51">
        <v>2205</v>
      </c>
      <c r="F13" s="482">
        <v>66.150000000000006</v>
      </c>
      <c r="G13" s="482">
        <v>91.875</v>
      </c>
      <c r="H13" s="483">
        <f t="shared" ref="H13:H38" si="0">E13+F13+G13</f>
        <v>2363.0250000000001</v>
      </c>
      <c r="I13" s="393">
        <f>ROUND((E13+F13+G13)*('[4]29_01_H_2020'!$O$9)*D13*12*(1+'[4]29_01_H_2020'!$O$24),2)</f>
        <v>3714.83</v>
      </c>
      <c r="J13" s="24"/>
      <c r="K13" s="368"/>
      <c r="L13" s="368" t="s">
        <v>362</v>
      </c>
      <c r="M13" s="368">
        <v>10015701</v>
      </c>
    </row>
    <row r="14" spans="1:13" x14ac:dyDescent="0.25">
      <c r="A14" s="480" t="s">
        <v>676</v>
      </c>
      <c r="B14" s="521">
        <v>134203</v>
      </c>
      <c r="C14" s="520" t="s">
        <v>362</v>
      </c>
      <c r="D14" s="481">
        <v>1</v>
      </c>
      <c r="E14" s="51">
        <v>2108</v>
      </c>
      <c r="F14" s="482">
        <v>63.24</v>
      </c>
      <c r="G14" s="482">
        <v>87.833333333333329</v>
      </c>
      <c r="H14" s="483">
        <f t="shared" si="0"/>
        <v>2259.0733333333333</v>
      </c>
      <c r="I14" s="393">
        <f>ROUND((E14+F14+G14)*('[4]29_01_H_2020'!$O$9)*D14*12*(1+'[4]29_01_H_2020'!$O$24),2)</f>
        <v>3551.41</v>
      </c>
      <c r="J14" s="24"/>
      <c r="K14" s="368"/>
      <c r="L14" s="368" t="s">
        <v>362</v>
      </c>
      <c r="M14" s="368">
        <v>10015701</v>
      </c>
    </row>
    <row r="15" spans="1:13" x14ac:dyDescent="0.25">
      <c r="A15" s="480" t="s">
        <v>677</v>
      </c>
      <c r="B15" s="521">
        <v>134203</v>
      </c>
      <c r="C15" s="520" t="s">
        <v>362</v>
      </c>
      <c r="D15" s="481">
        <v>1</v>
      </c>
      <c r="E15" s="51">
        <v>2108</v>
      </c>
      <c r="F15" s="482">
        <v>63.24</v>
      </c>
      <c r="G15" s="482">
        <v>87.833333333333329</v>
      </c>
      <c r="H15" s="483">
        <f t="shared" si="0"/>
        <v>2259.0733333333333</v>
      </c>
      <c r="I15" s="393">
        <f>ROUND((E15+F15+G15)*('[4]29_01_H_2020'!$O$9)*D15*12*(1+'[4]29_01_H_2020'!$O$24),2)</f>
        <v>3551.41</v>
      </c>
      <c r="J15" s="24"/>
      <c r="K15" s="368"/>
      <c r="L15" s="368" t="s">
        <v>362</v>
      </c>
      <c r="M15" s="368">
        <v>10015701</v>
      </c>
    </row>
    <row r="16" spans="1:13" x14ac:dyDescent="0.25">
      <c r="A16" s="480" t="s">
        <v>250</v>
      </c>
      <c r="B16" s="521">
        <v>134203</v>
      </c>
      <c r="C16" s="520" t="s">
        <v>362</v>
      </c>
      <c r="D16" s="481">
        <v>1</v>
      </c>
      <c r="E16" s="51">
        <v>2108</v>
      </c>
      <c r="F16" s="482">
        <v>63.24</v>
      </c>
      <c r="G16" s="482">
        <v>87.833333333333329</v>
      </c>
      <c r="H16" s="483">
        <f t="shared" si="0"/>
        <v>2259.0733333333333</v>
      </c>
      <c r="I16" s="393">
        <f>ROUND((E16+F16+G16)*('[4]29_01_H_2020'!$O$9)*D16*12*(1+'[4]29_01_H_2020'!$O$24),2)</f>
        <v>3551.41</v>
      </c>
      <c r="J16" s="24"/>
      <c r="K16" s="368"/>
      <c r="L16" s="368" t="s">
        <v>362</v>
      </c>
      <c r="M16" s="368">
        <v>10015701</v>
      </c>
    </row>
    <row r="17" spans="1:13" x14ac:dyDescent="0.25">
      <c r="A17" s="480" t="s">
        <v>366</v>
      </c>
      <c r="B17" s="521">
        <v>221101</v>
      </c>
      <c r="C17" s="520" t="s">
        <v>363</v>
      </c>
      <c r="D17" s="481">
        <v>1</v>
      </c>
      <c r="E17" s="51">
        <v>1768</v>
      </c>
      <c r="F17" s="482">
        <v>53.04</v>
      </c>
      <c r="G17" s="482">
        <v>73.666666666666671</v>
      </c>
      <c r="H17" s="483">
        <f t="shared" si="0"/>
        <v>1894.7066666666667</v>
      </c>
      <c r="I17" s="393">
        <f>ROUND((E17+F17+G17)*('[4]29_01_H_2020'!$O$9)*D17*12*(1+'[4]29_01_H_2020'!$O$24),2)</f>
        <v>2978.6</v>
      </c>
      <c r="J17" s="24"/>
      <c r="K17" s="368"/>
      <c r="L17" s="368" t="s">
        <v>363</v>
      </c>
      <c r="M17" s="368">
        <v>10015701</v>
      </c>
    </row>
    <row r="18" spans="1:13" x14ac:dyDescent="0.25">
      <c r="A18" s="480" t="s">
        <v>366</v>
      </c>
      <c r="B18" s="521">
        <v>221101</v>
      </c>
      <c r="C18" s="520" t="s">
        <v>364</v>
      </c>
      <c r="D18" s="481">
        <v>1</v>
      </c>
      <c r="E18" s="51">
        <v>1768</v>
      </c>
      <c r="F18" s="482">
        <v>53.04</v>
      </c>
      <c r="G18" s="482">
        <v>73.666666666666671</v>
      </c>
      <c r="H18" s="483">
        <f t="shared" si="0"/>
        <v>1894.7066666666667</v>
      </c>
      <c r="I18" s="393">
        <f>ROUND((E18+F18+G18)*('[4]29_01_H_2020'!$O$9)*D18*12*(1+'[4]29_01_H_2020'!$O$24),2)</f>
        <v>2978.6</v>
      </c>
      <c r="J18" s="24"/>
      <c r="K18" s="368"/>
      <c r="L18" s="368" t="s">
        <v>364</v>
      </c>
      <c r="M18" s="368">
        <v>10015701</v>
      </c>
    </row>
    <row r="19" spans="1:13" x14ac:dyDescent="0.25">
      <c r="A19" s="480" t="s">
        <v>366</v>
      </c>
      <c r="B19" s="521">
        <v>221101</v>
      </c>
      <c r="C19" s="520" t="s">
        <v>365</v>
      </c>
      <c r="D19" s="481">
        <v>1</v>
      </c>
      <c r="E19" s="51">
        <v>1768</v>
      </c>
      <c r="F19" s="482">
        <v>53.04</v>
      </c>
      <c r="G19" s="482">
        <v>73.666666666666671</v>
      </c>
      <c r="H19" s="483">
        <f t="shared" si="0"/>
        <v>1894.7066666666667</v>
      </c>
      <c r="I19" s="393">
        <f>ROUND((E19+F19+G19)*('[4]29_01_H_2020'!$O$9)*D19*12*(1+'[4]29_01_H_2020'!$O$24),2)</f>
        <v>2978.6</v>
      </c>
      <c r="J19" s="24"/>
      <c r="K19" s="368"/>
      <c r="L19" s="368" t="s">
        <v>365</v>
      </c>
      <c r="M19" s="368">
        <v>10015701</v>
      </c>
    </row>
    <row r="20" spans="1:13" x14ac:dyDescent="0.25">
      <c r="A20" s="480" t="s">
        <v>366</v>
      </c>
      <c r="B20" s="521">
        <v>221101</v>
      </c>
      <c r="C20" s="520">
        <v>0</v>
      </c>
      <c r="D20" s="481">
        <v>1</v>
      </c>
      <c r="E20" s="51">
        <v>1768</v>
      </c>
      <c r="F20" s="482">
        <v>53.04</v>
      </c>
      <c r="G20" s="482">
        <v>73.666666666666671</v>
      </c>
      <c r="H20" s="483">
        <f t="shared" si="0"/>
        <v>1894.7066666666667</v>
      </c>
      <c r="I20" s="393">
        <f>ROUND((E20+F20+G20)*('[4]29_01_H_2020'!$O$9)*D20*12*(1+'[4]29_01_H_2020'!$O$24),2)</f>
        <v>2978.6</v>
      </c>
      <c r="J20" s="24"/>
      <c r="K20" s="368"/>
      <c r="L20" s="368">
        <v>0</v>
      </c>
      <c r="M20" s="368">
        <v>10015701</v>
      </c>
    </row>
    <row r="21" spans="1:13" x14ac:dyDescent="0.25">
      <c r="A21" s="480" t="s">
        <v>251</v>
      </c>
      <c r="B21" s="521">
        <v>221101</v>
      </c>
      <c r="C21" s="520" t="s">
        <v>362</v>
      </c>
      <c r="D21" s="481">
        <v>1</v>
      </c>
      <c r="E21" s="51">
        <v>1768</v>
      </c>
      <c r="F21" s="482">
        <v>53.04</v>
      </c>
      <c r="G21" s="482">
        <v>73.666666666666671</v>
      </c>
      <c r="H21" s="483">
        <f t="shared" si="0"/>
        <v>1894.7066666666667</v>
      </c>
      <c r="I21" s="393">
        <f>ROUND((E21+F21+G21)*('[4]29_01_H_2020'!$O$9)*D21*12*(1+'[4]29_01_H_2020'!$O$24),2)</f>
        <v>2978.6</v>
      </c>
      <c r="J21" s="24"/>
      <c r="K21" s="368"/>
      <c r="L21" s="368" t="s">
        <v>362</v>
      </c>
      <c r="M21" s="368">
        <v>10015701</v>
      </c>
    </row>
    <row r="22" spans="1:13" x14ac:dyDescent="0.25">
      <c r="A22" s="480" t="s">
        <v>678</v>
      </c>
      <c r="B22" s="521">
        <v>221101</v>
      </c>
      <c r="C22" s="520" t="s">
        <v>362</v>
      </c>
      <c r="D22" s="481">
        <v>1</v>
      </c>
      <c r="E22" s="51">
        <v>1768</v>
      </c>
      <c r="F22" s="482">
        <v>53.04</v>
      </c>
      <c r="G22" s="482">
        <v>73.666666666666671</v>
      </c>
      <c r="H22" s="483">
        <f t="shared" si="0"/>
        <v>1894.7066666666667</v>
      </c>
      <c r="I22" s="393">
        <f>ROUND((E22+F22+G22)*('[4]29_01_H_2020'!$O$9)*D22*12*(1+'[4]29_01_H_2020'!$O$24),2)</f>
        <v>2978.6</v>
      </c>
      <c r="J22" s="24"/>
      <c r="K22" s="368"/>
      <c r="L22" s="368" t="s">
        <v>362</v>
      </c>
      <c r="M22" s="368">
        <v>10015701</v>
      </c>
    </row>
    <row r="23" spans="1:13" x14ac:dyDescent="0.25">
      <c r="A23" s="480" t="s">
        <v>679</v>
      </c>
      <c r="B23" s="521">
        <v>221101</v>
      </c>
      <c r="C23" s="520" t="s">
        <v>367</v>
      </c>
      <c r="D23" s="481">
        <v>1</v>
      </c>
      <c r="E23" s="51">
        <v>1768</v>
      </c>
      <c r="F23" s="482">
        <v>53.04</v>
      </c>
      <c r="G23" s="482">
        <v>73.666666666666671</v>
      </c>
      <c r="H23" s="483">
        <f t="shared" si="0"/>
        <v>1894.7066666666667</v>
      </c>
      <c r="I23" s="393">
        <f>ROUND((E23+F23+G23)*('[4]29_01_H_2020'!$O$9)*D23*12*(1+'[4]29_01_H_2020'!$O$24),2)</f>
        <v>2978.6</v>
      </c>
      <c r="J23" s="24"/>
      <c r="K23" s="368"/>
      <c r="L23" s="368" t="s">
        <v>367</v>
      </c>
      <c r="M23" s="368">
        <v>10015701</v>
      </c>
    </row>
    <row r="24" spans="1:13" x14ac:dyDescent="0.25">
      <c r="A24" s="480" t="s">
        <v>679</v>
      </c>
      <c r="B24" s="521">
        <v>221101</v>
      </c>
      <c r="C24" s="520" t="s">
        <v>362</v>
      </c>
      <c r="D24" s="481">
        <v>1</v>
      </c>
      <c r="E24" s="51">
        <v>1768</v>
      </c>
      <c r="F24" s="482">
        <v>53.04</v>
      </c>
      <c r="G24" s="482">
        <v>73.666666666666671</v>
      </c>
      <c r="H24" s="483">
        <f t="shared" si="0"/>
        <v>1894.7066666666667</v>
      </c>
      <c r="I24" s="393">
        <f>ROUND((E24+F24+G24)*('[4]29_01_H_2020'!$O$9)*D24*12*(1+'[4]29_01_H_2020'!$O$24),2)</f>
        <v>2978.6</v>
      </c>
      <c r="J24" s="24"/>
      <c r="K24" s="368"/>
      <c r="L24" s="368" t="s">
        <v>362</v>
      </c>
      <c r="M24" s="368">
        <v>10015701</v>
      </c>
    </row>
    <row r="25" spans="1:13" x14ac:dyDescent="0.25">
      <c r="A25" s="480" t="s">
        <v>679</v>
      </c>
      <c r="B25" s="521">
        <v>221101</v>
      </c>
      <c r="C25" s="520" t="s">
        <v>362</v>
      </c>
      <c r="D25" s="481">
        <v>1</v>
      </c>
      <c r="E25" s="51">
        <v>1768</v>
      </c>
      <c r="F25" s="482">
        <v>53.04</v>
      </c>
      <c r="G25" s="482">
        <v>73.666666666666671</v>
      </c>
      <c r="H25" s="483">
        <f t="shared" si="0"/>
        <v>1894.7066666666667</v>
      </c>
      <c r="I25" s="393">
        <f>ROUND((E25+F25+G25)*('[4]29_01_H_2020'!$O$9)*D25*12*(1+'[4]29_01_H_2020'!$O$24),2)</f>
        <v>2978.6</v>
      </c>
      <c r="J25" s="24"/>
      <c r="K25" s="368"/>
      <c r="L25" s="368" t="s">
        <v>362</v>
      </c>
      <c r="M25" s="368">
        <v>10015701</v>
      </c>
    </row>
    <row r="26" spans="1:13" x14ac:dyDescent="0.25">
      <c r="A26" s="480" t="s">
        <v>679</v>
      </c>
      <c r="B26" s="521">
        <v>221101</v>
      </c>
      <c r="C26" s="520" t="s">
        <v>362</v>
      </c>
      <c r="D26" s="481">
        <v>1</v>
      </c>
      <c r="E26" s="51">
        <v>1768</v>
      </c>
      <c r="F26" s="482">
        <v>53.04</v>
      </c>
      <c r="G26" s="482">
        <v>73.666666666666671</v>
      </c>
      <c r="H26" s="483">
        <f t="shared" si="0"/>
        <v>1894.7066666666667</v>
      </c>
      <c r="I26" s="393">
        <f>ROUND((E26+F26+G26)*('[4]29_01_H_2020'!$O$9)*D26*12*(1+'[4]29_01_H_2020'!$O$24),2)</f>
        <v>2978.6</v>
      </c>
      <c r="J26" s="24"/>
      <c r="K26" s="368"/>
      <c r="L26" s="368" t="s">
        <v>362</v>
      </c>
      <c r="M26" s="368">
        <v>10015701</v>
      </c>
    </row>
    <row r="27" spans="1:13" ht="38.25" x14ac:dyDescent="0.25">
      <c r="A27" s="4" t="s">
        <v>368</v>
      </c>
      <c r="B27" s="247"/>
      <c r="C27" s="247"/>
      <c r="D27" s="13"/>
      <c r="E27" s="8"/>
      <c r="F27" s="8"/>
      <c r="G27" s="8"/>
      <c r="H27" s="465"/>
      <c r="I27" s="463">
        <f>SUM(I28:I38)</f>
        <v>53184.57</v>
      </c>
      <c r="K27" s="368"/>
      <c r="L27" s="368"/>
      <c r="M27" s="368"/>
    </row>
    <row r="28" spans="1:13" ht="25.5" x14ac:dyDescent="0.25">
      <c r="A28" s="480" t="s">
        <v>680</v>
      </c>
      <c r="B28" s="522">
        <v>134204</v>
      </c>
      <c r="C28" s="520" t="s">
        <v>293</v>
      </c>
      <c r="D28" s="481">
        <v>1</v>
      </c>
      <c r="E28" s="51">
        <v>2393</v>
      </c>
      <c r="F28" s="482">
        <v>71.790000000000006</v>
      </c>
      <c r="G28" s="482">
        <v>99.708333333333329</v>
      </c>
      <c r="H28" s="483">
        <f t="shared" si="0"/>
        <v>2564.4983333333334</v>
      </c>
      <c r="I28" s="393">
        <f>ROUND((E28+F28+G28)*('[4]29_01_H_2020'!$O$13)*D28*12*(1+'[4]29_01_H_2020'!$O$24),2)</f>
        <v>2472.1799999999998</v>
      </c>
      <c r="J28" s="24"/>
      <c r="K28" s="368"/>
      <c r="L28" s="368" t="s">
        <v>293</v>
      </c>
      <c r="M28" s="368">
        <v>10015701</v>
      </c>
    </row>
    <row r="29" spans="1:13" x14ac:dyDescent="0.25">
      <c r="A29" s="523" t="s">
        <v>681</v>
      </c>
      <c r="B29" s="524">
        <v>134204</v>
      </c>
      <c r="C29" s="520" t="s">
        <v>295</v>
      </c>
      <c r="D29" s="481">
        <v>1</v>
      </c>
      <c r="E29" s="51">
        <v>1992</v>
      </c>
      <c r="F29" s="482">
        <v>59.76</v>
      </c>
      <c r="G29" s="482">
        <v>83</v>
      </c>
      <c r="H29" s="483">
        <f t="shared" si="0"/>
        <v>2134.7600000000002</v>
      </c>
      <c r="I29" s="393">
        <f>ROUND((E29+F29+G29)*('[4]29_01_H_2020'!$O$13)*D29*12*(1+'[4]29_01_H_2020'!$O$24),2)</f>
        <v>2057.91</v>
      </c>
      <c r="J29" s="24"/>
      <c r="K29" s="368"/>
      <c r="L29" s="368" t="s">
        <v>295</v>
      </c>
      <c r="M29" s="368">
        <v>10015701</v>
      </c>
    </row>
    <row r="30" spans="1:13" x14ac:dyDescent="0.25">
      <c r="A30" s="523" t="s">
        <v>682</v>
      </c>
      <c r="B30" s="490">
        <v>134204</v>
      </c>
      <c r="C30" s="520" t="s">
        <v>369</v>
      </c>
      <c r="D30" s="481">
        <v>1</v>
      </c>
      <c r="E30" s="51">
        <v>1847</v>
      </c>
      <c r="F30" s="482">
        <v>55.41</v>
      </c>
      <c r="G30" s="482">
        <v>76.958333333333329</v>
      </c>
      <c r="H30" s="483">
        <f t="shared" si="0"/>
        <v>1979.3683333333333</v>
      </c>
      <c r="I30" s="393">
        <f>ROUND((E30+F30+G30)*('[4]29_01_H_2020'!$O$13)*D30*12*(1+'[4]29_01_H_2020'!$O$24),2)</f>
        <v>1908.12</v>
      </c>
      <c r="J30" s="24"/>
      <c r="K30" s="368"/>
      <c r="L30" s="368" t="s">
        <v>369</v>
      </c>
      <c r="M30" s="368">
        <v>10015701</v>
      </c>
    </row>
    <row r="31" spans="1:13" x14ac:dyDescent="0.25">
      <c r="A31" s="523" t="s">
        <v>5</v>
      </c>
      <c r="B31" s="490">
        <v>321203</v>
      </c>
      <c r="C31" s="520" t="s">
        <v>293</v>
      </c>
      <c r="D31" s="481">
        <v>2</v>
      </c>
      <c r="E31" s="51">
        <v>1555</v>
      </c>
      <c r="F31" s="482">
        <v>46.65</v>
      </c>
      <c r="G31" s="482">
        <v>64.791666666666671</v>
      </c>
      <c r="H31" s="483">
        <f t="shared" si="0"/>
        <v>1666.4416666666668</v>
      </c>
      <c r="I31" s="393">
        <f>ROUND((E31+F31+G31)*('[4]29_01_H_2020'!$O$13)*D31*12*(1+'[4]29_01_H_2020'!$O$24),2)</f>
        <v>3212.91</v>
      </c>
      <c r="J31" s="24"/>
      <c r="K31" s="368"/>
      <c r="L31" s="368" t="s">
        <v>293</v>
      </c>
      <c r="M31" s="368">
        <v>10015701</v>
      </c>
    </row>
    <row r="32" spans="1:13" x14ac:dyDescent="0.25">
      <c r="A32" s="523" t="s">
        <v>6</v>
      </c>
      <c r="B32" s="490">
        <v>321203</v>
      </c>
      <c r="C32" s="520" t="s">
        <v>293</v>
      </c>
      <c r="D32" s="481">
        <v>9</v>
      </c>
      <c r="E32" s="51">
        <v>1458</v>
      </c>
      <c r="F32" s="482">
        <v>43.74</v>
      </c>
      <c r="G32" s="482">
        <v>60.75</v>
      </c>
      <c r="H32" s="483">
        <f t="shared" si="0"/>
        <v>1562.49</v>
      </c>
      <c r="I32" s="393">
        <f>ROUND((E32+F32+G32)*('[4]29_01_H_2020'!$O$13)*D32*12*(1+'[4]29_01_H_2020'!$O$24),2)</f>
        <v>13556.19</v>
      </c>
      <c r="J32" s="24"/>
      <c r="K32" s="368"/>
      <c r="L32" s="368" t="s">
        <v>293</v>
      </c>
      <c r="M32" s="368">
        <v>10015701</v>
      </c>
    </row>
    <row r="33" spans="1:13" x14ac:dyDescent="0.25">
      <c r="A33" s="525" t="s">
        <v>370</v>
      </c>
      <c r="B33" s="526">
        <v>321203</v>
      </c>
      <c r="C33" s="520" t="s">
        <v>293</v>
      </c>
      <c r="D33" s="484">
        <v>1.5</v>
      </c>
      <c r="E33" s="482">
        <v>1458</v>
      </c>
      <c r="F33" s="482">
        <v>43.74</v>
      </c>
      <c r="G33" s="482">
        <v>60.75</v>
      </c>
      <c r="H33" s="483">
        <f t="shared" si="0"/>
        <v>1562.49</v>
      </c>
      <c r="I33" s="393">
        <f>ROUND((E33+F33+G33)*('[4]29_01_H_2020'!$O$13)*D33*12*(1+'[4]29_01_H_2020'!$O$24),2)</f>
        <v>2259.37</v>
      </c>
      <c r="J33" s="24"/>
      <c r="K33" s="368"/>
      <c r="L33" s="368" t="s">
        <v>293</v>
      </c>
      <c r="M33" s="368">
        <v>10015701</v>
      </c>
    </row>
    <row r="34" spans="1:13" x14ac:dyDescent="0.25">
      <c r="A34" s="525" t="s">
        <v>7</v>
      </c>
      <c r="B34" s="526">
        <v>321202</v>
      </c>
      <c r="C34" s="520" t="s">
        <v>293</v>
      </c>
      <c r="D34" s="484">
        <v>1</v>
      </c>
      <c r="E34" s="482">
        <v>1458</v>
      </c>
      <c r="F34" s="482">
        <v>43.74</v>
      </c>
      <c r="G34" s="482">
        <v>60.75</v>
      </c>
      <c r="H34" s="483">
        <f t="shared" si="0"/>
        <v>1562.49</v>
      </c>
      <c r="I34" s="393">
        <f>ROUND((E34+F34+G34)*('[4]29_01_H_2020'!$O$13)*D34*12*(1+'[4]29_01_H_2020'!$O$24),2)</f>
        <v>1506.24</v>
      </c>
      <c r="J34" s="24"/>
      <c r="K34" s="368"/>
      <c r="L34" s="368" t="s">
        <v>293</v>
      </c>
      <c r="M34" s="368">
        <v>10015701</v>
      </c>
    </row>
    <row r="35" spans="1:13" x14ac:dyDescent="0.25">
      <c r="A35" s="525" t="s">
        <v>371</v>
      </c>
      <c r="B35" s="526">
        <v>224001</v>
      </c>
      <c r="C35" s="527" t="s">
        <v>295</v>
      </c>
      <c r="D35" s="484">
        <v>1</v>
      </c>
      <c r="E35" s="482">
        <v>1604</v>
      </c>
      <c r="F35" s="482">
        <v>48.12</v>
      </c>
      <c r="G35" s="482">
        <v>179.11333333333334</v>
      </c>
      <c r="H35" s="483">
        <f t="shared" si="0"/>
        <v>1831.2333333333331</v>
      </c>
      <c r="I35" s="393">
        <f>ROUND((E35+F35+G35)*('[4]29_01_H_2020'!$O$13)*D35*12*(1+'[4]29_01_H_2020'!$O$24),2)</f>
        <v>1765.31</v>
      </c>
      <c r="J35" s="24"/>
      <c r="K35" s="368"/>
      <c r="L35" s="368" t="s">
        <v>295</v>
      </c>
      <c r="M35" s="368">
        <v>10015701</v>
      </c>
    </row>
    <row r="36" spans="1:13" x14ac:dyDescent="0.25">
      <c r="A36" s="525" t="s">
        <v>683</v>
      </c>
      <c r="B36" s="526">
        <v>224001</v>
      </c>
      <c r="C36" s="527" t="s">
        <v>295</v>
      </c>
      <c r="D36" s="484">
        <v>12</v>
      </c>
      <c r="E36" s="482">
        <v>1555</v>
      </c>
      <c r="F36" s="482">
        <v>46.65</v>
      </c>
      <c r="G36" s="482">
        <v>173.64166666666668</v>
      </c>
      <c r="H36" s="483">
        <f t="shared" si="0"/>
        <v>1775.2916666666667</v>
      </c>
      <c r="I36" s="393">
        <f>ROUND((E36+F36+G36)*('[4]29_01_H_2020'!$O$13)*D36*12*(1+'[4]29_01_H_2020'!$O$24),2)</f>
        <v>20536.62</v>
      </c>
      <c r="J36" s="24"/>
      <c r="K36" s="368"/>
      <c r="L36" s="368" t="s">
        <v>295</v>
      </c>
      <c r="M36" s="368">
        <v>10015701</v>
      </c>
    </row>
    <row r="37" spans="1:13" x14ac:dyDescent="0.25">
      <c r="A37" s="525" t="s">
        <v>179</v>
      </c>
      <c r="B37" s="526">
        <v>224001</v>
      </c>
      <c r="C37" s="527" t="s">
        <v>295</v>
      </c>
      <c r="D37" s="484">
        <v>1.5</v>
      </c>
      <c r="E37" s="482">
        <v>1555</v>
      </c>
      <c r="F37" s="482">
        <v>46.65</v>
      </c>
      <c r="G37" s="482">
        <v>64.791666666666671</v>
      </c>
      <c r="H37" s="483">
        <f t="shared" si="0"/>
        <v>1666.4416666666668</v>
      </c>
      <c r="I37" s="393">
        <f>ROUND((E37+F37+G37)*('[4]29_01_H_2020'!$O$13)*D37*12*(1+'[4]29_01_H_2020'!$O$24),2)</f>
        <v>2409.6799999999998</v>
      </c>
      <c r="J37" s="24"/>
      <c r="K37" s="368"/>
      <c r="L37" s="368" t="s">
        <v>295</v>
      </c>
      <c r="M37" s="368">
        <v>10015701</v>
      </c>
    </row>
    <row r="38" spans="1:13" x14ac:dyDescent="0.25">
      <c r="A38" s="525" t="s">
        <v>684</v>
      </c>
      <c r="B38" s="526">
        <v>224001</v>
      </c>
      <c r="C38" s="527" t="s">
        <v>295</v>
      </c>
      <c r="D38" s="484">
        <v>1</v>
      </c>
      <c r="E38" s="482">
        <v>1452</v>
      </c>
      <c r="F38" s="482">
        <v>43.56</v>
      </c>
      <c r="G38" s="482">
        <v>60.5</v>
      </c>
      <c r="H38" s="483">
        <f t="shared" si="0"/>
        <v>1556.06</v>
      </c>
      <c r="I38" s="393">
        <f>ROUND((E38+F38+G38)*('[4]29_01_H_2020'!$O$13)*D38*12*(1+'[4]29_01_H_2020'!$O$24),2)</f>
        <v>1500.04</v>
      </c>
      <c r="J38" s="24"/>
      <c r="K38" s="368"/>
      <c r="L38" s="368" t="s">
        <v>295</v>
      </c>
      <c r="M38" s="368">
        <v>10015701</v>
      </c>
    </row>
    <row r="39" spans="1:13" x14ac:dyDescent="0.25">
      <c r="A39" s="467" t="s">
        <v>62</v>
      </c>
      <c r="B39" s="468"/>
      <c r="C39" s="468"/>
      <c r="D39" s="469"/>
      <c r="E39" s="470"/>
      <c r="F39" s="470"/>
      <c r="G39" s="470"/>
      <c r="H39" s="471"/>
      <c r="I39" s="461">
        <f>I51+I40</f>
        <v>89998.97</v>
      </c>
      <c r="K39" s="368"/>
      <c r="L39" s="368"/>
      <c r="M39" s="368"/>
    </row>
    <row r="40" spans="1:13" ht="51" x14ac:dyDescent="0.25">
      <c r="A40" s="472" t="s">
        <v>353</v>
      </c>
      <c r="B40" s="473"/>
      <c r="C40" s="473"/>
      <c r="D40" s="9"/>
      <c r="E40" s="6"/>
      <c r="F40" s="6"/>
      <c r="G40" s="6"/>
      <c r="H40" s="474"/>
      <c r="I40" s="466">
        <f>SUM(I41:I50)</f>
        <v>68164.960000000006</v>
      </c>
      <c r="K40" s="368"/>
      <c r="L40" s="368"/>
      <c r="M40" s="368"/>
    </row>
    <row r="41" spans="1:13" x14ac:dyDescent="0.25">
      <c r="A41" s="523" t="s">
        <v>685</v>
      </c>
      <c r="B41" s="490">
        <v>242210</v>
      </c>
      <c r="C41" s="490" t="s">
        <v>291</v>
      </c>
      <c r="D41" s="528">
        <v>1</v>
      </c>
      <c r="E41" s="51">
        <v>1600</v>
      </c>
      <c r="F41" s="482">
        <v>48</v>
      </c>
      <c r="G41" s="482">
        <v>66.666666666666671</v>
      </c>
      <c r="H41" s="483">
        <f>E41+F41+G41</f>
        <v>1714.6666666666667</v>
      </c>
      <c r="I41" s="393">
        <f>ROUND((E41+F41+G41)*('[4]29_01_H_2020'!$O$13)*D41*12*(1+'[4]29_01_H_2020'!$O$24),2)</f>
        <v>1652.94</v>
      </c>
      <c r="J41" s="24"/>
      <c r="K41" s="368"/>
      <c r="L41" s="368" t="s">
        <v>291</v>
      </c>
      <c r="M41" s="368">
        <v>10015701</v>
      </c>
    </row>
    <row r="42" spans="1:13" x14ac:dyDescent="0.25">
      <c r="A42" s="523" t="s">
        <v>686</v>
      </c>
      <c r="B42" s="490">
        <v>432103</v>
      </c>
      <c r="C42" s="490" t="s">
        <v>291</v>
      </c>
      <c r="D42" s="528">
        <v>1</v>
      </c>
      <c r="E42" s="51">
        <v>1247</v>
      </c>
      <c r="F42" s="482">
        <v>37.409999999999997</v>
      </c>
      <c r="G42" s="482">
        <v>51.958333333333336</v>
      </c>
      <c r="H42" s="483">
        <f t="shared" ref="H42:H58" si="1">E42+F42+G42</f>
        <v>1336.3683333333333</v>
      </c>
      <c r="I42" s="393">
        <f>ROUND((E42+F42+G42)*('[4]29_01_H_2020'!$O$13)*D42*12*(1+'[4]29_01_H_2020'!$O$24),2)</f>
        <v>1288.26</v>
      </c>
      <c r="J42" s="24"/>
      <c r="K42" s="368"/>
      <c r="L42" s="368" t="s">
        <v>291</v>
      </c>
      <c r="M42" s="368">
        <v>10015701</v>
      </c>
    </row>
    <row r="43" spans="1:13" x14ac:dyDescent="0.25">
      <c r="A43" s="523" t="s">
        <v>687</v>
      </c>
      <c r="B43" s="490">
        <v>134204</v>
      </c>
      <c r="C43" s="490" t="s">
        <v>369</v>
      </c>
      <c r="D43" s="528">
        <v>1</v>
      </c>
      <c r="E43" s="51">
        <v>1992</v>
      </c>
      <c r="F43" s="482">
        <v>59.76</v>
      </c>
      <c r="G43" s="482">
        <v>83</v>
      </c>
      <c r="H43" s="483">
        <f t="shared" si="1"/>
        <v>2134.7600000000002</v>
      </c>
      <c r="I43" s="393">
        <f>ROUND((E43+F43+G43)*('[4]29_01_H_2020'!$O$13)*D43*12*(1+'[4]29_01_H_2020'!$O$24),2)</f>
        <v>2057.91</v>
      </c>
      <c r="J43" s="24"/>
      <c r="K43" s="368"/>
      <c r="L43" s="368" t="s">
        <v>369</v>
      </c>
      <c r="M43" s="368">
        <v>10015701</v>
      </c>
    </row>
    <row r="44" spans="1:13" x14ac:dyDescent="0.25">
      <c r="A44" s="523" t="s">
        <v>688</v>
      </c>
      <c r="B44" s="490">
        <v>134205</v>
      </c>
      <c r="C44" s="490" t="s">
        <v>291</v>
      </c>
      <c r="D44" s="528">
        <v>1</v>
      </c>
      <c r="E44" s="51">
        <v>1798</v>
      </c>
      <c r="F44" s="482">
        <v>53.94</v>
      </c>
      <c r="G44" s="482">
        <v>74.916666666666671</v>
      </c>
      <c r="H44" s="483">
        <f t="shared" si="1"/>
        <v>1926.8566666666668</v>
      </c>
      <c r="I44" s="393">
        <f>ROUND((E44+F44+G44)*('[4]29_01_H_2020'!$O$13)*D44*12*(1+'[4]29_01_H_2020'!$O$24),2)</f>
        <v>1857.49</v>
      </c>
      <c r="J44" s="24"/>
      <c r="K44" s="368"/>
      <c r="L44" s="368" t="s">
        <v>291</v>
      </c>
      <c r="M44" s="368">
        <v>10015701</v>
      </c>
    </row>
    <row r="45" spans="1:13" x14ac:dyDescent="0.25">
      <c r="A45" s="525" t="s">
        <v>252</v>
      </c>
      <c r="B45" s="526">
        <v>222102</v>
      </c>
      <c r="C45" s="526" t="s">
        <v>291</v>
      </c>
      <c r="D45" s="529">
        <v>3</v>
      </c>
      <c r="E45" s="482">
        <v>1555</v>
      </c>
      <c r="F45" s="482">
        <v>46.65</v>
      </c>
      <c r="G45" s="482">
        <v>64.791666666666671</v>
      </c>
      <c r="H45" s="483">
        <f t="shared" si="1"/>
        <v>1666.4416666666668</v>
      </c>
      <c r="I45" s="393">
        <f>ROUND((E45+F45+G45)*('[4]29_01_H_2020'!$O$13)*D45*12*(1+'[4]29_01_H_2020'!$O$24),2)</f>
        <v>4819.3599999999997</v>
      </c>
      <c r="J45" s="24"/>
      <c r="K45" s="368"/>
      <c r="L45" s="368" t="s">
        <v>291</v>
      </c>
      <c r="M45" s="368">
        <v>10015701</v>
      </c>
    </row>
    <row r="46" spans="1:13" x14ac:dyDescent="0.25">
      <c r="A46" s="525" t="s">
        <v>372</v>
      </c>
      <c r="B46" s="526">
        <v>222146</v>
      </c>
      <c r="C46" s="490" t="s">
        <v>291</v>
      </c>
      <c r="D46" s="529">
        <v>19</v>
      </c>
      <c r="E46" s="482">
        <v>1410</v>
      </c>
      <c r="F46" s="482">
        <v>42.3</v>
      </c>
      <c r="G46" s="482">
        <v>58.75</v>
      </c>
      <c r="H46" s="483">
        <f t="shared" si="1"/>
        <v>1511.05</v>
      </c>
      <c r="I46" s="393">
        <f>ROUND((E46+F46+G46)*('[4]29_01_H_2020'!$O$13)*D46*12*(1+'[4]29_01_H_2020'!$O$24),2)</f>
        <v>27676.45</v>
      </c>
      <c r="J46" s="24"/>
      <c r="K46" s="368"/>
      <c r="L46" s="368" t="s">
        <v>291</v>
      </c>
      <c r="M46" s="368">
        <v>10015701</v>
      </c>
    </row>
    <row r="47" spans="1:13" x14ac:dyDescent="0.25">
      <c r="A47" s="525" t="s">
        <v>374</v>
      </c>
      <c r="B47" s="526">
        <v>222146</v>
      </c>
      <c r="C47" s="526" t="s">
        <v>291</v>
      </c>
      <c r="D47" s="529">
        <v>2</v>
      </c>
      <c r="E47" s="482">
        <v>1410</v>
      </c>
      <c r="F47" s="482">
        <v>42.3</v>
      </c>
      <c r="G47" s="482">
        <v>58.75</v>
      </c>
      <c r="H47" s="483">
        <f t="shared" si="1"/>
        <v>1511.05</v>
      </c>
      <c r="I47" s="393">
        <f>ROUND((E47+F47+G47)*('[4]29_01_H_2020'!$O$13)*D47*12*(1+'[4]29_01_H_2020'!$O$24),2)</f>
        <v>2913.31</v>
      </c>
      <c r="J47" s="24"/>
      <c r="K47" s="368"/>
      <c r="L47" s="368" t="s">
        <v>291</v>
      </c>
      <c r="M47" s="368">
        <v>10015701</v>
      </c>
    </row>
    <row r="48" spans="1:13" x14ac:dyDescent="0.25">
      <c r="A48" s="525" t="s">
        <v>375</v>
      </c>
      <c r="B48" s="526">
        <v>222146</v>
      </c>
      <c r="C48" s="490" t="s">
        <v>291</v>
      </c>
      <c r="D48" s="529">
        <v>6</v>
      </c>
      <c r="E48" s="482">
        <v>1410</v>
      </c>
      <c r="F48" s="482">
        <v>42.3</v>
      </c>
      <c r="G48" s="482">
        <v>129.25</v>
      </c>
      <c r="H48" s="483">
        <f t="shared" si="1"/>
        <v>1581.55</v>
      </c>
      <c r="I48" s="393">
        <f>ROUND((E48+F48+G48)*('[4]29_01_H_2020'!$O$13)*D48*12*(1+'[4]29_01_H_2020'!$O$24),2)</f>
        <v>9147.7000000000007</v>
      </c>
      <c r="J48" s="24"/>
      <c r="K48" s="368"/>
      <c r="L48" s="368" t="s">
        <v>291</v>
      </c>
      <c r="M48" s="368">
        <v>10015701</v>
      </c>
    </row>
    <row r="49" spans="1:13" x14ac:dyDescent="0.25">
      <c r="A49" s="525" t="s">
        <v>376</v>
      </c>
      <c r="B49" s="526">
        <v>222146</v>
      </c>
      <c r="C49" s="526" t="s">
        <v>291</v>
      </c>
      <c r="D49" s="529">
        <v>6.5</v>
      </c>
      <c r="E49" s="482">
        <v>1410</v>
      </c>
      <c r="F49" s="482">
        <v>42.3</v>
      </c>
      <c r="G49" s="482">
        <v>58.75</v>
      </c>
      <c r="H49" s="483">
        <f t="shared" si="1"/>
        <v>1511.05</v>
      </c>
      <c r="I49" s="393">
        <f>ROUND((E49+F49+G49)*('[4]29_01_H_2020'!$O$13)*D49*12*(1+'[4]29_01_H_2020'!$O$24),2)</f>
        <v>9468.26</v>
      </c>
      <c r="J49" s="24"/>
      <c r="K49" s="368"/>
      <c r="L49" s="368" t="s">
        <v>291</v>
      </c>
      <c r="M49" s="368">
        <v>10015701</v>
      </c>
    </row>
    <row r="50" spans="1:13" x14ac:dyDescent="0.25">
      <c r="A50" s="530" t="s">
        <v>377</v>
      </c>
      <c r="B50" s="531">
        <v>222146</v>
      </c>
      <c r="C50" s="490" t="s">
        <v>291</v>
      </c>
      <c r="D50" s="529">
        <v>5</v>
      </c>
      <c r="E50" s="482">
        <v>1410</v>
      </c>
      <c r="F50" s="482">
        <v>42.3</v>
      </c>
      <c r="G50" s="482">
        <v>58.75</v>
      </c>
      <c r="H50" s="483">
        <f t="shared" si="1"/>
        <v>1511.05</v>
      </c>
      <c r="I50" s="393">
        <f>ROUND((E50+F50+G50)*('[4]29_01_H_2020'!$O$13)*D50*12*(1+'[4]29_01_H_2020'!$O$24),2)</f>
        <v>7283.28</v>
      </c>
      <c r="J50" s="24"/>
      <c r="K50" s="368"/>
      <c r="L50" s="368" t="s">
        <v>291</v>
      </c>
      <c r="M50" s="368">
        <v>10015701</v>
      </c>
    </row>
    <row r="51" spans="1:13" x14ac:dyDescent="0.25">
      <c r="A51" s="472" t="s">
        <v>378</v>
      </c>
      <c r="B51" s="473"/>
      <c r="C51" s="473"/>
      <c r="D51" s="9"/>
      <c r="E51" s="474"/>
      <c r="F51" s="6"/>
      <c r="G51" s="6"/>
      <c r="H51" s="475"/>
      <c r="I51" s="463">
        <f>SUM(I52:I58)</f>
        <v>21834.009999999995</v>
      </c>
      <c r="K51" s="368"/>
      <c r="L51" s="368"/>
      <c r="M51" s="368"/>
    </row>
    <row r="52" spans="1:13" x14ac:dyDescent="0.25">
      <c r="A52" s="523" t="s">
        <v>689</v>
      </c>
      <c r="B52" s="490">
        <v>134204</v>
      </c>
      <c r="C52" s="490" t="s">
        <v>288</v>
      </c>
      <c r="D52" s="528">
        <v>1</v>
      </c>
      <c r="E52" s="51">
        <v>1945</v>
      </c>
      <c r="F52" s="482">
        <v>58.35</v>
      </c>
      <c r="G52" s="482">
        <v>81.041666666666671</v>
      </c>
      <c r="H52" s="483">
        <f t="shared" si="1"/>
        <v>2084.3916666666664</v>
      </c>
      <c r="I52" s="393">
        <f>ROUND((E52+F52+G52)*('[4]29_01_H_2020'!$O$16)*D52*12*(1+'[4]29_01_H_2020'!$O$24),2)</f>
        <v>2133.0100000000002</v>
      </c>
      <c r="J52" s="24"/>
      <c r="K52" s="368"/>
      <c r="L52" s="368" t="s">
        <v>288</v>
      </c>
      <c r="M52" s="368">
        <v>10015701</v>
      </c>
    </row>
    <row r="53" spans="1:13" x14ac:dyDescent="0.25">
      <c r="A53" s="532" t="s">
        <v>690</v>
      </c>
      <c r="B53" s="509">
        <v>532103</v>
      </c>
      <c r="C53" s="509" t="s">
        <v>288</v>
      </c>
      <c r="D53" s="533">
        <v>10</v>
      </c>
      <c r="E53" s="482">
        <v>1159</v>
      </c>
      <c r="F53" s="482">
        <v>34.770000000000003</v>
      </c>
      <c r="G53" s="482">
        <v>48.291666666666664</v>
      </c>
      <c r="H53" s="483">
        <f t="shared" si="1"/>
        <v>1242.0616666666667</v>
      </c>
      <c r="I53" s="393">
        <f>ROUND((E53+F53+G53)*('[4]29_01_H_2020'!$O$16)*D53*12*(1+'[4]29_01_H_2020'!$O$24),2)</f>
        <v>12710.33</v>
      </c>
      <c r="J53" s="24"/>
      <c r="K53" s="368"/>
      <c r="L53" s="368" t="s">
        <v>288</v>
      </c>
      <c r="M53" s="368">
        <v>10015701</v>
      </c>
    </row>
    <row r="54" spans="1:13" x14ac:dyDescent="0.25">
      <c r="A54" s="532" t="s">
        <v>691</v>
      </c>
      <c r="B54" s="509">
        <v>532103</v>
      </c>
      <c r="C54" s="490" t="s">
        <v>288</v>
      </c>
      <c r="D54" s="533">
        <v>1.5</v>
      </c>
      <c r="E54" s="482">
        <v>1159</v>
      </c>
      <c r="F54" s="482">
        <v>34.770000000000003</v>
      </c>
      <c r="G54" s="482">
        <v>48.291666666666664</v>
      </c>
      <c r="H54" s="483">
        <f t="shared" si="1"/>
        <v>1242.0616666666667</v>
      </c>
      <c r="I54" s="393">
        <f>ROUND((E54+F54+G54)*('[4]29_01_H_2020'!$O$16)*D54*12*(1+'[4]29_01_H_2020'!$O$24),2)</f>
        <v>1906.55</v>
      </c>
      <c r="J54" s="24"/>
      <c r="K54" s="368"/>
      <c r="L54" s="368" t="s">
        <v>288</v>
      </c>
      <c r="M54" s="368">
        <v>10015701</v>
      </c>
    </row>
    <row r="55" spans="1:13" x14ac:dyDescent="0.25">
      <c r="A55" s="532" t="s">
        <v>692</v>
      </c>
      <c r="B55" s="509">
        <v>532103</v>
      </c>
      <c r="C55" s="509" t="s">
        <v>288</v>
      </c>
      <c r="D55" s="533">
        <v>1</v>
      </c>
      <c r="E55" s="482">
        <v>1159</v>
      </c>
      <c r="F55" s="482">
        <v>34.770000000000003</v>
      </c>
      <c r="G55" s="482">
        <v>48.291666666666664</v>
      </c>
      <c r="H55" s="483">
        <f t="shared" si="1"/>
        <v>1242.0616666666667</v>
      </c>
      <c r="I55" s="393">
        <f>ROUND((E55+F55+G55)*('[4]29_01_H_2020'!$O$16)*D55*12*(1+'[4]29_01_H_2020'!$O$24),2)</f>
        <v>1271.03</v>
      </c>
      <c r="J55" s="24"/>
      <c r="K55" s="368"/>
      <c r="L55" s="368" t="s">
        <v>288</v>
      </c>
      <c r="M55" s="368">
        <v>10015701</v>
      </c>
    </row>
    <row r="56" spans="1:13" x14ac:dyDescent="0.25">
      <c r="A56" s="532" t="s">
        <v>693</v>
      </c>
      <c r="B56" s="509">
        <v>532103</v>
      </c>
      <c r="C56" s="490" t="s">
        <v>288</v>
      </c>
      <c r="D56" s="533">
        <v>1</v>
      </c>
      <c r="E56" s="482">
        <v>1159</v>
      </c>
      <c r="F56" s="482">
        <v>34.770000000000003</v>
      </c>
      <c r="G56" s="482">
        <v>48.291666666666664</v>
      </c>
      <c r="H56" s="483">
        <f t="shared" si="1"/>
        <v>1242.0616666666667</v>
      </c>
      <c r="I56" s="393">
        <f>ROUND((E56+F56+G56)*('[4]29_01_H_2020'!$O$16)*D56*12*(1+'[4]29_01_H_2020'!$O$24),2)</f>
        <v>1271.03</v>
      </c>
      <c r="J56" s="24"/>
      <c r="K56" s="368"/>
      <c r="L56" s="368" t="s">
        <v>288</v>
      </c>
      <c r="M56" s="368">
        <v>10015701</v>
      </c>
    </row>
    <row r="57" spans="1:13" x14ac:dyDescent="0.25">
      <c r="A57" s="532" t="s">
        <v>694</v>
      </c>
      <c r="B57" s="509">
        <v>532103</v>
      </c>
      <c r="C57" s="490" t="s">
        <v>288</v>
      </c>
      <c r="D57" s="533">
        <v>1</v>
      </c>
      <c r="E57" s="482">
        <v>1159</v>
      </c>
      <c r="F57" s="482">
        <v>34.770000000000003</v>
      </c>
      <c r="G57" s="482">
        <v>48.291666666666664</v>
      </c>
      <c r="H57" s="483">
        <f t="shared" si="1"/>
        <v>1242.0616666666667</v>
      </c>
      <c r="I57" s="393">
        <f>ROUND((E57+F57+G57)*('[4]29_01_H_2020'!$O$16)*D57*12*(1+'[4]29_01_H_2020'!$O$24),2)</f>
        <v>1271.03</v>
      </c>
      <c r="J57" s="24"/>
      <c r="K57" s="368"/>
      <c r="L57" s="368" t="s">
        <v>288</v>
      </c>
      <c r="M57" s="368">
        <v>10015701</v>
      </c>
    </row>
    <row r="58" spans="1:13" x14ac:dyDescent="0.25">
      <c r="A58" s="532" t="s">
        <v>695</v>
      </c>
      <c r="B58" s="509">
        <v>532103</v>
      </c>
      <c r="C58" s="509" t="s">
        <v>288</v>
      </c>
      <c r="D58" s="533">
        <v>1</v>
      </c>
      <c r="E58" s="482">
        <v>1159</v>
      </c>
      <c r="F58" s="482">
        <v>34.770000000000003</v>
      </c>
      <c r="G58" s="482">
        <v>48.291666666666664</v>
      </c>
      <c r="H58" s="483">
        <f t="shared" si="1"/>
        <v>1242.0616666666667</v>
      </c>
      <c r="I58" s="393">
        <f>ROUND((E58+F58+G58)*('[4]29_01_H_2020'!$O$16)*D58*12*(1+'[4]29_01_H_2020'!$O$24),2)</f>
        <v>1271.03</v>
      </c>
      <c r="J58" s="24"/>
      <c r="K58" s="368"/>
      <c r="L58" s="368" t="s">
        <v>288</v>
      </c>
      <c r="M58" s="368">
        <v>10015701</v>
      </c>
    </row>
    <row r="59" spans="1:13" x14ac:dyDescent="0.25">
      <c r="A59" s="467" t="s">
        <v>379</v>
      </c>
      <c r="B59" s="468"/>
      <c r="C59" s="468"/>
      <c r="D59" s="469"/>
      <c r="E59" s="470"/>
      <c r="F59" s="470"/>
      <c r="G59" s="470"/>
      <c r="H59" s="471"/>
      <c r="I59" s="461">
        <f>I60</f>
        <v>8897.23</v>
      </c>
      <c r="K59" s="368"/>
      <c r="L59" s="368"/>
      <c r="M59" s="368"/>
    </row>
    <row r="60" spans="1:13" x14ac:dyDescent="0.25">
      <c r="A60" s="472" t="s">
        <v>380</v>
      </c>
      <c r="B60" s="473"/>
      <c r="C60" s="473"/>
      <c r="D60" s="9"/>
      <c r="E60" s="6"/>
      <c r="F60" s="6"/>
      <c r="G60" s="6"/>
      <c r="H60" s="474"/>
      <c r="I60" s="466">
        <f>SUM(I61:I61)</f>
        <v>8897.23</v>
      </c>
      <c r="K60" s="368"/>
      <c r="L60" s="368"/>
      <c r="M60" s="368"/>
    </row>
    <row r="61" spans="1:13" ht="15.75" thickBot="1" x14ac:dyDescent="0.3">
      <c r="A61" s="523" t="s">
        <v>696</v>
      </c>
      <c r="B61" s="534">
        <v>833208</v>
      </c>
      <c r="C61" s="535" t="s">
        <v>381</v>
      </c>
      <c r="D61" s="528">
        <v>7</v>
      </c>
      <c r="E61" s="51">
        <v>1159</v>
      </c>
      <c r="F61" s="482">
        <v>34.770000000000003</v>
      </c>
      <c r="G61" s="482">
        <v>48.291666666666664</v>
      </c>
      <c r="H61" s="483">
        <f t="shared" ref="H61" si="2">E61+F61+G61</f>
        <v>1242.0616666666667</v>
      </c>
      <c r="I61" s="393">
        <f>ROUND((E61+F61+G61)*('[4]29_01_H_2020'!$O$16)*D61*12*(1+'[4]29_01_H_2020'!$O$24),2)</f>
        <v>8897.23</v>
      </c>
      <c r="J61" s="24"/>
      <c r="K61" s="368"/>
      <c r="L61" s="368" t="s">
        <v>381</v>
      </c>
      <c r="M61" s="368">
        <v>10015701</v>
      </c>
    </row>
    <row r="62" spans="1:13" ht="15.75" thickBot="1" x14ac:dyDescent="0.3">
      <c r="A62" s="49" t="s">
        <v>14</v>
      </c>
      <c r="B62" s="515"/>
      <c r="C62" s="251"/>
      <c r="D62" s="54">
        <f>SUM(D12:D26,D28:D38,D41:D50,D52:D58,D61)</f>
        <v>116</v>
      </c>
      <c r="E62" s="50" t="s">
        <v>69</v>
      </c>
      <c r="F62" s="50" t="s">
        <v>69</v>
      </c>
      <c r="G62" s="50" t="s">
        <v>69</v>
      </c>
      <c r="H62" s="516"/>
      <c r="I62" s="476">
        <f>I39+I10+I59</f>
        <v>200491.46</v>
      </c>
      <c r="K62" s="368"/>
      <c r="L62" s="368"/>
      <c r="M62" s="368"/>
    </row>
    <row r="63" spans="1:13" ht="15.75" thickBot="1" x14ac:dyDescent="0.3">
      <c r="A63" s="2"/>
      <c r="B63" s="2"/>
      <c r="C63" s="2"/>
      <c r="D63" s="3"/>
      <c r="E63" s="2"/>
      <c r="F63" s="2"/>
      <c r="G63" s="2"/>
      <c r="H63" s="477"/>
      <c r="K63" s="368"/>
      <c r="L63" s="368"/>
      <c r="M63" s="368"/>
    </row>
    <row r="64" spans="1:13" ht="15.75" thickBot="1" x14ac:dyDescent="0.3">
      <c r="A64" s="781" t="s">
        <v>12</v>
      </c>
      <c r="B64" s="782"/>
      <c r="C64" s="782"/>
      <c r="D64" s="782"/>
      <c r="E64" s="782"/>
      <c r="F64" s="782"/>
      <c r="G64" s="782"/>
      <c r="H64" s="783"/>
      <c r="I64" s="513"/>
      <c r="K64" s="368"/>
      <c r="L64" s="368"/>
      <c r="M64" s="368"/>
    </row>
    <row r="65" spans="1:13" x14ac:dyDescent="0.25">
      <c r="A65" s="784" t="s">
        <v>13</v>
      </c>
      <c r="B65" s="785"/>
      <c r="C65" s="785"/>
      <c r="D65" s="785"/>
      <c r="E65" s="785"/>
      <c r="F65" s="785"/>
      <c r="G65" s="785"/>
      <c r="H65" s="785"/>
      <c r="I65" s="514"/>
      <c r="K65" s="368"/>
      <c r="L65" s="368"/>
      <c r="M65" s="368"/>
    </row>
    <row r="66" spans="1:13" x14ac:dyDescent="0.25">
      <c r="A66" s="10" t="s">
        <v>23</v>
      </c>
      <c r="B66" s="245"/>
      <c r="C66" s="245"/>
      <c r="D66" s="11"/>
      <c r="E66" s="12"/>
      <c r="F66" s="12"/>
      <c r="G66" s="12"/>
      <c r="H66" s="460"/>
      <c r="I66" s="461">
        <f>I67+I69</f>
        <v>29260.120000000003</v>
      </c>
      <c r="K66" s="368"/>
      <c r="L66" s="368"/>
      <c r="M66" s="368"/>
    </row>
    <row r="67" spans="1:13" x14ac:dyDescent="0.25">
      <c r="A67" s="7" t="s">
        <v>70</v>
      </c>
      <c r="B67" s="246"/>
      <c r="C67" s="246"/>
      <c r="D67" s="5"/>
      <c r="E67" s="6"/>
      <c r="F67" s="6"/>
      <c r="G67" s="6"/>
      <c r="H67" s="462"/>
      <c r="I67" s="463">
        <f>SUM(I68:I68)</f>
        <v>11165.12</v>
      </c>
      <c r="K67" s="368"/>
      <c r="L67" s="368"/>
      <c r="M67" s="368"/>
    </row>
    <row r="68" spans="1:13" x14ac:dyDescent="0.25">
      <c r="A68" s="480" t="s">
        <v>253</v>
      </c>
      <c r="B68" s="520" t="s">
        <v>300</v>
      </c>
      <c r="C68" s="520"/>
      <c r="D68" s="481">
        <v>3.5</v>
      </c>
      <c r="E68" s="51">
        <v>1893.5</v>
      </c>
      <c r="F68" s="482">
        <v>56.805</v>
      </c>
      <c r="G68" s="482">
        <v>78.895833333333329</v>
      </c>
      <c r="H68" s="483">
        <f t="shared" ref="H68" si="3">E68+F68+G68</f>
        <v>2029.2008333333333</v>
      </c>
      <c r="I68" s="393">
        <f>ROUND((E68+F68+G68)*('[4]29_01_H_2020'!$O$9)*D68*12*(1+'[4]29_01_H_2020'!$O$24),2)</f>
        <v>11165.12</v>
      </c>
      <c r="J68" s="24"/>
      <c r="K68" s="368"/>
      <c r="L68" s="368"/>
      <c r="M68" s="368"/>
    </row>
    <row r="69" spans="1:13" ht="38.25" x14ac:dyDescent="0.25">
      <c r="A69" s="4" t="s">
        <v>342</v>
      </c>
      <c r="B69" s="247"/>
      <c r="C69" s="517"/>
      <c r="D69" s="13"/>
      <c r="E69" s="8"/>
      <c r="F69" s="8"/>
      <c r="G69" s="8"/>
      <c r="H69" s="465"/>
      <c r="I69" s="463">
        <f>SUM(I70:I70)</f>
        <v>18095</v>
      </c>
      <c r="K69" s="368"/>
      <c r="L69" s="368"/>
      <c r="M69" s="368"/>
    </row>
    <row r="70" spans="1:13" x14ac:dyDescent="0.25">
      <c r="A70" s="480" t="s">
        <v>382</v>
      </c>
      <c r="B70" s="520" t="s">
        <v>373</v>
      </c>
      <c r="C70" s="520"/>
      <c r="D70" s="481">
        <v>13.75</v>
      </c>
      <c r="E70" s="51">
        <v>1273.8499999999999</v>
      </c>
      <c r="F70" s="482">
        <v>38.215499999999999</v>
      </c>
      <c r="G70" s="482">
        <v>53.077083333333327</v>
      </c>
      <c r="H70" s="483">
        <f t="shared" ref="H70" si="4">E70+F70+G70</f>
        <v>1365.1425833333333</v>
      </c>
      <c r="I70" s="393">
        <f>ROUND((E70+F70+G70)*('[4]29_01_H_2020'!$O$13)*D70*12*(1+'[4]29_01_H_2020'!$O$24),2)</f>
        <v>18095</v>
      </c>
      <c r="J70" s="24"/>
      <c r="K70" s="368"/>
      <c r="L70" s="368"/>
      <c r="M70" s="368"/>
    </row>
    <row r="71" spans="1:13" x14ac:dyDescent="0.25">
      <c r="A71" s="467" t="s">
        <v>62</v>
      </c>
      <c r="B71" s="468"/>
      <c r="C71" s="540"/>
      <c r="D71" s="469"/>
      <c r="E71" s="470"/>
      <c r="F71" s="470"/>
      <c r="G71" s="470"/>
      <c r="H71" s="471"/>
      <c r="I71" s="461">
        <f>I72</f>
        <v>3420.5299999999997</v>
      </c>
      <c r="K71" s="368"/>
      <c r="L71" s="368"/>
      <c r="M71" s="368"/>
    </row>
    <row r="72" spans="1:13" x14ac:dyDescent="0.25">
      <c r="A72" s="472" t="s">
        <v>378</v>
      </c>
      <c r="B72" s="473"/>
      <c r="C72" s="518"/>
      <c r="D72" s="9"/>
      <c r="E72" s="474"/>
      <c r="F72" s="6"/>
      <c r="G72" s="6"/>
      <c r="H72" s="475"/>
      <c r="I72" s="463">
        <f>SUM(I73:I74)</f>
        <v>3420.5299999999997</v>
      </c>
      <c r="K72" s="368"/>
      <c r="L72" s="368"/>
      <c r="M72" s="368"/>
    </row>
    <row r="73" spans="1:13" x14ac:dyDescent="0.25">
      <c r="A73" s="495" t="s">
        <v>697</v>
      </c>
      <c r="B73" s="509">
        <v>532103</v>
      </c>
      <c r="C73" s="509"/>
      <c r="D73" s="506">
        <v>3.15</v>
      </c>
      <c r="E73" s="482">
        <v>840</v>
      </c>
      <c r="F73" s="482">
        <v>25.2</v>
      </c>
      <c r="G73" s="482">
        <v>35</v>
      </c>
      <c r="H73" s="483">
        <f t="shared" ref="H73:H74" si="5">E73+F73+G73</f>
        <v>900.2</v>
      </c>
      <c r="I73" s="393">
        <f>ROUND((E73+F73+G73)*('[4]29_01_H_2020'!$O$16)*D73*12*(1+'[4]29_01_H_2020'!$O$24),2)</f>
        <v>2901.77</v>
      </c>
      <c r="J73" s="24"/>
      <c r="K73" s="368"/>
      <c r="L73" s="368"/>
      <c r="M73" s="368"/>
    </row>
    <row r="74" spans="1:13" ht="15.75" thickBot="1" x14ac:dyDescent="0.3">
      <c r="A74" s="536" t="s">
        <v>254</v>
      </c>
      <c r="B74" s="537">
        <v>334401</v>
      </c>
      <c r="C74" s="537"/>
      <c r="D74" s="538">
        <v>0.6</v>
      </c>
      <c r="E74" s="539">
        <v>788.39</v>
      </c>
      <c r="F74" s="539">
        <v>23.651700000000002</v>
      </c>
      <c r="G74" s="539">
        <v>32.849583333333335</v>
      </c>
      <c r="H74" s="483">
        <f t="shared" si="5"/>
        <v>844.89128333333338</v>
      </c>
      <c r="I74" s="393">
        <f>ROUND((E74+F74+G74)*('[4]29_01_H_2020'!$O$16)*D74*12*(1+'[4]29_01_H_2020'!$O$24),2)</f>
        <v>518.76</v>
      </c>
      <c r="J74" s="24"/>
      <c r="K74" s="368"/>
      <c r="L74" s="368"/>
      <c r="M74" s="368"/>
    </row>
    <row r="75" spans="1:13" ht="15.75" thickBot="1" x14ac:dyDescent="0.3">
      <c r="A75" s="49" t="s">
        <v>14</v>
      </c>
      <c r="B75" s="515"/>
      <c r="C75" s="251"/>
      <c r="D75" s="54">
        <f>SUM(D68:D68,D70:D70,,D73:D74)</f>
        <v>21</v>
      </c>
      <c r="E75" s="50" t="s">
        <v>69</v>
      </c>
      <c r="F75" s="50" t="s">
        <v>69</v>
      </c>
      <c r="G75" s="50" t="s">
        <v>69</v>
      </c>
      <c r="H75" s="516"/>
      <c r="I75" s="476">
        <f>I71+I66</f>
        <v>32680.65</v>
      </c>
      <c r="K75" s="368"/>
      <c r="L75" s="368"/>
      <c r="M75" s="368"/>
    </row>
    <row r="76" spans="1:13" ht="15" customHeight="1" x14ac:dyDescent="0.25">
      <c r="A76" s="53"/>
      <c r="B76" s="53"/>
      <c r="C76" s="53"/>
      <c r="D76" s="53"/>
      <c r="E76" s="53"/>
      <c r="F76" s="53"/>
      <c r="G76" s="53"/>
      <c r="H76" s="53"/>
      <c r="J76" s="83"/>
      <c r="K76" s="26"/>
      <c r="M76" s="26"/>
    </row>
    <row r="77" spans="1:13" x14ac:dyDescent="0.25">
      <c r="A77" s="53"/>
      <c r="B77" s="53"/>
      <c r="C77" s="53"/>
      <c r="D77" s="77"/>
      <c r="E77" s="53"/>
      <c r="F77" s="53"/>
      <c r="G77" s="53"/>
      <c r="H77" s="53"/>
      <c r="I77" s="24"/>
      <c r="K77" s="25"/>
      <c r="M77" s="25"/>
    </row>
    <row r="78" spans="1:13" x14ac:dyDescent="0.25">
      <c r="A78" s="53"/>
      <c r="B78" s="53"/>
      <c r="C78" s="53"/>
      <c r="D78" s="77"/>
      <c r="E78" s="53"/>
      <c r="F78" s="53"/>
      <c r="G78" s="53"/>
      <c r="H78" s="53"/>
      <c r="I78" s="24"/>
    </row>
    <row r="79" spans="1:13" x14ac:dyDescent="0.25">
      <c r="D79" s="78"/>
    </row>
    <row r="80" spans="1:13" x14ac:dyDescent="0.25">
      <c r="D80" s="78"/>
    </row>
    <row r="81" spans="4:9" x14ac:dyDescent="0.25">
      <c r="D81" s="78"/>
      <c r="I81" s="24"/>
    </row>
    <row r="82" spans="4:9" x14ac:dyDescent="0.25">
      <c r="D82" s="78"/>
    </row>
    <row r="83" spans="4:9" x14ac:dyDescent="0.25">
      <c r="D83" s="78"/>
    </row>
  </sheetData>
  <mergeCells count="16">
    <mergeCell ref="A64:H64"/>
    <mergeCell ref="A65:H65"/>
    <mergeCell ref="H1:I1"/>
    <mergeCell ref="A2:H3"/>
    <mergeCell ref="A5:I5"/>
    <mergeCell ref="E6:E7"/>
    <mergeCell ref="F6:F7"/>
    <mergeCell ref="G6:G7"/>
    <mergeCell ref="H6:H7"/>
    <mergeCell ref="I6:I7"/>
    <mergeCell ref="A8:H8"/>
    <mergeCell ref="A9:H9"/>
    <mergeCell ref="A6:A7"/>
    <mergeCell ref="B6:B7"/>
    <mergeCell ref="C6:C7"/>
    <mergeCell ref="D6:D7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2D231-EEC6-407C-BD52-76358E57E200}">
  <sheetPr>
    <tabColor theme="9" tint="0.79998168889431442"/>
  </sheetPr>
  <dimension ref="A1:M51"/>
  <sheetViews>
    <sheetView zoomScaleNormal="100" workbookViewId="0">
      <selection activeCell="H1" sqref="H1:I1"/>
    </sheetView>
  </sheetViews>
  <sheetFormatPr defaultColWidth="9.140625" defaultRowHeight="15" x14ac:dyDescent="0.25"/>
  <cols>
    <col min="1" max="1" width="40.140625" customWidth="1"/>
    <col min="2" max="2" width="16" customWidth="1"/>
    <col min="3" max="3" width="14" customWidth="1"/>
    <col min="4" max="4" width="10.42578125" customWidth="1"/>
    <col min="8" max="8" width="9.85546875" bestFit="1" customWidth="1"/>
    <col min="9" max="9" width="13.140625" customWidth="1"/>
    <col min="10" max="10" width="14" bestFit="1" customWidth="1"/>
    <col min="11" max="11" width="18.28515625" customWidth="1"/>
    <col min="12" max="12" width="20" customWidth="1"/>
    <col min="13" max="13" width="14" bestFit="1" customWidth="1"/>
  </cols>
  <sheetData>
    <row r="1" spans="1:13" x14ac:dyDescent="0.25">
      <c r="H1" s="710" t="s">
        <v>706</v>
      </c>
      <c r="I1" s="710"/>
    </row>
    <row r="2" spans="1:13" x14ac:dyDescent="0.25">
      <c r="A2" s="776" t="s">
        <v>699</v>
      </c>
      <c r="B2" s="776"/>
      <c r="C2" s="776"/>
      <c r="D2" s="776"/>
      <c r="E2" s="776"/>
      <c r="F2" s="776"/>
      <c r="G2" s="776"/>
      <c r="H2" s="776"/>
    </row>
    <row r="3" spans="1:13" x14ac:dyDescent="0.25">
      <c r="A3" s="776"/>
      <c r="B3" s="776"/>
      <c r="C3" s="776"/>
      <c r="D3" s="776"/>
      <c r="E3" s="776"/>
      <c r="F3" s="776"/>
      <c r="G3" s="776"/>
      <c r="H3" s="776"/>
    </row>
    <row r="4" spans="1:13" ht="15.75" thickBot="1" x14ac:dyDescent="0.3">
      <c r="I4" s="385" t="s">
        <v>519</v>
      </c>
    </row>
    <row r="5" spans="1:13" ht="15.75" x14ac:dyDescent="0.25">
      <c r="A5" s="786" t="s">
        <v>0</v>
      </c>
      <c r="B5" s="787"/>
      <c r="C5" s="787"/>
      <c r="D5" s="787"/>
      <c r="E5" s="787"/>
      <c r="F5" s="787"/>
      <c r="G5" s="787"/>
      <c r="H5" s="787"/>
      <c r="I5" s="788"/>
    </row>
    <row r="6" spans="1:13" x14ac:dyDescent="0.25">
      <c r="A6" s="794" t="s">
        <v>20</v>
      </c>
      <c r="B6" s="798" t="s">
        <v>270</v>
      </c>
      <c r="C6" s="798" t="s">
        <v>271</v>
      </c>
      <c r="D6" s="780" t="s">
        <v>21</v>
      </c>
      <c r="E6" s="778" t="s">
        <v>22</v>
      </c>
      <c r="F6" s="778" t="s">
        <v>521</v>
      </c>
      <c r="G6" s="778" t="s">
        <v>522</v>
      </c>
      <c r="H6" s="790" t="s">
        <v>617</v>
      </c>
      <c r="I6" s="792" t="s">
        <v>524</v>
      </c>
    </row>
    <row r="7" spans="1:13" ht="68.25" customHeight="1" thickBot="1" x14ac:dyDescent="0.3">
      <c r="A7" s="795"/>
      <c r="B7" s="796"/>
      <c r="C7" s="796"/>
      <c r="D7" s="799"/>
      <c r="E7" s="798"/>
      <c r="F7" s="798"/>
      <c r="G7" s="798"/>
      <c r="H7" s="791"/>
      <c r="I7" s="793"/>
      <c r="K7" s="479" t="s">
        <v>525</v>
      </c>
      <c r="L7" s="479" t="s">
        <v>271</v>
      </c>
      <c r="M7" s="479" t="s">
        <v>526</v>
      </c>
    </row>
    <row r="8" spans="1:13" ht="15.75" thickBot="1" x14ac:dyDescent="0.3">
      <c r="A8" s="781" t="s">
        <v>107</v>
      </c>
      <c r="B8" s="782"/>
      <c r="C8" s="782"/>
      <c r="D8" s="782"/>
      <c r="E8" s="782"/>
      <c r="F8" s="782"/>
      <c r="G8" s="782"/>
      <c r="H8" s="782"/>
      <c r="I8" s="513"/>
      <c r="K8" s="368"/>
      <c r="L8" s="368"/>
      <c r="M8" s="368"/>
    </row>
    <row r="9" spans="1:13" x14ac:dyDescent="0.25">
      <c r="A9" s="784" t="s">
        <v>111</v>
      </c>
      <c r="B9" s="785"/>
      <c r="C9" s="785"/>
      <c r="D9" s="785"/>
      <c r="E9" s="785"/>
      <c r="F9" s="785"/>
      <c r="G9" s="785"/>
      <c r="H9" s="785"/>
      <c r="I9" s="514"/>
      <c r="K9" s="368"/>
      <c r="L9" s="368"/>
      <c r="M9" s="368"/>
    </row>
    <row r="10" spans="1:13" x14ac:dyDescent="0.25">
      <c r="A10" s="10" t="s">
        <v>23</v>
      </c>
      <c r="B10" s="245"/>
      <c r="C10" s="245"/>
      <c r="D10" s="11"/>
      <c r="E10" s="12"/>
      <c r="F10" s="12"/>
      <c r="G10" s="12"/>
      <c r="H10" s="460"/>
      <c r="I10" s="461">
        <f>I11</f>
        <v>191079.02</v>
      </c>
      <c r="K10" s="368"/>
      <c r="L10" s="368"/>
      <c r="M10" s="368"/>
    </row>
    <row r="11" spans="1:13" x14ac:dyDescent="0.25">
      <c r="A11" s="7" t="s">
        <v>70</v>
      </c>
      <c r="B11" s="246"/>
      <c r="C11" s="246"/>
      <c r="D11" s="5"/>
      <c r="E11" s="6"/>
      <c r="F11" s="6"/>
      <c r="G11" s="6"/>
      <c r="H11" s="462"/>
      <c r="I11" s="463">
        <f>SUM(I12:I41)</f>
        <v>191079.02</v>
      </c>
      <c r="K11" s="368"/>
      <c r="L11" s="368"/>
      <c r="M11" s="368"/>
    </row>
    <row r="12" spans="1:13" ht="25.5" x14ac:dyDescent="0.25">
      <c r="A12" s="480" t="s">
        <v>255</v>
      </c>
      <c r="B12" s="541">
        <v>121302</v>
      </c>
      <c r="C12" s="520" t="s">
        <v>383</v>
      </c>
      <c r="D12" s="481">
        <v>1</v>
      </c>
      <c r="E12" s="51">
        <v>3344</v>
      </c>
      <c r="F12" s="482">
        <v>133.76</v>
      </c>
      <c r="G12" s="482">
        <v>300.95999999999998</v>
      </c>
      <c r="H12" s="483">
        <f>E12+F12+G12</f>
        <v>3778.7200000000003</v>
      </c>
      <c r="I12" s="393">
        <f>ROUND((E12+F12+G12)*('[4]29_01_H_2020'!$O$9)*D12*12*(1+'[4]29_01_H_2020'!$O$24),2)</f>
        <v>5940.39</v>
      </c>
      <c r="J12" s="24"/>
      <c r="K12" s="368" t="s">
        <v>700</v>
      </c>
      <c r="L12" s="368" t="s">
        <v>383</v>
      </c>
      <c r="M12" s="368" t="s">
        <v>621</v>
      </c>
    </row>
    <row r="13" spans="1:13" ht="25.5" x14ac:dyDescent="0.25">
      <c r="A13" s="480" t="s">
        <v>256</v>
      </c>
      <c r="B13" s="542">
        <v>121305</v>
      </c>
      <c r="C13" s="520" t="s">
        <v>383</v>
      </c>
      <c r="D13" s="481">
        <v>1</v>
      </c>
      <c r="E13" s="51">
        <v>2903</v>
      </c>
      <c r="F13" s="482">
        <v>232.24</v>
      </c>
      <c r="G13" s="482">
        <v>319.33</v>
      </c>
      <c r="H13" s="483">
        <f t="shared" ref="H13:H41" si="0">E13+F13+G13</f>
        <v>3454.5699999999997</v>
      </c>
      <c r="I13" s="393">
        <f>ROUND((E13+F13+G13)*('[4]29_01_H_2020'!$O$9)*D13*12*(1+'[4]29_01_H_2020'!$O$24),2)</f>
        <v>5430.81</v>
      </c>
      <c r="J13" s="24"/>
      <c r="K13" s="368" t="s">
        <v>701</v>
      </c>
      <c r="L13" s="368" t="s">
        <v>383</v>
      </c>
      <c r="M13" s="368" t="s">
        <v>621</v>
      </c>
    </row>
    <row r="14" spans="1:13" ht="25.5" x14ac:dyDescent="0.25">
      <c r="A14" s="480" t="s">
        <v>257</v>
      </c>
      <c r="B14" s="542">
        <v>121305</v>
      </c>
      <c r="C14" s="520" t="s">
        <v>383</v>
      </c>
      <c r="D14" s="481">
        <v>1</v>
      </c>
      <c r="E14" s="51">
        <v>2758</v>
      </c>
      <c r="F14" s="482">
        <v>110.32</v>
      </c>
      <c r="G14" s="482">
        <v>303.38</v>
      </c>
      <c r="H14" s="483">
        <f t="shared" si="0"/>
        <v>3171.7000000000003</v>
      </c>
      <c r="I14" s="393">
        <f>ROUND((E14+F14+G14)*('[4]29_01_H_2020'!$O$9)*D14*12*(1+'[4]29_01_H_2020'!$O$24),2)</f>
        <v>4986.12</v>
      </c>
      <c r="J14" s="24"/>
      <c r="K14" s="368" t="s">
        <v>701</v>
      </c>
      <c r="L14" s="368" t="s">
        <v>383</v>
      </c>
      <c r="M14" s="368" t="s">
        <v>621</v>
      </c>
    </row>
    <row r="15" spans="1:13" ht="25.5" x14ac:dyDescent="0.25">
      <c r="A15" s="480" t="s">
        <v>258</v>
      </c>
      <c r="B15" s="542">
        <v>221239</v>
      </c>
      <c r="C15" s="520" t="s">
        <v>383</v>
      </c>
      <c r="D15" s="481">
        <v>1</v>
      </c>
      <c r="E15" s="51">
        <v>2614</v>
      </c>
      <c r="F15" s="482">
        <v>104.56</v>
      </c>
      <c r="G15" s="482">
        <v>392.1</v>
      </c>
      <c r="H15" s="483">
        <f t="shared" si="0"/>
        <v>3110.66</v>
      </c>
      <c r="I15" s="393">
        <f>ROUND((E15+F15+G15)*('[4]29_01_H_2020'!$O$9)*D15*12*(1+'[4]29_01_H_2020'!$O$24),2)</f>
        <v>4890.16</v>
      </c>
      <c r="J15" s="24"/>
      <c r="K15" s="368" t="s">
        <v>702</v>
      </c>
      <c r="L15" s="368" t="s">
        <v>383</v>
      </c>
      <c r="M15" s="368" t="s">
        <v>621</v>
      </c>
    </row>
    <row r="16" spans="1:13" ht="25.5" x14ac:dyDescent="0.25">
      <c r="A16" s="480" t="s">
        <v>258</v>
      </c>
      <c r="B16" s="542">
        <v>221239</v>
      </c>
      <c r="C16" s="520" t="s">
        <v>383</v>
      </c>
      <c r="D16" s="481">
        <v>1</v>
      </c>
      <c r="E16" s="51">
        <v>2614</v>
      </c>
      <c r="F16" s="482">
        <v>52.28</v>
      </c>
      <c r="G16" s="482">
        <v>235.26</v>
      </c>
      <c r="H16" s="483">
        <f t="shared" si="0"/>
        <v>2901.54</v>
      </c>
      <c r="I16" s="393">
        <f>ROUND((E16+F16+G16)*('[4]29_01_H_2020'!$O$9)*D16*12*(1+'[4]29_01_H_2020'!$O$24),2)</f>
        <v>4561.41</v>
      </c>
      <c r="J16" s="24"/>
      <c r="K16" s="368" t="s">
        <v>702</v>
      </c>
      <c r="L16" s="368" t="s">
        <v>383</v>
      </c>
      <c r="M16" s="368" t="s">
        <v>621</v>
      </c>
    </row>
    <row r="17" spans="1:13" ht="25.5" x14ac:dyDescent="0.25">
      <c r="A17" s="480" t="s">
        <v>258</v>
      </c>
      <c r="B17" s="542">
        <v>221239</v>
      </c>
      <c r="C17" s="520" t="s">
        <v>383</v>
      </c>
      <c r="D17" s="481">
        <v>1</v>
      </c>
      <c r="E17" s="51">
        <v>2325</v>
      </c>
      <c r="F17" s="482">
        <v>116.25</v>
      </c>
      <c r="G17" s="482">
        <v>302.25</v>
      </c>
      <c r="H17" s="483">
        <f t="shared" si="0"/>
        <v>2743.5</v>
      </c>
      <c r="I17" s="393">
        <f>ROUND((E17+F17+G17)*('[4]29_01_H_2020'!$O$9)*D17*12*(1+'[4]29_01_H_2020'!$O$24),2)</f>
        <v>4312.96</v>
      </c>
      <c r="J17" s="24"/>
      <c r="K17" s="368" t="s">
        <v>702</v>
      </c>
      <c r="L17" s="368" t="s">
        <v>383</v>
      </c>
      <c r="M17" s="368" t="s">
        <v>621</v>
      </c>
    </row>
    <row r="18" spans="1:13" ht="25.5" x14ac:dyDescent="0.25">
      <c r="A18" s="480" t="s">
        <v>258</v>
      </c>
      <c r="B18" s="542">
        <v>221239</v>
      </c>
      <c r="C18" s="520" t="s">
        <v>383</v>
      </c>
      <c r="D18" s="481">
        <v>2</v>
      </c>
      <c r="E18" s="51">
        <v>2325</v>
      </c>
      <c r="F18" s="482">
        <v>93</v>
      </c>
      <c r="G18" s="482">
        <v>302.25</v>
      </c>
      <c r="H18" s="483">
        <f t="shared" si="0"/>
        <v>2720.25</v>
      </c>
      <c r="I18" s="393">
        <f>ROUND((E18+F18+G18)*('[4]29_01_H_2020'!$O$9)*D18*12*(1+'[4]29_01_H_2020'!$O$24),2)</f>
        <v>8552.82</v>
      </c>
      <c r="J18" s="24"/>
      <c r="K18" s="368" t="s">
        <v>702</v>
      </c>
      <c r="L18" s="368" t="s">
        <v>383</v>
      </c>
      <c r="M18" s="368" t="s">
        <v>621</v>
      </c>
    </row>
    <row r="19" spans="1:13" ht="25.5" x14ac:dyDescent="0.25">
      <c r="A19" s="480" t="s">
        <v>258</v>
      </c>
      <c r="B19" s="542">
        <v>221239</v>
      </c>
      <c r="C19" s="520" t="s">
        <v>383</v>
      </c>
      <c r="D19" s="481">
        <v>2</v>
      </c>
      <c r="E19" s="51">
        <v>2325</v>
      </c>
      <c r="F19" s="482">
        <v>69.75</v>
      </c>
      <c r="G19" s="482">
        <v>302.25</v>
      </c>
      <c r="H19" s="483">
        <f t="shared" si="0"/>
        <v>2697</v>
      </c>
      <c r="I19" s="393">
        <f>ROUND((E19+F19+G19)*('[4]29_01_H_2020'!$O$9)*D19*12*(1+'[4]29_01_H_2020'!$O$24),2)</f>
        <v>8479.7199999999993</v>
      </c>
      <c r="J19" s="24"/>
      <c r="K19" s="368" t="s">
        <v>702</v>
      </c>
      <c r="L19" s="368" t="s">
        <v>383</v>
      </c>
      <c r="M19" s="368" t="s">
        <v>621</v>
      </c>
    </row>
    <row r="20" spans="1:13" ht="25.5" x14ac:dyDescent="0.25">
      <c r="A20" s="480" t="s">
        <v>258</v>
      </c>
      <c r="B20" s="542">
        <v>221239</v>
      </c>
      <c r="C20" s="520" t="s">
        <v>383</v>
      </c>
      <c r="D20" s="481">
        <v>1</v>
      </c>
      <c r="E20" s="51">
        <v>2325</v>
      </c>
      <c r="F20" s="482">
        <v>23.25</v>
      </c>
      <c r="G20" s="482">
        <v>302.25</v>
      </c>
      <c r="H20" s="483">
        <f t="shared" si="0"/>
        <v>2650.5</v>
      </c>
      <c r="I20" s="393">
        <f>ROUND((E20+F20+G20)*('[4]29_01_H_2020'!$O$9)*D20*12*(1+'[4]29_01_H_2020'!$O$24),2)</f>
        <v>4166.76</v>
      </c>
      <c r="J20" s="24"/>
      <c r="K20" s="368" t="s">
        <v>702</v>
      </c>
      <c r="L20" s="368" t="s">
        <v>383</v>
      </c>
      <c r="M20" s="368" t="s">
        <v>621</v>
      </c>
    </row>
    <row r="21" spans="1:13" ht="25.5" x14ac:dyDescent="0.25">
      <c r="A21" s="480" t="s">
        <v>258</v>
      </c>
      <c r="B21" s="542">
        <v>221239</v>
      </c>
      <c r="C21" s="520" t="s">
        <v>383</v>
      </c>
      <c r="D21" s="481">
        <v>1</v>
      </c>
      <c r="E21" s="51">
        <v>2036</v>
      </c>
      <c r="F21" s="482">
        <v>81.44</v>
      </c>
      <c r="G21" s="482">
        <v>264.68</v>
      </c>
      <c r="H21" s="483">
        <f t="shared" si="0"/>
        <v>2382.12</v>
      </c>
      <c r="I21" s="393">
        <f>ROUND((E21+F21+G21)*('[4]29_01_H_2020'!$O$9)*D21*12*(1+'[4]29_01_H_2020'!$O$24),2)</f>
        <v>3744.85</v>
      </c>
      <c r="J21" s="24"/>
      <c r="K21" s="368" t="s">
        <v>702</v>
      </c>
      <c r="L21" s="368" t="s">
        <v>383</v>
      </c>
      <c r="M21" s="368" t="s">
        <v>621</v>
      </c>
    </row>
    <row r="22" spans="1:13" ht="25.5" x14ac:dyDescent="0.25">
      <c r="A22" s="480" t="s">
        <v>108</v>
      </c>
      <c r="B22" s="542">
        <v>221239</v>
      </c>
      <c r="C22" s="520" t="s">
        <v>383</v>
      </c>
      <c r="D22" s="481">
        <v>1</v>
      </c>
      <c r="E22" s="51">
        <v>2325</v>
      </c>
      <c r="F22" s="482">
        <v>116.25</v>
      </c>
      <c r="G22" s="482">
        <v>255.75</v>
      </c>
      <c r="H22" s="483">
        <f t="shared" si="0"/>
        <v>2697</v>
      </c>
      <c r="I22" s="393">
        <f>ROUND((E22+F22+G22)*('[4]29_01_H_2020'!$O$9)*D22*12*(1+'[4]29_01_H_2020'!$O$24),2)</f>
        <v>4239.8599999999997</v>
      </c>
      <c r="J22" s="24"/>
      <c r="K22" s="368" t="s">
        <v>702</v>
      </c>
      <c r="L22" s="368" t="s">
        <v>383</v>
      </c>
      <c r="M22" s="368" t="s">
        <v>621</v>
      </c>
    </row>
    <row r="23" spans="1:13" ht="25.5" x14ac:dyDescent="0.25">
      <c r="A23" s="480" t="s">
        <v>108</v>
      </c>
      <c r="B23" s="542">
        <v>221239</v>
      </c>
      <c r="C23" s="520" t="s">
        <v>383</v>
      </c>
      <c r="D23" s="481">
        <v>1</v>
      </c>
      <c r="E23" s="51">
        <v>2325</v>
      </c>
      <c r="F23" s="482">
        <v>116.25</v>
      </c>
      <c r="G23" s="482">
        <v>302.25</v>
      </c>
      <c r="H23" s="483">
        <f t="shared" si="0"/>
        <v>2743.5</v>
      </c>
      <c r="I23" s="393">
        <f>ROUND((E23+F23+G23)*('[4]29_01_H_2020'!$O$9)*D23*12*(1+'[4]29_01_H_2020'!$O$24),2)</f>
        <v>4312.96</v>
      </c>
      <c r="J23" s="24"/>
      <c r="K23" s="368" t="s">
        <v>702</v>
      </c>
      <c r="L23" s="368" t="s">
        <v>383</v>
      </c>
      <c r="M23" s="368" t="s">
        <v>621</v>
      </c>
    </row>
    <row r="24" spans="1:13" ht="25.5" x14ac:dyDescent="0.25">
      <c r="A24" s="480" t="s">
        <v>108</v>
      </c>
      <c r="B24" s="542">
        <v>221239</v>
      </c>
      <c r="C24" s="520" t="s">
        <v>383</v>
      </c>
      <c r="D24" s="481">
        <v>1</v>
      </c>
      <c r="E24" s="51">
        <v>2325</v>
      </c>
      <c r="F24" s="482">
        <v>69.75</v>
      </c>
      <c r="G24" s="482">
        <v>302.25</v>
      </c>
      <c r="H24" s="483">
        <f t="shared" si="0"/>
        <v>2697</v>
      </c>
      <c r="I24" s="393">
        <f>ROUND((E24+F24+G24)*('[4]29_01_H_2020'!$O$9)*D24*12*(1+'[4]29_01_H_2020'!$O$24),2)</f>
        <v>4239.8599999999997</v>
      </c>
      <c r="J24" s="24"/>
      <c r="K24" s="368" t="s">
        <v>702</v>
      </c>
      <c r="L24" s="368" t="s">
        <v>383</v>
      </c>
      <c r="M24" s="368" t="s">
        <v>621</v>
      </c>
    </row>
    <row r="25" spans="1:13" ht="25.5" x14ac:dyDescent="0.25">
      <c r="A25" s="480" t="s">
        <v>703</v>
      </c>
      <c r="B25" s="542">
        <v>221239</v>
      </c>
      <c r="C25" s="520" t="s">
        <v>383</v>
      </c>
      <c r="D25" s="481">
        <v>1</v>
      </c>
      <c r="E25" s="51">
        <v>2325</v>
      </c>
      <c r="F25" s="482">
        <v>93</v>
      </c>
      <c r="G25" s="482">
        <v>302.25</v>
      </c>
      <c r="H25" s="483">
        <f t="shared" si="0"/>
        <v>2720.25</v>
      </c>
      <c r="I25" s="393">
        <f>ROUND((E25+F25+G25)*('[4]29_01_H_2020'!$O$9)*D25*12*(1+'[4]29_01_H_2020'!$O$24),2)</f>
        <v>4276.41</v>
      </c>
      <c r="J25" s="24"/>
      <c r="K25" s="368" t="s">
        <v>702</v>
      </c>
      <c r="L25" s="368" t="s">
        <v>383</v>
      </c>
      <c r="M25" s="368" t="s">
        <v>621</v>
      </c>
    </row>
    <row r="26" spans="1:13" ht="25.5" x14ac:dyDescent="0.25">
      <c r="A26" s="480" t="s">
        <v>384</v>
      </c>
      <c r="B26" s="542">
        <v>221239</v>
      </c>
      <c r="C26" s="520" t="s">
        <v>383</v>
      </c>
      <c r="D26" s="481">
        <v>1</v>
      </c>
      <c r="E26" s="51">
        <v>2180</v>
      </c>
      <c r="F26" s="482">
        <v>87.2</v>
      </c>
      <c r="G26" s="482">
        <v>327</v>
      </c>
      <c r="H26" s="483">
        <f t="shared" si="0"/>
        <v>2594.1999999999998</v>
      </c>
      <c r="I26" s="393">
        <f>ROUND((E26+F26+G26)*('[4]29_01_H_2020'!$O$9)*D26*12*(1+'[4]29_01_H_2020'!$O$24),2)</f>
        <v>4078.25</v>
      </c>
      <c r="J26" s="24"/>
      <c r="K26" s="368" t="s">
        <v>702</v>
      </c>
      <c r="L26" s="368" t="s">
        <v>383</v>
      </c>
      <c r="M26" s="368" t="s">
        <v>621</v>
      </c>
    </row>
    <row r="27" spans="1:13" x14ac:dyDescent="0.25">
      <c r="A27" s="480" t="s">
        <v>109</v>
      </c>
      <c r="B27" s="542">
        <v>221239</v>
      </c>
      <c r="C27" s="520" t="s">
        <v>383</v>
      </c>
      <c r="D27" s="481">
        <v>2</v>
      </c>
      <c r="E27" s="51">
        <v>2036</v>
      </c>
      <c r="F27" s="482">
        <v>81.44</v>
      </c>
      <c r="G27" s="482">
        <v>305.39999999999998</v>
      </c>
      <c r="H27" s="483">
        <f t="shared" si="0"/>
        <v>2422.84</v>
      </c>
      <c r="I27" s="393">
        <f>ROUND((E27+F27+G27)*('[4]29_01_H_2020'!$O$9)*D27*12*(1+'[4]29_01_H_2020'!$O$24),2)</f>
        <v>7617.72</v>
      </c>
      <c r="J27" s="24"/>
      <c r="K27" s="368" t="s">
        <v>702</v>
      </c>
      <c r="L27" s="368" t="s">
        <v>383</v>
      </c>
      <c r="M27" s="368" t="s">
        <v>621</v>
      </c>
    </row>
    <row r="28" spans="1:13" x14ac:dyDescent="0.25">
      <c r="A28" s="480" t="s">
        <v>109</v>
      </c>
      <c r="B28" s="542">
        <v>221239</v>
      </c>
      <c r="C28" s="520" t="s">
        <v>383</v>
      </c>
      <c r="D28" s="481">
        <v>1</v>
      </c>
      <c r="E28" s="51">
        <v>2036</v>
      </c>
      <c r="F28" s="482">
        <v>162.88</v>
      </c>
      <c r="G28" s="482">
        <v>305.39999999999998</v>
      </c>
      <c r="H28" s="483">
        <f t="shared" si="0"/>
        <v>2504.2800000000002</v>
      </c>
      <c r="I28" s="393">
        <f>ROUND((E28+F28+G28)*('[4]29_01_H_2020'!$O$9)*D28*12*(1+'[4]29_01_H_2020'!$O$24),2)</f>
        <v>3936.89</v>
      </c>
      <c r="J28" s="24"/>
      <c r="K28" s="368" t="s">
        <v>702</v>
      </c>
      <c r="L28" s="368" t="s">
        <v>383</v>
      </c>
      <c r="M28" s="368" t="s">
        <v>621</v>
      </c>
    </row>
    <row r="29" spans="1:13" x14ac:dyDescent="0.25">
      <c r="A29" s="480" t="s">
        <v>109</v>
      </c>
      <c r="B29" s="542">
        <v>221239</v>
      </c>
      <c r="C29" s="520" t="s">
        <v>383</v>
      </c>
      <c r="D29" s="481">
        <v>3</v>
      </c>
      <c r="E29" s="51">
        <v>2036</v>
      </c>
      <c r="F29" s="482">
        <v>81.44</v>
      </c>
      <c r="G29" s="482">
        <v>264.68</v>
      </c>
      <c r="H29" s="483">
        <f t="shared" si="0"/>
        <v>2382.12</v>
      </c>
      <c r="I29" s="393">
        <f>ROUND((E29+F29+G29)*('[4]29_01_H_2020'!$O$9)*D29*12*(1+'[4]29_01_H_2020'!$O$24),2)</f>
        <v>11234.54</v>
      </c>
      <c r="J29" s="24"/>
      <c r="K29" s="368" t="s">
        <v>702</v>
      </c>
      <c r="L29" s="368" t="s">
        <v>383</v>
      </c>
      <c r="M29" s="368" t="s">
        <v>621</v>
      </c>
    </row>
    <row r="30" spans="1:13" x14ac:dyDescent="0.25">
      <c r="A30" s="480" t="s">
        <v>109</v>
      </c>
      <c r="B30" s="542">
        <v>221239</v>
      </c>
      <c r="C30" s="520" t="s">
        <v>383</v>
      </c>
      <c r="D30" s="481">
        <v>3.5</v>
      </c>
      <c r="E30" s="51">
        <v>2036</v>
      </c>
      <c r="F30" s="482">
        <v>61.08</v>
      </c>
      <c r="G30" s="482">
        <v>264.68</v>
      </c>
      <c r="H30" s="483">
        <f t="shared" si="0"/>
        <v>2361.7599999999998</v>
      </c>
      <c r="I30" s="393">
        <f>ROUND((E30+F30+G30)*('[4]29_01_H_2020'!$O$9)*D30*12*(1+'[4]29_01_H_2020'!$O$24),2)</f>
        <v>12994.94</v>
      </c>
      <c r="J30" s="24"/>
      <c r="K30" s="368" t="s">
        <v>702</v>
      </c>
      <c r="L30" s="368" t="s">
        <v>383</v>
      </c>
      <c r="M30" s="368" t="s">
        <v>621</v>
      </c>
    </row>
    <row r="31" spans="1:13" x14ac:dyDescent="0.25">
      <c r="A31" s="480" t="s">
        <v>109</v>
      </c>
      <c r="B31" s="542">
        <v>221239</v>
      </c>
      <c r="C31" s="520" t="s">
        <v>383</v>
      </c>
      <c r="D31" s="481">
        <v>1</v>
      </c>
      <c r="E31" s="51">
        <v>2036</v>
      </c>
      <c r="F31" s="482">
        <v>162.88</v>
      </c>
      <c r="G31" s="482">
        <v>264.68</v>
      </c>
      <c r="H31" s="483">
        <f t="shared" si="0"/>
        <v>2463.56</v>
      </c>
      <c r="I31" s="393">
        <f>ROUND((E31+F31+G31)*('[4]29_01_H_2020'!$O$9)*D31*12*(1+'[4]29_01_H_2020'!$O$24),2)</f>
        <v>3872.88</v>
      </c>
      <c r="J31" s="24"/>
      <c r="K31" s="368" t="s">
        <v>702</v>
      </c>
      <c r="L31" s="368" t="s">
        <v>383</v>
      </c>
      <c r="M31" s="368" t="s">
        <v>621</v>
      </c>
    </row>
    <row r="32" spans="1:13" x14ac:dyDescent="0.25">
      <c r="A32" s="480" t="s">
        <v>109</v>
      </c>
      <c r="B32" s="542">
        <v>221239</v>
      </c>
      <c r="C32" s="520" t="s">
        <v>383</v>
      </c>
      <c r="D32" s="481">
        <v>2</v>
      </c>
      <c r="E32" s="51">
        <v>2036</v>
      </c>
      <c r="F32" s="482">
        <v>40.72</v>
      </c>
      <c r="G32" s="482">
        <v>223.96</v>
      </c>
      <c r="H32" s="483">
        <f t="shared" si="0"/>
        <v>2300.6799999999998</v>
      </c>
      <c r="I32" s="393">
        <f>ROUND((E32+F32+G32)*('[4]29_01_H_2020'!$O$9)*D32*12*(1+'[4]29_01_H_2020'!$O$24),2)</f>
        <v>7233.64</v>
      </c>
      <c r="J32" s="24"/>
      <c r="K32" s="368" t="s">
        <v>702</v>
      </c>
      <c r="L32" s="368" t="s">
        <v>383</v>
      </c>
      <c r="M32" s="368" t="s">
        <v>621</v>
      </c>
    </row>
    <row r="33" spans="1:13" x14ac:dyDescent="0.25">
      <c r="A33" s="480" t="s">
        <v>109</v>
      </c>
      <c r="B33" s="542">
        <v>221239</v>
      </c>
      <c r="C33" s="520" t="s">
        <v>383</v>
      </c>
      <c r="D33" s="481">
        <v>2</v>
      </c>
      <c r="E33" s="51">
        <v>2036</v>
      </c>
      <c r="F33" s="482">
        <v>81.44</v>
      </c>
      <c r="G33" s="482">
        <v>183.24</v>
      </c>
      <c r="H33" s="483">
        <f t="shared" si="0"/>
        <v>2300.6800000000003</v>
      </c>
      <c r="I33" s="393">
        <f>ROUND((E33+F33+G33)*('[4]29_01_H_2020'!$O$9)*D33*12*(1+'[4]29_01_H_2020'!$O$24),2)</f>
        <v>7233.64</v>
      </c>
      <c r="J33" s="24"/>
      <c r="K33" s="368" t="s">
        <v>702</v>
      </c>
      <c r="L33" s="368" t="s">
        <v>383</v>
      </c>
      <c r="M33" s="368" t="s">
        <v>621</v>
      </c>
    </row>
    <row r="34" spans="1:13" x14ac:dyDescent="0.25">
      <c r="A34" s="480" t="s">
        <v>109</v>
      </c>
      <c r="B34" s="542">
        <v>221239</v>
      </c>
      <c r="C34" s="520" t="s">
        <v>383</v>
      </c>
      <c r="D34" s="481">
        <v>4</v>
      </c>
      <c r="E34" s="51">
        <v>2036</v>
      </c>
      <c r="F34" s="482">
        <v>0</v>
      </c>
      <c r="G34" s="482">
        <v>183.24</v>
      </c>
      <c r="H34" s="483">
        <f t="shared" si="0"/>
        <v>2219.2399999999998</v>
      </c>
      <c r="I34" s="393">
        <f>ROUND((E34+F34+G34)*('[4]29_01_H_2020'!$O$9)*D34*12*(1+'[4]29_01_H_2020'!$O$24),2)</f>
        <v>13955.16</v>
      </c>
      <c r="J34" s="24"/>
      <c r="K34" s="368" t="s">
        <v>702</v>
      </c>
      <c r="L34" s="368" t="s">
        <v>383</v>
      </c>
      <c r="M34" s="368" t="s">
        <v>621</v>
      </c>
    </row>
    <row r="35" spans="1:13" x14ac:dyDescent="0.25">
      <c r="A35" s="480" t="s">
        <v>704</v>
      </c>
      <c r="B35" s="542">
        <v>221239</v>
      </c>
      <c r="C35" s="520" t="s">
        <v>383</v>
      </c>
      <c r="D35" s="481">
        <v>2</v>
      </c>
      <c r="E35" s="51">
        <v>2036</v>
      </c>
      <c r="F35" s="482">
        <v>61.08</v>
      </c>
      <c r="G35" s="482">
        <v>223.96</v>
      </c>
      <c r="H35" s="483">
        <f t="shared" si="0"/>
        <v>2321.04</v>
      </c>
      <c r="I35" s="393">
        <f>ROUND((E35+F35+G35)*('[4]29_01_H_2020'!$O$9)*D35*12*(1+'[4]29_01_H_2020'!$O$24),2)</f>
        <v>7297.65</v>
      </c>
      <c r="J35" s="24"/>
      <c r="K35" s="368" t="s">
        <v>702</v>
      </c>
      <c r="L35" s="368" t="s">
        <v>383</v>
      </c>
      <c r="M35" s="368" t="s">
        <v>621</v>
      </c>
    </row>
    <row r="36" spans="1:13" x14ac:dyDescent="0.25">
      <c r="A36" s="480" t="s">
        <v>110</v>
      </c>
      <c r="B36" s="542">
        <v>221239</v>
      </c>
      <c r="C36" s="520" t="s">
        <v>383</v>
      </c>
      <c r="D36" s="481">
        <v>3</v>
      </c>
      <c r="E36" s="51">
        <v>1930</v>
      </c>
      <c r="F36" s="482">
        <v>0</v>
      </c>
      <c r="G36" s="482">
        <v>289.5</v>
      </c>
      <c r="H36" s="483">
        <f t="shared" si="0"/>
        <v>2219.5</v>
      </c>
      <c r="I36" s="393">
        <f>ROUND((E36+F36+G36)*('[4]29_01_H_2020'!$O$9)*D36*12*(1+'[4]29_01_H_2020'!$O$24),2)</f>
        <v>10467.59</v>
      </c>
      <c r="J36" s="24"/>
      <c r="K36" s="368" t="s">
        <v>702</v>
      </c>
      <c r="L36" s="368" t="s">
        <v>383</v>
      </c>
      <c r="M36" s="368" t="s">
        <v>621</v>
      </c>
    </row>
    <row r="37" spans="1:13" x14ac:dyDescent="0.25">
      <c r="A37" s="480" t="s">
        <v>110</v>
      </c>
      <c r="B37" s="542">
        <v>221239</v>
      </c>
      <c r="C37" s="520" t="s">
        <v>383</v>
      </c>
      <c r="D37" s="481">
        <v>3</v>
      </c>
      <c r="E37" s="51">
        <v>1930</v>
      </c>
      <c r="F37" s="482">
        <v>0</v>
      </c>
      <c r="G37" s="482">
        <v>250.9</v>
      </c>
      <c r="H37" s="483">
        <f t="shared" si="0"/>
        <v>2180.9</v>
      </c>
      <c r="I37" s="393">
        <f>ROUND((E37+F37+G37)*('[4]29_01_H_2020'!$O$9)*D37*12*(1+'[4]29_01_H_2020'!$O$24),2)</f>
        <v>10285.549999999999</v>
      </c>
      <c r="J37" s="24"/>
      <c r="K37" s="368" t="s">
        <v>702</v>
      </c>
      <c r="L37" s="368" t="s">
        <v>383</v>
      </c>
      <c r="M37" s="368" t="s">
        <v>621</v>
      </c>
    </row>
    <row r="38" spans="1:13" x14ac:dyDescent="0.25">
      <c r="A38" s="480" t="s">
        <v>110</v>
      </c>
      <c r="B38" s="542">
        <v>221239</v>
      </c>
      <c r="C38" s="520" t="s">
        <v>383</v>
      </c>
      <c r="D38" s="481">
        <v>2</v>
      </c>
      <c r="E38" s="51">
        <v>1930</v>
      </c>
      <c r="F38" s="482">
        <v>19.3</v>
      </c>
      <c r="G38" s="482">
        <v>250.9</v>
      </c>
      <c r="H38" s="483">
        <f t="shared" si="0"/>
        <v>2200.1999999999998</v>
      </c>
      <c r="I38" s="393">
        <f>ROUND((E38+F38+G38)*('[4]29_01_H_2020'!$O$9)*D38*12*(1+'[4]29_01_H_2020'!$O$24),2)</f>
        <v>6917.71</v>
      </c>
      <c r="J38" s="24"/>
      <c r="K38" s="368" t="s">
        <v>702</v>
      </c>
      <c r="L38" s="368" t="s">
        <v>383</v>
      </c>
      <c r="M38" s="368" t="s">
        <v>621</v>
      </c>
    </row>
    <row r="39" spans="1:13" x14ac:dyDescent="0.25">
      <c r="A39" s="480" t="s">
        <v>110</v>
      </c>
      <c r="B39" s="542">
        <v>221239</v>
      </c>
      <c r="C39" s="520" t="s">
        <v>383</v>
      </c>
      <c r="D39" s="481">
        <v>0.5</v>
      </c>
      <c r="E39" s="51">
        <v>1930</v>
      </c>
      <c r="F39" s="482">
        <v>0</v>
      </c>
      <c r="G39" s="482">
        <v>212.3</v>
      </c>
      <c r="H39" s="483">
        <f t="shared" si="0"/>
        <v>2142.3000000000002</v>
      </c>
      <c r="I39" s="393">
        <f>ROUND((E39+F39+G39)*('[4]29_01_H_2020'!$O$9)*D39*12*(1+'[4]29_01_H_2020'!$O$24),2)</f>
        <v>1683.92</v>
      </c>
      <c r="J39" s="24"/>
      <c r="K39" s="368" t="s">
        <v>702</v>
      </c>
      <c r="L39" s="368" t="s">
        <v>383</v>
      </c>
      <c r="M39" s="368" t="s">
        <v>621</v>
      </c>
    </row>
    <row r="40" spans="1:13" x14ac:dyDescent="0.25">
      <c r="A40" s="480" t="s">
        <v>705</v>
      </c>
      <c r="B40" s="542">
        <v>221239</v>
      </c>
      <c r="C40" s="520" t="s">
        <v>383</v>
      </c>
      <c r="D40" s="481">
        <v>1</v>
      </c>
      <c r="E40" s="51">
        <v>1930</v>
      </c>
      <c r="F40" s="482">
        <v>19.3</v>
      </c>
      <c r="G40" s="482">
        <v>212.3</v>
      </c>
      <c r="H40" s="483">
        <f t="shared" si="0"/>
        <v>2161.6</v>
      </c>
      <c r="I40" s="393">
        <f>ROUND((E40+F40+G40)*('[4]29_01_H_2020'!$O$9)*D40*12*(1+'[4]29_01_H_2020'!$O$24),2)</f>
        <v>3398.18</v>
      </c>
      <c r="J40" s="24"/>
      <c r="K40" s="368" t="s">
        <v>702</v>
      </c>
      <c r="L40" s="368" t="s">
        <v>383</v>
      </c>
      <c r="M40" s="368" t="s">
        <v>621</v>
      </c>
    </row>
    <row r="41" spans="1:13" ht="15.75" thickBot="1" x14ac:dyDescent="0.3">
      <c r="A41" s="480" t="s">
        <v>705</v>
      </c>
      <c r="B41" s="542">
        <v>221239</v>
      </c>
      <c r="C41" s="520" t="s">
        <v>383</v>
      </c>
      <c r="D41" s="481">
        <v>2</v>
      </c>
      <c r="E41" s="51">
        <v>1930</v>
      </c>
      <c r="F41" s="482">
        <v>0</v>
      </c>
      <c r="G41" s="482">
        <v>212.3</v>
      </c>
      <c r="H41" s="483">
        <f t="shared" si="0"/>
        <v>2142.3000000000002</v>
      </c>
      <c r="I41" s="393">
        <f>ROUND((E41+F41+G41)*('[4]29_01_H_2020'!$O$9)*D41*12*(1+'[4]29_01_H_2020'!$O$24),2)</f>
        <v>6735.67</v>
      </c>
      <c r="J41" s="24"/>
      <c r="K41" s="368" t="s">
        <v>702</v>
      </c>
      <c r="L41" s="368" t="s">
        <v>383</v>
      </c>
      <c r="M41" s="368" t="s">
        <v>621</v>
      </c>
    </row>
    <row r="42" spans="1:13" ht="15.75" thickBot="1" x14ac:dyDescent="0.3">
      <c r="A42" s="49" t="s">
        <v>14</v>
      </c>
      <c r="B42" s="251"/>
      <c r="C42" s="251"/>
      <c r="D42" s="54">
        <f>SUM(D12:D41)</f>
        <v>49</v>
      </c>
      <c r="E42" s="50" t="s">
        <v>69</v>
      </c>
      <c r="F42" s="50" t="s">
        <v>69</v>
      </c>
      <c r="G42" s="50" t="s">
        <v>69</v>
      </c>
      <c r="H42" s="516"/>
      <c r="I42" s="476">
        <f>+I10</f>
        <v>191079.02</v>
      </c>
    </row>
    <row r="43" spans="1:13" x14ac:dyDescent="0.25">
      <c r="A43" s="2"/>
      <c r="B43" s="2"/>
      <c r="C43" s="2"/>
      <c r="D43" s="3"/>
      <c r="E43" s="2"/>
      <c r="F43" s="2"/>
      <c r="G43" s="2"/>
      <c r="H43" s="477"/>
    </row>
    <row r="44" spans="1:13" ht="15" customHeight="1" x14ac:dyDescent="0.25">
      <c r="A44" s="53"/>
      <c r="B44" s="53"/>
      <c r="C44" s="53"/>
      <c r="D44" s="53"/>
      <c r="E44" s="53"/>
      <c r="F44" s="53"/>
      <c r="G44" s="53"/>
      <c r="H44" s="53"/>
      <c r="I44" s="24"/>
      <c r="J44" s="83"/>
      <c r="K44" s="26"/>
      <c r="M44" s="26"/>
    </row>
    <row r="45" spans="1:13" x14ac:dyDescent="0.25">
      <c r="A45" s="53"/>
      <c r="B45" s="53"/>
      <c r="C45" s="53"/>
      <c r="D45" s="77"/>
      <c r="E45" s="53"/>
      <c r="F45" s="53"/>
      <c r="G45" s="53"/>
      <c r="H45" s="53"/>
      <c r="I45" s="24"/>
      <c r="K45" s="25"/>
      <c r="M45" s="25"/>
    </row>
    <row r="46" spans="1:13" x14ac:dyDescent="0.25">
      <c r="A46" s="53"/>
      <c r="B46" s="53"/>
      <c r="C46" s="53"/>
      <c r="D46" s="77"/>
      <c r="E46" s="53"/>
      <c r="F46" s="53"/>
      <c r="G46" s="53"/>
      <c r="H46" s="53"/>
      <c r="I46" s="24"/>
    </row>
    <row r="47" spans="1:13" x14ac:dyDescent="0.25">
      <c r="D47" s="78"/>
    </row>
    <row r="48" spans="1:13" x14ac:dyDescent="0.25">
      <c r="D48" s="78"/>
    </row>
    <row r="49" spans="4:9" x14ac:dyDescent="0.25">
      <c r="D49" s="78"/>
      <c r="I49" s="24"/>
    </row>
    <row r="50" spans="4:9" x14ac:dyDescent="0.25">
      <c r="D50" s="78"/>
    </row>
    <row r="51" spans="4:9" x14ac:dyDescent="0.25">
      <c r="D51" s="78"/>
    </row>
  </sheetData>
  <mergeCells count="14">
    <mergeCell ref="A8:H8"/>
    <mergeCell ref="A9:H9"/>
    <mergeCell ref="H1:I1"/>
    <mergeCell ref="A2:H3"/>
    <mergeCell ref="A5:I5"/>
    <mergeCell ref="E6:E7"/>
    <mergeCell ref="F6:F7"/>
    <mergeCell ref="G6:G7"/>
    <mergeCell ref="H6:H7"/>
    <mergeCell ref="I6:I7"/>
    <mergeCell ref="A6:A7"/>
    <mergeCell ref="B6:B7"/>
    <mergeCell ref="C6:C7"/>
    <mergeCell ref="D6:D7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F4A98-D5AE-419A-ADFD-E7B2AA10BACD}">
  <sheetPr>
    <tabColor theme="9" tint="0.79998168889431442"/>
  </sheetPr>
  <dimension ref="B1:M448"/>
  <sheetViews>
    <sheetView zoomScaleNormal="100" workbookViewId="0">
      <selection activeCell="L7" sqref="L7"/>
    </sheetView>
  </sheetViews>
  <sheetFormatPr defaultRowHeight="15" x14ac:dyDescent="0.25"/>
  <cols>
    <col min="1" max="1" width="9.140625" style="252"/>
    <col min="2" max="2" width="46.7109375" style="252" customWidth="1"/>
    <col min="3" max="3" width="14.85546875" style="252" customWidth="1"/>
    <col min="4" max="4" width="15.28515625" style="252" customWidth="1"/>
    <col min="5" max="5" width="11.28515625" style="252" customWidth="1"/>
    <col min="6" max="6" width="11.5703125" style="252" customWidth="1"/>
    <col min="7" max="7" width="10.5703125" style="252" customWidth="1"/>
    <col min="8" max="8" width="10.28515625" style="252" customWidth="1"/>
    <col min="9" max="9" width="11.85546875" style="279" customWidth="1"/>
    <col min="10" max="10" width="14.42578125" style="252" customWidth="1"/>
    <col min="11" max="11" width="9.140625" style="252"/>
    <col min="12" max="12" width="30.5703125" style="252" customWidth="1"/>
    <col min="13" max="258" width="9.140625" style="252"/>
    <col min="259" max="259" width="31.5703125" style="252" customWidth="1"/>
    <col min="260" max="260" width="11.28515625" style="252" customWidth="1"/>
    <col min="261" max="261" width="11.5703125" style="252" customWidth="1"/>
    <col min="262" max="262" width="10.5703125" style="252" customWidth="1"/>
    <col min="263" max="263" width="10.28515625" style="252" customWidth="1"/>
    <col min="264" max="264" width="11.85546875" style="252" customWidth="1"/>
    <col min="265" max="265" width="14.42578125" style="252" customWidth="1"/>
    <col min="266" max="267" width="9.140625" style="252"/>
    <col min="268" max="268" width="30.5703125" style="252" customWidth="1"/>
    <col min="269" max="514" width="9.140625" style="252"/>
    <col min="515" max="515" width="31.5703125" style="252" customWidth="1"/>
    <col min="516" max="516" width="11.28515625" style="252" customWidth="1"/>
    <col min="517" max="517" width="11.5703125" style="252" customWidth="1"/>
    <col min="518" max="518" width="10.5703125" style="252" customWidth="1"/>
    <col min="519" max="519" width="10.28515625" style="252" customWidth="1"/>
    <col min="520" max="520" width="11.85546875" style="252" customWidth="1"/>
    <col min="521" max="521" width="14.42578125" style="252" customWidth="1"/>
    <col min="522" max="523" width="9.140625" style="252"/>
    <col min="524" max="524" width="30.5703125" style="252" customWidth="1"/>
    <col min="525" max="770" width="9.140625" style="252"/>
    <col min="771" max="771" width="31.5703125" style="252" customWidth="1"/>
    <col min="772" max="772" width="11.28515625" style="252" customWidth="1"/>
    <col min="773" max="773" width="11.5703125" style="252" customWidth="1"/>
    <col min="774" max="774" width="10.5703125" style="252" customWidth="1"/>
    <col min="775" max="775" width="10.28515625" style="252" customWidth="1"/>
    <col min="776" max="776" width="11.85546875" style="252" customWidth="1"/>
    <col min="777" max="777" width="14.42578125" style="252" customWidth="1"/>
    <col min="778" max="779" width="9.140625" style="252"/>
    <col min="780" max="780" width="30.5703125" style="252" customWidth="1"/>
    <col min="781" max="1026" width="9.140625" style="252"/>
    <col min="1027" max="1027" width="31.5703125" style="252" customWidth="1"/>
    <col min="1028" max="1028" width="11.28515625" style="252" customWidth="1"/>
    <col min="1029" max="1029" width="11.5703125" style="252" customWidth="1"/>
    <col min="1030" max="1030" width="10.5703125" style="252" customWidth="1"/>
    <col min="1031" max="1031" width="10.28515625" style="252" customWidth="1"/>
    <col min="1032" max="1032" width="11.85546875" style="252" customWidth="1"/>
    <col min="1033" max="1033" width="14.42578125" style="252" customWidth="1"/>
    <col min="1034" max="1035" width="9.140625" style="252"/>
    <col min="1036" max="1036" width="30.5703125" style="252" customWidth="1"/>
    <col min="1037" max="1282" width="9.140625" style="252"/>
    <col min="1283" max="1283" width="31.5703125" style="252" customWidth="1"/>
    <col min="1284" max="1284" width="11.28515625" style="252" customWidth="1"/>
    <col min="1285" max="1285" width="11.5703125" style="252" customWidth="1"/>
    <col min="1286" max="1286" width="10.5703125" style="252" customWidth="1"/>
    <col min="1287" max="1287" width="10.28515625" style="252" customWidth="1"/>
    <col min="1288" max="1288" width="11.85546875" style="252" customWidth="1"/>
    <col min="1289" max="1289" width="14.42578125" style="252" customWidth="1"/>
    <col min="1290" max="1291" width="9.140625" style="252"/>
    <col min="1292" max="1292" width="30.5703125" style="252" customWidth="1"/>
    <col min="1293" max="1538" width="9.140625" style="252"/>
    <col min="1539" max="1539" width="31.5703125" style="252" customWidth="1"/>
    <col min="1540" max="1540" width="11.28515625" style="252" customWidth="1"/>
    <col min="1541" max="1541" width="11.5703125" style="252" customWidth="1"/>
    <col min="1542" max="1542" width="10.5703125" style="252" customWidth="1"/>
    <col min="1543" max="1543" width="10.28515625" style="252" customWidth="1"/>
    <col min="1544" max="1544" width="11.85546875" style="252" customWidth="1"/>
    <col min="1545" max="1545" width="14.42578125" style="252" customWidth="1"/>
    <col min="1546" max="1547" width="9.140625" style="252"/>
    <col min="1548" max="1548" width="30.5703125" style="252" customWidth="1"/>
    <col min="1549" max="1794" width="9.140625" style="252"/>
    <col min="1795" max="1795" width="31.5703125" style="252" customWidth="1"/>
    <col min="1796" max="1796" width="11.28515625" style="252" customWidth="1"/>
    <col min="1797" max="1797" width="11.5703125" style="252" customWidth="1"/>
    <col min="1798" max="1798" width="10.5703125" style="252" customWidth="1"/>
    <col min="1799" max="1799" width="10.28515625" style="252" customWidth="1"/>
    <col min="1800" max="1800" width="11.85546875" style="252" customWidth="1"/>
    <col min="1801" max="1801" width="14.42578125" style="252" customWidth="1"/>
    <col min="1802" max="1803" width="9.140625" style="252"/>
    <col min="1804" max="1804" width="30.5703125" style="252" customWidth="1"/>
    <col min="1805" max="2050" width="9.140625" style="252"/>
    <col min="2051" max="2051" width="31.5703125" style="252" customWidth="1"/>
    <col min="2052" max="2052" width="11.28515625" style="252" customWidth="1"/>
    <col min="2053" max="2053" width="11.5703125" style="252" customWidth="1"/>
    <col min="2054" max="2054" width="10.5703125" style="252" customWidth="1"/>
    <col min="2055" max="2055" width="10.28515625" style="252" customWidth="1"/>
    <col min="2056" max="2056" width="11.85546875" style="252" customWidth="1"/>
    <col min="2057" max="2057" width="14.42578125" style="252" customWidth="1"/>
    <col min="2058" max="2059" width="9.140625" style="252"/>
    <col min="2060" max="2060" width="30.5703125" style="252" customWidth="1"/>
    <col min="2061" max="2306" width="9.140625" style="252"/>
    <col min="2307" max="2307" width="31.5703125" style="252" customWidth="1"/>
    <col min="2308" max="2308" width="11.28515625" style="252" customWidth="1"/>
    <col min="2309" max="2309" width="11.5703125" style="252" customWidth="1"/>
    <col min="2310" max="2310" width="10.5703125" style="252" customWidth="1"/>
    <col min="2311" max="2311" width="10.28515625" style="252" customWidth="1"/>
    <col min="2312" max="2312" width="11.85546875" style="252" customWidth="1"/>
    <col min="2313" max="2313" width="14.42578125" style="252" customWidth="1"/>
    <col min="2314" max="2315" width="9.140625" style="252"/>
    <col min="2316" max="2316" width="30.5703125" style="252" customWidth="1"/>
    <col min="2317" max="2562" width="9.140625" style="252"/>
    <col min="2563" max="2563" width="31.5703125" style="252" customWidth="1"/>
    <col min="2564" max="2564" width="11.28515625" style="252" customWidth="1"/>
    <col min="2565" max="2565" width="11.5703125" style="252" customWidth="1"/>
    <col min="2566" max="2566" width="10.5703125" style="252" customWidth="1"/>
    <col min="2567" max="2567" width="10.28515625" style="252" customWidth="1"/>
    <col min="2568" max="2568" width="11.85546875" style="252" customWidth="1"/>
    <col min="2569" max="2569" width="14.42578125" style="252" customWidth="1"/>
    <col min="2570" max="2571" width="9.140625" style="252"/>
    <col min="2572" max="2572" width="30.5703125" style="252" customWidth="1"/>
    <col min="2573" max="2818" width="9.140625" style="252"/>
    <col min="2819" max="2819" width="31.5703125" style="252" customWidth="1"/>
    <col min="2820" max="2820" width="11.28515625" style="252" customWidth="1"/>
    <col min="2821" max="2821" width="11.5703125" style="252" customWidth="1"/>
    <col min="2822" max="2822" width="10.5703125" style="252" customWidth="1"/>
    <col min="2823" max="2823" width="10.28515625" style="252" customWidth="1"/>
    <col min="2824" max="2824" width="11.85546875" style="252" customWidth="1"/>
    <col min="2825" max="2825" width="14.42578125" style="252" customWidth="1"/>
    <col min="2826" max="2827" width="9.140625" style="252"/>
    <col min="2828" max="2828" width="30.5703125" style="252" customWidth="1"/>
    <col min="2829" max="3074" width="9.140625" style="252"/>
    <col min="3075" max="3075" width="31.5703125" style="252" customWidth="1"/>
    <col min="3076" max="3076" width="11.28515625" style="252" customWidth="1"/>
    <col min="3077" max="3077" width="11.5703125" style="252" customWidth="1"/>
    <col min="3078" max="3078" width="10.5703125" style="252" customWidth="1"/>
    <col min="3079" max="3079" width="10.28515625" style="252" customWidth="1"/>
    <col min="3080" max="3080" width="11.85546875" style="252" customWidth="1"/>
    <col min="3081" max="3081" width="14.42578125" style="252" customWidth="1"/>
    <col min="3082" max="3083" width="9.140625" style="252"/>
    <col min="3084" max="3084" width="30.5703125" style="252" customWidth="1"/>
    <col min="3085" max="3330" width="9.140625" style="252"/>
    <col min="3331" max="3331" width="31.5703125" style="252" customWidth="1"/>
    <col min="3332" max="3332" width="11.28515625" style="252" customWidth="1"/>
    <col min="3333" max="3333" width="11.5703125" style="252" customWidth="1"/>
    <col min="3334" max="3334" width="10.5703125" style="252" customWidth="1"/>
    <col min="3335" max="3335" width="10.28515625" style="252" customWidth="1"/>
    <col min="3336" max="3336" width="11.85546875" style="252" customWidth="1"/>
    <col min="3337" max="3337" width="14.42578125" style="252" customWidth="1"/>
    <col min="3338" max="3339" width="9.140625" style="252"/>
    <col min="3340" max="3340" width="30.5703125" style="252" customWidth="1"/>
    <col min="3341" max="3586" width="9.140625" style="252"/>
    <col min="3587" max="3587" width="31.5703125" style="252" customWidth="1"/>
    <col min="3588" max="3588" width="11.28515625" style="252" customWidth="1"/>
    <col min="3589" max="3589" width="11.5703125" style="252" customWidth="1"/>
    <col min="3590" max="3590" width="10.5703125" style="252" customWidth="1"/>
    <col min="3591" max="3591" width="10.28515625" style="252" customWidth="1"/>
    <col min="3592" max="3592" width="11.85546875" style="252" customWidth="1"/>
    <col min="3593" max="3593" width="14.42578125" style="252" customWidth="1"/>
    <col min="3594" max="3595" width="9.140625" style="252"/>
    <col min="3596" max="3596" width="30.5703125" style="252" customWidth="1"/>
    <col min="3597" max="3842" width="9.140625" style="252"/>
    <col min="3843" max="3843" width="31.5703125" style="252" customWidth="1"/>
    <col min="3844" max="3844" width="11.28515625" style="252" customWidth="1"/>
    <col min="3845" max="3845" width="11.5703125" style="252" customWidth="1"/>
    <col min="3846" max="3846" width="10.5703125" style="252" customWidth="1"/>
    <col min="3847" max="3847" width="10.28515625" style="252" customWidth="1"/>
    <col min="3848" max="3848" width="11.85546875" style="252" customWidth="1"/>
    <col min="3849" max="3849" width="14.42578125" style="252" customWidth="1"/>
    <col min="3850" max="3851" width="9.140625" style="252"/>
    <col min="3852" max="3852" width="30.5703125" style="252" customWidth="1"/>
    <col min="3853" max="4098" width="9.140625" style="252"/>
    <col min="4099" max="4099" width="31.5703125" style="252" customWidth="1"/>
    <col min="4100" max="4100" width="11.28515625" style="252" customWidth="1"/>
    <col min="4101" max="4101" width="11.5703125" style="252" customWidth="1"/>
    <col min="4102" max="4102" width="10.5703125" style="252" customWidth="1"/>
    <col min="4103" max="4103" width="10.28515625" style="252" customWidth="1"/>
    <col min="4104" max="4104" width="11.85546875" style="252" customWidth="1"/>
    <col min="4105" max="4105" width="14.42578125" style="252" customWidth="1"/>
    <col min="4106" max="4107" width="9.140625" style="252"/>
    <col min="4108" max="4108" width="30.5703125" style="252" customWidth="1"/>
    <col min="4109" max="4354" width="9.140625" style="252"/>
    <col min="4355" max="4355" width="31.5703125" style="252" customWidth="1"/>
    <col min="4356" max="4356" width="11.28515625" style="252" customWidth="1"/>
    <col min="4357" max="4357" width="11.5703125" style="252" customWidth="1"/>
    <col min="4358" max="4358" width="10.5703125" style="252" customWidth="1"/>
    <col min="4359" max="4359" width="10.28515625" style="252" customWidth="1"/>
    <col min="4360" max="4360" width="11.85546875" style="252" customWidth="1"/>
    <col min="4361" max="4361" width="14.42578125" style="252" customWidth="1"/>
    <col min="4362" max="4363" width="9.140625" style="252"/>
    <col min="4364" max="4364" width="30.5703125" style="252" customWidth="1"/>
    <col min="4365" max="4610" width="9.140625" style="252"/>
    <col min="4611" max="4611" width="31.5703125" style="252" customWidth="1"/>
    <col min="4612" max="4612" width="11.28515625" style="252" customWidth="1"/>
    <col min="4613" max="4613" width="11.5703125" style="252" customWidth="1"/>
    <col min="4614" max="4614" width="10.5703125" style="252" customWidth="1"/>
    <col min="4615" max="4615" width="10.28515625" style="252" customWidth="1"/>
    <col min="4616" max="4616" width="11.85546875" style="252" customWidth="1"/>
    <col min="4617" max="4617" width="14.42578125" style="252" customWidth="1"/>
    <col min="4618" max="4619" width="9.140625" style="252"/>
    <col min="4620" max="4620" width="30.5703125" style="252" customWidth="1"/>
    <col min="4621" max="4866" width="9.140625" style="252"/>
    <col min="4867" max="4867" width="31.5703125" style="252" customWidth="1"/>
    <col min="4868" max="4868" width="11.28515625" style="252" customWidth="1"/>
    <col min="4869" max="4869" width="11.5703125" style="252" customWidth="1"/>
    <col min="4870" max="4870" width="10.5703125" style="252" customWidth="1"/>
    <col min="4871" max="4871" width="10.28515625" style="252" customWidth="1"/>
    <col min="4872" max="4872" width="11.85546875" style="252" customWidth="1"/>
    <col min="4873" max="4873" width="14.42578125" style="252" customWidth="1"/>
    <col min="4874" max="4875" width="9.140625" style="252"/>
    <col min="4876" max="4876" width="30.5703125" style="252" customWidth="1"/>
    <col min="4877" max="5122" width="9.140625" style="252"/>
    <col min="5123" max="5123" width="31.5703125" style="252" customWidth="1"/>
    <col min="5124" max="5124" width="11.28515625" style="252" customWidth="1"/>
    <col min="5125" max="5125" width="11.5703125" style="252" customWidth="1"/>
    <col min="5126" max="5126" width="10.5703125" style="252" customWidth="1"/>
    <col min="5127" max="5127" width="10.28515625" style="252" customWidth="1"/>
    <col min="5128" max="5128" width="11.85546875" style="252" customWidth="1"/>
    <col min="5129" max="5129" width="14.42578125" style="252" customWidth="1"/>
    <col min="5130" max="5131" width="9.140625" style="252"/>
    <col min="5132" max="5132" width="30.5703125" style="252" customWidth="1"/>
    <col min="5133" max="5378" width="9.140625" style="252"/>
    <col min="5379" max="5379" width="31.5703125" style="252" customWidth="1"/>
    <col min="5380" max="5380" width="11.28515625" style="252" customWidth="1"/>
    <col min="5381" max="5381" width="11.5703125" style="252" customWidth="1"/>
    <col min="5382" max="5382" width="10.5703125" style="252" customWidth="1"/>
    <col min="5383" max="5383" width="10.28515625" style="252" customWidth="1"/>
    <col min="5384" max="5384" width="11.85546875" style="252" customWidth="1"/>
    <col min="5385" max="5385" width="14.42578125" style="252" customWidth="1"/>
    <col min="5386" max="5387" width="9.140625" style="252"/>
    <col min="5388" max="5388" width="30.5703125" style="252" customWidth="1"/>
    <col min="5389" max="5634" width="9.140625" style="252"/>
    <col min="5635" max="5635" width="31.5703125" style="252" customWidth="1"/>
    <col min="5636" max="5636" width="11.28515625" style="252" customWidth="1"/>
    <col min="5637" max="5637" width="11.5703125" style="252" customWidth="1"/>
    <col min="5638" max="5638" width="10.5703125" style="252" customWidth="1"/>
    <col min="5639" max="5639" width="10.28515625" style="252" customWidth="1"/>
    <col min="5640" max="5640" width="11.85546875" style="252" customWidth="1"/>
    <col min="5641" max="5641" width="14.42578125" style="252" customWidth="1"/>
    <col min="5642" max="5643" width="9.140625" style="252"/>
    <col min="5644" max="5644" width="30.5703125" style="252" customWidth="1"/>
    <col min="5645" max="5890" width="9.140625" style="252"/>
    <col min="5891" max="5891" width="31.5703125" style="252" customWidth="1"/>
    <col min="5892" max="5892" width="11.28515625" style="252" customWidth="1"/>
    <col min="5893" max="5893" width="11.5703125" style="252" customWidth="1"/>
    <col min="5894" max="5894" width="10.5703125" style="252" customWidth="1"/>
    <col min="5895" max="5895" width="10.28515625" style="252" customWidth="1"/>
    <col min="5896" max="5896" width="11.85546875" style="252" customWidth="1"/>
    <col min="5897" max="5897" width="14.42578125" style="252" customWidth="1"/>
    <col min="5898" max="5899" width="9.140625" style="252"/>
    <col min="5900" max="5900" width="30.5703125" style="252" customWidth="1"/>
    <col min="5901" max="6146" width="9.140625" style="252"/>
    <col min="6147" max="6147" width="31.5703125" style="252" customWidth="1"/>
    <col min="6148" max="6148" width="11.28515625" style="252" customWidth="1"/>
    <col min="6149" max="6149" width="11.5703125" style="252" customWidth="1"/>
    <col min="6150" max="6150" width="10.5703125" style="252" customWidth="1"/>
    <col min="6151" max="6151" width="10.28515625" style="252" customWidth="1"/>
    <col min="6152" max="6152" width="11.85546875" style="252" customWidth="1"/>
    <col min="6153" max="6153" width="14.42578125" style="252" customWidth="1"/>
    <col min="6154" max="6155" width="9.140625" style="252"/>
    <col min="6156" max="6156" width="30.5703125" style="252" customWidth="1"/>
    <col min="6157" max="6402" width="9.140625" style="252"/>
    <col min="6403" max="6403" width="31.5703125" style="252" customWidth="1"/>
    <col min="6404" max="6404" width="11.28515625" style="252" customWidth="1"/>
    <col min="6405" max="6405" width="11.5703125" style="252" customWidth="1"/>
    <col min="6406" max="6406" width="10.5703125" style="252" customWidth="1"/>
    <col min="6407" max="6407" width="10.28515625" style="252" customWidth="1"/>
    <col min="6408" max="6408" width="11.85546875" style="252" customWidth="1"/>
    <col min="6409" max="6409" width="14.42578125" style="252" customWidth="1"/>
    <col min="6410" max="6411" width="9.140625" style="252"/>
    <col min="6412" max="6412" width="30.5703125" style="252" customWidth="1"/>
    <col min="6413" max="6658" width="9.140625" style="252"/>
    <col min="6659" max="6659" width="31.5703125" style="252" customWidth="1"/>
    <col min="6660" max="6660" width="11.28515625" style="252" customWidth="1"/>
    <col min="6661" max="6661" width="11.5703125" style="252" customWidth="1"/>
    <col min="6662" max="6662" width="10.5703125" style="252" customWidth="1"/>
    <col min="6663" max="6663" width="10.28515625" style="252" customWidth="1"/>
    <col min="6664" max="6664" width="11.85546875" style="252" customWidth="1"/>
    <col min="6665" max="6665" width="14.42578125" style="252" customWidth="1"/>
    <col min="6666" max="6667" width="9.140625" style="252"/>
    <col min="6668" max="6668" width="30.5703125" style="252" customWidth="1"/>
    <col min="6669" max="6914" width="9.140625" style="252"/>
    <col min="6915" max="6915" width="31.5703125" style="252" customWidth="1"/>
    <col min="6916" max="6916" width="11.28515625" style="252" customWidth="1"/>
    <col min="6917" max="6917" width="11.5703125" style="252" customWidth="1"/>
    <col min="6918" max="6918" width="10.5703125" style="252" customWidth="1"/>
    <col min="6919" max="6919" width="10.28515625" style="252" customWidth="1"/>
    <col min="6920" max="6920" width="11.85546875" style="252" customWidth="1"/>
    <col min="6921" max="6921" width="14.42578125" style="252" customWidth="1"/>
    <col min="6922" max="6923" width="9.140625" style="252"/>
    <col min="6924" max="6924" width="30.5703125" style="252" customWidth="1"/>
    <col min="6925" max="7170" width="9.140625" style="252"/>
    <col min="7171" max="7171" width="31.5703125" style="252" customWidth="1"/>
    <col min="7172" max="7172" width="11.28515625" style="252" customWidth="1"/>
    <col min="7173" max="7173" width="11.5703125" style="252" customWidth="1"/>
    <col min="7174" max="7174" width="10.5703125" style="252" customWidth="1"/>
    <col min="7175" max="7175" width="10.28515625" style="252" customWidth="1"/>
    <col min="7176" max="7176" width="11.85546875" style="252" customWidth="1"/>
    <col min="7177" max="7177" width="14.42578125" style="252" customWidth="1"/>
    <col min="7178" max="7179" width="9.140625" style="252"/>
    <col min="7180" max="7180" width="30.5703125" style="252" customWidth="1"/>
    <col min="7181" max="7426" width="9.140625" style="252"/>
    <col min="7427" max="7427" width="31.5703125" style="252" customWidth="1"/>
    <col min="7428" max="7428" width="11.28515625" style="252" customWidth="1"/>
    <col min="7429" max="7429" width="11.5703125" style="252" customWidth="1"/>
    <col min="7430" max="7430" width="10.5703125" style="252" customWidth="1"/>
    <col min="7431" max="7431" width="10.28515625" style="252" customWidth="1"/>
    <col min="7432" max="7432" width="11.85546875" style="252" customWidth="1"/>
    <col min="7433" max="7433" width="14.42578125" style="252" customWidth="1"/>
    <col min="7434" max="7435" width="9.140625" style="252"/>
    <col min="7436" max="7436" width="30.5703125" style="252" customWidth="1"/>
    <col min="7437" max="7682" width="9.140625" style="252"/>
    <col min="7683" max="7683" width="31.5703125" style="252" customWidth="1"/>
    <col min="7684" max="7684" width="11.28515625" style="252" customWidth="1"/>
    <col min="7685" max="7685" width="11.5703125" style="252" customWidth="1"/>
    <col min="7686" max="7686" width="10.5703125" style="252" customWidth="1"/>
    <col min="7687" max="7687" width="10.28515625" style="252" customWidth="1"/>
    <col min="7688" max="7688" width="11.85546875" style="252" customWidth="1"/>
    <col min="7689" max="7689" width="14.42578125" style="252" customWidth="1"/>
    <col min="7690" max="7691" width="9.140625" style="252"/>
    <col min="7692" max="7692" width="30.5703125" style="252" customWidth="1"/>
    <col min="7693" max="7938" width="9.140625" style="252"/>
    <col min="7939" max="7939" width="31.5703125" style="252" customWidth="1"/>
    <col min="7940" max="7940" width="11.28515625" style="252" customWidth="1"/>
    <col min="7941" max="7941" width="11.5703125" style="252" customWidth="1"/>
    <col min="7942" max="7942" width="10.5703125" style="252" customWidth="1"/>
    <col min="7943" max="7943" width="10.28515625" style="252" customWidth="1"/>
    <col min="7944" max="7944" width="11.85546875" style="252" customWidth="1"/>
    <col min="7945" max="7945" width="14.42578125" style="252" customWidth="1"/>
    <col min="7946" max="7947" width="9.140625" style="252"/>
    <col min="7948" max="7948" width="30.5703125" style="252" customWidth="1"/>
    <col min="7949" max="8194" width="9.140625" style="252"/>
    <col min="8195" max="8195" width="31.5703125" style="252" customWidth="1"/>
    <col min="8196" max="8196" width="11.28515625" style="252" customWidth="1"/>
    <col min="8197" max="8197" width="11.5703125" style="252" customWidth="1"/>
    <col min="8198" max="8198" width="10.5703125" style="252" customWidth="1"/>
    <col min="8199" max="8199" width="10.28515625" style="252" customWidth="1"/>
    <col min="8200" max="8200" width="11.85546875" style="252" customWidth="1"/>
    <col min="8201" max="8201" width="14.42578125" style="252" customWidth="1"/>
    <col min="8202" max="8203" width="9.140625" style="252"/>
    <col min="8204" max="8204" width="30.5703125" style="252" customWidth="1"/>
    <col min="8205" max="8450" width="9.140625" style="252"/>
    <col min="8451" max="8451" width="31.5703125" style="252" customWidth="1"/>
    <col min="8452" max="8452" width="11.28515625" style="252" customWidth="1"/>
    <col min="8453" max="8453" width="11.5703125" style="252" customWidth="1"/>
    <col min="8454" max="8454" width="10.5703125" style="252" customWidth="1"/>
    <col min="8455" max="8455" width="10.28515625" style="252" customWidth="1"/>
    <col min="8456" max="8456" width="11.85546875" style="252" customWidth="1"/>
    <col min="8457" max="8457" width="14.42578125" style="252" customWidth="1"/>
    <col min="8458" max="8459" width="9.140625" style="252"/>
    <col min="8460" max="8460" width="30.5703125" style="252" customWidth="1"/>
    <col min="8461" max="8706" width="9.140625" style="252"/>
    <col min="8707" max="8707" width="31.5703125" style="252" customWidth="1"/>
    <col min="8708" max="8708" width="11.28515625" style="252" customWidth="1"/>
    <col min="8709" max="8709" width="11.5703125" style="252" customWidth="1"/>
    <col min="8710" max="8710" width="10.5703125" style="252" customWidth="1"/>
    <col min="8711" max="8711" width="10.28515625" style="252" customWidth="1"/>
    <col min="8712" max="8712" width="11.85546875" style="252" customWidth="1"/>
    <col min="8713" max="8713" width="14.42578125" style="252" customWidth="1"/>
    <col min="8714" max="8715" width="9.140625" style="252"/>
    <col min="8716" max="8716" width="30.5703125" style="252" customWidth="1"/>
    <col min="8717" max="8962" width="9.140625" style="252"/>
    <col min="8963" max="8963" width="31.5703125" style="252" customWidth="1"/>
    <col min="8964" max="8964" width="11.28515625" style="252" customWidth="1"/>
    <col min="8965" max="8965" width="11.5703125" style="252" customWidth="1"/>
    <col min="8966" max="8966" width="10.5703125" style="252" customWidth="1"/>
    <col min="8967" max="8967" width="10.28515625" style="252" customWidth="1"/>
    <col min="8968" max="8968" width="11.85546875" style="252" customWidth="1"/>
    <col min="8969" max="8969" width="14.42578125" style="252" customWidth="1"/>
    <col min="8970" max="8971" width="9.140625" style="252"/>
    <col min="8972" max="8972" width="30.5703125" style="252" customWidth="1"/>
    <col min="8973" max="9218" width="9.140625" style="252"/>
    <col min="9219" max="9219" width="31.5703125" style="252" customWidth="1"/>
    <col min="9220" max="9220" width="11.28515625" style="252" customWidth="1"/>
    <col min="9221" max="9221" width="11.5703125" style="252" customWidth="1"/>
    <col min="9222" max="9222" width="10.5703125" style="252" customWidth="1"/>
    <col min="9223" max="9223" width="10.28515625" style="252" customWidth="1"/>
    <col min="9224" max="9224" width="11.85546875" style="252" customWidth="1"/>
    <col min="9225" max="9225" width="14.42578125" style="252" customWidth="1"/>
    <col min="9226" max="9227" width="9.140625" style="252"/>
    <col min="9228" max="9228" width="30.5703125" style="252" customWidth="1"/>
    <col min="9229" max="9474" width="9.140625" style="252"/>
    <col min="9475" max="9475" width="31.5703125" style="252" customWidth="1"/>
    <col min="9476" max="9476" width="11.28515625" style="252" customWidth="1"/>
    <col min="9477" max="9477" width="11.5703125" style="252" customWidth="1"/>
    <col min="9478" max="9478" width="10.5703125" style="252" customWidth="1"/>
    <col min="9479" max="9479" width="10.28515625" style="252" customWidth="1"/>
    <col min="9480" max="9480" width="11.85546875" style="252" customWidth="1"/>
    <col min="9481" max="9481" width="14.42578125" style="252" customWidth="1"/>
    <col min="9482" max="9483" width="9.140625" style="252"/>
    <col min="9484" max="9484" width="30.5703125" style="252" customWidth="1"/>
    <col min="9485" max="9730" width="9.140625" style="252"/>
    <col min="9731" max="9731" width="31.5703125" style="252" customWidth="1"/>
    <col min="9732" max="9732" width="11.28515625" style="252" customWidth="1"/>
    <col min="9733" max="9733" width="11.5703125" style="252" customWidth="1"/>
    <col min="9734" max="9734" width="10.5703125" style="252" customWidth="1"/>
    <col min="9735" max="9735" width="10.28515625" style="252" customWidth="1"/>
    <col min="9736" max="9736" width="11.85546875" style="252" customWidth="1"/>
    <col min="9737" max="9737" width="14.42578125" style="252" customWidth="1"/>
    <col min="9738" max="9739" width="9.140625" style="252"/>
    <col min="9740" max="9740" width="30.5703125" style="252" customWidth="1"/>
    <col min="9741" max="9986" width="9.140625" style="252"/>
    <col min="9987" max="9987" width="31.5703125" style="252" customWidth="1"/>
    <col min="9988" max="9988" width="11.28515625" style="252" customWidth="1"/>
    <col min="9989" max="9989" width="11.5703125" style="252" customWidth="1"/>
    <col min="9990" max="9990" width="10.5703125" style="252" customWidth="1"/>
    <col min="9991" max="9991" width="10.28515625" style="252" customWidth="1"/>
    <col min="9992" max="9992" width="11.85546875" style="252" customWidth="1"/>
    <col min="9993" max="9993" width="14.42578125" style="252" customWidth="1"/>
    <col min="9994" max="9995" width="9.140625" style="252"/>
    <col min="9996" max="9996" width="30.5703125" style="252" customWidth="1"/>
    <col min="9997" max="10242" width="9.140625" style="252"/>
    <col min="10243" max="10243" width="31.5703125" style="252" customWidth="1"/>
    <col min="10244" max="10244" width="11.28515625" style="252" customWidth="1"/>
    <col min="10245" max="10245" width="11.5703125" style="252" customWidth="1"/>
    <col min="10246" max="10246" width="10.5703125" style="252" customWidth="1"/>
    <col min="10247" max="10247" width="10.28515625" style="252" customWidth="1"/>
    <col min="10248" max="10248" width="11.85546875" style="252" customWidth="1"/>
    <col min="10249" max="10249" width="14.42578125" style="252" customWidth="1"/>
    <col min="10250" max="10251" width="9.140625" style="252"/>
    <col min="10252" max="10252" width="30.5703125" style="252" customWidth="1"/>
    <col min="10253" max="10498" width="9.140625" style="252"/>
    <col min="10499" max="10499" width="31.5703125" style="252" customWidth="1"/>
    <col min="10500" max="10500" width="11.28515625" style="252" customWidth="1"/>
    <col min="10501" max="10501" width="11.5703125" style="252" customWidth="1"/>
    <col min="10502" max="10502" width="10.5703125" style="252" customWidth="1"/>
    <col min="10503" max="10503" width="10.28515625" style="252" customWidth="1"/>
    <col min="10504" max="10504" width="11.85546875" style="252" customWidth="1"/>
    <col min="10505" max="10505" width="14.42578125" style="252" customWidth="1"/>
    <col min="10506" max="10507" width="9.140625" style="252"/>
    <col min="10508" max="10508" width="30.5703125" style="252" customWidth="1"/>
    <col min="10509" max="10754" width="9.140625" style="252"/>
    <col min="10755" max="10755" width="31.5703125" style="252" customWidth="1"/>
    <col min="10756" max="10756" width="11.28515625" style="252" customWidth="1"/>
    <col min="10757" max="10757" width="11.5703125" style="252" customWidth="1"/>
    <col min="10758" max="10758" width="10.5703125" style="252" customWidth="1"/>
    <col min="10759" max="10759" width="10.28515625" style="252" customWidth="1"/>
    <col min="10760" max="10760" width="11.85546875" style="252" customWidth="1"/>
    <col min="10761" max="10761" width="14.42578125" style="252" customWidth="1"/>
    <col min="10762" max="10763" width="9.140625" style="252"/>
    <col min="10764" max="10764" width="30.5703125" style="252" customWidth="1"/>
    <col min="10765" max="11010" width="9.140625" style="252"/>
    <col min="11011" max="11011" width="31.5703125" style="252" customWidth="1"/>
    <col min="11012" max="11012" width="11.28515625" style="252" customWidth="1"/>
    <col min="11013" max="11013" width="11.5703125" style="252" customWidth="1"/>
    <col min="11014" max="11014" width="10.5703125" style="252" customWidth="1"/>
    <col min="11015" max="11015" width="10.28515625" style="252" customWidth="1"/>
    <col min="11016" max="11016" width="11.85546875" style="252" customWidth="1"/>
    <col min="11017" max="11017" width="14.42578125" style="252" customWidth="1"/>
    <col min="11018" max="11019" width="9.140625" style="252"/>
    <col min="11020" max="11020" width="30.5703125" style="252" customWidth="1"/>
    <col min="11021" max="11266" width="9.140625" style="252"/>
    <col min="11267" max="11267" width="31.5703125" style="252" customWidth="1"/>
    <col min="11268" max="11268" width="11.28515625" style="252" customWidth="1"/>
    <col min="11269" max="11269" width="11.5703125" style="252" customWidth="1"/>
    <col min="11270" max="11270" width="10.5703125" style="252" customWidth="1"/>
    <col min="11271" max="11271" width="10.28515625" style="252" customWidth="1"/>
    <col min="11272" max="11272" width="11.85546875" style="252" customWidth="1"/>
    <col min="11273" max="11273" width="14.42578125" style="252" customWidth="1"/>
    <col min="11274" max="11275" width="9.140625" style="252"/>
    <col min="11276" max="11276" width="30.5703125" style="252" customWidth="1"/>
    <col min="11277" max="11522" width="9.140625" style="252"/>
    <col min="11523" max="11523" width="31.5703125" style="252" customWidth="1"/>
    <col min="11524" max="11524" width="11.28515625" style="252" customWidth="1"/>
    <col min="11525" max="11525" width="11.5703125" style="252" customWidth="1"/>
    <col min="11526" max="11526" width="10.5703125" style="252" customWidth="1"/>
    <col min="11527" max="11527" width="10.28515625" style="252" customWidth="1"/>
    <col min="11528" max="11528" width="11.85546875" style="252" customWidth="1"/>
    <col min="11529" max="11529" width="14.42578125" style="252" customWidth="1"/>
    <col min="11530" max="11531" width="9.140625" style="252"/>
    <col min="11532" max="11532" width="30.5703125" style="252" customWidth="1"/>
    <col min="11533" max="11778" width="9.140625" style="252"/>
    <col min="11779" max="11779" width="31.5703125" style="252" customWidth="1"/>
    <col min="11780" max="11780" width="11.28515625" style="252" customWidth="1"/>
    <col min="11781" max="11781" width="11.5703125" style="252" customWidth="1"/>
    <col min="11782" max="11782" width="10.5703125" style="252" customWidth="1"/>
    <col min="11783" max="11783" width="10.28515625" style="252" customWidth="1"/>
    <col min="11784" max="11784" width="11.85546875" style="252" customWidth="1"/>
    <col min="11785" max="11785" width="14.42578125" style="252" customWidth="1"/>
    <col min="11786" max="11787" width="9.140625" style="252"/>
    <col min="11788" max="11788" width="30.5703125" style="252" customWidth="1"/>
    <col min="11789" max="12034" width="9.140625" style="252"/>
    <col min="12035" max="12035" width="31.5703125" style="252" customWidth="1"/>
    <col min="12036" max="12036" width="11.28515625" style="252" customWidth="1"/>
    <col min="12037" max="12037" width="11.5703125" style="252" customWidth="1"/>
    <col min="12038" max="12038" width="10.5703125" style="252" customWidth="1"/>
    <col min="12039" max="12039" width="10.28515625" style="252" customWidth="1"/>
    <col min="12040" max="12040" width="11.85546875" style="252" customWidth="1"/>
    <col min="12041" max="12041" width="14.42578125" style="252" customWidth="1"/>
    <col min="12042" max="12043" width="9.140625" style="252"/>
    <col min="12044" max="12044" width="30.5703125" style="252" customWidth="1"/>
    <col min="12045" max="12290" width="9.140625" style="252"/>
    <col min="12291" max="12291" width="31.5703125" style="252" customWidth="1"/>
    <col min="12292" max="12292" width="11.28515625" style="252" customWidth="1"/>
    <col min="12293" max="12293" width="11.5703125" style="252" customWidth="1"/>
    <col min="12294" max="12294" width="10.5703125" style="252" customWidth="1"/>
    <col min="12295" max="12295" width="10.28515625" style="252" customWidth="1"/>
    <col min="12296" max="12296" width="11.85546875" style="252" customWidth="1"/>
    <col min="12297" max="12297" width="14.42578125" style="252" customWidth="1"/>
    <col min="12298" max="12299" width="9.140625" style="252"/>
    <col min="12300" max="12300" width="30.5703125" style="252" customWidth="1"/>
    <col min="12301" max="12546" width="9.140625" style="252"/>
    <col min="12547" max="12547" width="31.5703125" style="252" customWidth="1"/>
    <col min="12548" max="12548" width="11.28515625" style="252" customWidth="1"/>
    <col min="12549" max="12549" width="11.5703125" style="252" customWidth="1"/>
    <col min="12550" max="12550" width="10.5703125" style="252" customWidth="1"/>
    <col min="12551" max="12551" width="10.28515625" style="252" customWidth="1"/>
    <col min="12552" max="12552" width="11.85546875" style="252" customWidth="1"/>
    <col min="12553" max="12553" width="14.42578125" style="252" customWidth="1"/>
    <col min="12554" max="12555" width="9.140625" style="252"/>
    <col min="12556" max="12556" width="30.5703125" style="252" customWidth="1"/>
    <col min="12557" max="12802" width="9.140625" style="252"/>
    <col min="12803" max="12803" width="31.5703125" style="252" customWidth="1"/>
    <col min="12804" max="12804" width="11.28515625" style="252" customWidth="1"/>
    <col min="12805" max="12805" width="11.5703125" style="252" customWidth="1"/>
    <col min="12806" max="12806" width="10.5703125" style="252" customWidth="1"/>
    <col min="12807" max="12807" width="10.28515625" style="252" customWidth="1"/>
    <col min="12808" max="12808" width="11.85546875" style="252" customWidth="1"/>
    <col min="12809" max="12809" width="14.42578125" style="252" customWidth="1"/>
    <col min="12810" max="12811" width="9.140625" style="252"/>
    <col min="12812" max="12812" width="30.5703125" style="252" customWidth="1"/>
    <col min="12813" max="13058" width="9.140625" style="252"/>
    <col min="13059" max="13059" width="31.5703125" style="252" customWidth="1"/>
    <col min="13060" max="13060" width="11.28515625" style="252" customWidth="1"/>
    <col min="13061" max="13061" width="11.5703125" style="252" customWidth="1"/>
    <col min="13062" max="13062" width="10.5703125" style="252" customWidth="1"/>
    <col min="13063" max="13063" width="10.28515625" style="252" customWidth="1"/>
    <col min="13064" max="13064" width="11.85546875" style="252" customWidth="1"/>
    <col min="13065" max="13065" width="14.42578125" style="252" customWidth="1"/>
    <col min="13066" max="13067" width="9.140625" style="252"/>
    <col min="13068" max="13068" width="30.5703125" style="252" customWidth="1"/>
    <col min="13069" max="13314" width="9.140625" style="252"/>
    <col min="13315" max="13315" width="31.5703125" style="252" customWidth="1"/>
    <col min="13316" max="13316" width="11.28515625" style="252" customWidth="1"/>
    <col min="13317" max="13317" width="11.5703125" style="252" customWidth="1"/>
    <col min="13318" max="13318" width="10.5703125" style="252" customWidth="1"/>
    <col min="13319" max="13319" width="10.28515625" style="252" customWidth="1"/>
    <col min="13320" max="13320" width="11.85546875" style="252" customWidth="1"/>
    <col min="13321" max="13321" width="14.42578125" style="252" customWidth="1"/>
    <col min="13322" max="13323" width="9.140625" style="252"/>
    <col min="13324" max="13324" width="30.5703125" style="252" customWidth="1"/>
    <col min="13325" max="13570" width="9.140625" style="252"/>
    <col min="13571" max="13571" width="31.5703125" style="252" customWidth="1"/>
    <col min="13572" max="13572" width="11.28515625" style="252" customWidth="1"/>
    <col min="13573" max="13573" width="11.5703125" style="252" customWidth="1"/>
    <col min="13574" max="13574" width="10.5703125" style="252" customWidth="1"/>
    <col min="13575" max="13575" width="10.28515625" style="252" customWidth="1"/>
    <col min="13576" max="13576" width="11.85546875" style="252" customWidth="1"/>
    <col min="13577" max="13577" width="14.42578125" style="252" customWidth="1"/>
    <col min="13578" max="13579" width="9.140625" style="252"/>
    <col min="13580" max="13580" width="30.5703125" style="252" customWidth="1"/>
    <col min="13581" max="13826" width="9.140625" style="252"/>
    <col min="13827" max="13827" width="31.5703125" style="252" customWidth="1"/>
    <col min="13828" max="13828" width="11.28515625" style="252" customWidth="1"/>
    <col min="13829" max="13829" width="11.5703125" style="252" customWidth="1"/>
    <col min="13830" max="13830" width="10.5703125" style="252" customWidth="1"/>
    <col min="13831" max="13831" width="10.28515625" style="252" customWidth="1"/>
    <col min="13832" max="13832" width="11.85546875" style="252" customWidth="1"/>
    <col min="13833" max="13833" width="14.42578125" style="252" customWidth="1"/>
    <col min="13834" max="13835" width="9.140625" style="252"/>
    <col min="13836" max="13836" width="30.5703125" style="252" customWidth="1"/>
    <col min="13837" max="14082" width="9.140625" style="252"/>
    <col min="14083" max="14083" width="31.5703125" style="252" customWidth="1"/>
    <col min="14084" max="14084" width="11.28515625" style="252" customWidth="1"/>
    <col min="14085" max="14085" width="11.5703125" style="252" customWidth="1"/>
    <col min="14086" max="14086" width="10.5703125" style="252" customWidth="1"/>
    <col min="14087" max="14087" width="10.28515625" style="252" customWidth="1"/>
    <col min="14088" max="14088" width="11.85546875" style="252" customWidth="1"/>
    <col min="14089" max="14089" width="14.42578125" style="252" customWidth="1"/>
    <col min="14090" max="14091" width="9.140625" style="252"/>
    <col min="14092" max="14092" width="30.5703125" style="252" customWidth="1"/>
    <col min="14093" max="14338" width="9.140625" style="252"/>
    <col min="14339" max="14339" width="31.5703125" style="252" customWidth="1"/>
    <col min="14340" max="14340" width="11.28515625" style="252" customWidth="1"/>
    <col min="14341" max="14341" width="11.5703125" style="252" customWidth="1"/>
    <col min="14342" max="14342" width="10.5703125" style="252" customWidth="1"/>
    <col min="14343" max="14343" width="10.28515625" style="252" customWidth="1"/>
    <col min="14344" max="14344" width="11.85546875" style="252" customWidth="1"/>
    <col min="14345" max="14345" width="14.42578125" style="252" customWidth="1"/>
    <col min="14346" max="14347" width="9.140625" style="252"/>
    <col min="14348" max="14348" width="30.5703125" style="252" customWidth="1"/>
    <col min="14349" max="14594" width="9.140625" style="252"/>
    <col min="14595" max="14595" width="31.5703125" style="252" customWidth="1"/>
    <col min="14596" max="14596" width="11.28515625" style="252" customWidth="1"/>
    <col min="14597" max="14597" width="11.5703125" style="252" customWidth="1"/>
    <col min="14598" max="14598" width="10.5703125" style="252" customWidth="1"/>
    <col min="14599" max="14599" width="10.28515625" style="252" customWidth="1"/>
    <col min="14600" max="14600" width="11.85546875" style="252" customWidth="1"/>
    <col min="14601" max="14601" width="14.42578125" style="252" customWidth="1"/>
    <col min="14602" max="14603" width="9.140625" style="252"/>
    <col min="14604" max="14604" width="30.5703125" style="252" customWidth="1"/>
    <col min="14605" max="14850" width="9.140625" style="252"/>
    <col min="14851" max="14851" width="31.5703125" style="252" customWidth="1"/>
    <col min="14852" max="14852" width="11.28515625" style="252" customWidth="1"/>
    <col min="14853" max="14853" width="11.5703125" style="252" customWidth="1"/>
    <col min="14854" max="14854" width="10.5703125" style="252" customWidth="1"/>
    <col min="14855" max="14855" width="10.28515625" style="252" customWidth="1"/>
    <col min="14856" max="14856" width="11.85546875" style="252" customWidth="1"/>
    <col min="14857" max="14857" width="14.42578125" style="252" customWidth="1"/>
    <col min="14858" max="14859" width="9.140625" style="252"/>
    <col min="14860" max="14860" width="30.5703125" style="252" customWidth="1"/>
    <col min="14861" max="15106" width="9.140625" style="252"/>
    <col min="15107" max="15107" width="31.5703125" style="252" customWidth="1"/>
    <col min="15108" max="15108" width="11.28515625" style="252" customWidth="1"/>
    <col min="15109" max="15109" width="11.5703125" style="252" customWidth="1"/>
    <col min="15110" max="15110" width="10.5703125" style="252" customWidth="1"/>
    <col min="15111" max="15111" width="10.28515625" style="252" customWidth="1"/>
    <col min="15112" max="15112" width="11.85546875" style="252" customWidth="1"/>
    <col min="15113" max="15113" width="14.42578125" style="252" customWidth="1"/>
    <col min="15114" max="15115" width="9.140625" style="252"/>
    <col min="15116" max="15116" width="30.5703125" style="252" customWidth="1"/>
    <col min="15117" max="15362" width="9.140625" style="252"/>
    <col min="15363" max="15363" width="31.5703125" style="252" customWidth="1"/>
    <col min="15364" max="15364" width="11.28515625" style="252" customWidth="1"/>
    <col min="15365" max="15365" width="11.5703125" style="252" customWidth="1"/>
    <col min="15366" max="15366" width="10.5703125" style="252" customWidth="1"/>
    <col min="15367" max="15367" width="10.28515625" style="252" customWidth="1"/>
    <col min="15368" max="15368" width="11.85546875" style="252" customWidth="1"/>
    <col min="15369" max="15369" width="14.42578125" style="252" customWidth="1"/>
    <col min="15370" max="15371" width="9.140625" style="252"/>
    <col min="15372" max="15372" width="30.5703125" style="252" customWidth="1"/>
    <col min="15373" max="15618" width="9.140625" style="252"/>
    <col min="15619" max="15619" width="31.5703125" style="252" customWidth="1"/>
    <col min="15620" max="15620" width="11.28515625" style="252" customWidth="1"/>
    <col min="15621" max="15621" width="11.5703125" style="252" customWidth="1"/>
    <col min="15622" max="15622" width="10.5703125" style="252" customWidth="1"/>
    <col min="15623" max="15623" width="10.28515625" style="252" customWidth="1"/>
    <col min="15624" max="15624" width="11.85546875" style="252" customWidth="1"/>
    <col min="15625" max="15625" width="14.42578125" style="252" customWidth="1"/>
    <col min="15626" max="15627" width="9.140625" style="252"/>
    <col min="15628" max="15628" width="30.5703125" style="252" customWidth="1"/>
    <col min="15629" max="15874" width="9.140625" style="252"/>
    <col min="15875" max="15875" width="31.5703125" style="252" customWidth="1"/>
    <col min="15876" max="15876" width="11.28515625" style="252" customWidth="1"/>
    <col min="15877" max="15877" width="11.5703125" style="252" customWidth="1"/>
    <col min="15878" max="15878" width="10.5703125" style="252" customWidth="1"/>
    <col min="15879" max="15879" width="10.28515625" style="252" customWidth="1"/>
    <col min="15880" max="15880" width="11.85546875" style="252" customWidth="1"/>
    <col min="15881" max="15881" width="14.42578125" style="252" customWidth="1"/>
    <col min="15882" max="15883" width="9.140625" style="252"/>
    <col min="15884" max="15884" width="30.5703125" style="252" customWidth="1"/>
    <col min="15885" max="16130" width="9.140625" style="252"/>
    <col min="16131" max="16131" width="31.5703125" style="252" customWidth="1"/>
    <col min="16132" max="16132" width="11.28515625" style="252" customWidth="1"/>
    <col min="16133" max="16133" width="11.5703125" style="252" customWidth="1"/>
    <col min="16134" max="16134" width="10.5703125" style="252" customWidth="1"/>
    <col min="16135" max="16135" width="10.28515625" style="252" customWidth="1"/>
    <col min="16136" max="16136" width="11.85546875" style="252" customWidth="1"/>
    <col min="16137" max="16137" width="14.42578125" style="252" customWidth="1"/>
    <col min="16138" max="16139" width="9.140625" style="252"/>
    <col min="16140" max="16140" width="30.5703125" style="252" customWidth="1"/>
    <col min="16141" max="16384" width="9.140625" style="252"/>
  </cols>
  <sheetData>
    <row r="1" spans="2:11" ht="18.75" x14ac:dyDescent="0.3">
      <c r="B1" s="253"/>
      <c r="C1" s="253"/>
      <c r="D1" s="253"/>
      <c r="E1" s="253"/>
      <c r="F1" s="253"/>
      <c r="G1" s="253"/>
      <c r="H1" s="543"/>
      <c r="I1" s="543"/>
      <c r="J1" s="710" t="s">
        <v>736</v>
      </c>
      <c r="K1" s="710"/>
    </row>
    <row r="2" spans="2:11" s="254" customFormat="1" ht="15.75" x14ac:dyDescent="0.25">
      <c r="B2" s="806" t="s">
        <v>707</v>
      </c>
      <c r="C2" s="806"/>
      <c r="D2" s="806"/>
      <c r="E2" s="806"/>
      <c r="F2" s="806"/>
      <c r="G2" s="806"/>
      <c r="H2" s="806"/>
      <c r="I2" s="806"/>
    </row>
    <row r="3" spans="2:11" s="255" customFormat="1" ht="16.5" customHeight="1" x14ac:dyDescent="0.25">
      <c r="B3" s="256"/>
      <c r="C3" s="256"/>
      <c r="D3" s="256"/>
      <c r="E3" s="257"/>
      <c r="F3" s="257"/>
      <c r="G3" s="257"/>
      <c r="H3" s="257"/>
      <c r="I3" s="257"/>
    </row>
    <row r="4" spans="2:11" s="255" customFormat="1" ht="16.5" customHeight="1" x14ac:dyDescent="0.25">
      <c r="B4" s="807" t="s">
        <v>0</v>
      </c>
      <c r="C4" s="807"/>
      <c r="D4" s="807"/>
      <c r="E4" s="807"/>
      <c r="F4" s="807"/>
      <c r="G4" s="807"/>
      <c r="H4" s="807"/>
      <c r="I4" s="807"/>
      <c r="J4" s="807"/>
    </row>
    <row r="5" spans="2:11" s="258" customFormat="1" ht="12.75" customHeight="1" x14ac:dyDescent="0.25">
      <c r="B5" s="800" t="s">
        <v>20</v>
      </c>
      <c r="C5" s="800" t="s">
        <v>270</v>
      </c>
      <c r="D5" s="800" t="s">
        <v>271</v>
      </c>
      <c r="E5" s="800" t="s">
        <v>21</v>
      </c>
      <c r="F5" s="800" t="s">
        <v>22</v>
      </c>
      <c r="G5" s="800" t="s">
        <v>521</v>
      </c>
      <c r="H5" s="800" t="s">
        <v>522</v>
      </c>
      <c r="I5" s="800" t="s">
        <v>617</v>
      </c>
      <c r="J5" s="779" t="s">
        <v>524</v>
      </c>
    </row>
    <row r="6" spans="2:11" s="258" customFormat="1" ht="65.25" customHeight="1" x14ac:dyDescent="0.25">
      <c r="B6" s="800"/>
      <c r="C6" s="800"/>
      <c r="D6" s="800"/>
      <c r="E6" s="800"/>
      <c r="F6" s="800"/>
      <c r="G6" s="800"/>
      <c r="H6" s="800"/>
      <c r="I6" s="800"/>
      <c r="J6" s="779"/>
    </row>
    <row r="7" spans="2:11" s="259" customFormat="1" x14ac:dyDescent="0.2">
      <c r="B7" s="802" t="s">
        <v>385</v>
      </c>
      <c r="C7" s="802"/>
      <c r="D7" s="802"/>
      <c r="E7" s="802"/>
      <c r="F7" s="802"/>
      <c r="G7" s="802"/>
      <c r="H7" s="802"/>
      <c r="I7" s="802"/>
      <c r="J7" s="593"/>
    </row>
    <row r="8" spans="2:11" s="259" customFormat="1" ht="12.75" x14ac:dyDescent="0.2">
      <c r="B8" s="803" t="s">
        <v>260</v>
      </c>
      <c r="C8" s="803"/>
      <c r="D8" s="803"/>
      <c r="E8" s="803"/>
      <c r="F8" s="803"/>
      <c r="G8" s="803"/>
      <c r="H8" s="803"/>
      <c r="I8" s="803"/>
      <c r="J8" s="593"/>
    </row>
    <row r="9" spans="2:11" s="260" customFormat="1" ht="24.75" customHeight="1" x14ac:dyDescent="0.2">
      <c r="B9" s="266" t="s">
        <v>23</v>
      </c>
      <c r="C9" s="266"/>
      <c r="D9" s="266"/>
      <c r="E9" s="261">
        <f>E10+E14+E34+E38</f>
        <v>16.3</v>
      </c>
      <c r="F9" s="544">
        <f>F10+F14+F34+F38</f>
        <v>38070</v>
      </c>
      <c r="G9" s="544">
        <f>G10+G14+G34+G38</f>
        <v>649.75</v>
      </c>
      <c r="H9" s="261">
        <f>H10+H14+H34+H38</f>
        <v>0</v>
      </c>
      <c r="I9" s="544">
        <f>I10+I14+I34+I38</f>
        <v>38719.75</v>
      </c>
      <c r="J9" s="500"/>
    </row>
    <row r="10" spans="2:11" s="260" customFormat="1" ht="12.75" x14ac:dyDescent="0.2">
      <c r="B10" s="280" t="s">
        <v>24</v>
      </c>
      <c r="C10" s="280"/>
      <c r="D10" s="280"/>
      <c r="E10" s="262">
        <f>SUM(E11:E13)</f>
        <v>2.5</v>
      </c>
      <c r="F10" s="545">
        <f t="shared" ref="F10:I10" si="0">SUM(F11:F13)</f>
        <v>6870</v>
      </c>
      <c r="G10" s="262">
        <f t="shared" si="0"/>
        <v>160.30000000000001</v>
      </c>
      <c r="H10" s="262">
        <f t="shared" si="0"/>
        <v>0</v>
      </c>
      <c r="I10" s="545">
        <f t="shared" si="0"/>
        <v>7030.2999999999993</v>
      </c>
      <c r="J10" s="244"/>
    </row>
    <row r="11" spans="2:11" s="260" customFormat="1" ht="12.75" x14ac:dyDescent="0.2">
      <c r="B11" s="565" t="s">
        <v>48</v>
      </c>
      <c r="C11" s="424" t="s">
        <v>323</v>
      </c>
      <c r="D11" s="451" t="s">
        <v>386</v>
      </c>
      <c r="E11" s="423">
        <v>0.5</v>
      </c>
      <c r="F11" s="429">
        <v>2290</v>
      </c>
      <c r="G11" s="429">
        <v>91.6</v>
      </c>
      <c r="H11" s="429">
        <v>0</v>
      </c>
      <c r="I11" s="429">
        <v>2381.6</v>
      </c>
      <c r="J11" s="244">
        <f>ROUND((F11+G11+H11)*('[4]29_01_H_2020'!$O$9)*E11*12*(1+'[4]29_01_H_2020'!$O$24),2)</f>
        <v>1872.01</v>
      </c>
    </row>
    <row r="12" spans="2:11" s="260" customFormat="1" ht="12.75" x14ac:dyDescent="0.2">
      <c r="B12" s="565" t="s">
        <v>708</v>
      </c>
      <c r="C12" s="424" t="s">
        <v>709</v>
      </c>
      <c r="D12" s="451" t="s">
        <v>387</v>
      </c>
      <c r="E12" s="423">
        <v>1.3</v>
      </c>
      <c r="F12" s="429">
        <v>2290</v>
      </c>
      <c r="G12" s="429">
        <v>68.7</v>
      </c>
      <c r="H12" s="429">
        <v>0</v>
      </c>
      <c r="I12" s="429">
        <v>2358.6999999999998</v>
      </c>
      <c r="J12" s="244">
        <f>ROUND((F12+G12+H12)*('[4]29_01_H_2020'!$O$9)*E12*12*(1+'[4]29_01_H_2020'!$O$24),2)</f>
        <v>4820.4399999999996</v>
      </c>
    </row>
    <row r="13" spans="2:11" s="260" customFormat="1" ht="12.75" x14ac:dyDescent="0.2">
      <c r="B13" s="565" t="s">
        <v>708</v>
      </c>
      <c r="C13" s="424" t="s">
        <v>709</v>
      </c>
      <c r="D13" s="451" t="s">
        <v>387</v>
      </c>
      <c r="E13" s="423">
        <v>0.7</v>
      </c>
      <c r="F13" s="429">
        <v>2290</v>
      </c>
      <c r="G13" s="429">
        <v>0</v>
      </c>
      <c r="H13" s="429">
        <v>0</v>
      </c>
      <c r="I13" s="429">
        <v>2290</v>
      </c>
      <c r="J13" s="244">
        <f>ROUND((F13+G13+H13)*('[4]29_01_H_2020'!$O$9)*E13*12*(1+'[4]29_01_H_2020'!$O$24),2)</f>
        <v>2520.02</v>
      </c>
    </row>
    <row r="14" spans="2:11" s="260" customFormat="1" ht="38.25" x14ac:dyDescent="0.2">
      <c r="B14" s="280" t="s">
        <v>388</v>
      </c>
      <c r="C14" s="280"/>
      <c r="D14" s="280"/>
      <c r="E14" s="262">
        <f>SUM(E15:E33)</f>
        <v>13.8</v>
      </c>
      <c r="F14" s="545">
        <f>SUM(F15:F33)</f>
        <v>31200</v>
      </c>
      <c r="G14" s="262">
        <f>SUM(G15:G33)</f>
        <v>489.45</v>
      </c>
      <c r="H14" s="262">
        <f>SUM(H15:H33)</f>
        <v>0</v>
      </c>
      <c r="I14" s="545">
        <f>SUM(I15:I33)</f>
        <v>31689.45</v>
      </c>
      <c r="J14" s="244"/>
    </row>
    <row r="15" spans="2:11" s="260" customFormat="1" ht="12.75" x14ac:dyDescent="0.2">
      <c r="B15" s="566" t="s">
        <v>182</v>
      </c>
      <c r="C15" s="424" t="s">
        <v>389</v>
      </c>
      <c r="D15" s="451" t="s">
        <v>390</v>
      </c>
      <c r="E15" s="423">
        <v>0.5</v>
      </c>
      <c r="F15" s="429">
        <v>1970</v>
      </c>
      <c r="G15" s="429">
        <v>157.6</v>
      </c>
      <c r="H15" s="429">
        <v>0</v>
      </c>
      <c r="I15" s="429">
        <v>2127.6</v>
      </c>
      <c r="J15" s="244">
        <f>ROUND((F15+G15+H15)*('[4]29_01_H_2020'!$O$9)*E15*12*(1+'[4]29_01_H_2020'!$O$24),2)</f>
        <v>1672.36</v>
      </c>
    </row>
    <row r="16" spans="2:11" s="260" customFormat="1" ht="12.75" x14ac:dyDescent="0.2">
      <c r="B16" s="566" t="s">
        <v>182</v>
      </c>
      <c r="C16" s="424" t="s">
        <v>389</v>
      </c>
      <c r="D16" s="451" t="s">
        <v>390</v>
      </c>
      <c r="E16" s="423">
        <v>0.5</v>
      </c>
      <c r="F16" s="429">
        <v>1970</v>
      </c>
      <c r="G16" s="429">
        <v>0</v>
      </c>
      <c r="H16" s="429">
        <v>0</v>
      </c>
      <c r="I16" s="429">
        <v>1970</v>
      </c>
      <c r="J16" s="244">
        <f>ROUND((F16+G16+H16)*('[4]29_01_H_2020'!$O$9)*E16*12*(1+'[4]29_01_H_2020'!$O$24),2)</f>
        <v>1548.48</v>
      </c>
    </row>
    <row r="17" spans="2:10" s="260" customFormat="1" ht="12.75" x14ac:dyDescent="0.2">
      <c r="B17" s="566" t="s">
        <v>183</v>
      </c>
      <c r="C17" s="424" t="s">
        <v>389</v>
      </c>
      <c r="D17" s="451" t="s">
        <v>390</v>
      </c>
      <c r="E17" s="423">
        <v>1</v>
      </c>
      <c r="F17" s="429">
        <v>1665</v>
      </c>
      <c r="G17" s="429">
        <v>99.9</v>
      </c>
      <c r="H17" s="429">
        <v>0</v>
      </c>
      <c r="I17" s="429">
        <v>1764.9</v>
      </c>
      <c r="J17" s="244">
        <f>ROUND((F17+G17+H17)*('[4]29_01_H_2020'!$O$9)*E17*12*(1+'[4]29_01_H_2020'!$O$24),2)</f>
        <v>2774.54</v>
      </c>
    </row>
    <row r="18" spans="2:10" s="260" customFormat="1" ht="12.75" x14ac:dyDescent="0.2">
      <c r="B18" s="566" t="s">
        <v>183</v>
      </c>
      <c r="C18" s="424" t="s">
        <v>389</v>
      </c>
      <c r="D18" s="451" t="s">
        <v>390</v>
      </c>
      <c r="E18" s="423">
        <v>1</v>
      </c>
      <c r="F18" s="429">
        <v>1665</v>
      </c>
      <c r="G18" s="429">
        <v>0</v>
      </c>
      <c r="H18" s="429">
        <v>0</v>
      </c>
      <c r="I18" s="429">
        <v>1665</v>
      </c>
      <c r="J18" s="244">
        <f>ROUND((F18+G18+H18)*('[4]29_01_H_2020'!$O$9)*E18*12*(1+'[4]29_01_H_2020'!$O$24),2)</f>
        <v>2617.4899999999998</v>
      </c>
    </row>
    <row r="19" spans="2:10" s="260" customFormat="1" ht="12.75" x14ac:dyDescent="0.2">
      <c r="B19" s="566" t="s">
        <v>183</v>
      </c>
      <c r="C19" s="424" t="s">
        <v>389</v>
      </c>
      <c r="D19" s="451" t="s">
        <v>390</v>
      </c>
      <c r="E19" s="423">
        <v>0.5</v>
      </c>
      <c r="F19" s="429">
        <v>1665</v>
      </c>
      <c r="G19" s="429">
        <v>0</v>
      </c>
      <c r="H19" s="429">
        <v>0</v>
      </c>
      <c r="I19" s="429">
        <v>1665</v>
      </c>
      <c r="J19" s="244">
        <f>ROUND((F19+G19+H19)*('[4]29_01_H_2020'!$O$9)*E19*12*(1+'[4]29_01_H_2020'!$O$24),2)</f>
        <v>1308.74</v>
      </c>
    </row>
    <row r="20" spans="2:10" s="260" customFormat="1" ht="12.75" x14ac:dyDescent="0.2">
      <c r="B20" s="566" t="s">
        <v>102</v>
      </c>
      <c r="C20" s="424" t="s">
        <v>391</v>
      </c>
      <c r="D20" s="451" t="s">
        <v>392</v>
      </c>
      <c r="E20" s="423">
        <v>1</v>
      </c>
      <c r="F20" s="429">
        <v>1820</v>
      </c>
      <c r="G20" s="429">
        <v>54.6</v>
      </c>
      <c r="H20" s="429">
        <v>0</v>
      </c>
      <c r="I20" s="429">
        <v>1874.6</v>
      </c>
      <c r="J20" s="244">
        <f>ROUND((F20+G20+H20)*('[4]29_01_H_2020'!$O$9)*E20*12*(1+'[4]29_01_H_2020'!$O$24),2)</f>
        <v>2946.99</v>
      </c>
    </row>
    <row r="21" spans="2:10" s="260" customFormat="1" ht="12.75" x14ac:dyDescent="0.2">
      <c r="B21" s="566" t="s">
        <v>102</v>
      </c>
      <c r="C21" s="424" t="s">
        <v>391</v>
      </c>
      <c r="D21" s="451" t="s">
        <v>392</v>
      </c>
      <c r="E21" s="423">
        <v>1</v>
      </c>
      <c r="F21" s="429">
        <v>1820</v>
      </c>
      <c r="G21" s="429">
        <v>0</v>
      </c>
      <c r="H21" s="429">
        <v>0</v>
      </c>
      <c r="I21" s="429">
        <v>1820</v>
      </c>
      <c r="J21" s="244">
        <f>ROUND((F21+G21+H21)*('[4]29_01_H_2020'!$O$9)*E21*12*(1+'[4]29_01_H_2020'!$O$24),2)</f>
        <v>2861.16</v>
      </c>
    </row>
    <row r="22" spans="2:10" s="260" customFormat="1" ht="12.75" x14ac:dyDescent="0.2">
      <c r="B22" s="566" t="s">
        <v>103</v>
      </c>
      <c r="C22" s="424" t="s">
        <v>391</v>
      </c>
      <c r="D22" s="451" t="s">
        <v>392</v>
      </c>
      <c r="E22" s="423">
        <v>1</v>
      </c>
      <c r="F22" s="429">
        <v>1665</v>
      </c>
      <c r="G22" s="429">
        <v>0</v>
      </c>
      <c r="H22" s="429">
        <v>0</v>
      </c>
      <c r="I22" s="429">
        <v>1665</v>
      </c>
      <c r="J22" s="244">
        <f>ROUND((F22+G22+H22)*('[4]29_01_H_2020'!$O$9)*E22*12*(1+'[4]29_01_H_2020'!$O$24),2)</f>
        <v>2617.4899999999998</v>
      </c>
    </row>
    <row r="23" spans="2:10" s="260" customFormat="1" ht="12.75" x14ac:dyDescent="0.2">
      <c r="B23" s="566" t="s">
        <v>104</v>
      </c>
      <c r="C23" s="424" t="s">
        <v>710</v>
      </c>
      <c r="D23" s="451" t="s">
        <v>394</v>
      </c>
      <c r="E23" s="423">
        <v>0.5</v>
      </c>
      <c r="F23" s="429">
        <v>1820</v>
      </c>
      <c r="G23" s="429">
        <v>127.4</v>
      </c>
      <c r="H23" s="429">
        <v>0</v>
      </c>
      <c r="I23" s="429">
        <v>1947.4</v>
      </c>
      <c r="J23" s="244">
        <f>ROUND((F23+G23+H23)*('[4]29_01_H_2020'!$O$9)*E23*12*(1+'[4]29_01_H_2020'!$O$24),2)</f>
        <v>1530.72</v>
      </c>
    </row>
    <row r="24" spans="2:10" s="260" customFormat="1" ht="12.75" x14ac:dyDescent="0.2">
      <c r="B24" s="566" t="s">
        <v>104</v>
      </c>
      <c r="C24" s="424" t="s">
        <v>710</v>
      </c>
      <c r="D24" s="451" t="s">
        <v>394</v>
      </c>
      <c r="E24" s="423">
        <v>0.5</v>
      </c>
      <c r="F24" s="429">
        <v>1820</v>
      </c>
      <c r="G24" s="429">
        <v>0</v>
      </c>
      <c r="H24" s="429">
        <v>0</v>
      </c>
      <c r="I24" s="429">
        <v>1820</v>
      </c>
      <c r="J24" s="244">
        <f>ROUND((F24+G24+H24)*('[4]29_01_H_2020'!$O$9)*E24*12*(1+'[4]29_01_H_2020'!$O$24),2)</f>
        <v>1430.58</v>
      </c>
    </row>
    <row r="25" spans="2:10" s="260" customFormat="1" ht="12.75" x14ac:dyDescent="0.2">
      <c r="B25" s="566" t="s">
        <v>711</v>
      </c>
      <c r="C25" s="424" t="s">
        <v>710</v>
      </c>
      <c r="D25" s="451" t="s">
        <v>394</v>
      </c>
      <c r="E25" s="423">
        <v>1</v>
      </c>
      <c r="F25" s="429">
        <v>1665</v>
      </c>
      <c r="G25" s="429">
        <v>0</v>
      </c>
      <c r="H25" s="429">
        <v>0</v>
      </c>
      <c r="I25" s="429">
        <v>1665</v>
      </c>
      <c r="J25" s="244">
        <f>ROUND((F25+G25+H25)*('[4]29_01_H_2020'!$O$9)*E25*12*(1+'[4]29_01_H_2020'!$O$24),2)</f>
        <v>2617.4899999999998</v>
      </c>
    </row>
    <row r="26" spans="2:10" s="260" customFormat="1" ht="12.75" x14ac:dyDescent="0.2">
      <c r="B26" s="566" t="s">
        <v>183</v>
      </c>
      <c r="C26" s="424" t="s">
        <v>389</v>
      </c>
      <c r="D26" s="451" t="s">
        <v>390</v>
      </c>
      <c r="E26" s="423">
        <v>0.5</v>
      </c>
      <c r="F26" s="429">
        <v>1665</v>
      </c>
      <c r="G26" s="429">
        <v>0</v>
      </c>
      <c r="H26" s="429">
        <v>0</v>
      </c>
      <c r="I26" s="429">
        <v>1665</v>
      </c>
      <c r="J26" s="244">
        <f>ROUND((F26+G26+H26)*('[4]29_01_H_2020'!$O$9)*E26*12*(1+'[4]29_01_H_2020'!$O$24),2)</f>
        <v>1308.74</v>
      </c>
    </row>
    <row r="27" spans="2:10" s="260" customFormat="1" ht="12.75" x14ac:dyDescent="0.2">
      <c r="B27" s="566" t="s">
        <v>183</v>
      </c>
      <c r="C27" s="424" t="s">
        <v>389</v>
      </c>
      <c r="D27" s="451" t="s">
        <v>390</v>
      </c>
      <c r="E27" s="423">
        <v>1</v>
      </c>
      <c r="F27" s="429">
        <v>1665</v>
      </c>
      <c r="G27" s="429">
        <v>0</v>
      </c>
      <c r="H27" s="429">
        <v>0</v>
      </c>
      <c r="I27" s="429">
        <v>1665</v>
      </c>
      <c r="J27" s="244">
        <f>ROUND((F27+G27+H27)*('[4]29_01_H_2020'!$O$9)*E27*12*(1+'[4]29_01_H_2020'!$O$24),2)</f>
        <v>2617.4899999999998</v>
      </c>
    </row>
    <row r="28" spans="2:10" s="260" customFormat="1" ht="12.75" x14ac:dyDescent="0.2">
      <c r="B28" s="566" t="s">
        <v>103</v>
      </c>
      <c r="C28" s="424" t="s">
        <v>391</v>
      </c>
      <c r="D28" s="451" t="s">
        <v>392</v>
      </c>
      <c r="E28" s="423">
        <v>1</v>
      </c>
      <c r="F28" s="429">
        <v>1665</v>
      </c>
      <c r="G28" s="429">
        <v>0</v>
      </c>
      <c r="H28" s="429">
        <v>0</v>
      </c>
      <c r="I28" s="429">
        <v>1665</v>
      </c>
      <c r="J28" s="244">
        <f>ROUND((F28+G28+H28)*('[4]29_01_H_2020'!$O$9)*E28*12*(1+'[4]29_01_H_2020'!$O$24),2)</f>
        <v>2617.4899999999998</v>
      </c>
    </row>
    <row r="29" spans="2:10" s="260" customFormat="1" ht="12.75" x14ac:dyDescent="0.2">
      <c r="B29" s="566" t="s">
        <v>103</v>
      </c>
      <c r="C29" s="424" t="s">
        <v>391</v>
      </c>
      <c r="D29" s="451" t="s">
        <v>392</v>
      </c>
      <c r="E29" s="423">
        <v>1</v>
      </c>
      <c r="F29" s="429">
        <v>1665</v>
      </c>
      <c r="G29" s="429">
        <v>0</v>
      </c>
      <c r="H29" s="429">
        <v>0</v>
      </c>
      <c r="I29" s="429">
        <v>1665</v>
      </c>
      <c r="J29" s="244">
        <f>ROUND((F29+G29+H29)*('[4]29_01_H_2020'!$O$9)*E29*12*(1+'[4]29_01_H_2020'!$O$24),2)</f>
        <v>2617.4899999999998</v>
      </c>
    </row>
    <row r="30" spans="2:10" s="260" customFormat="1" ht="12.75" x14ac:dyDescent="0.2">
      <c r="B30" s="566" t="s">
        <v>712</v>
      </c>
      <c r="C30" s="424" t="s">
        <v>462</v>
      </c>
      <c r="D30" s="451" t="s">
        <v>403</v>
      </c>
      <c r="E30" s="423">
        <v>0.3</v>
      </c>
      <c r="F30" s="429">
        <v>1665</v>
      </c>
      <c r="G30" s="429">
        <v>49.95</v>
      </c>
      <c r="H30" s="429">
        <v>0</v>
      </c>
      <c r="I30" s="429">
        <v>1714.95</v>
      </c>
      <c r="J30" s="244">
        <f>ROUND((F30+G30+H30)*('[4]29_01_H_2020'!$O$9)*E30*12*(1+'[4]29_01_H_2020'!$O$24),2)</f>
        <v>808.8</v>
      </c>
    </row>
    <row r="31" spans="2:10" s="260" customFormat="1" ht="12.75" x14ac:dyDescent="0.2">
      <c r="B31" s="566" t="s">
        <v>711</v>
      </c>
      <c r="C31" s="424" t="s">
        <v>710</v>
      </c>
      <c r="D31" s="451" t="s">
        <v>394</v>
      </c>
      <c r="E31" s="423">
        <v>1</v>
      </c>
      <c r="F31" s="429">
        <v>1665</v>
      </c>
      <c r="G31" s="429">
        <v>0</v>
      </c>
      <c r="H31" s="429">
        <v>0</v>
      </c>
      <c r="I31" s="429">
        <v>1665</v>
      </c>
      <c r="J31" s="244">
        <f>ROUND((F31+G31+H31)*('[4]29_01_H_2020'!$O$9)*E31*12*(1+'[4]29_01_H_2020'!$O$24),2)</f>
        <v>2617.4899999999998</v>
      </c>
    </row>
    <row r="32" spans="2:10" s="260" customFormat="1" ht="12.75" x14ac:dyDescent="0.2">
      <c r="B32" s="566" t="s">
        <v>711</v>
      </c>
      <c r="C32" s="424" t="s">
        <v>710</v>
      </c>
      <c r="D32" s="451" t="s">
        <v>394</v>
      </c>
      <c r="E32" s="423">
        <v>0.5</v>
      </c>
      <c r="F32" s="429">
        <v>1665</v>
      </c>
      <c r="G32" s="429">
        <v>0</v>
      </c>
      <c r="H32" s="429">
        <v>0</v>
      </c>
      <c r="I32" s="429">
        <v>1665</v>
      </c>
      <c r="J32" s="244">
        <f>ROUND((F32+G32+H32)*('[4]29_01_H_2020'!$O$9)*E32*12*(1+'[4]29_01_H_2020'!$O$24),2)</f>
        <v>1308.74</v>
      </c>
    </row>
    <row r="33" spans="2:10" s="260" customFormat="1" ht="12.75" hidden="1" x14ac:dyDescent="0.2">
      <c r="B33" s="281"/>
      <c r="C33" s="281"/>
      <c r="D33" s="281"/>
      <c r="E33" s="263"/>
      <c r="F33" s="546"/>
      <c r="G33" s="547"/>
      <c r="H33" s="547"/>
      <c r="I33" s="488">
        <f t="shared" ref="I33" si="1">F33+G33+H33</f>
        <v>0</v>
      </c>
      <c r="J33" s="244"/>
    </row>
    <row r="34" spans="2:10" s="260" customFormat="1" ht="25.5" hidden="1" x14ac:dyDescent="0.2">
      <c r="B34" s="280" t="s">
        <v>51</v>
      </c>
      <c r="C34" s="280"/>
      <c r="D34" s="280"/>
      <c r="E34" s="262">
        <f>SUM(E35:E37)</f>
        <v>0</v>
      </c>
      <c r="F34" s="548">
        <f t="shared" ref="F34:I34" si="2">SUM(F35:F37)</f>
        <v>0</v>
      </c>
      <c r="G34" s="262">
        <f t="shared" si="2"/>
        <v>0</v>
      </c>
      <c r="H34" s="262">
        <f t="shared" si="2"/>
        <v>0</v>
      </c>
      <c r="I34" s="545">
        <f t="shared" si="2"/>
        <v>0</v>
      </c>
      <c r="J34" s="244"/>
    </row>
    <row r="35" spans="2:10" s="260" customFormat="1" ht="12.75" hidden="1" x14ac:dyDescent="0.2">
      <c r="B35" s="283"/>
      <c r="C35" s="283"/>
      <c r="D35" s="283"/>
      <c r="E35" s="263"/>
      <c r="F35" s="549"/>
      <c r="G35" s="547"/>
      <c r="H35" s="547"/>
      <c r="I35" s="488">
        <f>F35+G35+H35</f>
        <v>0</v>
      </c>
      <c r="J35" s="244"/>
    </row>
    <row r="36" spans="2:10" s="260" customFormat="1" ht="12.75" hidden="1" x14ac:dyDescent="0.2">
      <c r="B36" s="281"/>
      <c r="C36" s="281"/>
      <c r="D36" s="281"/>
      <c r="E36" s="263"/>
      <c r="F36" s="546"/>
      <c r="G36" s="547"/>
      <c r="H36" s="547"/>
      <c r="I36" s="488">
        <f>F36+G36+H36</f>
        <v>0</v>
      </c>
      <c r="J36" s="244"/>
    </row>
    <row r="37" spans="2:10" s="260" customFormat="1" ht="12.75" hidden="1" x14ac:dyDescent="0.2">
      <c r="B37" s="281"/>
      <c r="C37" s="281"/>
      <c r="D37" s="281"/>
      <c r="E37" s="263"/>
      <c r="F37" s="549"/>
      <c r="G37" s="547"/>
      <c r="H37" s="547"/>
      <c r="I37" s="488">
        <f>F37+G37+H37</f>
        <v>0</v>
      </c>
      <c r="J37" s="244"/>
    </row>
    <row r="38" spans="2:10" s="260" customFormat="1" ht="38.25" hidden="1" x14ac:dyDescent="0.2">
      <c r="B38" s="280" t="s">
        <v>61</v>
      </c>
      <c r="C38" s="280"/>
      <c r="D38" s="280"/>
      <c r="E38" s="262">
        <f>SUM(E39:E39)</f>
        <v>0</v>
      </c>
      <c r="F38" s="545">
        <f>SUM(F39:F39)</f>
        <v>0</v>
      </c>
      <c r="G38" s="262">
        <f>SUM(G39:G39)</f>
        <v>0</v>
      </c>
      <c r="H38" s="262">
        <f>SUM(H39:H39)</f>
        <v>0</v>
      </c>
      <c r="I38" s="545">
        <f>SUM(I39:I39)</f>
        <v>0</v>
      </c>
      <c r="J38" s="244"/>
    </row>
    <row r="39" spans="2:10" s="260" customFormat="1" ht="12.75" hidden="1" x14ac:dyDescent="0.2">
      <c r="B39" s="281"/>
      <c r="C39" s="281"/>
      <c r="D39" s="281"/>
      <c r="E39" s="263"/>
      <c r="F39" s="549"/>
      <c r="G39" s="547"/>
      <c r="H39" s="547"/>
      <c r="I39" s="488">
        <f>F39+G39+H39</f>
        <v>0</v>
      </c>
      <c r="J39" s="244"/>
    </row>
    <row r="40" spans="2:10" s="260" customFormat="1" ht="27" customHeight="1" x14ac:dyDescent="0.2">
      <c r="B40" s="266" t="s">
        <v>62</v>
      </c>
      <c r="C40" s="266"/>
      <c r="D40" s="266"/>
      <c r="E40" s="261">
        <f>E41</f>
        <v>10</v>
      </c>
      <c r="F40" s="261">
        <f t="shared" ref="F40:I40" si="3">F41</f>
        <v>9220</v>
      </c>
      <c r="G40" s="261">
        <f t="shared" si="3"/>
        <v>330.4</v>
      </c>
      <c r="H40" s="261">
        <f t="shared" si="3"/>
        <v>0</v>
      </c>
      <c r="I40" s="261">
        <f t="shared" si="3"/>
        <v>9550.4</v>
      </c>
      <c r="J40" s="244"/>
    </row>
    <row r="41" spans="2:10" s="260" customFormat="1" ht="38.25" x14ac:dyDescent="0.2">
      <c r="B41" s="280" t="s">
        <v>395</v>
      </c>
      <c r="C41" s="280"/>
      <c r="D41" s="280"/>
      <c r="E41" s="545">
        <f t="shared" ref="E41:H41" si="4">SUM(E42:E47)</f>
        <v>10</v>
      </c>
      <c r="F41" s="545">
        <f t="shared" si="4"/>
        <v>9220</v>
      </c>
      <c r="G41" s="545">
        <f t="shared" si="4"/>
        <v>330.4</v>
      </c>
      <c r="H41" s="545">
        <f t="shared" si="4"/>
        <v>0</v>
      </c>
      <c r="I41" s="545">
        <f>SUM(I42:I47)</f>
        <v>9550.4</v>
      </c>
      <c r="J41" s="244"/>
    </row>
    <row r="42" spans="2:10" s="260" customFormat="1" ht="12.75" x14ac:dyDescent="0.2">
      <c r="B42" s="566" t="s">
        <v>101</v>
      </c>
      <c r="C42" s="424" t="s">
        <v>389</v>
      </c>
      <c r="D42" s="451" t="s">
        <v>390</v>
      </c>
      <c r="E42" s="423">
        <v>1</v>
      </c>
      <c r="F42" s="429">
        <v>1720</v>
      </c>
      <c r="G42" s="429">
        <v>120.4</v>
      </c>
      <c r="H42" s="429">
        <v>0</v>
      </c>
      <c r="I42" s="429">
        <v>1840.4</v>
      </c>
      <c r="J42" s="244">
        <f>ROUND((F42+G42+H42)*('[4]29_01_H_2020'!$O$9)*E42*12*(1+'[4]29_01_H_2020'!$O$24),2)</f>
        <v>2893.23</v>
      </c>
    </row>
    <row r="43" spans="2:10" s="260" customFormat="1" ht="12.75" x14ac:dyDescent="0.2">
      <c r="B43" s="566" t="s">
        <v>95</v>
      </c>
      <c r="C43" s="424" t="s">
        <v>389</v>
      </c>
      <c r="D43" s="451" t="s">
        <v>390</v>
      </c>
      <c r="E43" s="423">
        <v>1</v>
      </c>
      <c r="F43" s="429">
        <v>1500</v>
      </c>
      <c r="G43" s="429">
        <v>105</v>
      </c>
      <c r="H43" s="429">
        <v>0</v>
      </c>
      <c r="I43" s="429">
        <v>1605</v>
      </c>
      <c r="J43" s="244">
        <f>ROUND((F43+G43+H43)*('[4]29_01_H_2020'!$O$9)*E43*12*(1+'[4]29_01_H_2020'!$O$24),2)</f>
        <v>2523.16</v>
      </c>
    </row>
    <row r="44" spans="2:10" s="260" customFormat="1" ht="12.75" x14ac:dyDescent="0.2">
      <c r="B44" s="566" t="s">
        <v>95</v>
      </c>
      <c r="C44" s="424" t="s">
        <v>389</v>
      </c>
      <c r="D44" s="451" t="s">
        <v>390</v>
      </c>
      <c r="E44" s="423">
        <v>1</v>
      </c>
      <c r="F44" s="429">
        <v>1500</v>
      </c>
      <c r="G44" s="429">
        <v>45</v>
      </c>
      <c r="H44" s="429">
        <v>0</v>
      </c>
      <c r="I44" s="429">
        <v>1545</v>
      </c>
      <c r="J44" s="244">
        <f>ROUND((F44+G44+H44)*('[4]29_01_H_2020'!$O$9)*E44*12*(1+'[4]29_01_H_2020'!$O$24),2)</f>
        <v>2428.84</v>
      </c>
    </row>
    <row r="45" spans="2:10" s="260" customFormat="1" ht="12.75" x14ac:dyDescent="0.2">
      <c r="B45" s="566" t="s">
        <v>85</v>
      </c>
      <c r="C45" s="424" t="s">
        <v>391</v>
      </c>
      <c r="D45" s="451" t="s">
        <v>392</v>
      </c>
      <c r="E45" s="423">
        <v>1</v>
      </c>
      <c r="F45" s="429">
        <v>1500</v>
      </c>
      <c r="G45" s="429">
        <v>60</v>
      </c>
      <c r="H45" s="429">
        <v>0</v>
      </c>
      <c r="I45" s="429">
        <v>1560</v>
      </c>
      <c r="J45" s="244">
        <f>ROUND((F45+G45+H45)*('[4]29_01_H_2020'!$O$9)*E45*12*(1+'[4]29_01_H_2020'!$O$24),2)</f>
        <v>2452.42</v>
      </c>
    </row>
    <row r="46" spans="2:10" s="260" customFormat="1" ht="12.75" x14ac:dyDescent="0.2">
      <c r="B46" s="566" t="s">
        <v>85</v>
      </c>
      <c r="C46" s="424" t="s">
        <v>391</v>
      </c>
      <c r="D46" s="451" t="s">
        <v>392</v>
      </c>
      <c r="E46" s="423">
        <v>5</v>
      </c>
      <c r="F46" s="429">
        <v>1500</v>
      </c>
      <c r="G46" s="429">
        <v>0</v>
      </c>
      <c r="H46" s="429">
        <v>0</v>
      </c>
      <c r="I46" s="429">
        <v>1500</v>
      </c>
      <c r="J46" s="244">
        <f>ROUND((F46+G46+H46)*('[4]29_01_H_2020'!$O$9)*E46*12*(1+'[4]29_01_H_2020'!$O$24),2)</f>
        <v>11790.49</v>
      </c>
    </row>
    <row r="47" spans="2:10" s="260" customFormat="1" ht="12.75" x14ac:dyDescent="0.2">
      <c r="B47" s="567" t="s">
        <v>396</v>
      </c>
      <c r="C47" s="451" t="s">
        <v>710</v>
      </c>
      <c r="D47" s="451" t="s">
        <v>394</v>
      </c>
      <c r="E47" s="429">
        <v>1</v>
      </c>
      <c r="F47" s="429">
        <v>1500</v>
      </c>
      <c r="G47" s="429">
        <v>0</v>
      </c>
      <c r="H47" s="429">
        <v>0</v>
      </c>
      <c r="I47" s="429">
        <v>1500</v>
      </c>
      <c r="J47" s="244">
        <f>ROUND((F47+G47+H47)*('[4]29_01_H_2020'!$O$9)*E47*12*(1+'[4]29_01_H_2020'!$O$24),2)</f>
        <v>2358.1</v>
      </c>
    </row>
    <row r="48" spans="2:10" s="260" customFormat="1" ht="27" customHeight="1" x14ac:dyDescent="0.2">
      <c r="B48" s="266" t="s">
        <v>359</v>
      </c>
      <c r="C48" s="266"/>
      <c r="D48" s="266"/>
      <c r="E48" s="261">
        <f>E49</f>
        <v>1</v>
      </c>
      <c r="F48" s="261">
        <f t="shared" ref="F48:I49" si="5">F49</f>
        <v>1150</v>
      </c>
      <c r="G48" s="261">
        <f t="shared" si="5"/>
        <v>0</v>
      </c>
      <c r="H48" s="261">
        <f t="shared" si="5"/>
        <v>0</v>
      </c>
      <c r="I48" s="261">
        <f t="shared" si="5"/>
        <v>1150</v>
      </c>
      <c r="J48" s="244"/>
    </row>
    <row r="49" spans="2:10" s="260" customFormat="1" ht="12.75" x14ac:dyDescent="0.2">
      <c r="B49" s="280" t="s">
        <v>397</v>
      </c>
      <c r="C49" s="280"/>
      <c r="D49" s="280"/>
      <c r="E49" s="262">
        <f>E50</f>
        <v>1</v>
      </c>
      <c r="F49" s="262">
        <f t="shared" si="5"/>
        <v>1150</v>
      </c>
      <c r="G49" s="262">
        <f t="shared" si="5"/>
        <v>0</v>
      </c>
      <c r="H49" s="262">
        <f t="shared" si="5"/>
        <v>0</v>
      </c>
      <c r="I49" s="262">
        <f t="shared" si="5"/>
        <v>1150</v>
      </c>
      <c r="J49" s="244"/>
    </row>
    <row r="50" spans="2:10" s="260" customFormat="1" ht="12.75" x14ac:dyDescent="0.2">
      <c r="B50" s="567" t="s">
        <v>398</v>
      </c>
      <c r="C50" s="451" t="s">
        <v>361</v>
      </c>
      <c r="D50" s="594"/>
      <c r="E50" s="429">
        <v>1</v>
      </c>
      <c r="F50" s="429">
        <v>1150</v>
      </c>
      <c r="G50" s="429">
        <v>0</v>
      </c>
      <c r="H50" s="429">
        <v>0</v>
      </c>
      <c r="I50" s="429">
        <v>1150</v>
      </c>
      <c r="J50" s="244">
        <f>ROUND((F50+G50+H50)*('[4]29_01_H_2020'!$O$16)*E50*12*(1+'[4]29_01_H_2020'!$O$24),2)</f>
        <v>1176.82</v>
      </c>
    </row>
    <row r="51" spans="2:10" s="260" customFormat="1" ht="13.5" x14ac:dyDescent="0.2">
      <c r="B51" s="284" t="s">
        <v>97</v>
      </c>
      <c r="C51" s="284"/>
      <c r="D51" s="284"/>
      <c r="E51" s="285">
        <f>E9+E40+E48</f>
        <v>27.3</v>
      </c>
      <c r="F51" s="595" t="s">
        <v>538</v>
      </c>
      <c r="G51" s="595" t="s">
        <v>538</v>
      </c>
      <c r="H51" s="595" t="s">
        <v>538</v>
      </c>
      <c r="I51" s="595" t="s">
        <v>538</v>
      </c>
      <c r="J51" s="244"/>
    </row>
    <row r="52" spans="2:10" s="260" customFormat="1" ht="12.75" x14ac:dyDescent="0.2">
      <c r="B52" s="803" t="s">
        <v>399</v>
      </c>
      <c r="C52" s="803"/>
      <c r="D52" s="803"/>
      <c r="E52" s="803"/>
      <c r="F52" s="803"/>
      <c r="G52" s="803"/>
      <c r="H52" s="803"/>
      <c r="I52" s="803"/>
      <c r="J52" s="244"/>
    </row>
    <row r="53" spans="2:10" s="260" customFormat="1" ht="24.75" customHeight="1" x14ac:dyDescent="0.2">
      <c r="B53" s="266" t="s">
        <v>23</v>
      </c>
      <c r="C53" s="266"/>
      <c r="D53" s="266"/>
      <c r="E53" s="261">
        <f>E54+E56+E60</f>
        <v>5.6</v>
      </c>
      <c r="F53" s="544">
        <f t="shared" ref="F53:I53" si="6">F54+F56+F60</f>
        <v>5841</v>
      </c>
      <c r="G53" s="261">
        <f t="shared" si="6"/>
        <v>584</v>
      </c>
      <c r="H53" s="261">
        <f t="shared" si="6"/>
        <v>0</v>
      </c>
      <c r="I53" s="544">
        <f t="shared" si="6"/>
        <v>6425</v>
      </c>
      <c r="J53" s="244"/>
    </row>
    <row r="54" spans="2:10" s="260" customFormat="1" ht="12.75" x14ac:dyDescent="0.2">
      <c r="B54" s="280" t="s">
        <v>24</v>
      </c>
      <c r="C54" s="280"/>
      <c r="D54" s="280"/>
      <c r="E54" s="262">
        <f>E55</f>
        <v>3.5</v>
      </c>
      <c r="F54" s="545">
        <f t="shared" ref="F54:I54" si="7">F55</f>
        <v>2321</v>
      </c>
      <c r="G54" s="262">
        <f t="shared" si="7"/>
        <v>232</v>
      </c>
      <c r="H54" s="262">
        <f t="shared" si="7"/>
        <v>0</v>
      </c>
      <c r="I54" s="545">
        <f t="shared" si="7"/>
        <v>2553</v>
      </c>
      <c r="J54" s="244"/>
    </row>
    <row r="55" spans="2:10" s="260" customFormat="1" ht="12.75" x14ac:dyDescent="0.2">
      <c r="B55" s="281" t="s">
        <v>99</v>
      </c>
      <c r="C55" s="282" t="s">
        <v>400</v>
      </c>
      <c r="D55" s="282" t="s">
        <v>401</v>
      </c>
      <c r="E55" s="568">
        <v>3.5</v>
      </c>
      <c r="F55" s="569">
        <v>2321</v>
      </c>
      <c r="G55" s="569">
        <v>232</v>
      </c>
      <c r="H55" s="569">
        <v>0</v>
      </c>
      <c r="I55" s="570">
        <f>F55+G55+H55</f>
        <v>2553</v>
      </c>
      <c r="J55" s="244">
        <f>ROUND((F55+G55+H55)*('[4]29_01_H_2020'!$O$9)*E55*12*(1+'[4]29_01_H_2020'!$O$24),2)</f>
        <v>14047.19</v>
      </c>
    </row>
    <row r="56" spans="2:10" s="260" customFormat="1" ht="38.25" x14ac:dyDescent="0.2">
      <c r="B56" s="280" t="s">
        <v>388</v>
      </c>
      <c r="C56" s="280"/>
      <c r="D56" s="280"/>
      <c r="E56" s="262">
        <f>SUM(E57:E59)</f>
        <v>2.1</v>
      </c>
      <c r="F56" s="545">
        <f t="shared" ref="F56:H56" si="8">SUM(F57:F59)</f>
        <v>3520</v>
      </c>
      <c r="G56" s="262">
        <f t="shared" si="8"/>
        <v>352</v>
      </c>
      <c r="H56" s="262">
        <f t="shared" si="8"/>
        <v>0</v>
      </c>
      <c r="I56" s="545">
        <f>SUM(I57:I59)</f>
        <v>3872</v>
      </c>
      <c r="J56" s="244"/>
    </row>
    <row r="57" spans="2:10" s="260" customFormat="1" ht="12.75" x14ac:dyDescent="0.2">
      <c r="B57" s="281" t="s">
        <v>181</v>
      </c>
      <c r="C57" s="286" t="s">
        <v>402</v>
      </c>
      <c r="D57" s="282" t="s">
        <v>403</v>
      </c>
      <c r="E57" s="568">
        <v>1.1000000000000001</v>
      </c>
      <c r="F57" s="569">
        <v>1920</v>
      </c>
      <c r="G57" s="569">
        <v>192</v>
      </c>
      <c r="H57" s="569">
        <v>0</v>
      </c>
      <c r="I57" s="570">
        <f>F57+G57+H57</f>
        <v>2112</v>
      </c>
      <c r="J57" s="244">
        <f>ROUND((F57+G57+H57)*('[4]29_01_H_2020'!$O$9)*E57*12*(1+'[4]29_01_H_2020'!$O$24),2)</f>
        <v>3652.22</v>
      </c>
    </row>
    <row r="58" spans="2:10" s="260" customFormat="1" ht="12.75" x14ac:dyDescent="0.2">
      <c r="B58" s="281" t="s">
        <v>100</v>
      </c>
      <c r="C58" s="282" t="s">
        <v>393</v>
      </c>
      <c r="D58" s="282" t="s">
        <v>394</v>
      </c>
      <c r="E58" s="568">
        <v>1</v>
      </c>
      <c r="F58" s="569">
        <v>1600</v>
      </c>
      <c r="G58" s="569">
        <v>160</v>
      </c>
      <c r="H58" s="569">
        <v>0</v>
      </c>
      <c r="I58" s="570">
        <f>F58+G58+H58</f>
        <v>1760</v>
      </c>
      <c r="J58" s="244">
        <f>ROUND((F58+G58+H58)*('[4]29_01_H_2020'!$O$9)*E58*12*(1+'[4]29_01_H_2020'!$O$24),2)</f>
        <v>2766.83</v>
      </c>
    </row>
    <row r="59" spans="2:10" s="260" customFormat="1" ht="12.75" hidden="1" x14ac:dyDescent="0.2">
      <c r="B59" s="281"/>
      <c r="C59" s="281"/>
      <c r="D59" s="281"/>
      <c r="E59" s="264"/>
      <c r="F59" s="550"/>
      <c r="G59" s="551"/>
      <c r="H59" s="551"/>
      <c r="I59" s="596">
        <f>F59+G59+H59</f>
        <v>0</v>
      </c>
      <c r="J59" s="244"/>
    </row>
    <row r="60" spans="2:10" s="260" customFormat="1" ht="25.5" hidden="1" x14ac:dyDescent="0.2">
      <c r="B60" s="280" t="s">
        <v>51</v>
      </c>
      <c r="C60" s="280"/>
      <c r="D60" s="280"/>
      <c r="E60" s="265">
        <f>SUM(E61:E63)</f>
        <v>0</v>
      </c>
      <c r="F60" s="552">
        <f t="shared" ref="F60:I60" si="9">SUM(F61:F63)</f>
        <v>0</v>
      </c>
      <c r="G60" s="265">
        <f t="shared" si="9"/>
        <v>0</v>
      </c>
      <c r="H60" s="265">
        <f t="shared" si="9"/>
        <v>0</v>
      </c>
      <c r="I60" s="597">
        <f t="shared" si="9"/>
        <v>0</v>
      </c>
      <c r="J60" s="244"/>
    </row>
    <row r="61" spans="2:10" s="260" customFormat="1" ht="12.75" hidden="1" x14ac:dyDescent="0.2">
      <c r="B61" s="283"/>
      <c r="C61" s="283"/>
      <c r="D61" s="283"/>
      <c r="E61" s="264"/>
      <c r="F61" s="550"/>
      <c r="G61" s="551"/>
      <c r="H61" s="551"/>
      <c r="I61" s="596">
        <f>F61+G61+H61</f>
        <v>0</v>
      </c>
      <c r="J61" s="244"/>
    </row>
    <row r="62" spans="2:10" s="260" customFormat="1" ht="12.75" hidden="1" x14ac:dyDescent="0.2">
      <c r="B62" s="281"/>
      <c r="C62" s="281"/>
      <c r="D62" s="281"/>
      <c r="E62" s="264"/>
      <c r="F62" s="553"/>
      <c r="G62" s="551"/>
      <c r="H62" s="551"/>
      <c r="I62" s="596">
        <f>F62+G62+H62</f>
        <v>0</v>
      </c>
      <c r="J62" s="244"/>
    </row>
    <row r="63" spans="2:10" s="260" customFormat="1" ht="12.75" hidden="1" x14ac:dyDescent="0.2">
      <c r="B63" s="281"/>
      <c r="C63" s="281"/>
      <c r="D63" s="281"/>
      <c r="E63" s="264"/>
      <c r="F63" s="550"/>
      <c r="G63" s="551"/>
      <c r="H63" s="551"/>
      <c r="I63" s="596">
        <f>F63+G63+H63</f>
        <v>0</v>
      </c>
      <c r="J63" s="244"/>
    </row>
    <row r="64" spans="2:10" s="260" customFormat="1" ht="27" hidden="1" customHeight="1" x14ac:dyDescent="0.2">
      <c r="B64" s="266" t="s">
        <v>62</v>
      </c>
      <c r="C64" s="266"/>
      <c r="D64" s="266"/>
      <c r="E64" s="261">
        <f>E65</f>
        <v>0</v>
      </c>
      <c r="F64" s="554">
        <f t="shared" ref="F64:I65" si="10">F65</f>
        <v>0</v>
      </c>
      <c r="G64" s="261">
        <f t="shared" si="10"/>
        <v>0</v>
      </c>
      <c r="H64" s="261">
        <f t="shared" si="10"/>
        <v>0</v>
      </c>
      <c r="I64" s="544">
        <f t="shared" si="10"/>
        <v>0</v>
      </c>
      <c r="J64" s="244"/>
    </row>
    <row r="65" spans="2:10" s="260" customFormat="1" ht="25.5" hidden="1" x14ac:dyDescent="0.2">
      <c r="B65" s="280" t="s">
        <v>171</v>
      </c>
      <c r="C65" s="280"/>
      <c r="D65" s="280"/>
      <c r="E65" s="262">
        <f>E66</f>
        <v>0</v>
      </c>
      <c r="F65" s="548">
        <f t="shared" si="10"/>
        <v>0</v>
      </c>
      <c r="G65" s="262">
        <f t="shared" si="10"/>
        <v>0</v>
      </c>
      <c r="H65" s="262">
        <f t="shared" si="10"/>
        <v>0</v>
      </c>
      <c r="I65" s="545">
        <f t="shared" si="10"/>
        <v>0</v>
      </c>
      <c r="J65" s="244"/>
    </row>
    <row r="66" spans="2:10" s="260" customFormat="1" ht="12.75" hidden="1" x14ac:dyDescent="0.2">
      <c r="B66" s="281"/>
      <c r="C66" s="281"/>
      <c r="D66" s="281"/>
      <c r="E66" s="263"/>
      <c r="F66" s="549"/>
      <c r="G66" s="547"/>
      <c r="H66" s="547"/>
      <c r="I66" s="488">
        <f>F66+G66+H66</f>
        <v>0</v>
      </c>
      <c r="J66" s="244"/>
    </row>
    <row r="67" spans="2:10" s="260" customFormat="1" ht="13.5" x14ac:dyDescent="0.2">
      <c r="B67" s="284" t="s">
        <v>97</v>
      </c>
      <c r="C67" s="284"/>
      <c r="D67" s="284"/>
      <c r="E67" s="285">
        <f>E53+E64</f>
        <v>5.6</v>
      </c>
      <c r="F67" s="595" t="s">
        <v>538</v>
      </c>
      <c r="G67" s="595" t="s">
        <v>538</v>
      </c>
      <c r="H67" s="595" t="s">
        <v>538</v>
      </c>
      <c r="I67" s="595" t="s">
        <v>538</v>
      </c>
      <c r="J67" s="244"/>
    </row>
    <row r="68" spans="2:10" s="269" customFormat="1" ht="27.75" customHeight="1" x14ac:dyDescent="0.25">
      <c r="B68" s="804" t="s">
        <v>410</v>
      </c>
      <c r="C68" s="804"/>
      <c r="D68" s="804"/>
      <c r="E68" s="804"/>
      <c r="F68" s="804"/>
      <c r="G68" s="804"/>
      <c r="H68" s="804"/>
      <c r="I68" s="804"/>
      <c r="J68" s="598"/>
    </row>
    <row r="69" spans="2:10" s="260" customFormat="1" ht="24.75" customHeight="1" x14ac:dyDescent="0.2">
      <c r="B69" s="266" t="s">
        <v>23</v>
      </c>
      <c r="C69" s="266"/>
      <c r="D69" s="266"/>
      <c r="E69" s="261">
        <f>E70+E72+E76</f>
        <v>2</v>
      </c>
      <c r="F69" s="544">
        <f t="shared" ref="F69:I69" si="11">F70+F72+F76</f>
        <v>2232</v>
      </c>
      <c r="G69" s="261">
        <f t="shared" si="11"/>
        <v>0</v>
      </c>
      <c r="H69" s="261">
        <f t="shared" si="11"/>
        <v>100.44</v>
      </c>
      <c r="I69" s="544">
        <f t="shared" si="11"/>
        <v>2332.4399999999996</v>
      </c>
      <c r="J69" s="244"/>
    </row>
    <row r="70" spans="2:10" s="260" customFormat="1" ht="12.75" hidden="1" x14ac:dyDescent="0.2">
      <c r="B70" s="280" t="s">
        <v>24</v>
      </c>
      <c r="C70" s="280"/>
      <c r="D70" s="280"/>
      <c r="E70" s="262">
        <f>E71</f>
        <v>0</v>
      </c>
      <c r="F70" s="545">
        <f t="shared" ref="F70:I70" si="12">F71</f>
        <v>0</v>
      </c>
      <c r="G70" s="262">
        <f t="shared" si="12"/>
        <v>0</v>
      </c>
      <c r="H70" s="262">
        <f t="shared" si="12"/>
        <v>0</v>
      </c>
      <c r="I70" s="545">
        <f t="shared" si="12"/>
        <v>0</v>
      </c>
      <c r="J70" s="244"/>
    </row>
    <row r="71" spans="2:10" s="260" customFormat="1" ht="12.75" hidden="1" x14ac:dyDescent="0.2">
      <c r="B71" s="281"/>
      <c r="C71" s="286"/>
      <c r="D71" s="282"/>
      <c r="E71" s="263"/>
      <c r="F71" s="546"/>
      <c r="G71" s="547"/>
      <c r="H71" s="547"/>
      <c r="I71" s="599"/>
      <c r="J71" s="244"/>
    </row>
    <row r="72" spans="2:10" s="260" customFormat="1" ht="38.25" hidden="1" x14ac:dyDescent="0.2">
      <c r="B72" s="280" t="s">
        <v>50</v>
      </c>
      <c r="C72" s="280"/>
      <c r="D72" s="280"/>
      <c r="E72" s="262">
        <f>SUM(E73:E75)</f>
        <v>0</v>
      </c>
      <c r="F72" s="545">
        <f t="shared" ref="F72:H72" si="13">SUM(F73:F75)</f>
        <v>0</v>
      </c>
      <c r="G72" s="262">
        <f t="shared" si="13"/>
        <v>0</v>
      </c>
      <c r="H72" s="262">
        <f t="shared" si="13"/>
        <v>0</v>
      </c>
      <c r="I72" s="545">
        <f>SUM(I73:I75)</f>
        <v>0</v>
      </c>
      <c r="J72" s="244"/>
    </row>
    <row r="73" spans="2:10" s="260" customFormat="1" ht="12.75" hidden="1" x14ac:dyDescent="0.2">
      <c r="B73" s="281" t="s">
        <v>84</v>
      </c>
      <c r="C73" s="281"/>
      <c r="D73" s="281"/>
      <c r="E73" s="263"/>
      <c r="F73" s="546"/>
      <c r="G73" s="547"/>
      <c r="H73" s="547"/>
      <c r="I73" s="488">
        <f>F73+G73+H73</f>
        <v>0</v>
      </c>
      <c r="J73" s="244"/>
    </row>
    <row r="74" spans="2:10" s="260" customFormat="1" ht="12.75" hidden="1" x14ac:dyDescent="0.2">
      <c r="B74" s="281" t="s">
        <v>87</v>
      </c>
      <c r="C74" s="281"/>
      <c r="D74" s="281"/>
      <c r="E74" s="263"/>
      <c r="F74" s="546"/>
      <c r="G74" s="547"/>
      <c r="H74" s="547"/>
      <c r="I74" s="488">
        <f>F74+G74+H74</f>
        <v>0</v>
      </c>
      <c r="J74" s="244"/>
    </row>
    <row r="75" spans="2:10" s="260" customFormat="1" ht="12.75" hidden="1" x14ac:dyDescent="0.2">
      <c r="B75" s="281" t="s">
        <v>89</v>
      </c>
      <c r="C75" s="281"/>
      <c r="D75" s="281"/>
      <c r="E75" s="263"/>
      <c r="F75" s="546"/>
      <c r="G75" s="547"/>
      <c r="H75" s="547"/>
      <c r="I75" s="488">
        <f>F75+G75+H75</f>
        <v>0</v>
      </c>
      <c r="J75" s="244"/>
    </row>
    <row r="76" spans="2:10" s="260" customFormat="1" ht="38.25" x14ac:dyDescent="0.2">
      <c r="B76" s="280" t="s">
        <v>409</v>
      </c>
      <c r="C76" s="280"/>
      <c r="D76" s="280"/>
      <c r="E76" s="262">
        <f>SUM(E77:E78)</f>
        <v>2</v>
      </c>
      <c r="F76" s="262">
        <f>SUM(F77:F78)</f>
        <v>2232</v>
      </c>
      <c r="G76" s="262">
        <f>SUM(G77:G78)</f>
        <v>0</v>
      </c>
      <c r="H76" s="262">
        <f>SUM(H77:H78)</f>
        <v>100.44</v>
      </c>
      <c r="I76" s="262">
        <f>SUM(I77:I78)</f>
        <v>2332.4399999999996</v>
      </c>
      <c r="J76" s="244"/>
    </row>
    <row r="77" spans="2:10" s="260" customFormat="1" ht="12.75" x14ac:dyDescent="0.2">
      <c r="B77" s="244" t="s">
        <v>74</v>
      </c>
      <c r="C77" s="600" t="s">
        <v>713</v>
      </c>
      <c r="D77" s="593" t="s">
        <v>714</v>
      </c>
      <c r="E77" s="571">
        <v>1</v>
      </c>
      <c r="F77" s="572">
        <v>1116</v>
      </c>
      <c r="G77" s="570">
        <v>0</v>
      </c>
      <c r="H77" s="570">
        <v>78.12</v>
      </c>
      <c r="I77" s="572">
        <f>F77+G77+H77</f>
        <v>1194.1199999999999</v>
      </c>
      <c r="J77" s="500">
        <f>ROUND((F77+G77+H77)*('[4]29_01_H_2020'!$O$13)*E77*12*(1+'[4]29_01_H_2020'!$O$24),2)</f>
        <v>1151.1300000000001</v>
      </c>
    </row>
    <row r="78" spans="2:10" s="260" customFormat="1" ht="12.75" x14ac:dyDescent="0.2">
      <c r="B78" s="244" t="s">
        <v>74</v>
      </c>
      <c r="C78" s="600" t="s">
        <v>279</v>
      </c>
      <c r="D78" s="593" t="s">
        <v>295</v>
      </c>
      <c r="E78" s="571">
        <v>1</v>
      </c>
      <c r="F78" s="572">
        <v>1116</v>
      </c>
      <c r="G78" s="570">
        <v>0</v>
      </c>
      <c r="H78" s="570">
        <v>22.32</v>
      </c>
      <c r="I78" s="572">
        <f>F78+G78+H78</f>
        <v>1138.32</v>
      </c>
      <c r="J78" s="500">
        <f>ROUND((F78+G78+H78)*('[4]29_01_H_2020'!$O$13)*E78*12*(1+'[4]29_01_H_2020'!$O$24),2)</f>
        <v>1097.3399999999999</v>
      </c>
    </row>
    <row r="79" spans="2:10" s="260" customFormat="1" ht="27" customHeight="1" x14ac:dyDescent="0.2">
      <c r="B79" s="266" t="s">
        <v>62</v>
      </c>
      <c r="C79" s="266"/>
      <c r="D79" s="266"/>
      <c r="E79" s="266">
        <f>E80</f>
        <v>1</v>
      </c>
      <c r="F79" s="554">
        <f t="shared" ref="F79:I80" si="14">F80</f>
        <v>1116</v>
      </c>
      <c r="G79" s="261">
        <f t="shared" si="14"/>
        <v>0</v>
      </c>
      <c r="H79" s="261">
        <f t="shared" si="14"/>
        <v>22.32</v>
      </c>
      <c r="I79" s="544">
        <f t="shared" si="14"/>
        <v>1138.32</v>
      </c>
      <c r="J79" s="244"/>
    </row>
    <row r="80" spans="2:10" s="260" customFormat="1" ht="38.25" x14ac:dyDescent="0.2">
      <c r="B80" s="280" t="s">
        <v>282</v>
      </c>
      <c r="C80" s="280"/>
      <c r="D80" s="280"/>
      <c r="E80" s="262">
        <f>E81</f>
        <v>1</v>
      </c>
      <c r="F80" s="262">
        <f t="shared" si="14"/>
        <v>1116</v>
      </c>
      <c r="G80" s="262">
        <f t="shared" si="14"/>
        <v>0</v>
      </c>
      <c r="H80" s="262">
        <f t="shared" si="14"/>
        <v>22.32</v>
      </c>
      <c r="I80" s="262">
        <f t="shared" si="14"/>
        <v>1138.32</v>
      </c>
      <c r="J80" s="244"/>
    </row>
    <row r="81" spans="2:10" s="260" customFormat="1" ht="12.75" x14ac:dyDescent="0.2">
      <c r="B81" s="601" t="s">
        <v>78</v>
      </c>
      <c r="C81" s="600" t="s">
        <v>373</v>
      </c>
      <c r="D81" s="594" t="s">
        <v>412</v>
      </c>
      <c r="E81" s="571">
        <v>1</v>
      </c>
      <c r="F81" s="572">
        <v>1116</v>
      </c>
      <c r="G81" s="570">
        <v>0</v>
      </c>
      <c r="H81" s="570">
        <v>22.32</v>
      </c>
      <c r="I81" s="572">
        <f>F81+G81+H81</f>
        <v>1138.32</v>
      </c>
      <c r="J81" s="500">
        <f>ROUND((F81+G81+H81)*('[4]29_01_H_2020'!$O$13)*E81*12*(1+'[4]29_01_H_2020'!$O$24),2)</f>
        <v>1097.3399999999999</v>
      </c>
    </row>
    <row r="82" spans="2:10" s="260" customFormat="1" ht="13.5" x14ac:dyDescent="0.2">
      <c r="B82" s="284" t="s">
        <v>97</v>
      </c>
      <c r="C82" s="284"/>
      <c r="D82" s="284"/>
      <c r="E82" s="285">
        <f>E69+E79</f>
        <v>3</v>
      </c>
      <c r="F82" s="595" t="s">
        <v>538</v>
      </c>
      <c r="G82" s="595" t="s">
        <v>538</v>
      </c>
      <c r="H82" s="595" t="s">
        <v>538</v>
      </c>
      <c r="I82" s="595" t="s">
        <v>538</v>
      </c>
      <c r="J82" s="244"/>
    </row>
    <row r="83" spans="2:10" s="269" customFormat="1" ht="38.25" customHeight="1" x14ac:dyDescent="0.25">
      <c r="B83" s="803" t="s">
        <v>413</v>
      </c>
      <c r="C83" s="803"/>
      <c r="D83" s="803"/>
      <c r="E83" s="803"/>
      <c r="F83" s="803"/>
      <c r="G83" s="803"/>
      <c r="H83" s="803"/>
      <c r="I83" s="803"/>
      <c r="J83" s="598"/>
    </row>
    <row r="84" spans="2:10" s="260" customFormat="1" ht="24.75" customHeight="1" x14ac:dyDescent="0.2">
      <c r="B84" s="266" t="s">
        <v>23</v>
      </c>
      <c r="C84" s="266"/>
      <c r="D84" s="266"/>
      <c r="E84" s="261">
        <f>E85+E87+E89</f>
        <v>2</v>
      </c>
      <c r="F84" s="544">
        <f>F85+F87+F89</f>
        <v>3045.6</v>
      </c>
      <c r="G84" s="261">
        <f>G85+G87+G89</f>
        <v>0</v>
      </c>
      <c r="H84" s="261">
        <f>H85+H87+H89</f>
        <v>0</v>
      </c>
      <c r="I84" s="544">
        <f>I85+I87+I89</f>
        <v>3045.6</v>
      </c>
      <c r="J84" s="244"/>
    </row>
    <row r="85" spans="2:10" s="260" customFormat="1" ht="12.75" hidden="1" x14ac:dyDescent="0.2">
      <c r="B85" s="280" t="s">
        <v>24</v>
      </c>
      <c r="C85" s="280"/>
      <c r="D85" s="280"/>
      <c r="E85" s="262">
        <f>E86</f>
        <v>0</v>
      </c>
      <c r="F85" s="545">
        <f t="shared" ref="F85:I85" si="15">F86</f>
        <v>0</v>
      </c>
      <c r="G85" s="262">
        <f t="shared" si="15"/>
        <v>0</v>
      </c>
      <c r="H85" s="262">
        <f t="shared" si="15"/>
        <v>0</v>
      </c>
      <c r="I85" s="545">
        <f t="shared" si="15"/>
        <v>0</v>
      </c>
      <c r="J85" s="244"/>
    </row>
    <row r="86" spans="2:10" s="260" customFormat="1" ht="12.75" hidden="1" x14ac:dyDescent="0.2">
      <c r="B86" s="281"/>
      <c r="C86" s="286"/>
      <c r="D86" s="282"/>
      <c r="E86" s="263"/>
      <c r="F86" s="546"/>
      <c r="G86" s="547"/>
      <c r="H86" s="547"/>
      <c r="I86" s="599"/>
      <c r="J86" s="244"/>
    </row>
    <row r="87" spans="2:10" s="260" customFormat="1" ht="38.25" x14ac:dyDescent="0.2">
      <c r="B87" s="280" t="s">
        <v>388</v>
      </c>
      <c r="C87" s="280"/>
      <c r="D87" s="280"/>
      <c r="E87" s="262">
        <f>SUM(E88:E88)</f>
        <v>1</v>
      </c>
      <c r="F87" s="545">
        <f>SUM(F88:F88)</f>
        <v>1920</v>
      </c>
      <c r="G87" s="262">
        <f>SUM(G88:G88)</f>
        <v>0</v>
      </c>
      <c r="H87" s="262">
        <f>SUM(H88:H88)</f>
        <v>0</v>
      </c>
      <c r="I87" s="545">
        <f>SUM(I88:I88)</f>
        <v>1920</v>
      </c>
      <c r="J87" s="244"/>
    </row>
    <row r="88" spans="2:10" s="260" customFormat="1" ht="12.75" x14ac:dyDescent="0.2">
      <c r="B88" s="281" t="s">
        <v>84</v>
      </c>
      <c r="C88" s="286" t="s">
        <v>391</v>
      </c>
      <c r="D88" s="282" t="s">
        <v>392</v>
      </c>
      <c r="E88" s="568">
        <v>1</v>
      </c>
      <c r="F88" s="573">
        <v>1920</v>
      </c>
      <c r="G88" s="569">
        <v>0</v>
      </c>
      <c r="H88" s="569">
        <v>0</v>
      </c>
      <c r="I88" s="572">
        <f>F88+G88+H88</f>
        <v>1920</v>
      </c>
      <c r="J88" s="244">
        <f>ROUND((F88+G88+H88)*('[4]29_01_H_2020'!$O$9)*E88*12*(1+'[4]29_01_H_2020'!$O$24),2)</f>
        <v>3018.36</v>
      </c>
    </row>
    <row r="89" spans="2:10" s="260" customFormat="1" ht="38.25" x14ac:dyDescent="0.2">
      <c r="B89" s="280" t="s">
        <v>409</v>
      </c>
      <c r="C89" s="280"/>
      <c r="D89" s="280"/>
      <c r="E89" s="262">
        <f>SUM(E90:E90)</f>
        <v>1</v>
      </c>
      <c r="F89" s="545">
        <f>SUM(F90:F90)</f>
        <v>1125.5999999999999</v>
      </c>
      <c r="G89" s="262">
        <f>SUM(G90:G90)</f>
        <v>0</v>
      </c>
      <c r="H89" s="262">
        <f>SUM(H90:H90)</f>
        <v>0</v>
      </c>
      <c r="I89" s="545">
        <f>SUM(I90:I90)</f>
        <v>1125.5999999999999</v>
      </c>
      <c r="J89" s="244"/>
    </row>
    <row r="90" spans="2:10" s="260" customFormat="1" ht="12.75" x14ac:dyDescent="0.2">
      <c r="B90" s="281" t="s">
        <v>78</v>
      </c>
      <c r="C90" s="574" t="s">
        <v>373</v>
      </c>
      <c r="D90" s="282" t="s">
        <v>291</v>
      </c>
      <c r="E90" s="571">
        <v>1</v>
      </c>
      <c r="F90" s="572">
        <v>1125.5999999999999</v>
      </c>
      <c r="G90" s="570">
        <v>0</v>
      </c>
      <c r="H90" s="570">
        <v>0</v>
      </c>
      <c r="I90" s="572">
        <f>F90+G90+H90</f>
        <v>1125.5999999999999</v>
      </c>
      <c r="J90" s="500">
        <f>ROUND((F90+G90+H90)*('[4]29_01_H_2020'!$O$13)*E90*12*(1+'[4]29_01_H_2020'!$O$24),2)</f>
        <v>1085.08</v>
      </c>
    </row>
    <row r="91" spans="2:10" s="260" customFormat="1" ht="27" customHeight="1" x14ac:dyDescent="0.2">
      <c r="B91" s="266" t="s">
        <v>62</v>
      </c>
      <c r="C91" s="266"/>
      <c r="D91" s="266"/>
      <c r="E91" s="261">
        <f>E92+E94</f>
        <v>2</v>
      </c>
      <c r="F91" s="261">
        <f>F92+F94</f>
        <v>2555.6</v>
      </c>
      <c r="G91" s="261">
        <f>G92+G94</f>
        <v>0</v>
      </c>
      <c r="H91" s="261">
        <f>H92+H94</f>
        <v>0</v>
      </c>
      <c r="I91" s="261">
        <f>I92+I94</f>
        <v>2555.6</v>
      </c>
      <c r="J91" s="500"/>
    </row>
    <row r="92" spans="2:10" s="260" customFormat="1" ht="38.25" x14ac:dyDescent="0.2">
      <c r="B92" s="280" t="s">
        <v>282</v>
      </c>
      <c r="C92" s="280"/>
      <c r="D92" s="280"/>
      <c r="E92" s="262">
        <f>E93</f>
        <v>1</v>
      </c>
      <c r="F92" s="262">
        <f t="shared" ref="F92:I92" si="16">F93</f>
        <v>1430</v>
      </c>
      <c r="G92" s="262">
        <f t="shared" si="16"/>
        <v>0</v>
      </c>
      <c r="H92" s="262">
        <f t="shared" si="16"/>
        <v>0</v>
      </c>
      <c r="I92" s="262">
        <f t="shared" si="16"/>
        <v>1430</v>
      </c>
      <c r="J92" s="500"/>
    </row>
    <row r="93" spans="2:10" s="260" customFormat="1" ht="12.75" x14ac:dyDescent="0.2">
      <c r="B93" s="283" t="s">
        <v>75</v>
      </c>
      <c r="C93" s="286" t="s">
        <v>283</v>
      </c>
      <c r="D93" s="577" t="s">
        <v>412</v>
      </c>
      <c r="E93" s="263">
        <v>1</v>
      </c>
      <c r="F93" s="546">
        <v>1430</v>
      </c>
      <c r="G93" s="547">
        <v>0</v>
      </c>
      <c r="H93" s="547">
        <v>0</v>
      </c>
      <c r="I93" s="589">
        <f>F93+G93+H93</f>
        <v>1430</v>
      </c>
      <c r="J93" s="500">
        <f>ROUND((F93+G93+H93)*('[4]29_01_H_2020'!$O$13)*E93*12*(1+'[4]29_01_H_2020'!$O$24),2)</f>
        <v>1378.52</v>
      </c>
    </row>
    <row r="94" spans="2:10" s="260" customFormat="1" ht="25.5" x14ac:dyDescent="0.2">
      <c r="B94" s="555" t="s">
        <v>715</v>
      </c>
      <c r="C94" s="555"/>
      <c r="D94" s="555"/>
      <c r="E94" s="556">
        <f>E95</f>
        <v>1</v>
      </c>
      <c r="F94" s="556">
        <f t="shared" ref="F94:I94" si="17">F95</f>
        <v>1125.5999999999999</v>
      </c>
      <c r="G94" s="556">
        <f t="shared" si="17"/>
        <v>0</v>
      </c>
      <c r="H94" s="556">
        <f t="shared" si="17"/>
        <v>0</v>
      </c>
      <c r="I94" s="556">
        <f t="shared" si="17"/>
        <v>1125.5999999999999</v>
      </c>
      <c r="J94" s="500"/>
    </row>
    <row r="95" spans="2:10" s="260" customFormat="1" ht="12.75" x14ac:dyDescent="0.2">
      <c r="B95" s="283" t="s">
        <v>179</v>
      </c>
      <c r="C95" s="574" t="s">
        <v>279</v>
      </c>
      <c r="D95" s="282" t="s">
        <v>295</v>
      </c>
      <c r="E95" s="568">
        <v>1</v>
      </c>
      <c r="F95" s="573">
        <v>1125.5999999999999</v>
      </c>
      <c r="G95" s="569">
        <v>0</v>
      </c>
      <c r="H95" s="569">
        <v>0</v>
      </c>
      <c r="I95" s="572">
        <f>F95+G95+H95</f>
        <v>1125.5999999999999</v>
      </c>
      <c r="J95" s="500">
        <f>ROUND((F95+G95+H95)*('[4]29_01_H_2020'!$O$13)*E95*12*(1+'[4]29_01_H_2020'!$O$24),2)</f>
        <v>1085.08</v>
      </c>
    </row>
    <row r="96" spans="2:10" s="260" customFormat="1" ht="13.5" x14ac:dyDescent="0.2">
      <c r="B96" s="284" t="s">
        <v>97</v>
      </c>
      <c r="C96" s="284"/>
      <c r="D96" s="284"/>
      <c r="E96" s="285">
        <f>E84+E91</f>
        <v>4</v>
      </c>
      <c r="F96" s="595" t="s">
        <v>538</v>
      </c>
      <c r="G96" s="595" t="s">
        <v>538</v>
      </c>
      <c r="H96" s="595" t="s">
        <v>538</v>
      </c>
      <c r="I96" s="595" t="s">
        <v>538</v>
      </c>
      <c r="J96" s="244"/>
    </row>
    <row r="97" spans="2:10" s="269" customFormat="1" ht="40.5" customHeight="1" x14ac:dyDescent="0.25">
      <c r="B97" s="803" t="s">
        <v>414</v>
      </c>
      <c r="C97" s="803"/>
      <c r="D97" s="803"/>
      <c r="E97" s="803"/>
      <c r="F97" s="803"/>
      <c r="G97" s="803"/>
      <c r="H97" s="803"/>
      <c r="I97" s="803"/>
      <c r="J97" s="598"/>
    </row>
    <row r="98" spans="2:10" s="260" customFormat="1" ht="24.75" customHeight="1" x14ac:dyDescent="0.2">
      <c r="B98" s="266" t="s">
        <v>23</v>
      </c>
      <c r="C98" s="266"/>
      <c r="D98" s="266"/>
      <c r="E98" s="261">
        <f>E99+E101+E105</f>
        <v>1.25</v>
      </c>
      <c r="F98" s="544">
        <f t="shared" ref="F98:I98" si="18">F99+F101+F105</f>
        <v>1990</v>
      </c>
      <c r="G98" s="261">
        <f t="shared" si="18"/>
        <v>19.899999999999999</v>
      </c>
      <c r="H98" s="261">
        <f t="shared" si="18"/>
        <v>0</v>
      </c>
      <c r="I98" s="544">
        <f t="shared" si="18"/>
        <v>2009.9</v>
      </c>
      <c r="J98" s="244"/>
    </row>
    <row r="99" spans="2:10" s="260" customFormat="1" ht="12.75" x14ac:dyDescent="0.2">
      <c r="B99" s="280" t="s">
        <v>24</v>
      </c>
      <c r="C99" s="280"/>
      <c r="D99" s="280"/>
      <c r="E99" s="262">
        <f>E100</f>
        <v>1.25</v>
      </c>
      <c r="F99" s="545">
        <f t="shared" ref="F99:I99" si="19">F100</f>
        <v>1990</v>
      </c>
      <c r="G99" s="262">
        <f t="shared" si="19"/>
        <v>19.899999999999999</v>
      </c>
      <c r="H99" s="262">
        <f t="shared" si="19"/>
        <v>0</v>
      </c>
      <c r="I99" s="545">
        <f t="shared" si="19"/>
        <v>2009.9</v>
      </c>
      <c r="J99" s="244"/>
    </row>
    <row r="100" spans="2:10" s="260" customFormat="1" ht="12.75" x14ac:dyDescent="0.2">
      <c r="B100" s="281" t="s">
        <v>81</v>
      </c>
      <c r="C100" s="286" t="s">
        <v>404</v>
      </c>
      <c r="D100" s="282" t="s">
        <v>411</v>
      </c>
      <c r="E100" s="571">
        <v>1.25</v>
      </c>
      <c r="F100" s="572">
        <v>1990</v>
      </c>
      <c r="G100" s="570">
        <v>19.899999999999999</v>
      </c>
      <c r="H100" s="570">
        <v>0</v>
      </c>
      <c r="I100" s="572">
        <f>F100+G100+H100</f>
        <v>2009.9</v>
      </c>
      <c r="J100" s="244">
        <f>ROUND((F100+G100+H100)*('[4]29_01_H_2020'!$O$9)*E100*12*(1+'[4]29_01_H_2020'!$O$24),2)</f>
        <v>3949.62</v>
      </c>
    </row>
    <row r="101" spans="2:10" s="260" customFormat="1" ht="38.25" hidden="1" x14ac:dyDescent="0.2">
      <c r="B101" s="280" t="s">
        <v>50</v>
      </c>
      <c r="C101" s="280"/>
      <c r="D101" s="280"/>
      <c r="E101" s="262">
        <f>SUM(E102:E104)</f>
        <v>0</v>
      </c>
      <c r="F101" s="545">
        <f t="shared" ref="F101:H101" si="20">SUM(F102:F104)</f>
        <v>0</v>
      </c>
      <c r="G101" s="262">
        <f t="shared" si="20"/>
        <v>0</v>
      </c>
      <c r="H101" s="262">
        <f t="shared" si="20"/>
        <v>0</v>
      </c>
      <c r="I101" s="545">
        <f>SUM(I102:I104)</f>
        <v>0</v>
      </c>
      <c r="J101" s="244"/>
    </row>
    <row r="102" spans="2:10" s="260" customFormat="1" ht="12.75" hidden="1" x14ac:dyDescent="0.2">
      <c r="B102" s="281" t="s">
        <v>84</v>
      </c>
      <c r="C102" s="281"/>
      <c r="D102" s="281"/>
      <c r="E102" s="263"/>
      <c r="F102" s="546"/>
      <c r="G102" s="547"/>
      <c r="H102" s="547"/>
      <c r="I102" s="488">
        <f>F102+G102+H102</f>
        <v>0</v>
      </c>
      <c r="J102" s="244"/>
    </row>
    <row r="103" spans="2:10" s="260" customFormat="1" ht="12.75" hidden="1" x14ac:dyDescent="0.2">
      <c r="B103" s="281" t="s">
        <v>87</v>
      </c>
      <c r="C103" s="281"/>
      <c r="D103" s="281"/>
      <c r="E103" s="263"/>
      <c r="F103" s="546"/>
      <c r="G103" s="547"/>
      <c r="H103" s="547"/>
      <c r="I103" s="488">
        <f>F103+G103+H103</f>
        <v>0</v>
      </c>
      <c r="J103" s="244"/>
    </row>
    <row r="104" spans="2:10" s="260" customFormat="1" ht="12.75" hidden="1" x14ac:dyDescent="0.2">
      <c r="B104" s="281" t="s">
        <v>89</v>
      </c>
      <c r="C104" s="281"/>
      <c r="D104" s="281"/>
      <c r="E104" s="263"/>
      <c r="F104" s="546"/>
      <c r="G104" s="547"/>
      <c r="H104" s="547"/>
      <c r="I104" s="488">
        <f>F104+G104+H104</f>
        <v>0</v>
      </c>
      <c r="J104" s="244"/>
    </row>
    <row r="105" spans="2:10" s="260" customFormat="1" ht="25.5" hidden="1" x14ac:dyDescent="0.2">
      <c r="B105" s="280" t="s">
        <v>51</v>
      </c>
      <c r="C105" s="280"/>
      <c r="D105" s="280"/>
      <c r="E105" s="262">
        <f>SUM(E106:E106)</f>
        <v>0</v>
      </c>
      <c r="F105" s="545">
        <f>SUM(F106:F106)</f>
        <v>0</v>
      </c>
      <c r="G105" s="262">
        <f>SUM(G106:G106)</f>
        <v>0</v>
      </c>
      <c r="H105" s="262">
        <f>SUM(H106:H106)</f>
        <v>0</v>
      </c>
      <c r="I105" s="545">
        <f>SUM(I106:I106)</f>
        <v>0</v>
      </c>
      <c r="J105" s="244"/>
    </row>
    <row r="106" spans="2:10" s="260" customFormat="1" ht="12.75" hidden="1" x14ac:dyDescent="0.2">
      <c r="B106" s="281"/>
      <c r="C106" s="281"/>
      <c r="D106" s="281"/>
      <c r="E106" s="264"/>
      <c r="F106" s="550"/>
      <c r="G106" s="551"/>
      <c r="H106" s="551"/>
      <c r="I106" s="596">
        <f>F106+G106+H106</f>
        <v>0</v>
      </c>
      <c r="J106" s="244"/>
    </row>
    <row r="107" spans="2:10" s="260" customFormat="1" ht="27" customHeight="1" x14ac:dyDescent="0.2">
      <c r="B107" s="266" t="s">
        <v>62</v>
      </c>
      <c r="C107" s="266"/>
      <c r="D107" s="266"/>
      <c r="E107" s="266">
        <f>E108</f>
        <v>14</v>
      </c>
      <c r="F107" s="554">
        <f t="shared" ref="F107:I107" si="21">F108</f>
        <v>3340</v>
      </c>
      <c r="G107" s="261">
        <f t="shared" si="21"/>
        <v>66.8</v>
      </c>
      <c r="H107" s="261">
        <f t="shared" si="21"/>
        <v>120</v>
      </c>
      <c r="I107" s="544">
        <f t="shared" si="21"/>
        <v>3526.8</v>
      </c>
      <c r="J107" s="244"/>
    </row>
    <row r="108" spans="2:10" s="260" customFormat="1" ht="38.25" x14ac:dyDescent="0.2">
      <c r="B108" s="280" t="s">
        <v>282</v>
      </c>
      <c r="C108" s="280"/>
      <c r="D108" s="280"/>
      <c r="E108" s="262">
        <f>E109+E110</f>
        <v>14</v>
      </c>
      <c r="F108" s="262">
        <f t="shared" ref="F108:I108" si="22">F109+F110</f>
        <v>3340</v>
      </c>
      <c r="G108" s="262">
        <f t="shared" si="22"/>
        <v>66.8</v>
      </c>
      <c r="H108" s="262">
        <f t="shared" si="22"/>
        <v>120</v>
      </c>
      <c r="I108" s="262">
        <f t="shared" si="22"/>
        <v>3526.8</v>
      </c>
      <c r="J108" s="244"/>
    </row>
    <row r="109" spans="2:10" s="260" customFormat="1" ht="12.75" x14ac:dyDescent="0.2">
      <c r="B109" s="283" t="s">
        <v>8</v>
      </c>
      <c r="C109" s="575" t="s">
        <v>284</v>
      </c>
      <c r="D109" s="577" t="s">
        <v>412</v>
      </c>
      <c r="E109" s="571">
        <v>1</v>
      </c>
      <c r="F109" s="572">
        <v>1820</v>
      </c>
      <c r="G109" s="570">
        <v>36.4</v>
      </c>
      <c r="H109" s="570">
        <v>0</v>
      </c>
      <c r="I109" s="572">
        <f>F109+G109+H109</f>
        <v>1856.4</v>
      </c>
      <c r="J109" s="500">
        <f>ROUND((F109+G109+H109)*('[4]29_01_H_2020'!$O$13)*E109*12*(1+'[4]29_01_H_2020'!$O$24),2)</f>
        <v>1789.57</v>
      </c>
    </row>
    <row r="110" spans="2:10" s="260" customFormat="1" ht="12.75" x14ac:dyDescent="0.2">
      <c r="B110" s="576" t="s">
        <v>78</v>
      </c>
      <c r="C110" s="575" t="s">
        <v>373</v>
      </c>
      <c r="D110" s="282" t="s">
        <v>412</v>
      </c>
      <c r="E110" s="571">
        <v>13</v>
      </c>
      <c r="F110" s="572">
        <v>1520</v>
      </c>
      <c r="G110" s="570">
        <v>30.4</v>
      </c>
      <c r="H110" s="570">
        <v>120</v>
      </c>
      <c r="I110" s="572">
        <f>F110+G110+H110</f>
        <v>1670.4</v>
      </c>
      <c r="J110" s="500">
        <f>ROUND((F110+G110+H110)*('[4]29_01_H_2020'!$O$13)*E110*12*(1+'[4]29_01_H_2020'!$O$24),2)</f>
        <v>20933.5</v>
      </c>
    </row>
    <row r="111" spans="2:10" s="260" customFormat="1" ht="13.5" x14ac:dyDescent="0.2">
      <c r="B111" s="284" t="s">
        <v>97</v>
      </c>
      <c r="C111" s="284"/>
      <c r="D111" s="284"/>
      <c r="E111" s="285">
        <f>E98+E107</f>
        <v>15.25</v>
      </c>
      <c r="F111" s="595" t="s">
        <v>538</v>
      </c>
      <c r="G111" s="595" t="s">
        <v>538</v>
      </c>
      <c r="H111" s="595" t="s">
        <v>538</v>
      </c>
      <c r="I111" s="595" t="s">
        <v>538</v>
      </c>
      <c r="J111" s="244"/>
    </row>
    <row r="112" spans="2:10" s="269" customFormat="1" ht="27.75" customHeight="1" x14ac:dyDescent="0.25">
      <c r="B112" s="805" t="s">
        <v>415</v>
      </c>
      <c r="C112" s="805"/>
      <c r="D112" s="805"/>
      <c r="E112" s="805"/>
      <c r="F112" s="805"/>
      <c r="G112" s="805"/>
      <c r="H112" s="805"/>
      <c r="I112" s="805"/>
      <c r="J112" s="598"/>
    </row>
    <row r="113" spans="2:10" s="260" customFormat="1" ht="24.75" customHeight="1" x14ac:dyDescent="0.2">
      <c r="B113" s="266" t="s">
        <v>23</v>
      </c>
      <c r="C113" s="266"/>
      <c r="D113" s="266"/>
      <c r="E113" s="261">
        <f>E114+E116+E120</f>
        <v>2</v>
      </c>
      <c r="F113" s="554">
        <f>F114+F116+F120</f>
        <v>8107</v>
      </c>
      <c r="G113" s="261">
        <f>G114+G116+G120</f>
        <v>688.85</v>
      </c>
      <c r="H113" s="261">
        <f>H114+H116+H120</f>
        <v>405.35</v>
      </c>
      <c r="I113" s="544">
        <f>I114+I116+I120</f>
        <v>9201.2000000000007</v>
      </c>
      <c r="J113" s="244"/>
    </row>
    <row r="114" spans="2:10" s="260" customFormat="1" ht="12.75" x14ac:dyDescent="0.2">
      <c r="B114" s="280" t="s">
        <v>24</v>
      </c>
      <c r="C114" s="280"/>
      <c r="D114" s="280"/>
      <c r="E114" s="262">
        <f>E115</f>
        <v>0.5</v>
      </c>
      <c r="F114" s="548">
        <f t="shared" ref="F114:I114" si="23">F115</f>
        <v>2437</v>
      </c>
      <c r="G114" s="262">
        <f t="shared" si="23"/>
        <v>121.85</v>
      </c>
      <c r="H114" s="262">
        <f t="shared" si="23"/>
        <v>121.85</v>
      </c>
      <c r="I114" s="545">
        <f t="shared" si="23"/>
        <v>2680.7</v>
      </c>
      <c r="J114" s="244"/>
    </row>
    <row r="115" spans="2:10" s="260" customFormat="1" ht="12.75" x14ac:dyDescent="0.2">
      <c r="B115" s="281" t="s">
        <v>81</v>
      </c>
      <c r="C115" s="286" t="s">
        <v>404</v>
      </c>
      <c r="D115" s="282" t="s">
        <v>411</v>
      </c>
      <c r="E115" s="568">
        <v>0.5</v>
      </c>
      <c r="F115" s="569">
        <v>2437</v>
      </c>
      <c r="G115" s="569">
        <v>121.85</v>
      </c>
      <c r="H115" s="569">
        <v>121.85</v>
      </c>
      <c r="I115" s="570">
        <f>F115+G115+H115</f>
        <v>2680.7</v>
      </c>
      <c r="J115" s="244">
        <f>ROUND((F115+G115+H115)*('[4]29_01_H_2020'!$O$9)*E115*12*(1+'[4]29_01_H_2020'!$O$24),2)</f>
        <v>2107.12</v>
      </c>
    </row>
    <row r="116" spans="2:10" s="260" customFormat="1" ht="38.25" x14ac:dyDescent="0.2">
      <c r="B116" s="280" t="s">
        <v>388</v>
      </c>
      <c r="C116" s="280"/>
      <c r="D116" s="280"/>
      <c r="E116" s="262">
        <f>SUM(E117:E119)</f>
        <v>1.5</v>
      </c>
      <c r="F116" s="548">
        <f t="shared" ref="F116:H116" si="24">SUM(F117:F119)</f>
        <v>5670</v>
      </c>
      <c r="G116" s="262">
        <f t="shared" si="24"/>
        <v>567</v>
      </c>
      <c r="H116" s="262">
        <f t="shared" si="24"/>
        <v>283.5</v>
      </c>
      <c r="I116" s="559">
        <f>SUM(I117:I119)</f>
        <v>6520.5</v>
      </c>
      <c r="J116" s="244"/>
    </row>
    <row r="117" spans="2:10" s="260" customFormat="1" ht="12.75" x14ac:dyDescent="0.2">
      <c r="B117" s="281" t="s">
        <v>84</v>
      </c>
      <c r="C117" s="286" t="s">
        <v>391</v>
      </c>
      <c r="D117" s="282" t="s">
        <v>392</v>
      </c>
      <c r="E117" s="568">
        <v>1</v>
      </c>
      <c r="F117" s="569">
        <v>1890</v>
      </c>
      <c r="G117" s="569">
        <v>189</v>
      </c>
      <c r="H117" s="569">
        <v>94.5</v>
      </c>
      <c r="I117" s="570">
        <f>F117+G117+H117</f>
        <v>2173.5</v>
      </c>
      <c r="J117" s="244">
        <f>ROUND((F117+G117+H117)*('[4]29_01_H_2020'!$O$9)*E117*12*(1+'[4]29_01_H_2020'!$O$24),2)</f>
        <v>3416.88</v>
      </c>
    </row>
    <row r="118" spans="2:10" s="260" customFormat="1" ht="12.75" x14ac:dyDescent="0.2">
      <c r="B118" s="281" t="s">
        <v>87</v>
      </c>
      <c r="C118" s="286" t="s">
        <v>406</v>
      </c>
      <c r="D118" s="282" t="s">
        <v>407</v>
      </c>
      <c r="E118" s="568">
        <v>0.25</v>
      </c>
      <c r="F118" s="569">
        <v>1890</v>
      </c>
      <c r="G118" s="569">
        <v>189</v>
      </c>
      <c r="H118" s="569">
        <v>94.5</v>
      </c>
      <c r="I118" s="570">
        <f>F118+G118+H118</f>
        <v>2173.5</v>
      </c>
      <c r="J118" s="244">
        <f>ROUND((F118+G118+H118)*('[4]29_01_H_2020'!$O$9)*E118*12*(1+'[4]29_01_H_2020'!$O$24),2)</f>
        <v>854.22</v>
      </c>
    </row>
    <row r="119" spans="2:10" s="260" customFormat="1" ht="12.75" x14ac:dyDescent="0.2">
      <c r="B119" s="281" t="s">
        <v>89</v>
      </c>
      <c r="C119" s="286" t="s">
        <v>389</v>
      </c>
      <c r="D119" s="282" t="s">
        <v>390</v>
      </c>
      <c r="E119" s="568">
        <v>0.25</v>
      </c>
      <c r="F119" s="569">
        <v>1890</v>
      </c>
      <c r="G119" s="569">
        <v>189</v>
      </c>
      <c r="H119" s="569">
        <v>94.5</v>
      </c>
      <c r="I119" s="570">
        <f>F119+G119+H119</f>
        <v>2173.5</v>
      </c>
      <c r="J119" s="244">
        <f>ROUND((F119+G119+H119)*('[4]29_01_H_2020'!$O$9)*E119*12*(1+'[4]29_01_H_2020'!$O$24),2)</f>
        <v>854.22</v>
      </c>
    </row>
    <row r="120" spans="2:10" s="260" customFormat="1" ht="25.5" x14ac:dyDescent="0.2">
      <c r="B120" s="280" t="s">
        <v>51</v>
      </c>
      <c r="C120" s="280"/>
      <c r="D120" s="280"/>
      <c r="E120" s="262"/>
      <c r="F120" s="262"/>
      <c r="G120" s="262"/>
      <c r="H120" s="262"/>
      <c r="I120" s="271"/>
      <c r="J120" s="244"/>
    </row>
    <row r="121" spans="2:10" s="260" customFormat="1" ht="27" customHeight="1" x14ac:dyDescent="0.2">
      <c r="B121" s="266" t="s">
        <v>62</v>
      </c>
      <c r="C121" s="266"/>
      <c r="D121" s="266"/>
      <c r="E121" s="261">
        <f>E122</f>
        <v>7.3</v>
      </c>
      <c r="F121" s="554">
        <f t="shared" ref="F121:I121" si="25">F122</f>
        <v>5649</v>
      </c>
      <c r="G121" s="261">
        <f t="shared" si="25"/>
        <v>564.9</v>
      </c>
      <c r="H121" s="261">
        <f t="shared" si="25"/>
        <v>590.25</v>
      </c>
      <c r="I121" s="558">
        <f t="shared" si="25"/>
        <v>6804.15</v>
      </c>
      <c r="J121" s="244"/>
    </row>
    <row r="122" spans="2:10" s="260" customFormat="1" ht="38.25" x14ac:dyDescent="0.2">
      <c r="B122" s="280" t="s">
        <v>282</v>
      </c>
      <c r="C122" s="280"/>
      <c r="D122" s="280"/>
      <c r="E122" s="262">
        <f>E123+E124+E125+E126</f>
        <v>7.3</v>
      </c>
      <c r="F122" s="262">
        <f t="shared" ref="F122:I122" si="26">F123+F124+F125+F126</f>
        <v>5649</v>
      </c>
      <c r="G122" s="262">
        <f t="shared" si="26"/>
        <v>564.9</v>
      </c>
      <c r="H122" s="262">
        <f t="shared" si="26"/>
        <v>590.25</v>
      </c>
      <c r="I122" s="271">
        <f t="shared" si="26"/>
        <v>6804.15</v>
      </c>
      <c r="J122" s="244"/>
    </row>
    <row r="123" spans="2:10" s="260" customFormat="1" ht="12.75" x14ac:dyDescent="0.2">
      <c r="B123" s="283" t="s">
        <v>8</v>
      </c>
      <c r="C123" s="575" t="s">
        <v>284</v>
      </c>
      <c r="D123" s="282" t="s">
        <v>416</v>
      </c>
      <c r="E123" s="568">
        <v>1</v>
      </c>
      <c r="F123" s="569">
        <v>1880</v>
      </c>
      <c r="G123" s="569">
        <v>188</v>
      </c>
      <c r="H123" s="569">
        <v>94</v>
      </c>
      <c r="I123" s="570">
        <f>F123+G123+H123</f>
        <v>2162</v>
      </c>
      <c r="J123" s="500">
        <f>ROUND((F123+G123+H123)*('[4]29_01_H_2020'!$O$13)*E123*12*(1+'[4]29_01_H_2020'!$O$24),2)</f>
        <v>2084.17</v>
      </c>
    </row>
    <row r="124" spans="2:10" s="260" customFormat="1" ht="12.75" x14ac:dyDescent="0.2">
      <c r="B124" s="281" t="s">
        <v>716</v>
      </c>
      <c r="C124" s="575" t="s">
        <v>373</v>
      </c>
      <c r="D124" s="577" t="s">
        <v>291</v>
      </c>
      <c r="E124" s="568">
        <v>1</v>
      </c>
      <c r="F124" s="569">
        <v>1165</v>
      </c>
      <c r="G124" s="569">
        <v>116.5</v>
      </c>
      <c r="H124" s="569">
        <v>58.25</v>
      </c>
      <c r="I124" s="570">
        <f>F124+G124+H124</f>
        <v>1339.75</v>
      </c>
      <c r="J124" s="500">
        <f>ROUND((F124+G124+H124)*('[4]29_01_H_2020'!$O$13)*E124*12*(1+'[4]29_01_H_2020'!$O$24),2)</f>
        <v>1291.52</v>
      </c>
    </row>
    <row r="125" spans="2:10" s="260" customFormat="1" ht="25.5" x14ac:dyDescent="0.2">
      <c r="B125" s="281" t="s">
        <v>717</v>
      </c>
      <c r="C125" s="575" t="s">
        <v>546</v>
      </c>
      <c r="D125" s="282" t="s">
        <v>416</v>
      </c>
      <c r="E125" s="568">
        <v>1</v>
      </c>
      <c r="F125" s="569">
        <v>1320</v>
      </c>
      <c r="G125" s="569">
        <v>132</v>
      </c>
      <c r="H125" s="569">
        <v>66</v>
      </c>
      <c r="I125" s="570">
        <f>F125+G125+H125</f>
        <v>1518</v>
      </c>
      <c r="J125" s="500">
        <f>ROUND((F125+G125+H125)*('[4]29_01_H_2020'!$O$13)*E125*12*(1+'[4]29_01_H_2020'!$O$24),2)</f>
        <v>1463.36</v>
      </c>
    </row>
    <row r="126" spans="2:10" s="260" customFormat="1" ht="12.75" x14ac:dyDescent="0.2">
      <c r="B126" s="281" t="s">
        <v>718</v>
      </c>
      <c r="C126" s="575" t="s">
        <v>546</v>
      </c>
      <c r="D126" s="282" t="s">
        <v>419</v>
      </c>
      <c r="E126" s="568">
        <v>4.3</v>
      </c>
      <c r="F126" s="569">
        <v>1284</v>
      </c>
      <c r="G126" s="569">
        <v>128.4</v>
      </c>
      <c r="H126" s="569">
        <v>372</v>
      </c>
      <c r="I126" s="570">
        <f>F126+G126+H126</f>
        <v>1784.4</v>
      </c>
      <c r="J126" s="500">
        <f>ROUND((F126+G126+H126)*('[4]29_01_H_2020'!$O$13)*E126*12*(1+'[4]29_01_H_2020'!$O$24),2)</f>
        <v>7396.71</v>
      </c>
    </row>
    <row r="127" spans="2:10" s="260" customFormat="1" ht="13.5" x14ac:dyDescent="0.2">
      <c r="B127" s="284" t="s">
        <v>97</v>
      </c>
      <c r="C127" s="284"/>
      <c r="D127" s="284"/>
      <c r="E127" s="285">
        <f>E113+E121</f>
        <v>9.3000000000000007</v>
      </c>
      <c r="F127" s="595" t="s">
        <v>538</v>
      </c>
      <c r="G127" s="595" t="s">
        <v>538</v>
      </c>
      <c r="H127" s="595" t="s">
        <v>538</v>
      </c>
      <c r="I127" s="595" t="s">
        <v>538</v>
      </c>
      <c r="J127" s="244"/>
    </row>
    <row r="128" spans="2:10" s="269" customFormat="1" ht="33" customHeight="1" x14ac:dyDescent="0.25">
      <c r="B128" s="803" t="s">
        <v>417</v>
      </c>
      <c r="C128" s="803"/>
      <c r="D128" s="803"/>
      <c r="E128" s="803"/>
      <c r="F128" s="803"/>
      <c r="G128" s="803"/>
      <c r="H128" s="803"/>
      <c r="I128" s="803"/>
      <c r="J128" s="598"/>
    </row>
    <row r="129" spans="2:10" s="260" customFormat="1" ht="30" customHeight="1" x14ac:dyDescent="0.2">
      <c r="B129" s="287" t="s">
        <v>23</v>
      </c>
      <c r="C129" s="287"/>
      <c r="D129" s="287"/>
      <c r="E129" s="261">
        <f>E130+E133+E135</f>
        <v>3.75</v>
      </c>
      <c r="F129" s="544">
        <f>F130+F133+F135</f>
        <v>5400</v>
      </c>
      <c r="G129" s="266">
        <f>G130+G133+G135</f>
        <v>142.19999999999999</v>
      </c>
      <c r="H129" s="261">
        <f>H130+H133+H135</f>
        <v>80</v>
      </c>
      <c r="I129" s="544">
        <f>I130+I133+I135</f>
        <v>5622.2</v>
      </c>
      <c r="J129" s="244"/>
    </row>
    <row r="130" spans="2:10" s="260" customFormat="1" ht="38.25" x14ac:dyDescent="0.2">
      <c r="B130" s="288" t="s">
        <v>388</v>
      </c>
      <c r="C130" s="288"/>
      <c r="D130" s="288"/>
      <c r="E130" s="262">
        <f>E131+E132</f>
        <v>1.75</v>
      </c>
      <c r="F130" s="545">
        <f>F131+F132</f>
        <v>2978</v>
      </c>
      <c r="G130" s="262">
        <f t="shared" ref="G130:I130" si="27">G131+G132</f>
        <v>0</v>
      </c>
      <c r="H130" s="262">
        <f t="shared" si="27"/>
        <v>40</v>
      </c>
      <c r="I130" s="545">
        <f t="shared" si="27"/>
        <v>3018</v>
      </c>
      <c r="J130" s="244"/>
    </row>
    <row r="131" spans="2:10" s="260" customFormat="1" ht="12.75" x14ac:dyDescent="0.2">
      <c r="B131" s="289" t="s">
        <v>89</v>
      </c>
      <c r="C131" s="286" t="s">
        <v>389</v>
      </c>
      <c r="D131" s="282" t="s">
        <v>390</v>
      </c>
      <c r="E131" s="571">
        <v>1</v>
      </c>
      <c r="F131" s="572">
        <v>1489</v>
      </c>
      <c r="G131" s="570">
        <v>0</v>
      </c>
      <c r="H131" s="570">
        <v>20</v>
      </c>
      <c r="I131" s="572">
        <f>F131+G131+H131</f>
        <v>1509</v>
      </c>
      <c r="J131" s="244">
        <f>ROUND((F131+G131+H131)*('[4]29_01_H_2020'!$O$9)*E131*12*(1+'[4]29_01_H_2020'!$O$24),2)</f>
        <v>2372.25</v>
      </c>
    </row>
    <row r="132" spans="2:10" s="260" customFormat="1" ht="12.75" x14ac:dyDescent="0.2">
      <c r="B132" s="602" t="s">
        <v>178</v>
      </c>
      <c r="C132" s="286" t="s">
        <v>406</v>
      </c>
      <c r="D132" s="603" t="s">
        <v>407</v>
      </c>
      <c r="E132" s="571">
        <v>0.75</v>
      </c>
      <c r="F132" s="572">
        <v>1489</v>
      </c>
      <c r="G132" s="570">
        <v>0</v>
      </c>
      <c r="H132" s="570">
        <v>20</v>
      </c>
      <c r="I132" s="572">
        <f>F132+G132+H132</f>
        <v>1509</v>
      </c>
      <c r="J132" s="244">
        <f>ROUND((F132+G132+H132)*('[4]29_01_H_2020'!$O$9)*E132*12*(1+'[4]29_01_H_2020'!$O$24),2)</f>
        <v>1779.18</v>
      </c>
    </row>
    <row r="133" spans="2:10" s="260" customFormat="1" ht="38.25" x14ac:dyDescent="0.2">
      <c r="B133" s="288" t="s">
        <v>409</v>
      </c>
      <c r="C133" s="288"/>
      <c r="D133" s="288"/>
      <c r="E133" s="262">
        <f>E134</f>
        <v>1</v>
      </c>
      <c r="F133" s="262">
        <f t="shared" ref="F133:I133" si="28">F134</f>
        <v>1250</v>
      </c>
      <c r="G133" s="262">
        <f t="shared" si="28"/>
        <v>25</v>
      </c>
      <c r="H133" s="262">
        <f t="shared" si="28"/>
        <v>20</v>
      </c>
      <c r="I133" s="262">
        <f t="shared" si="28"/>
        <v>1295</v>
      </c>
      <c r="J133" s="244"/>
    </row>
    <row r="134" spans="2:10" s="260" customFormat="1" ht="12.75" x14ac:dyDescent="0.2">
      <c r="B134" s="604" t="s">
        <v>179</v>
      </c>
      <c r="C134" s="286" t="s">
        <v>279</v>
      </c>
      <c r="D134" s="580" t="s">
        <v>295</v>
      </c>
      <c r="E134" s="571">
        <v>1</v>
      </c>
      <c r="F134" s="416">
        <v>1250</v>
      </c>
      <c r="G134" s="560">
        <v>25</v>
      </c>
      <c r="H134" s="560">
        <v>20</v>
      </c>
      <c r="I134" s="572">
        <f t="shared" ref="I134" si="29">F134+G134+H134</f>
        <v>1295</v>
      </c>
      <c r="J134" s="500">
        <f>ROUND((F134+G134+H134)*('[4]29_01_H_2020'!$O$13)*E134*12*(1+'[4]29_01_H_2020'!$O$24),2)</f>
        <v>1248.3800000000001</v>
      </c>
    </row>
    <row r="135" spans="2:10" s="260" customFormat="1" ht="38.25" x14ac:dyDescent="0.2">
      <c r="B135" s="288" t="s">
        <v>61</v>
      </c>
      <c r="C135" s="288"/>
      <c r="D135" s="288"/>
      <c r="E135" s="262">
        <f>E136</f>
        <v>1</v>
      </c>
      <c r="F135" s="545">
        <f t="shared" ref="F135:I135" si="30">F136</f>
        <v>1172</v>
      </c>
      <c r="G135" s="262">
        <f t="shared" si="30"/>
        <v>117.2</v>
      </c>
      <c r="H135" s="262">
        <f t="shared" si="30"/>
        <v>20</v>
      </c>
      <c r="I135" s="545">
        <f t="shared" si="30"/>
        <v>1309.2</v>
      </c>
      <c r="J135" s="244"/>
    </row>
    <row r="136" spans="2:10" s="260" customFormat="1" ht="12.75" x14ac:dyDescent="0.2">
      <c r="B136" s="605" t="s">
        <v>180</v>
      </c>
      <c r="C136" s="286" t="s">
        <v>418</v>
      </c>
      <c r="D136" s="581" t="s">
        <v>296</v>
      </c>
      <c r="E136" s="571">
        <v>1</v>
      </c>
      <c r="F136" s="416">
        <v>1172</v>
      </c>
      <c r="G136" s="560">
        <v>117.2</v>
      </c>
      <c r="H136" s="560">
        <v>20</v>
      </c>
      <c r="I136" s="572">
        <f>F136+G136+H136</f>
        <v>1309.2</v>
      </c>
      <c r="J136" s="500">
        <f>ROUND((F136+G136+H136)*('[4]29_01_H_2020'!$O$13)*E136*12*(1+'[4]29_01_H_2020'!$O$24),2)</f>
        <v>1262.07</v>
      </c>
    </row>
    <row r="137" spans="2:10" s="260" customFormat="1" ht="27" customHeight="1" x14ac:dyDescent="0.2">
      <c r="B137" s="287" t="s">
        <v>62</v>
      </c>
      <c r="C137" s="287"/>
      <c r="D137" s="287"/>
      <c r="E137" s="261">
        <f>E138+E150+E154</f>
        <v>30.25</v>
      </c>
      <c r="F137" s="544">
        <f>F138+F150+F154</f>
        <v>17085</v>
      </c>
      <c r="G137" s="261">
        <f>G138+G150+G154</f>
        <v>1024.73</v>
      </c>
      <c r="H137" s="261">
        <f>H138+H150+H154</f>
        <v>2598.9399999999996</v>
      </c>
      <c r="I137" s="544">
        <f>I138+I150+I154</f>
        <v>20708.669999999998</v>
      </c>
      <c r="J137" s="244"/>
    </row>
    <row r="138" spans="2:10" s="260" customFormat="1" ht="38.25" x14ac:dyDescent="0.2">
      <c r="B138" s="288" t="s">
        <v>395</v>
      </c>
      <c r="C138" s="288"/>
      <c r="D138" s="288"/>
      <c r="E138" s="262">
        <f>SUM(E139:E149)</f>
        <v>17.25</v>
      </c>
      <c r="F138" s="545">
        <f>SUM(F139:F149)</f>
        <v>13713</v>
      </c>
      <c r="G138" s="262">
        <f>SUM(G139:G149)</f>
        <v>813.98</v>
      </c>
      <c r="H138" s="262">
        <f>SUM(H139:H149)</f>
        <v>1911.9799999999998</v>
      </c>
      <c r="I138" s="545">
        <f>SUM(I139:I149)</f>
        <v>16438.96</v>
      </c>
      <c r="J138" s="244"/>
    </row>
    <row r="139" spans="2:10" s="260" customFormat="1" ht="12.75" x14ac:dyDescent="0.2">
      <c r="B139" s="578" t="s">
        <v>84</v>
      </c>
      <c r="C139" s="575" t="s">
        <v>391</v>
      </c>
      <c r="D139" s="575" t="s">
        <v>392</v>
      </c>
      <c r="E139" s="571">
        <v>0.75</v>
      </c>
      <c r="F139" s="416">
        <v>1394</v>
      </c>
      <c r="G139" s="560">
        <v>27.88</v>
      </c>
      <c r="H139" s="560">
        <v>20</v>
      </c>
      <c r="I139" s="572">
        <f t="shared" ref="I139:I149" si="31">F139+G139+H139</f>
        <v>1441.88</v>
      </c>
      <c r="J139" s="500">
        <f>ROUND((F139+G139+H139)*('[4]29_01_H_2020'!$O$13)*E139*12*(1+'[4]29_01_H_2020'!$O$24),2)</f>
        <v>1042.48</v>
      </c>
    </row>
    <row r="140" spans="2:10" s="260" customFormat="1" ht="12.75" x14ac:dyDescent="0.2">
      <c r="B140" s="578" t="s">
        <v>181</v>
      </c>
      <c r="C140" s="575" t="s">
        <v>402</v>
      </c>
      <c r="D140" s="575" t="s">
        <v>403</v>
      </c>
      <c r="E140" s="571">
        <v>0.5</v>
      </c>
      <c r="F140" s="416">
        <v>1403</v>
      </c>
      <c r="G140" s="560">
        <v>0</v>
      </c>
      <c r="H140" s="560">
        <v>20</v>
      </c>
      <c r="I140" s="572">
        <f t="shared" si="31"/>
        <v>1423</v>
      </c>
      <c r="J140" s="500">
        <f>ROUND((F140+G140+H140)*('[4]29_01_H_2020'!$O$13)*E140*12*(1+'[4]29_01_H_2020'!$O$24),2)</f>
        <v>685.89</v>
      </c>
    </row>
    <row r="141" spans="2:10" s="260" customFormat="1" ht="12.75" x14ac:dyDescent="0.2">
      <c r="B141" s="579" t="s">
        <v>716</v>
      </c>
      <c r="C141" s="575" t="s">
        <v>373</v>
      </c>
      <c r="D141" s="580" t="s">
        <v>291</v>
      </c>
      <c r="E141" s="571">
        <v>3.5</v>
      </c>
      <c r="F141" s="416">
        <v>1152</v>
      </c>
      <c r="G141" s="560">
        <v>115.2</v>
      </c>
      <c r="H141" s="560">
        <v>198.56</v>
      </c>
      <c r="I141" s="572">
        <f t="shared" si="31"/>
        <v>1465.76</v>
      </c>
      <c r="J141" s="500">
        <f>ROUND((F141+G141+H141)*('[4]29_01_H_2020'!$O$13)*E141*12*(1+'[4]29_01_H_2020'!$O$24),2)</f>
        <v>4945.4799999999996</v>
      </c>
    </row>
    <row r="142" spans="2:10" s="260" customFormat="1" ht="12.75" x14ac:dyDescent="0.2">
      <c r="B142" s="579" t="s">
        <v>716</v>
      </c>
      <c r="C142" s="575" t="s">
        <v>373</v>
      </c>
      <c r="D142" s="580" t="s">
        <v>291</v>
      </c>
      <c r="E142" s="571">
        <v>1</v>
      </c>
      <c r="F142" s="416">
        <v>1152</v>
      </c>
      <c r="G142" s="560">
        <v>57.6</v>
      </c>
      <c r="H142" s="560">
        <v>198.56</v>
      </c>
      <c r="I142" s="572">
        <f t="shared" si="31"/>
        <v>1408.1599999999999</v>
      </c>
      <c r="J142" s="500">
        <f>ROUND((F142+G142+H142)*('[4]29_01_H_2020'!$O$13)*E142*12*(1+'[4]29_01_H_2020'!$O$24),2)</f>
        <v>1357.47</v>
      </c>
    </row>
    <row r="143" spans="2:10" s="260" customFormat="1" ht="25.5" x14ac:dyDescent="0.2">
      <c r="B143" s="579" t="s">
        <v>719</v>
      </c>
      <c r="C143" s="575" t="s">
        <v>283</v>
      </c>
      <c r="D143" s="581" t="s">
        <v>419</v>
      </c>
      <c r="E143" s="571">
        <v>1</v>
      </c>
      <c r="F143" s="416">
        <v>1596</v>
      </c>
      <c r="G143" s="560">
        <v>159.6</v>
      </c>
      <c r="H143" s="560">
        <v>267.38</v>
      </c>
      <c r="I143" s="572">
        <f t="shared" si="31"/>
        <v>2022.98</v>
      </c>
      <c r="J143" s="500">
        <f>ROUND((F143+G143+H143)*('[4]29_01_H_2020'!$O$13)*E143*12*(1+'[4]29_01_H_2020'!$O$24),2)</f>
        <v>1950.16</v>
      </c>
    </row>
    <row r="144" spans="2:10" s="260" customFormat="1" ht="12.75" x14ac:dyDescent="0.2">
      <c r="B144" s="579" t="s">
        <v>720</v>
      </c>
      <c r="C144" s="575" t="s">
        <v>546</v>
      </c>
      <c r="D144" s="580" t="s">
        <v>419</v>
      </c>
      <c r="E144" s="571">
        <v>3</v>
      </c>
      <c r="F144" s="416">
        <v>1178</v>
      </c>
      <c r="G144" s="560">
        <v>117.8</v>
      </c>
      <c r="H144" s="570">
        <v>202.59</v>
      </c>
      <c r="I144" s="572">
        <f t="shared" si="31"/>
        <v>1498.3899999999999</v>
      </c>
      <c r="J144" s="500">
        <f>ROUND((F144+G144+H144)*('[4]29_01_H_2020'!$O$13)*E144*12*(1+'[4]29_01_H_2020'!$O$24),2)</f>
        <v>4333.3500000000004</v>
      </c>
    </row>
    <row r="145" spans="2:10" s="260" customFormat="1" ht="12.75" x14ac:dyDescent="0.2">
      <c r="B145" s="579" t="s">
        <v>720</v>
      </c>
      <c r="C145" s="575" t="s">
        <v>546</v>
      </c>
      <c r="D145" s="580" t="s">
        <v>419</v>
      </c>
      <c r="E145" s="571">
        <v>2</v>
      </c>
      <c r="F145" s="416">
        <v>1178</v>
      </c>
      <c r="G145" s="560">
        <v>23.56</v>
      </c>
      <c r="H145" s="570">
        <v>202.59</v>
      </c>
      <c r="I145" s="572">
        <f t="shared" si="31"/>
        <v>1404.1499999999999</v>
      </c>
      <c r="J145" s="500">
        <f>ROUND((F145+G145+H145)*('[4]29_01_H_2020'!$O$13)*E145*12*(1+'[4]29_01_H_2020'!$O$24),2)</f>
        <v>2707.21</v>
      </c>
    </row>
    <row r="146" spans="2:10" s="260" customFormat="1" ht="12.75" x14ac:dyDescent="0.2">
      <c r="B146" s="579" t="s">
        <v>720</v>
      </c>
      <c r="C146" s="575" t="s">
        <v>546</v>
      </c>
      <c r="D146" s="580" t="s">
        <v>419</v>
      </c>
      <c r="E146" s="570">
        <v>2</v>
      </c>
      <c r="F146" s="416">
        <v>1178</v>
      </c>
      <c r="G146" s="560">
        <v>58.9</v>
      </c>
      <c r="H146" s="570">
        <v>202.59</v>
      </c>
      <c r="I146" s="572">
        <f t="shared" si="31"/>
        <v>1439.49</v>
      </c>
      <c r="J146" s="500">
        <f>ROUND((F146+G146+H146)*('[4]29_01_H_2020'!$O$13)*E146*12*(1+'[4]29_01_H_2020'!$O$24),2)</f>
        <v>2775.34</v>
      </c>
    </row>
    <row r="147" spans="2:10" s="260" customFormat="1" ht="12.75" x14ac:dyDescent="0.2">
      <c r="B147" s="579" t="s">
        <v>720</v>
      </c>
      <c r="C147" s="575" t="s">
        <v>546</v>
      </c>
      <c r="D147" s="580" t="s">
        <v>419</v>
      </c>
      <c r="E147" s="570">
        <v>0.5</v>
      </c>
      <c r="F147" s="416">
        <v>1178</v>
      </c>
      <c r="G147" s="560">
        <v>115.2</v>
      </c>
      <c r="H147" s="570">
        <v>202.59</v>
      </c>
      <c r="I147" s="572">
        <f t="shared" si="31"/>
        <v>1495.79</v>
      </c>
      <c r="J147" s="500">
        <f>ROUND((F147+G147+H147)*('[4]29_01_H_2020'!$O$13)*E147*12*(1+'[4]29_01_H_2020'!$O$24),2)</f>
        <v>720.97</v>
      </c>
    </row>
    <row r="148" spans="2:10" s="260" customFormat="1" ht="12.75" x14ac:dyDescent="0.2">
      <c r="B148" s="579" t="s">
        <v>720</v>
      </c>
      <c r="C148" s="575" t="s">
        <v>546</v>
      </c>
      <c r="D148" s="580" t="s">
        <v>419</v>
      </c>
      <c r="E148" s="570">
        <v>1</v>
      </c>
      <c r="F148" s="416">
        <v>1152</v>
      </c>
      <c r="G148" s="560">
        <v>23.04</v>
      </c>
      <c r="H148" s="570">
        <v>198.56</v>
      </c>
      <c r="I148" s="572">
        <f t="shared" si="31"/>
        <v>1373.6</v>
      </c>
      <c r="J148" s="500">
        <f>ROUND((F148+G148+H148)*('[4]29_01_H_2020'!$O$13)*E148*12*(1+'[4]29_01_H_2020'!$O$24),2)</f>
        <v>1324.15</v>
      </c>
    </row>
    <row r="149" spans="2:10" s="260" customFormat="1" ht="12.75" x14ac:dyDescent="0.2">
      <c r="B149" s="579" t="s">
        <v>720</v>
      </c>
      <c r="C149" s="575" t="s">
        <v>546</v>
      </c>
      <c r="D149" s="580" t="s">
        <v>419</v>
      </c>
      <c r="E149" s="571">
        <v>2</v>
      </c>
      <c r="F149" s="416">
        <v>1152</v>
      </c>
      <c r="G149" s="560">
        <v>115.2</v>
      </c>
      <c r="H149" s="560">
        <v>198.56</v>
      </c>
      <c r="I149" s="572">
        <f t="shared" si="31"/>
        <v>1465.76</v>
      </c>
      <c r="J149" s="500">
        <f>ROUND((F149+G149+H149)*('[4]29_01_H_2020'!$O$13)*E149*12*(1+'[4]29_01_H_2020'!$O$24),2)</f>
        <v>2825.99</v>
      </c>
    </row>
    <row r="150" spans="2:10" s="260" customFormat="1" ht="25.5" hidden="1" x14ac:dyDescent="0.2">
      <c r="B150" s="288" t="s">
        <v>171</v>
      </c>
      <c r="C150" s="288"/>
      <c r="D150" s="288"/>
      <c r="E150" s="262">
        <f>E151+E153+E152</f>
        <v>0</v>
      </c>
      <c r="F150" s="545">
        <f t="shared" ref="F150:I150" si="32">F151+F153+F152</f>
        <v>0</v>
      </c>
      <c r="G150" s="262">
        <f t="shared" si="32"/>
        <v>0</v>
      </c>
      <c r="H150" s="262">
        <f t="shared" si="32"/>
        <v>0</v>
      </c>
      <c r="I150" s="545">
        <f t="shared" si="32"/>
        <v>0</v>
      </c>
      <c r="J150" s="500"/>
    </row>
    <row r="151" spans="2:10" s="260" customFormat="1" ht="12.75" hidden="1" x14ac:dyDescent="0.2">
      <c r="B151" s="290"/>
      <c r="C151" s="290"/>
      <c r="D151" s="290"/>
      <c r="E151" s="263"/>
      <c r="F151" s="488"/>
      <c r="G151" s="557"/>
      <c r="H151" s="557"/>
      <c r="I151" s="488">
        <f>F151+G151+H151</f>
        <v>0</v>
      </c>
      <c r="J151" s="500"/>
    </row>
    <row r="152" spans="2:10" s="260" customFormat="1" ht="12.75" hidden="1" x14ac:dyDescent="0.2">
      <c r="B152" s="290"/>
      <c r="C152" s="290"/>
      <c r="D152" s="290"/>
      <c r="E152" s="263"/>
      <c r="F152" s="488"/>
      <c r="G152" s="557"/>
      <c r="H152" s="557"/>
      <c r="I152" s="488">
        <f>F152+G152+H152</f>
        <v>0</v>
      </c>
      <c r="J152" s="500"/>
    </row>
    <row r="153" spans="2:10" s="260" customFormat="1" ht="12.75" hidden="1" x14ac:dyDescent="0.2">
      <c r="B153" s="290"/>
      <c r="C153" s="290"/>
      <c r="D153" s="290"/>
      <c r="E153" s="263"/>
      <c r="F153" s="488"/>
      <c r="G153" s="557"/>
      <c r="H153" s="557"/>
      <c r="I153" s="488">
        <f>F153+G153+H153</f>
        <v>0</v>
      </c>
      <c r="J153" s="500"/>
    </row>
    <row r="154" spans="2:10" s="260" customFormat="1" ht="12.75" x14ac:dyDescent="0.2">
      <c r="B154" s="288" t="s">
        <v>286</v>
      </c>
      <c r="C154" s="288"/>
      <c r="D154" s="288"/>
      <c r="E154" s="262">
        <f>SUM(E155:E158)</f>
        <v>13</v>
      </c>
      <c r="F154" s="545">
        <f t="shared" ref="F154:I154" si="33">SUM(F155:F158)</f>
        <v>3372</v>
      </c>
      <c r="G154" s="262">
        <f t="shared" si="33"/>
        <v>210.75</v>
      </c>
      <c r="H154" s="262">
        <f t="shared" si="33"/>
        <v>686.95999999999992</v>
      </c>
      <c r="I154" s="545">
        <f t="shared" si="33"/>
        <v>4269.71</v>
      </c>
      <c r="J154" s="244"/>
    </row>
    <row r="155" spans="2:10" s="260" customFormat="1" ht="12.75" x14ac:dyDescent="0.2">
      <c r="B155" s="604" t="s">
        <v>11</v>
      </c>
      <c r="C155" s="286" t="s">
        <v>287</v>
      </c>
      <c r="D155" s="580" t="s">
        <v>288</v>
      </c>
      <c r="E155" s="571">
        <v>8</v>
      </c>
      <c r="F155" s="416">
        <v>843</v>
      </c>
      <c r="G155" s="560">
        <v>16.86</v>
      </c>
      <c r="H155" s="560">
        <v>171.73999999999998</v>
      </c>
      <c r="I155" s="572">
        <f>F155+G155+H155</f>
        <v>1031.5999999999999</v>
      </c>
      <c r="J155" s="606">
        <f>ROUND((F155+G155+H155)*('[4]29_01_H_2020'!$O$16)*E155*12*(1+'[4]29_01_H_2020'!$O$24),2)</f>
        <v>8445.2999999999993</v>
      </c>
    </row>
    <row r="156" spans="2:10" s="260" customFormat="1" ht="12.75" x14ac:dyDescent="0.2">
      <c r="B156" s="604" t="s">
        <v>11</v>
      </c>
      <c r="C156" s="286" t="s">
        <v>287</v>
      </c>
      <c r="D156" s="580" t="s">
        <v>288</v>
      </c>
      <c r="E156" s="571">
        <v>3</v>
      </c>
      <c r="F156" s="416">
        <v>843</v>
      </c>
      <c r="G156" s="560">
        <v>42.15</v>
      </c>
      <c r="H156" s="560">
        <v>171.73999999999998</v>
      </c>
      <c r="I156" s="572">
        <f>F156+G156+H156</f>
        <v>1056.8899999999999</v>
      </c>
      <c r="J156" s="606">
        <f>ROUND((F156+G156+H156)*('[4]29_01_H_2020'!$O$16)*E156*12*(1+'[4]29_01_H_2020'!$O$24),2)</f>
        <v>3244.63</v>
      </c>
    </row>
    <row r="157" spans="2:10" s="260" customFormat="1" ht="12.75" x14ac:dyDescent="0.2">
      <c r="B157" s="604" t="s">
        <v>11</v>
      </c>
      <c r="C157" s="286" t="s">
        <v>287</v>
      </c>
      <c r="D157" s="580" t="s">
        <v>288</v>
      </c>
      <c r="E157" s="571">
        <v>1</v>
      </c>
      <c r="F157" s="416">
        <v>843</v>
      </c>
      <c r="G157" s="560">
        <v>67.44</v>
      </c>
      <c r="H157" s="560">
        <v>171.73999999999998</v>
      </c>
      <c r="I157" s="572">
        <f>F157+G157+H157</f>
        <v>1082.18</v>
      </c>
      <c r="J157" s="606">
        <f>ROUND((F157+G157+H157)*('[4]29_01_H_2020'!$O$16)*E157*12*(1+'[4]29_01_H_2020'!$O$24),2)</f>
        <v>1107.42</v>
      </c>
    </row>
    <row r="158" spans="2:10" s="260" customFormat="1" ht="12.75" x14ac:dyDescent="0.2">
      <c r="B158" s="604" t="s">
        <v>11</v>
      </c>
      <c r="C158" s="286" t="s">
        <v>287</v>
      </c>
      <c r="D158" s="580" t="s">
        <v>288</v>
      </c>
      <c r="E158" s="571">
        <v>1</v>
      </c>
      <c r="F158" s="416">
        <v>843</v>
      </c>
      <c r="G158" s="560">
        <v>84.3</v>
      </c>
      <c r="H158" s="560">
        <v>171.73999999999998</v>
      </c>
      <c r="I158" s="572">
        <f>F158+G158+H158</f>
        <v>1099.04</v>
      </c>
      <c r="J158" s="606">
        <f>ROUND((F158+G158+H158)*('[4]29_01_H_2020'!$O$16)*E158*12*(1+'[4]29_01_H_2020'!$O$24),2)</f>
        <v>1124.68</v>
      </c>
    </row>
    <row r="159" spans="2:10" s="260" customFormat="1" ht="13.5" x14ac:dyDescent="0.2">
      <c r="B159" s="284" t="s">
        <v>97</v>
      </c>
      <c r="C159" s="284"/>
      <c r="D159" s="284"/>
      <c r="E159" s="285">
        <f>E129+E137</f>
        <v>34</v>
      </c>
      <c r="F159" s="595" t="s">
        <v>538</v>
      </c>
      <c r="G159" s="595" t="s">
        <v>538</v>
      </c>
      <c r="H159" s="595" t="s">
        <v>538</v>
      </c>
      <c r="I159" s="595" t="s">
        <v>538</v>
      </c>
      <c r="J159" s="244"/>
    </row>
    <row r="160" spans="2:10" s="269" customFormat="1" ht="33" customHeight="1" x14ac:dyDescent="0.25">
      <c r="B160" s="803" t="s">
        <v>420</v>
      </c>
      <c r="C160" s="803"/>
      <c r="D160" s="803"/>
      <c r="E160" s="803"/>
      <c r="F160" s="803"/>
      <c r="G160" s="803"/>
      <c r="H160" s="803"/>
      <c r="I160" s="803"/>
      <c r="J160" s="598"/>
    </row>
    <row r="161" spans="2:10" s="260" customFormat="1" ht="28.5" customHeight="1" x14ac:dyDescent="0.2">
      <c r="B161" s="287" t="s">
        <v>23</v>
      </c>
      <c r="C161" s="287"/>
      <c r="D161" s="287"/>
      <c r="E161" s="270">
        <f>E162+E164+E166+E172</f>
        <v>4.75</v>
      </c>
      <c r="F161" s="558">
        <f>F162+F164+F166+F172</f>
        <v>9290</v>
      </c>
      <c r="G161" s="270">
        <f>G162+G164+G166+G172</f>
        <v>73.98</v>
      </c>
      <c r="H161" s="270">
        <f>H162+H164+H166+H172</f>
        <v>0</v>
      </c>
      <c r="I161" s="558">
        <f>I162+I164+I166+I172</f>
        <v>9363.98</v>
      </c>
      <c r="J161" s="244"/>
    </row>
    <row r="162" spans="2:10" s="260" customFormat="1" ht="12.75" x14ac:dyDescent="0.2">
      <c r="B162" s="288" t="s">
        <v>24</v>
      </c>
      <c r="C162" s="288"/>
      <c r="D162" s="288"/>
      <c r="E162" s="271">
        <f>E163</f>
        <v>0.75</v>
      </c>
      <c r="F162" s="559">
        <f t="shared" ref="F162:I162" si="34">F163</f>
        <v>1675</v>
      </c>
      <c r="G162" s="271">
        <f t="shared" si="34"/>
        <v>0</v>
      </c>
      <c r="H162" s="271">
        <f t="shared" si="34"/>
        <v>0</v>
      </c>
      <c r="I162" s="559">
        <f t="shared" si="34"/>
        <v>1675</v>
      </c>
      <c r="J162" s="244"/>
    </row>
    <row r="163" spans="2:10" s="260" customFormat="1" ht="12.75" x14ac:dyDescent="0.2">
      <c r="B163" s="607" t="s">
        <v>81</v>
      </c>
      <c r="C163" s="286" t="s">
        <v>404</v>
      </c>
      <c r="D163" s="286" t="s">
        <v>411</v>
      </c>
      <c r="E163" s="571">
        <v>0.75</v>
      </c>
      <c r="F163" s="572">
        <v>1675</v>
      </c>
      <c r="G163" s="570">
        <v>0</v>
      </c>
      <c r="H163" s="570">
        <v>0</v>
      </c>
      <c r="I163" s="572">
        <f>F163+G163+H163</f>
        <v>1675</v>
      </c>
      <c r="J163" s="500">
        <f>ROUND((F163+G163+H163)*('[4]29_01_H_2020'!$O$9)*E163*12*(1+'[4]29_01_H_2020'!$O$24),2)</f>
        <v>1974.91</v>
      </c>
    </row>
    <row r="164" spans="2:10" s="260" customFormat="1" ht="38.25" x14ac:dyDescent="0.2">
      <c r="B164" s="288" t="s">
        <v>388</v>
      </c>
      <c r="C164" s="288"/>
      <c r="D164" s="288"/>
      <c r="E164" s="271">
        <f>E165</f>
        <v>0.5</v>
      </c>
      <c r="F164" s="271">
        <f t="shared" ref="F164:I164" si="35">F165</f>
        <v>1369</v>
      </c>
      <c r="G164" s="271">
        <f t="shared" si="35"/>
        <v>0</v>
      </c>
      <c r="H164" s="271">
        <f t="shared" si="35"/>
        <v>0</v>
      </c>
      <c r="I164" s="271">
        <f t="shared" si="35"/>
        <v>1369</v>
      </c>
      <c r="J164" s="244"/>
    </row>
    <row r="165" spans="2:10" s="260" customFormat="1" ht="12.75" x14ac:dyDescent="0.2">
      <c r="B165" s="602" t="s">
        <v>89</v>
      </c>
      <c r="C165" s="286" t="s">
        <v>389</v>
      </c>
      <c r="D165" s="603" t="s">
        <v>390</v>
      </c>
      <c r="E165" s="571">
        <v>0.5</v>
      </c>
      <c r="F165" s="572">
        <v>1369</v>
      </c>
      <c r="G165" s="570">
        <v>0</v>
      </c>
      <c r="H165" s="570">
        <v>0</v>
      </c>
      <c r="I165" s="572">
        <f>F165+G165+H165</f>
        <v>1369</v>
      </c>
      <c r="J165" s="500">
        <f>ROUND((F165+G165+H165)*('[4]29_01_H_2020'!$O$9)*E165*12*(1+'[4]29_01_H_2020'!$O$24),2)</f>
        <v>1076.08</v>
      </c>
    </row>
    <row r="166" spans="2:10" s="260" customFormat="1" ht="38.25" x14ac:dyDescent="0.2">
      <c r="B166" s="288" t="s">
        <v>409</v>
      </c>
      <c r="C166" s="288"/>
      <c r="D166" s="288"/>
      <c r="E166" s="271">
        <f>SUM(E167:E171)</f>
        <v>3.5</v>
      </c>
      <c r="F166" s="271">
        <f t="shared" ref="F166:I166" si="36">SUM(F167:F171)</f>
        <v>6246</v>
      </c>
      <c r="G166" s="271">
        <f t="shared" si="36"/>
        <v>73.98</v>
      </c>
      <c r="H166" s="271">
        <f t="shared" si="36"/>
        <v>0</v>
      </c>
      <c r="I166" s="271">
        <f t="shared" si="36"/>
        <v>6319.98</v>
      </c>
      <c r="J166" s="244"/>
    </row>
    <row r="167" spans="2:10" s="260" customFormat="1" ht="12.75" x14ac:dyDescent="0.2">
      <c r="B167" s="579" t="s">
        <v>721</v>
      </c>
      <c r="C167" s="575" t="s">
        <v>283</v>
      </c>
      <c r="D167" s="580" t="s">
        <v>291</v>
      </c>
      <c r="E167" s="571">
        <v>0.25</v>
      </c>
      <c r="F167" s="416">
        <v>1600</v>
      </c>
      <c r="G167" s="416">
        <v>16</v>
      </c>
      <c r="H167" s="572">
        <v>0</v>
      </c>
      <c r="I167" s="572">
        <f>F167+G167+H167</f>
        <v>1616</v>
      </c>
      <c r="J167" s="500">
        <f>ROUND((F167+G167+H167)*('[4]29_01_H_2020'!$O$13)*E167*12*(1+'[4]29_01_H_2020'!$O$24),2)</f>
        <v>389.46</v>
      </c>
    </row>
    <row r="168" spans="2:10" s="260" customFormat="1" ht="12.75" x14ac:dyDescent="0.2">
      <c r="B168" s="579" t="s">
        <v>721</v>
      </c>
      <c r="C168" s="575" t="s">
        <v>283</v>
      </c>
      <c r="D168" s="580" t="s">
        <v>291</v>
      </c>
      <c r="E168" s="571">
        <v>0.75</v>
      </c>
      <c r="F168" s="416">
        <v>1190</v>
      </c>
      <c r="G168" s="416">
        <v>11.9</v>
      </c>
      <c r="H168" s="572">
        <v>0</v>
      </c>
      <c r="I168" s="572">
        <f>F168+G168+H168</f>
        <v>1201.9000000000001</v>
      </c>
      <c r="J168" s="500">
        <f>ROUND((F168+G168+H168)*('[4]29_01_H_2020'!$O$13)*E168*12*(1+'[4]29_01_H_2020'!$O$24),2)</f>
        <v>868.98</v>
      </c>
    </row>
    <row r="169" spans="2:10" s="260" customFormat="1" ht="12.75" x14ac:dyDescent="0.2">
      <c r="B169" s="579" t="s">
        <v>456</v>
      </c>
      <c r="C169" s="575" t="s">
        <v>722</v>
      </c>
      <c r="D169" s="580" t="s">
        <v>291</v>
      </c>
      <c r="E169" s="571">
        <v>1</v>
      </c>
      <c r="F169" s="416">
        <v>1152</v>
      </c>
      <c r="G169" s="416">
        <v>11.52</v>
      </c>
      <c r="H169" s="572">
        <v>0</v>
      </c>
      <c r="I169" s="572">
        <f>F169+G169+H169</f>
        <v>1163.52</v>
      </c>
      <c r="J169" s="500">
        <f>ROUND((F169+G169+H169)*('[4]29_01_H_2020'!$O$13)*E169*12*(1+'[4]29_01_H_2020'!$O$24),2)</f>
        <v>1121.6400000000001</v>
      </c>
    </row>
    <row r="170" spans="2:10" s="260" customFormat="1" ht="12.75" x14ac:dyDescent="0.2">
      <c r="B170" s="579" t="s">
        <v>456</v>
      </c>
      <c r="C170" s="575" t="s">
        <v>722</v>
      </c>
      <c r="D170" s="580" t="s">
        <v>291</v>
      </c>
      <c r="E170" s="571">
        <v>1</v>
      </c>
      <c r="F170" s="416">
        <v>1152</v>
      </c>
      <c r="G170" s="416">
        <v>34.56</v>
      </c>
      <c r="H170" s="572">
        <v>0</v>
      </c>
      <c r="I170" s="572">
        <f>F170+G170+H170</f>
        <v>1186.56</v>
      </c>
      <c r="J170" s="500">
        <f>ROUND((F170+G170+H170)*('[4]29_01_H_2020'!$O$13)*E170*12*(1+'[4]29_01_H_2020'!$O$24),2)</f>
        <v>1143.8499999999999</v>
      </c>
    </row>
    <row r="171" spans="2:10" s="260" customFormat="1" ht="12.75" x14ac:dyDescent="0.2">
      <c r="B171" s="582" t="s">
        <v>74</v>
      </c>
      <c r="C171" s="575" t="s">
        <v>279</v>
      </c>
      <c r="D171" s="580" t="s">
        <v>295</v>
      </c>
      <c r="E171" s="571">
        <v>0.5</v>
      </c>
      <c r="F171" s="416">
        <v>1152</v>
      </c>
      <c r="G171" s="416">
        <v>0</v>
      </c>
      <c r="H171" s="572">
        <v>0</v>
      </c>
      <c r="I171" s="572">
        <f>F171+G171+H171</f>
        <v>1152</v>
      </c>
      <c r="J171" s="500">
        <f>ROUND((F171+G171+H171)*('[4]29_01_H_2020'!$O$13)*E171*12*(1+'[4]29_01_H_2020'!$O$24),2)</f>
        <v>555.27</v>
      </c>
    </row>
    <row r="172" spans="2:10" s="260" customFormat="1" ht="38.25" hidden="1" x14ac:dyDescent="0.2">
      <c r="B172" s="288" t="s">
        <v>61</v>
      </c>
      <c r="C172" s="288"/>
      <c r="D172" s="288"/>
      <c r="E172" s="271">
        <f>E173</f>
        <v>0</v>
      </c>
      <c r="F172" s="559">
        <f t="shared" ref="F172:I172" si="37">F173</f>
        <v>0</v>
      </c>
      <c r="G172" s="271">
        <f t="shared" si="37"/>
        <v>0</v>
      </c>
      <c r="H172" s="271">
        <f t="shared" si="37"/>
        <v>0</v>
      </c>
      <c r="I172" s="559">
        <f t="shared" si="37"/>
        <v>0</v>
      </c>
      <c r="J172" s="244"/>
    </row>
    <row r="173" spans="2:10" s="260" customFormat="1" ht="12.75" hidden="1" x14ac:dyDescent="0.2">
      <c r="B173" s="291"/>
      <c r="C173" s="286"/>
      <c r="D173" s="292"/>
      <c r="E173" s="104"/>
      <c r="F173" s="416"/>
      <c r="G173" s="560"/>
      <c r="H173" s="560"/>
      <c r="I173" s="599"/>
      <c r="J173" s="500"/>
    </row>
    <row r="174" spans="2:10" s="260" customFormat="1" ht="25.5" customHeight="1" x14ac:dyDescent="0.2">
      <c r="B174" s="287" t="s">
        <v>62</v>
      </c>
      <c r="C174" s="287"/>
      <c r="D174" s="287"/>
      <c r="E174" s="270">
        <f>E175+E178+E181+E184</f>
        <v>3.5</v>
      </c>
      <c r="F174" s="558">
        <f>F175+F178+F181+F184</f>
        <v>2163</v>
      </c>
      <c r="G174" s="270">
        <f>G175+G178+G181+G184</f>
        <v>0</v>
      </c>
      <c r="H174" s="270">
        <f>H175+H178+H181+H184</f>
        <v>5.89</v>
      </c>
      <c r="I174" s="558">
        <f>I175+I178+I181+I184</f>
        <v>2168.89</v>
      </c>
      <c r="J174" s="244"/>
    </row>
    <row r="175" spans="2:10" s="260" customFormat="1" ht="38.25" hidden="1" x14ac:dyDescent="0.2">
      <c r="B175" s="288" t="s">
        <v>170</v>
      </c>
      <c r="C175" s="288"/>
      <c r="D175" s="288"/>
      <c r="E175" s="271">
        <f>E176+E177</f>
        <v>0</v>
      </c>
      <c r="F175" s="559">
        <f t="shared" ref="F175:I175" si="38">F176+F177</f>
        <v>0</v>
      </c>
      <c r="G175" s="271">
        <f t="shared" si="38"/>
        <v>0</v>
      </c>
      <c r="H175" s="271">
        <f t="shared" si="38"/>
        <v>0</v>
      </c>
      <c r="I175" s="559">
        <f t="shared" si="38"/>
        <v>0</v>
      </c>
      <c r="J175" s="244"/>
    </row>
    <row r="176" spans="2:10" s="260" customFormat="1" ht="12.75" hidden="1" x14ac:dyDescent="0.2">
      <c r="B176" s="293" t="s">
        <v>84</v>
      </c>
      <c r="C176" s="293"/>
      <c r="D176" s="293"/>
      <c r="E176" s="104"/>
      <c r="F176" s="416"/>
      <c r="G176" s="560"/>
      <c r="H176" s="560"/>
      <c r="I176" s="416">
        <f>F176+G176+H176</f>
        <v>0</v>
      </c>
      <c r="J176" s="244"/>
    </row>
    <row r="177" spans="2:10" s="260" customFormat="1" ht="12.75" hidden="1" x14ac:dyDescent="0.2">
      <c r="B177" s="293"/>
      <c r="C177" s="293"/>
      <c r="D177" s="293"/>
      <c r="E177" s="104"/>
      <c r="F177" s="416"/>
      <c r="G177" s="560"/>
      <c r="H177" s="560"/>
      <c r="I177" s="416">
        <f>F177+G177+H177</f>
        <v>0</v>
      </c>
      <c r="J177" s="244"/>
    </row>
    <row r="178" spans="2:10" s="260" customFormat="1" ht="38.25" x14ac:dyDescent="0.2">
      <c r="B178" s="288" t="s">
        <v>282</v>
      </c>
      <c r="C178" s="288"/>
      <c r="D178" s="288"/>
      <c r="E178" s="271">
        <f>E179</f>
        <v>0.5</v>
      </c>
      <c r="F178" s="559">
        <f>F179+F180</f>
        <v>1320</v>
      </c>
      <c r="G178" s="271">
        <f>G179+G180</f>
        <v>0</v>
      </c>
      <c r="H178" s="271">
        <f>H179+H180</f>
        <v>0</v>
      </c>
      <c r="I178" s="559">
        <f>I179+I180</f>
        <v>1320</v>
      </c>
      <c r="J178" s="244"/>
    </row>
    <row r="179" spans="2:10" s="260" customFormat="1" ht="12.75" x14ac:dyDescent="0.2">
      <c r="B179" s="582" t="s">
        <v>84</v>
      </c>
      <c r="C179" s="575" t="s">
        <v>391</v>
      </c>
      <c r="D179" s="580" t="s">
        <v>392</v>
      </c>
      <c r="E179" s="571">
        <v>0.5</v>
      </c>
      <c r="F179" s="416">
        <v>1320</v>
      </c>
      <c r="G179" s="560">
        <v>0</v>
      </c>
      <c r="H179" s="560">
        <v>0</v>
      </c>
      <c r="I179" s="572">
        <f>F179+G179+H179</f>
        <v>1320</v>
      </c>
      <c r="J179" s="500">
        <f>ROUND((F179+G179+H179)*('[4]29_01_H_2020'!$O$13)*E179*12*(1+'[4]29_01_H_2020'!$O$24),2)</f>
        <v>636.24</v>
      </c>
    </row>
    <row r="180" spans="2:10" s="260" customFormat="1" ht="12.75" hidden="1" x14ac:dyDescent="0.2">
      <c r="B180" s="290"/>
      <c r="C180" s="290"/>
      <c r="D180" s="290"/>
      <c r="E180" s="104"/>
      <c r="F180" s="416"/>
      <c r="G180" s="560"/>
      <c r="H180" s="560"/>
      <c r="I180" s="416">
        <f>F180+G180+H180</f>
        <v>0</v>
      </c>
      <c r="J180" s="244"/>
    </row>
    <row r="181" spans="2:10" s="260" customFormat="1" ht="38.25" hidden="1" x14ac:dyDescent="0.2">
      <c r="B181" s="288" t="s">
        <v>172</v>
      </c>
      <c r="C181" s="288"/>
      <c r="D181" s="288"/>
      <c r="E181" s="271">
        <f>SUM(E182:E183)</f>
        <v>0</v>
      </c>
      <c r="F181" s="559">
        <f>SUM(F182:F183)</f>
        <v>0</v>
      </c>
      <c r="G181" s="271">
        <f>SUM(G182:G183)</f>
        <v>0</v>
      </c>
      <c r="H181" s="271">
        <f>SUM(H182:H183)</f>
        <v>0</v>
      </c>
      <c r="I181" s="559">
        <f>SUM(I182:I183)</f>
        <v>0</v>
      </c>
      <c r="J181" s="244"/>
    </row>
    <row r="182" spans="2:10" s="260" customFormat="1" ht="12.75" hidden="1" x14ac:dyDescent="0.2">
      <c r="B182" s="290" t="s">
        <v>88</v>
      </c>
      <c r="C182" s="290"/>
      <c r="D182" s="290"/>
      <c r="E182" s="104"/>
      <c r="F182" s="416"/>
      <c r="G182" s="560"/>
      <c r="H182" s="560"/>
      <c r="I182" s="416">
        <f>F182+G182+H182</f>
        <v>0</v>
      </c>
      <c r="J182" s="244"/>
    </row>
    <row r="183" spans="2:10" s="260" customFormat="1" ht="12.75" hidden="1" x14ac:dyDescent="0.2">
      <c r="B183" s="290"/>
      <c r="C183" s="290"/>
      <c r="D183" s="290"/>
      <c r="E183" s="104"/>
      <c r="F183" s="416"/>
      <c r="G183" s="560"/>
      <c r="H183" s="560"/>
      <c r="I183" s="416">
        <f>F183+G183+H183</f>
        <v>0</v>
      </c>
      <c r="J183" s="244"/>
    </row>
    <row r="184" spans="2:10" s="260" customFormat="1" ht="12.75" x14ac:dyDescent="0.2">
      <c r="B184" s="288" t="s">
        <v>286</v>
      </c>
      <c r="C184" s="288"/>
      <c r="D184" s="288"/>
      <c r="E184" s="271">
        <f>E185</f>
        <v>3</v>
      </c>
      <c r="F184" s="559">
        <f t="shared" ref="F184:I184" si="39">F185</f>
        <v>843</v>
      </c>
      <c r="G184" s="271">
        <f t="shared" si="39"/>
        <v>0</v>
      </c>
      <c r="H184" s="271">
        <f t="shared" si="39"/>
        <v>5.89</v>
      </c>
      <c r="I184" s="559">
        <f t="shared" si="39"/>
        <v>848.89</v>
      </c>
      <c r="J184" s="244"/>
    </row>
    <row r="185" spans="2:10" s="260" customFormat="1" ht="12.75" x14ac:dyDescent="0.2">
      <c r="B185" s="604" t="s">
        <v>11</v>
      </c>
      <c r="C185" s="286" t="s">
        <v>287</v>
      </c>
      <c r="D185" s="580" t="s">
        <v>288</v>
      </c>
      <c r="E185" s="571">
        <v>3</v>
      </c>
      <c r="F185" s="416">
        <v>843</v>
      </c>
      <c r="G185" s="560">
        <v>0</v>
      </c>
      <c r="H185" s="560">
        <v>5.89</v>
      </c>
      <c r="I185" s="572">
        <f>F185+G185+H185</f>
        <v>848.89</v>
      </c>
      <c r="J185" s="606">
        <f>ROUND((F185+G185+H185)*('[4]29_01_H_2020'!$O$16)*E185*12*(1+'[4]29_01_H_2020'!$O$24),2)</f>
        <v>2606.0700000000002</v>
      </c>
    </row>
    <row r="186" spans="2:10" s="260" customFormat="1" ht="13.5" x14ac:dyDescent="0.2">
      <c r="B186" s="284" t="s">
        <v>97</v>
      </c>
      <c r="C186" s="284"/>
      <c r="D186" s="284"/>
      <c r="E186" s="285">
        <f>E161+E174</f>
        <v>8.25</v>
      </c>
      <c r="F186" s="595" t="s">
        <v>538</v>
      </c>
      <c r="G186" s="595" t="s">
        <v>538</v>
      </c>
      <c r="H186" s="595" t="s">
        <v>538</v>
      </c>
      <c r="I186" s="595" t="s">
        <v>538</v>
      </c>
      <c r="J186" s="244"/>
    </row>
    <row r="187" spans="2:10" s="269" customFormat="1" ht="33.75" customHeight="1" x14ac:dyDescent="0.25">
      <c r="B187" s="803" t="s">
        <v>421</v>
      </c>
      <c r="C187" s="803"/>
      <c r="D187" s="803"/>
      <c r="E187" s="803"/>
      <c r="F187" s="803"/>
      <c r="G187" s="803"/>
      <c r="H187" s="803"/>
      <c r="I187" s="803"/>
      <c r="J187" s="598"/>
    </row>
    <row r="188" spans="2:10" s="260" customFormat="1" ht="29.25" customHeight="1" x14ac:dyDescent="0.2">
      <c r="B188" s="287" t="s">
        <v>23</v>
      </c>
      <c r="C188" s="287"/>
      <c r="D188" s="287"/>
      <c r="E188" s="261">
        <f>E189+E191+E193</f>
        <v>1.75</v>
      </c>
      <c r="F188" s="261">
        <f t="shared" ref="F188:I188" si="40">F189+F191+F193</f>
        <v>5545</v>
      </c>
      <c r="G188" s="261">
        <f t="shared" si="40"/>
        <v>163.75</v>
      </c>
      <c r="H188" s="261">
        <f t="shared" si="40"/>
        <v>277.25</v>
      </c>
      <c r="I188" s="261">
        <f t="shared" si="40"/>
        <v>5986</v>
      </c>
      <c r="J188" s="244"/>
    </row>
    <row r="189" spans="2:10" s="260" customFormat="1" ht="12.75" x14ac:dyDescent="0.2">
      <c r="B189" s="288" t="s">
        <v>24</v>
      </c>
      <c r="C189" s="288"/>
      <c r="D189" s="288"/>
      <c r="E189" s="262">
        <f>E190</f>
        <v>0.5</v>
      </c>
      <c r="F189" s="548">
        <f t="shared" ref="F189:I189" si="41">F190</f>
        <v>2090</v>
      </c>
      <c r="G189" s="262">
        <f t="shared" si="41"/>
        <v>83.6</v>
      </c>
      <c r="H189" s="262">
        <f t="shared" si="41"/>
        <v>104.5</v>
      </c>
      <c r="I189" s="545">
        <f t="shared" si="41"/>
        <v>2278.1</v>
      </c>
      <c r="J189" s="244"/>
    </row>
    <row r="190" spans="2:10" s="260" customFormat="1" ht="12.75" x14ac:dyDescent="0.2">
      <c r="B190" s="289" t="s">
        <v>81</v>
      </c>
      <c r="C190" s="286" t="s">
        <v>404</v>
      </c>
      <c r="D190" s="282" t="s">
        <v>411</v>
      </c>
      <c r="E190" s="571">
        <v>0.5</v>
      </c>
      <c r="F190" s="570">
        <v>2090</v>
      </c>
      <c r="G190" s="570">
        <v>83.6</v>
      </c>
      <c r="H190" s="570">
        <v>104.5</v>
      </c>
      <c r="I190" s="570">
        <f>F190+G190+H190</f>
        <v>2278.1</v>
      </c>
      <c r="J190" s="500">
        <f>ROUND((F190+G190+H190)*('[4]29_01_H_2020'!$O$9)*E190*12*(1+'[4]29_01_H_2020'!$O$24),2)</f>
        <v>1790.66</v>
      </c>
    </row>
    <row r="191" spans="2:10" s="260" customFormat="1" ht="38.25" x14ac:dyDescent="0.2">
      <c r="B191" s="288" t="s">
        <v>388</v>
      </c>
      <c r="C191" s="288"/>
      <c r="D191" s="288"/>
      <c r="E191" s="271">
        <f>E192</f>
        <v>0.5</v>
      </c>
      <c r="F191" s="271">
        <f t="shared" ref="F191:I191" si="42">F192</f>
        <v>1935</v>
      </c>
      <c r="G191" s="271">
        <f t="shared" si="42"/>
        <v>19.350000000000001</v>
      </c>
      <c r="H191" s="271">
        <f t="shared" si="42"/>
        <v>96.75</v>
      </c>
      <c r="I191" s="271">
        <f t="shared" si="42"/>
        <v>2051.1</v>
      </c>
      <c r="J191" s="500"/>
    </row>
    <row r="192" spans="2:10" s="260" customFormat="1" ht="12.75" x14ac:dyDescent="0.2">
      <c r="B192" s="281" t="s">
        <v>84</v>
      </c>
      <c r="C192" s="575" t="s">
        <v>391</v>
      </c>
      <c r="D192" s="282" t="s">
        <v>392</v>
      </c>
      <c r="E192" s="571">
        <v>0.5</v>
      </c>
      <c r="F192" s="570">
        <v>1935</v>
      </c>
      <c r="G192" s="570">
        <v>19.350000000000001</v>
      </c>
      <c r="H192" s="570">
        <v>96.75</v>
      </c>
      <c r="I192" s="570">
        <f>F192+G192+H192</f>
        <v>2051.1</v>
      </c>
      <c r="J192" s="500">
        <f>ROUND((F192+G192+H192)*('[4]29_01_H_2020'!$O$9)*E192*12*(1+'[4]29_01_H_2020'!$O$24),2)</f>
        <v>1612.23</v>
      </c>
    </row>
    <row r="193" spans="2:10" s="260" customFormat="1" ht="38.25" x14ac:dyDescent="0.2">
      <c r="B193" s="288" t="s">
        <v>422</v>
      </c>
      <c r="C193" s="288"/>
      <c r="D193" s="288"/>
      <c r="E193" s="262">
        <f>SUM(E194)</f>
        <v>0.75</v>
      </c>
      <c r="F193" s="262">
        <f t="shared" ref="F193:I193" si="43">SUM(F194)</f>
        <v>1520</v>
      </c>
      <c r="G193" s="262">
        <f t="shared" si="43"/>
        <v>60.8</v>
      </c>
      <c r="H193" s="262">
        <f t="shared" si="43"/>
        <v>76</v>
      </c>
      <c r="I193" s="262">
        <f t="shared" si="43"/>
        <v>1656.8</v>
      </c>
      <c r="J193" s="244"/>
    </row>
    <row r="194" spans="2:10" s="260" customFormat="1" ht="12.75" x14ac:dyDescent="0.2">
      <c r="B194" s="604" t="s">
        <v>74</v>
      </c>
      <c r="C194" s="286" t="s">
        <v>279</v>
      </c>
      <c r="D194" s="580" t="s">
        <v>295</v>
      </c>
      <c r="E194" s="571">
        <v>0.75</v>
      </c>
      <c r="F194" s="570">
        <v>1520</v>
      </c>
      <c r="G194" s="570">
        <v>60.8</v>
      </c>
      <c r="H194" s="570">
        <v>76</v>
      </c>
      <c r="I194" s="570">
        <f>F194+G194+H194</f>
        <v>1656.8</v>
      </c>
      <c r="J194" s="500">
        <f>ROUND((F194+G194+H194)*('[4]29_01_H_2020'!$O$13)*E194*12*(1+'[4]29_01_H_2020'!$O$24),2)</f>
        <v>1197.8699999999999</v>
      </c>
    </row>
    <row r="195" spans="2:10" s="260" customFormat="1" ht="29.25" customHeight="1" x14ac:dyDescent="0.2">
      <c r="B195" s="287" t="s">
        <v>62</v>
      </c>
      <c r="C195" s="287"/>
      <c r="D195" s="287"/>
      <c r="E195" s="261">
        <f>E196</f>
        <v>6.5</v>
      </c>
      <c r="F195" s="261">
        <f t="shared" ref="F195:I195" si="44">F196</f>
        <v>4015</v>
      </c>
      <c r="G195" s="261">
        <f t="shared" si="44"/>
        <v>155.79999999999998</v>
      </c>
      <c r="H195" s="261">
        <f t="shared" si="44"/>
        <v>925.05</v>
      </c>
      <c r="I195" s="261">
        <f t="shared" si="44"/>
        <v>5095.8500000000004</v>
      </c>
      <c r="J195" s="244"/>
    </row>
    <row r="196" spans="2:10" s="260" customFormat="1" ht="38.25" x14ac:dyDescent="0.2">
      <c r="B196" s="288" t="s">
        <v>282</v>
      </c>
      <c r="C196" s="288"/>
      <c r="D196" s="288"/>
      <c r="E196" s="262">
        <f>SUM(E197:E199)</f>
        <v>6.5</v>
      </c>
      <c r="F196" s="548">
        <f>SUM(F197:F199)</f>
        <v>4015</v>
      </c>
      <c r="G196" s="262">
        <f>SUM(G197:G199)</f>
        <v>155.79999999999998</v>
      </c>
      <c r="H196" s="262">
        <f>SUM(H197:H199)</f>
        <v>925.05</v>
      </c>
      <c r="I196" s="545">
        <f>SUM(I197:I199)</f>
        <v>5095.8500000000004</v>
      </c>
      <c r="J196" s="244"/>
    </row>
    <row r="197" spans="2:10" s="260" customFormat="1" ht="12.75" x14ac:dyDescent="0.2">
      <c r="B197" s="244" t="s">
        <v>8</v>
      </c>
      <c r="C197" s="575" t="s">
        <v>284</v>
      </c>
      <c r="D197" s="577" t="s">
        <v>291</v>
      </c>
      <c r="E197" s="571">
        <v>1</v>
      </c>
      <c r="F197" s="570">
        <v>1495</v>
      </c>
      <c r="G197" s="570">
        <v>59.8</v>
      </c>
      <c r="H197" s="570">
        <v>74.75</v>
      </c>
      <c r="I197" s="570">
        <f>F197+G197+H197</f>
        <v>1629.55</v>
      </c>
      <c r="J197" s="500">
        <f>ROUND((F197+G197+H197)*('[4]29_01_H_2020'!$O$13)*E197*12*(1+'[4]29_01_H_2020'!$O$24),2)</f>
        <v>1570.89</v>
      </c>
    </row>
    <row r="198" spans="2:10" s="260" customFormat="1" ht="12.75" x14ac:dyDescent="0.2">
      <c r="B198" s="583" t="s">
        <v>78</v>
      </c>
      <c r="C198" s="575" t="s">
        <v>373</v>
      </c>
      <c r="D198" s="580" t="s">
        <v>291</v>
      </c>
      <c r="E198" s="571">
        <v>3.5</v>
      </c>
      <c r="F198" s="570">
        <v>1280</v>
      </c>
      <c r="G198" s="570">
        <v>46.4</v>
      </c>
      <c r="H198" s="570">
        <v>431.9</v>
      </c>
      <c r="I198" s="570">
        <f>F198+G198+H198</f>
        <v>1758.3000000000002</v>
      </c>
      <c r="J198" s="500">
        <f>ROUND((F198+G198+H198)*('[4]29_01_H_2020'!$O$13)*E198*12*(1+'[4]29_01_H_2020'!$O$24),2)</f>
        <v>5932.52</v>
      </c>
    </row>
    <row r="199" spans="2:10" s="260" customFormat="1" ht="12.75" x14ac:dyDescent="0.2">
      <c r="B199" s="583" t="s">
        <v>78</v>
      </c>
      <c r="C199" s="575" t="s">
        <v>373</v>
      </c>
      <c r="D199" s="580" t="s">
        <v>291</v>
      </c>
      <c r="E199" s="571">
        <v>2</v>
      </c>
      <c r="F199" s="570">
        <v>1240</v>
      </c>
      <c r="G199" s="570">
        <v>49.6</v>
      </c>
      <c r="H199" s="570">
        <v>418.4</v>
      </c>
      <c r="I199" s="570">
        <f>F199+G199+H199</f>
        <v>1708</v>
      </c>
      <c r="J199" s="500">
        <f>ROUND((F199+G199+H199)*('[4]29_01_H_2020'!$O$13)*E199*12*(1+'[4]29_01_H_2020'!$O$24),2)</f>
        <v>3293.03</v>
      </c>
    </row>
    <row r="200" spans="2:10" s="260" customFormat="1" ht="25.5" hidden="1" customHeight="1" x14ac:dyDescent="0.2">
      <c r="B200" s="287" t="s">
        <v>62</v>
      </c>
      <c r="C200" s="287"/>
      <c r="D200" s="287"/>
      <c r="E200" s="261"/>
      <c r="F200" s="554"/>
      <c r="G200" s="261"/>
      <c r="H200" s="261"/>
      <c r="I200" s="544"/>
      <c r="J200" s="500"/>
    </row>
    <row r="201" spans="2:10" s="260" customFormat="1" ht="25.5" hidden="1" x14ac:dyDescent="0.2">
      <c r="B201" s="288" t="s">
        <v>171</v>
      </c>
      <c r="C201" s="288"/>
      <c r="D201" s="288"/>
      <c r="E201" s="262"/>
      <c r="F201" s="548"/>
      <c r="G201" s="262"/>
      <c r="H201" s="262"/>
      <c r="I201" s="545"/>
      <c r="J201" s="500"/>
    </row>
    <row r="202" spans="2:10" s="260" customFormat="1" ht="12.75" hidden="1" x14ac:dyDescent="0.2">
      <c r="B202" s="290"/>
      <c r="C202" s="290"/>
      <c r="D202" s="290"/>
      <c r="E202" s="263"/>
      <c r="F202" s="549"/>
      <c r="G202" s="547"/>
      <c r="H202" s="547"/>
      <c r="I202" s="488"/>
      <c r="J202" s="500"/>
    </row>
    <row r="203" spans="2:10" s="260" customFormat="1" ht="12.75" hidden="1" x14ac:dyDescent="0.2">
      <c r="B203" s="289"/>
      <c r="C203" s="289"/>
      <c r="D203" s="289"/>
      <c r="E203" s="263"/>
      <c r="F203" s="549"/>
      <c r="G203" s="547"/>
      <c r="H203" s="547"/>
      <c r="I203" s="488"/>
      <c r="J203" s="500"/>
    </row>
    <row r="204" spans="2:10" s="260" customFormat="1" ht="13.5" x14ac:dyDescent="0.2">
      <c r="B204" s="284" t="s">
        <v>97</v>
      </c>
      <c r="C204" s="284"/>
      <c r="D204" s="284"/>
      <c r="E204" s="285">
        <f>E188+E200+E195</f>
        <v>8.25</v>
      </c>
      <c r="F204" s="608" t="s">
        <v>538</v>
      </c>
      <c r="G204" s="608" t="s">
        <v>538</v>
      </c>
      <c r="H204" s="608" t="s">
        <v>538</v>
      </c>
      <c r="I204" s="608" t="s">
        <v>538</v>
      </c>
      <c r="J204" s="244"/>
    </row>
    <row r="205" spans="2:10" s="269" customFormat="1" ht="27.75" customHeight="1" x14ac:dyDescent="0.25">
      <c r="B205" s="803" t="s">
        <v>423</v>
      </c>
      <c r="C205" s="803"/>
      <c r="D205" s="803"/>
      <c r="E205" s="803"/>
      <c r="F205" s="803"/>
      <c r="G205" s="803"/>
      <c r="H205" s="803"/>
      <c r="I205" s="803"/>
      <c r="J205" s="598"/>
    </row>
    <row r="206" spans="2:10" s="260" customFormat="1" ht="12.75" x14ac:dyDescent="0.2">
      <c r="B206" s="287" t="s">
        <v>23</v>
      </c>
      <c r="C206" s="287"/>
      <c r="D206" s="287"/>
      <c r="E206" s="266">
        <f>E207+E210</f>
        <v>0.25</v>
      </c>
      <c r="F206" s="544">
        <f t="shared" ref="F206:I206" si="45">F207+F210</f>
        <v>1890</v>
      </c>
      <c r="G206" s="261">
        <f t="shared" si="45"/>
        <v>189</v>
      </c>
      <c r="H206" s="261">
        <f t="shared" si="45"/>
        <v>75.599999999999994</v>
      </c>
      <c r="I206" s="544">
        <f t="shared" si="45"/>
        <v>2154.6</v>
      </c>
      <c r="J206" s="244"/>
    </row>
    <row r="207" spans="2:10" s="260" customFormat="1" ht="12.75" hidden="1" x14ac:dyDescent="0.2">
      <c r="B207" s="288" t="s">
        <v>24</v>
      </c>
      <c r="C207" s="288"/>
      <c r="D207" s="288"/>
      <c r="E207" s="267">
        <f>E208+E209</f>
        <v>0</v>
      </c>
      <c r="F207" s="545">
        <f>F208+F209</f>
        <v>0</v>
      </c>
      <c r="G207" s="262">
        <f t="shared" ref="G207:I207" si="46">G208+G209</f>
        <v>0</v>
      </c>
      <c r="H207" s="262">
        <f t="shared" si="46"/>
        <v>0</v>
      </c>
      <c r="I207" s="545">
        <f t="shared" si="46"/>
        <v>0</v>
      </c>
      <c r="J207" s="244"/>
    </row>
    <row r="208" spans="2:10" s="260" customFormat="1" ht="12.75" hidden="1" x14ac:dyDescent="0.2">
      <c r="B208" s="289"/>
      <c r="C208" s="282"/>
      <c r="D208" s="282"/>
      <c r="E208" s="268"/>
      <c r="F208" s="546"/>
      <c r="G208" s="547"/>
      <c r="H208" s="547"/>
      <c r="I208" s="599"/>
      <c r="J208" s="500">
        <f>ROUND((F208+G208+H208)*('[4]29_01_H_2020'!$O$9)*E208*12*(1+'[4]29_01_H_2020'!$O$24),2)</f>
        <v>0</v>
      </c>
    </row>
    <row r="209" spans="2:10" s="260" customFormat="1" ht="12.75" hidden="1" x14ac:dyDescent="0.2">
      <c r="B209" s="289"/>
      <c r="C209" s="289"/>
      <c r="D209" s="289"/>
      <c r="E209" s="268"/>
      <c r="F209" s="546"/>
      <c r="G209" s="547"/>
      <c r="H209" s="547"/>
      <c r="I209" s="488">
        <f>F209+G209+H209</f>
        <v>0</v>
      </c>
      <c r="J209" s="244"/>
    </row>
    <row r="210" spans="2:10" s="260" customFormat="1" ht="38.25" x14ac:dyDescent="0.2">
      <c r="B210" s="288" t="s">
        <v>388</v>
      </c>
      <c r="C210" s="288"/>
      <c r="D210" s="288"/>
      <c r="E210" s="267">
        <f>E211</f>
        <v>0.25</v>
      </c>
      <c r="F210" s="545">
        <f t="shared" ref="F210:I210" si="47">F211</f>
        <v>1890</v>
      </c>
      <c r="G210" s="262">
        <f t="shared" si="47"/>
        <v>189</v>
      </c>
      <c r="H210" s="262">
        <f t="shared" si="47"/>
        <v>75.599999999999994</v>
      </c>
      <c r="I210" s="545">
        <f t="shared" si="47"/>
        <v>2154.6</v>
      </c>
      <c r="J210" s="244"/>
    </row>
    <row r="211" spans="2:10" s="260" customFormat="1" ht="12.75" x14ac:dyDescent="0.2">
      <c r="B211" s="289" t="s">
        <v>87</v>
      </c>
      <c r="C211" s="286" t="s">
        <v>406</v>
      </c>
      <c r="D211" s="282" t="s">
        <v>407</v>
      </c>
      <c r="E211" s="584">
        <v>0.25</v>
      </c>
      <c r="F211" s="572">
        <v>1890</v>
      </c>
      <c r="G211" s="560">
        <v>189</v>
      </c>
      <c r="H211" s="560">
        <v>75.599999999999994</v>
      </c>
      <c r="I211" s="572">
        <f t="shared" ref="I211" si="48">F211+G211+H211</f>
        <v>2154.6</v>
      </c>
      <c r="J211" s="500">
        <f>ROUND((F211+G211+H211)*('[4]29_01_H_2020'!$O$9)*E211*12*(1+'[4]29_01_H_2020'!$O$24),2)</f>
        <v>846.79</v>
      </c>
    </row>
    <row r="212" spans="2:10" s="260" customFormat="1" ht="13.5" x14ac:dyDescent="0.2">
      <c r="B212" s="284" t="s">
        <v>97</v>
      </c>
      <c r="C212" s="284"/>
      <c r="D212" s="284"/>
      <c r="E212" s="285">
        <f>E206</f>
        <v>0.25</v>
      </c>
      <c r="F212" s="595" t="s">
        <v>538</v>
      </c>
      <c r="G212" s="595" t="s">
        <v>538</v>
      </c>
      <c r="H212" s="595" t="s">
        <v>538</v>
      </c>
      <c r="I212" s="595" t="s">
        <v>538</v>
      </c>
      <c r="J212" s="500"/>
    </row>
    <row r="213" spans="2:10" s="260" customFormat="1" ht="12.75" x14ac:dyDescent="0.2">
      <c r="B213" s="617" t="s">
        <v>424</v>
      </c>
      <c r="C213" s="617"/>
      <c r="D213" s="617"/>
      <c r="E213" s="622"/>
      <c r="F213" s="617"/>
      <c r="G213" s="617"/>
      <c r="H213" s="617"/>
      <c r="I213" s="617"/>
      <c r="J213" s="249">
        <f>SUM(J11:J212)</f>
        <v>221046.68000000005</v>
      </c>
    </row>
    <row r="214" spans="2:10" s="260" customFormat="1" x14ac:dyDescent="0.2">
      <c r="B214" s="802" t="s">
        <v>259</v>
      </c>
      <c r="C214" s="802"/>
      <c r="D214" s="802"/>
      <c r="E214" s="802"/>
      <c r="F214" s="802"/>
      <c r="G214" s="802"/>
      <c r="H214" s="802"/>
      <c r="I214" s="802"/>
      <c r="J214" s="244"/>
    </row>
    <row r="215" spans="2:10" s="260" customFormat="1" ht="12.75" x14ac:dyDescent="0.2">
      <c r="B215" s="287" t="s">
        <v>23</v>
      </c>
      <c r="C215" s="287"/>
      <c r="D215" s="287"/>
      <c r="E215" s="272">
        <f>E216+E259+E286+E358</f>
        <v>269.79999999999995</v>
      </c>
      <c r="F215" s="561">
        <v>193659.52999999994</v>
      </c>
      <c r="G215" s="561">
        <v>12217.543200000004</v>
      </c>
      <c r="H215" s="561">
        <v>24024.420999999988</v>
      </c>
      <c r="I215" s="561">
        <v>229901.4942000001</v>
      </c>
      <c r="J215" s="500"/>
    </row>
    <row r="216" spans="2:10" s="260" customFormat="1" ht="12.75" x14ac:dyDescent="0.2">
      <c r="B216" s="288" t="s">
        <v>24</v>
      </c>
      <c r="C216" s="288"/>
      <c r="D216" s="288"/>
      <c r="E216" s="273">
        <f>SUM(E217:E258)</f>
        <v>29.95</v>
      </c>
      <c r="F216" s="273">
        <f t="shared" ref="F216:I216" si="49">SUM(F217:F258)</f>
        <v>69089.400000000023</v>
      </c>
      <c r="G216" s="273">
        <f t="shared" si="49"/>
        <v>3159.2410000000009</v>
      </c>
      <c r="H216" s="273">
        <f t="shared" si="49"/>
        <v>4298.2899999999991</v>
      </c>
      <c r="I216" s="273">
        <f t="shared" si="49"/>
        <v>76546.930999999982</v>
      </c>
      <c r="J216" s="244"/>
    </row>
    <row r="217" spans="2:10" s="260" customFormat="1" ht="12.75" x14ac:dyDescent="0.2">
      <c r="B217" s="565" t="s">
        <v>81</v>
      </c>
      <c r="C217" s="424" t="s">
        <v>433</v>
      </c>
      <c r="D217" s="451" t="s">
        <v>434</v>
      </c>
      <c r="E217" s="423">
        <v>0.5</v>
      </c>
      <c r="F217" s="429">
        <v>1660</v>
      </c>
      <c r="G217" s="429">
        <v>99.6</v>
      </c>
      <c r="H217" s="429">
        <v>166</v>
      </c>
      <c r="I217" s="429">
        <v>1925.6</v>
      </c>
      <c r="J217" s="500">
        <f>ROUND((F217+G217+H217)*('[4]29_01_H_2020'!$O$9)*E217*12*(1+'[4]29_01_H_2020'!$O$24),2)</f>
        <v>1513.58</v>
      </c>
    </row>
    <row r="218" spans="2:10" s="260" customFormat="1" ht="12.75" x14ac:dyDescent="0.2">
      <c r="B218" s="565" t="s">
        <v>86</v>
      </c>
      <c r="C218" s="424" t="s">
        <v>435</v>
      </c>
      <c r="D218" s="451" t="s">
        <v>436</v>
      </c>
      <c r="E218" s="423">
        <v>0.5</v>
      </c>
      <c r="F218" s="429">
        <v>1660</v>
      </c>
      <c r="G218" s="429">
        <v>99.6</v>
      </c>
      <c r="H218" s="429">
        <v>166</v>
      </c>
      <c r="I218" s="429">
        <v>1925.6</v>
      </c>
      <c r="J218" s="500">
        <f>ROUND((F218+G218+H218)*('[4]29_01_H_2020'!$O$9)*E218*12*(1+'[4]29_01_H_2020'!$O$24),2)</f>
        <v>1513.58</v>
      </c>
    </row>
    <row r="219" spans="2:10" s="260" customFormat="1" ht="12.75" x14ac:dyDescent="0.2">
      <c r="B219" s="565" t="s">
        <v>86</v>
      </c>
      <c r="C219" s="424" t="s">
        <v>435</v>
      </c>
      <c r="D219" s="451" t="s">
        <v>436</v>
      </c>
      <c r="E219" s="423">
        <v>0.5</v>
      </c>
      <c r="F219" s="429">
        <v>1660</v>
      </c>
      <c r="G219" s="429">
        <v>132.80000000000001</v>
      </c>
      <c r="H219" s="429">
        <v>166</v>
      </c>
      <c r="I219" s="429">
        <v>1958.8</v>
      </c>
      <c r="J219" s="500">
        <f>ROUND((F219+G219+H219)*('[4]29_01_H_2020'!$O$9)*E219*12*(1+'[4]29_01_H_2020'!$O$24),2)</f>
        <v>1539.68</v>
      </c>
    </row>
    <row r="220" spans="2:10" s="260" customFormat="1" ht="12.75" x14ac:dyDescent="0.2">
      <c r="B220" s="565" t="s">
        <v>81</v>
      </c>
      <c r="C220" s="424" t="s">
        <v>433</v>
      </c>
      <c r="D220" s="451" t="s">
        <v>434</v>
      </c>
      <c r="E220" s="423">
        <v>0.25</v>
      </c>
      <c r="F220" s="429">
        <v>1660</v>
      </c>
      <c r="G220" s="429">
        <v>116.2</v>
      </c>
      <c r="H220" s="429">
        <v>166</v>
      </c>
      <c r="I220" s="429">
        <v>1942.2</v>
      </c>
      <c r="J220" s="500">
        <f>ROUND((F220+G220+H220)*('[4]29_01_H_2020'!$O$9)*E220*12*(1+'[4]29_01_H_2020'!$O$24),2)</f>
        <v>763.32</v>
      </c>
    </row>
    <row r="221" spans="2:10" s="260" customFormat="1" ht="12.75" x14ac:dyDescent="0.2">
      <c r="B221" s="565" t="s">
        <v>81</v>
      </c>
      <c r="C221" s="424" t="s">
        <v>433</v>
      </c>
      <c r="D221" s="451" t="s">
        <v>434</v>
      </c>
      <c r="E221" s="423">
        <v>1</v>
      </c>
      <c r="F221" s="429">
        <v>1660</v>
      </c>
      <c r="G221" s="429">
        <v>132.80000000000001</v>
      </c>
      <c r="H221" s="429">
        <v>166</v>
      </c>
      <c r="I221" s="429">
        <v>1958.8</v>
      </c>
      <c r="J221" s="500">
        <f>ROUND((F221+G221+H221)*('[4]29_01_H_2020'!$O$9)*E221*12*(1+'[4]29_01_H_2020'!$O$24),2)</f>
        <v>3079.36</v>
      </c>
    </row>
    <row r="222" spans="2:10" s="260" customFormat="1" ht="12.75" x14ac:dyDescent="0.2">
      <c r="B222" s="565" t="s">
        <v>81</v>
      </c>
      <c r="C222" s="424" t="s">
        <v>433</v>
      </c>
      <c r="D222" s="451" t="s">
        <v>434</v>
      </c>
      <c r="E222" s="423">
        <v>0.5</v>
      </c>
      <c r="F222" s="429">
        <v>1660</v>
      </c>
      <c r="G222" s="429">
        <v>116.2</v>
      </c>
      <c r="H222" s="429">
        <v>166</v>
      </c>
      <c r="I222" s="429">
        <v>1942.2</v>
      </c>
      <c r="J222" s="500">
        <f>ROUND((F222+G222+H222)*('[4]29_01_H_2020'!$O$9)*E222*12*(1+'[4]29_01_H_2020'!$O$24),2)</f>
        <v>1526.63</v>
      </c>
    </row>
    <row r="223" spans="2:10" s="260" customFormat="1" ht="12.75" x14ac:dyDescent="0.2">
      <c r="B223" s="565" t="s">
        <v>81</v>
      </c>
      <c r="C223" s="424" t="s">
        <v>433</v>
      </c>
      <c r="D223" s="451" t="s">
        <v>326</v>
      </c>
      <c r="E223" s="423">
        <v>0.5</v>
      </c>
      <c r="F223" s="429">
        <v>1660</v>
      </c>
      <c r="G223" s="429">
        <v>99.6</v>
      </c>
      <c r="H223" s="429">
        <v>166</v>
      </c>
      <c r="I223" s="429">
        <v>1925.6</v>
      </c>
      <c r="J223" s="500">
        <f>ROUND((F223+G223+H223)*('[4]29_01_H_2020'!$O$9)*E223*12*(1+'[4]29_01_H_2020'!$O$24),2)</f>
        <v>1513.58</v>
      </c>
    </row>
    <row r="224" spans="2:10" s="260" customFormat="1" ht="12.75" x14ac:dyDescent="0.2">
      <c r="B224" s="565" t="s">
        <v>81</v>
      </c>
      <c r="C224" s="424" t="s">
        <v>433</v>
      </c>
      <c r="D224" s="451" t="s">
        <v>434</v>
      </c>
      <c r="E224" s="423">
        <v>0.5</v>
      </c>
      <c r="F224" s="429">
        <v>1660</v>
      </c>
      <c r="G224" s="429">
        <v>83</v>
      </c>
      <c r="H224" s="429">
        <v>166</v>
      </c>
      <c r="I224" s="429">
        <v>1909</v>
      </c>
      <c r="J224" s="500">
        <f>ROUND((F224+G224+H224)*('[4]29_01_H_2020'!$O$9)*E224*12*(1+'[4]29_01_H_2020'!$O$24),2)</f>
        <v>1500.54</v>
      </c>
    </row>
    <row r="225" spans="2:10" s="260" customFormat="1" ht="12.75" x14ac:dyDescent="0.2">
      <c r="B225" s="565" t="s">
        <v>723</v>
      </c>
      <c r="C225" s="424" t="s">
        <v>437</v>
      </c>
      <c r="D225" s="451" t="s">
        <v>338</v>
      </c>
      <c r="E225" s="423">
        <v>0.5</v>
      </c>
      <c r="F225" s="429">
        <v>1660</v>
      </c>
      <c r="G225" s="429">
        <v>132.80000000000001</v>
      </c>
      <c r="H225" s="429">
        <v>166</v>
      </c>
      <c r="I225" s="429">
        <v>1958.8</v>
      </c>
      <c r="J225" s="500">
        <f>ROUND((F225+G225+H225)*('[4]29_01_H_2020'!$O$9)*E225*12*(1+'[4]29_01_H_2020'!$O$24),2)</f>
        <v>1539.68</v>
      </c>
    </row>
    <row r="226" spans="2:10" s="260" customFormat="1" ht="12.75" x14ac:dyDescent="0.2">
      <c r="B226" s="565" t="s">
        <v>723</v>
      </c>
      <c r="C226" s="424" t="s">
        <v>290</v>
      </c>
      <c r="D226" s="451" t="s">
        <v>338</v>
      </c>
      <c r="E226" s="423">
        <v>0.75</v>
      </c>
      <c r="F226" s="429">
        <v>1730</v>
      </c>
      <c r="G226" s="429">
        <v>103.8</v>
      </c>
      <c r="H226" s="429">
        <v>190.3</v>
      </c>
      <c r="I226" s="429">
        <v>2024.1</v>
      </c>
      <c r="J226" s="500">
        <f>ROUND((F226+G226+H226)*('[4]29_01_H_2020'!$O$9)*E226*12*(1+'[4]29_01_H_2020'!$O$24),2)</f>
        <v>2386.5100000000002</v>
      </c>
    </row>
    <row r="227" spans="2:10" s="260" customFormat="1" ht="12.75" x14ac:dyDescent="0.2">
      <c r="B227" s="565" t="s">
        <v>81</v>
      </c>
      <c r="C227" s="424" t="s">
        <v>433</v>
      </c>
      <c r="D227" s="451" t="s">
        <v>434</v>
      </c>
      <c r="E227" s="423">
        <v>0.5</v>
      </c>
      <c r="F227" s="429">
        <v>1660</v>
      </c>
      <c r="G227" s="429">
        <v>132.80000000000001</v>
      </c>
      <c r="H227" s="429">
        <v>166</v>
      </c>
      <c r="I227" s="429">
        <v>1958.8</v>
      </c>
      <c r="J227" s="500">
        <f>ROUND((F227+G227+H227)*('[4]29_01_H_2020'!$O$9)*E227*12*(1+'[4]29_01_H_2020'!$O$24),2)</f>
        <v>1539.68</v>
      </c>
    </row>
    <row r="228" spans="2:10" s="260" customFormat="1" ht="12.75" x14ac:dyDescent="0.2">
      <c r="B228" s="565" t="s">
        <v>228</v>
      </c>
      <c r="C228" s="424" t="s">
        <v>437</v>
      </c>
      <c r="D228" s="451" t="s">
        <v>438</v>
      </c>
      <c r="E228" s="423">
        <v>1</v>
      </c>
      <c r="F228" s="429">
        <v>1660</v>
      </c>
      <c r="G228" s="429">
        <v>132.80000000000001</v>
      </c>
      <c r="H228" s="429">
        <v>166</v>
      </c>
      <c r="I228" s="429">
        <v>1958.8</v>
      </c>
      <c r="J228" s="500">
        <f>ROUND((F228+G228+H228)*('[4]29_01_H_2020'!$O$9)*E228*12*(1+'[4]29_01_H_2020'!$O$24),2)</f>
        <v>3079.36</v>
      </c>
    </row>
    <row r="229" spans="2:10" s="260" customFormat="1" ht="12.75" x14ac:dyDescent="0.2">
      <c r="B229" s="565" t="s">
        <v>174</v>
      </c>
      <c r="C229" s="424" t="s">
        <v>439</v>
      </c>
      <c r="D229" s="451" t="s">
        <v>440</v>
      </c>
      <c r="E229" s="423">
        <v>0.75</v>
      </c>
      <c r="F229" s="429">
        <v>1660</v>
      </c>
      <c r="G229" s="429">
        <v>132.80000000000001</v>
      </c>
      <c r="H229" s="429">
        <v>166</v>
      </c>
      <c r="I229" s="429">
        <v>1958.8</v>
      </c>
      <c r="J229" s="500">
        <f>ROUND((F229+G229+H229)*('[4]29_01_H_2020'!$O$9)*E229*12*(1+'[4]29_01_H_2020'!$O$24),2)</f>
        <v>2309.52</v>
      </c>
    </row>
    <row r="230" spans="2:10" s="260" customFormat="1" ht="12.75" x14ac:dyDescent="0.2">
      <c r="B230" s="565" t="s">
        <v>81</v>
      </c>
      <c r="C230" s="424" t="s">
        <v>433</v>
      </c>
      <c r="D230" s="451" t="s">
        <v>434</v>
      </c>
      <c r="E230" s="423">
        <v>0.25</v>
      </c>
      <c r="F230" s="429">
        <v>1660</v>
      </c>
      <c r="G230" s="429">
        <v>132.80000000000001</v>
      </c>
      <c r="H230" s="429">
        <v>166</v>
      </c>
      <c r="I230" s="429">
        <v>1958.8</v>
      </c>
      <c r="J230" s="500">
        <f>ROUND((F230+G230+H230)*('[4]29_01_H_2020'!$O$9)*E230*12*(1+'[4]29_01_H_2020'!$O$24),2)</f>
        <v>769.84</v>
      </c>
    </row>
    <row r="231" spans="2:10" s="260" customFormat="1" ht="12.75" x14ac:dyDescent="0.2">
      <c r="B231" s="565" t="s">
        <v>81</v>
      </c>
      <c r="C231" s="424" t="s">
        <v>404</v>
      </c>
      <c r="D231" s="451" t="s">
        <v>411</v>
      </c>
      <c r="E231" s="423">
        <v>1</v>
      </c>
      <c r="F231" s="429">
        <v>1555</v>
      </c>
      <c r="G231" s="429">
        <v>0</v>
      </c>
      <c r="H231" s="429">
        <v>0</v>
      </c>
      <c r="I231" s="429">
        <v>1555</v>
      </c>
      <c r="J231" s="500">
        <f>ROUND((F231+G231+H231)*('[4]29_01_H_2020'!$O$9)*E231*12*(1+'[4]29_01_H_2020'!$O$24),2)</f>
        <v>2444.56</v>
      </c>
    </row>
    <row r="232" spans="2:10" s="260" customFormat="1" ht="12.75" x14ac:dyDescent="0.2">
      <c r="B232" s="565" t="s">
        <v>81</v>
      </c>
      <c r="C232" s="424" t="s">
        <v>404</v>
      </c>
      <c r="D232" s="451" t="s">
        <v>411</v>
      </c>
      <c r="E232" s="423">
        <v>1</v>
      </c>
      <c r="F232" s="429">
        <v>1555</v>
      </c>
      <c r="G232" s="429">
        <v>0</v>
      </c>
      <c r="H232" s="429">
        <v>0</v>
      </c>
      <c r="I232" s="429">
        <v>1555</v>
      </c>
      <c r="J232" s="500">
        <f>ROUND((F232+G232+H232)*('[4]29_01_H_2020'!$O$9)*E232*12*(1+'[4]29_01_H_2020'!$O$24),2)</f>
        <v>2444.56</v>
      </c>
    </row>
    <row r="233" spans="2:10" s="260" customFormat="1" ht="12.75" x14ac:dyDescent="0.2">
      <c r="B233" s="565" t="s">
        <v>81</v>
      </c>
      <c r="C233" s="424" t="s">
        <v>404</v>
      </c>
      <c r="D233" s="451" t="s">
        <v>411</v>
      </c>
      <c r="E233" s="423">
        <v>1</v>
      </c>
      <c r="F233" s="429">
        <v>1555</v>
      </c>
      <c r="G233" s="429">
        <v>0</v>
      </c>
      <c r="H233" s="429">
        <v>0</v>
      </c>
      <c r="I233" s="429">
        <v>1555</v>
      </c>
      <c r="J233" s="500">
        <f>ROUND((F233+G233+H233)*('[4]29_01_H_2020'!$O$9)*E233*12*(1+'[4]29_01_H_2020'!$O$24),2)</f>
        <v>2444.56</v>
      </c>
    </row>
    <row r="234" spans="2:10" s="260" customFormat="1" ht="12.75" x14ac:dyDescent="0.2">
      <c r="B234" s="565" t="s">
        <v>81</v>
      </c>
      <c r="C234" s="424" t="s">
        <v>404</v>
      </c>
      <c r="D234" s="451" t="s">
        <v>411</v>
      </c>
      <c r="E234" s="423">
        <v>1</v>
      </c>
      <c r="F234" s="429">
        <v>1555</v>
      </c>
      <c r="G234" s="429">
        <v>0</v>
      </c>
      <c r="H234" s="429">
        <v>0</v>
      </c>
      <c r="I234" s="429">
        <v>1555</v>
      </c>
      <c r="J234" s="500">
        <f>ROUND((F234+G234+H234)*('[4]29_01_H_2020'!$O$9)*E234*12*(1+'[4]29_01_H_2020'!$O$24),2)</f>
        <v>2444.56</v>
      </c>
    </row>
    <row r="235" spans="2:10" s="260" customFormat="1" ht="12.75" x14ac:dyDescent="0.2">
      <c r="B235" s="565" t="s">
        <v>83</v>
      </c>
      <c r="C235" s="424" t="s">
        <v>317</v>
      </c>
      <c r="D235" s="451" t="s">
        <v>425</v>
      </c>
      <c r="E235" s="423">
        <v>0.5</v>
      </c>
      <c r="F235" s="429">
        <v>1555</v>
      </c>
      <c r="G235" s="429">
        <v>0</v>
      </c>
      <c r="H235" s="429">
        <v>0</v>
      </c>
      <c r="I235" s="429">
        <v>1555</v>
      </c>
      <c r="J235" s="500">
        <f>ROUND((F235+G235+H235)*('[4]29_01_H_2020'!$O$9)*E235*12*(1+'[4]29_01_H_2020'!$O$24),2)</f>
        <v>1222.28</v>
      </c>
    </row>
    <row r="236" spans="2:10" s="260" customFormat="1" ht="12.75" x14ac:dyDescent="0.2">
      <c r="B236" s="565" t="s">
        <v>83</v>
      </c>
      <c r="C236" s="424" t="s">
        <v>317</v>
      </c>
      <c r="D236" s="451" t="s">
        <v>425</v>
      </c>
      <c r="E236" s="423">
        <v>0.5</v>
      </c>
      <c r="F236" s="429">
        <v>1555</v>
      </c>
      <c r="G236" s="429">
        <v>0</v>
      </c>
      <c r="H236" s="429">
        <v>0</v>
      </c>
      <c r="I236" s="429">
        <v>1555</v>
      </c>
      <c r="J236" s="500">
        <f>ROUND((F236+G236+H236)*('[4]29_01_H_2020'!$O$9)*E236*12*(1+'[4]29_01_H_2020'!$O$24),2)</f>
        <v>1222.28</v>
      </c>
    </row>
    <row r="237" spans="2:10" s="260" customFormat="1" ht="12.75" x14ac:dyDescent="0.2">
      <c r="B237" s="565" t="s">
        <v>83</v>
      </c>
      <c r="C237" s="424" t="s">
        <v>317</v>
      </c>
      <c r="D237" s="451" t="s">
        <v>425</v>
      </c>
      <c r="E237" s="423">
        <v>0.5</v>
      </c>
      <c r="F237" s="429">
        <v>1555</v>
      </c>
      <c r="G237" s="429">
        <v>0</v>
      </c>
      <c r="H237" s="429">
        <v>0</v>
      </c>
      <c r="I237" s="429">
        <v>1555</v>
      </c>
      <c r="J237" s="500">
        <f>ROUND((F237+G237+H237)*('[4]29_01_H_2020'!$O$9)*E237*12*(1+'[4]29_01_H_2020'!$O$24),2)</f>
        <v>1222.28</v>
      </c>
    </row>
    <row r="238" spans="2:10" s="260" customFormat="1" ht="12.75" x14ac:dyDescent="0.2">
      <c r="B238" s="565" t="s">
        <v>83</v>
      </c>
      <c r="C238" s="424" t="s">
        <v>317</v>
      </c>
      <c r="D238" s="451" t="s">
        <v>425</v>
      </c>
      <c r="E238" s="423">
        <v>0.5</v>
      </c>
      <c r="F238" s="429">
        <v>1555</v>
      </c>
      <c r="G238" s="429">
        <v>0</v>
      </c>
      <c r="H238" s="429">
        <v>0</v>
      </c>
      <c r="I238" s="429">
        <v>1555</v>
      </c>
      <c r="J238" s="500">
        <f>ROUND((F238+G238+H238)*('[4]29_01_H_2020'!$O$9)*E238*12*(1+'[4]29_01_H_2020'!$O$24),2)</f>
        <v>1222.28</v>
      </c>
    </row>
    <row r="239" spans="2:10" s="260" customFormat="1" ht="12.75" x14ac:dyDescent="0.2">
      <c r="B239" s="565" t="s">
        <v>426</v>
      </c>
      <c r="C239" s="424" t="s">
        <v>427</v>
      </c>
      <c r="D239" s="451" t="s">
        <v>428</v>
      </c>
      <c r="E239" s="423">
        <v>1</v>
      </c>
      <c r="F239" s="429">
        <v>1555</v>
      </c>
      <c r="G239" s="429">
        <v>0</v>
      </c>
      <c r="H239" s="429">
        <v>0</v>
      </c>
      <c r="I239" s="429">
        <v>1555</v>
      </c>
      <c r="J239" s="500">
        <f>ROUND((F239+G239+H239)*('[4]29_01_H_2020'!$O$9)*E239*12*(1+'[4]29_01_H_2020'!$O$24),2)</f>
        <v>2444.56</v>
      </c>
    </row>
    <row r="240" spans="2:10" s="260" customFormat="1" ht="12.75" x14ac:dyDescent="0.2">
      <c r="B240" s="565" t="s">
        <v>426</v>
      </c>
      <c r="C240" s="424" t="s">
        <v>427</v>
      </c>
      <c r="D240" s="451" t="s">
        <v>428</v>
      </c>
      <c r="E240" s="423">
        <v>0.5</v>
      </c>
      <c r="F240" s="429">
        <v>1555</v>
      </c>
      <c r="G240" s="429">
        <v>0</v>
      </c>
      <c r="H240" s="429">
        <v>0</v>
      </c>
      <c r="I240" s="429">
        <v>1555</v>
      </c>
      <c r="J240" s="500">
        <f>ROUND((F240+G240+H240)*('[4]29_01_H_2020'!$O$9)*E240*12*(1+'[4]29_01_H_2020'!$O$24),2)</f>
        <v>1222.28</v>
      </c>
    </row>
    <row r="241" spans="2:10" s="260" customFormat="1" ht="12.75" x14ac:dyDescent="0.2">
      <c r="B241" s="565" t="s">
        <v>426</v>
      </c>
      <c r="C241" s="424" t="s">
        <v>427</v>
      </c>
      <c r="D241" s="451" t="s">
        <v>428</v>
      </c>
      <c r="E241" s="423">
        <v>0.5</v>
      </c>
      <c r="F241" s="429">
        <v>1555</v>
      </c>
      <c r="G241" s="429">
        <v>0</v>
      </c>
      <c r="H241" s="429">
        <v>0</v>
      </c>
      <c r="I241" s="429">
        <v>1555</v>
      </c>
      <c r="J241" s="500">
        <f>ROUND((F241+G241+H241)*('[4]29_01_H_2020'!$O$9)*E241*12*(1+'[4]29_01_H_2020'!$O$24),2)</f>
        <v>1222.28</v>
      </c>
    </row>
    <row r="242" spans="2:10" s="260" customFormat="1" ht="12.75" x14ac:dyDescent="0.2">
      <c r="B242" s="565" t="s">
        <v>426</v>
      </c>
      <c r="C242" s="424" t="s">
        <v>427</v>
      </c>
      <c r="D242" s="451" t="s">
        <v>428</v>
      </c>
      <c r="E242" s="423">
        <v>0.5</v>
      </c>
      <c r="F242" s="429">
        <v>1555</v>
      </c>
      <c r="G242" s="429">
        <v>0</v>
      </c>
      <c r="H242" s="429">
        <v>0</v>
      </c>
      <c r="I242" s="429">
        <v>1555</v>
      </c>
      <c r="J242" s="500">
        <f>ROUND((F242+G242+H242)*('[4]29_01_H_2020'!$O$9)*E242*12*(1+'[4]29_01_H_2020'!$O$24),2)</f>
        <v>1222.28</v>
      </c>
    </row>
    <row r="243" spans="2:10" s="260" customFormat="1" ht="12.75" x14ac:dyDescent="0.2">
      <c r="B243" s="565" t="s">
        <v>98</v>
      </c>
      <c r="C243" s="424" t="s">
        <v>724</v>
      </c>
      <c r="D243" s="451" t="s">
        <v>453</v>
      </c>
      <c r="E243" s="423">
        <v>0.5</v>
      </c>
      <c r="F243" s="429">
        <v>1555</v>
      </c>
      <c r="G243" s="429">
        <v>0</v>
      </c>
      <c r="H243" s="429">
        <v>0</v>
      </c>
      <c r="I243" s="429">
        <v>1555</v>
      </c>
      <c r="J243" s="500">
        <f>ROUND((F243+G243+H243)*('[4]29_01_H_2020'!$O$9)*E243*12*(1+'[4]29_01_H_2020'!$O$24),2)</f>
        <v>1222.28</v>
      </c>
    </row>
    <row r="244" spans="2:10" s="260" customFormat="1" ht="12.75" x14ac:dyDescent="0.2">
      <c r="B244" s="565" t="s">
        <v>98</v>
      </c>
      <c r="C244" s="424" t="s">
        <v>724</v>
      </c>
      <c r="D244" s="451" t="s">
        <v>453</v>
      </c>
      <c r="E244" s="423">
        <v>0.5</v>
      </c>
      <c r="F244" s="429">
        <v>1555</v>
      </c>
      <c r="G244" s="429">
        <v>0</v>
      </c>
      <c r="H244" s="429">
        <v>0</v>
      </c>
      <c r="I244" s="429">
        <v>1555</v>
      </c>
      <c r="J244" s="500">
        <f>ROUND((F244+G244+H244)*('[4]29_01_H_2020'!$O$9)*E244*12*(1+'[4]29_01_H_2020'!$O$24),2)</f>
        <v>1222.28</v>
      </c>
    </row>
    <row r="245" spans="2:10" s="260" customFormat="1" ht="12.75" x14ac:dyDescent="0.2">
      <c r="B245" s="565" t="s">
        <v>98</v>
      </c>
      <c r="C245" s="424" t="s">
        <v>724</v>
      </c>
      <c r="D245" s="451" t="s">
        <v>453</v>
      </c>
      <c r="E245" s="423">
        <v>0.5</v>
      </c>
      <c r="F245" s="429">
        <v>1555</v>
      </c>
      <c r="G245" s="429">
        <v>0</v>
      </c>
      <c r="H245" s="429">
        <v>0</v>
      </c>
      <c r="I245" s="429">
        <v>1555</v>
      </c>
      <c r="J245" s="500">
        <f>ROUND((F245+G245+H245)*('[4]29_01_H_2020'!$O$9)*E245*12*(1+'[4]29_01_H_2020'!$O$24),2)</f>
        <v>1222.28</v>
      </c>
    </row>
    <row r="246" spans="2:10" s="260" customFormat="1" ht="12.75" x14ac:dyDescent="0.2">
      <c r="B246" s="565" t="s">
        <v>98</v>
      </c>
      <c r="C246" s="424" t="s">
        <v>725</v>
      </c>
      <c r="D246" s="451" t="s">
        <v>408</v>
      </c>
      <c r="E246" s="423">
        <v>0.5</v>
      </c>
      <c r="F246" s="429">
        <v>1555</v>
      </c>
      <c r="G246" s="429">
        <v>0</v>
      </c>
      <c r="H246" s="429">
        <v>15.55</v>
      </c>
      <c r="I246" s="429">
        <v>1570.55</v>
      </c>
      <c r="J246" s="500">
        <f>ROUND((F246+G246+H246)*('[4]29_01_H_2020'!$O$9)*E246*12*(1+'[4]29_01_H_2020'!$O$24),2)</f>
        <v>1234.5</v>
      </c>
    </row>
    <row r="247" spans="2:10" s="260" customFormat="1" ht="12.75" x14ac:dyDescent="0.2">
      <c r="B247" s="565" t="s">
        <v>98</v>
      </c>
      <c r="C247" s="424" t="s">
        <v>724</v>
      </c>
      <c r="D247" s="451" t="s">
        <v>453</v>
      </c>
      <c r="E247" s="423">
        <v>0.5</v>
      </c>
      <c r="F247" s="429">
        <v>1555</v>
      </c>
      <c r="G247" s="429">
        <v>0</v>
      </c>
      <c r="H247" s="429">
        <v>0</v>
      </c>
      <c r="I247" s="429">
        <v>1555</v>
      </c>
      <c r="J247" s="500">
        <f>ROUND((F247+G247+H247)*('[4]29_01_H_2020'!$O$9)*E247*12*(1+'[4]29_01_H_2020'!$O$24),2)</f>
        <v>1222.28</v>
      </c>
    </row>
    <row r="248" spans="2:10" s="260" customFormat="1" ht="12.75" x14ac:dyDescent="0.2">
      <c r="B248" s="565" t="s">
        <v>81</v>
      </c>
      <c r="C248" s="424" t="s">
        <v>404</v>
      </c>
      <c r="D248" s="451" t="s">
        <v>411</v>
      </c>
      <c r="E248" s="423">
        <v>0.25</v>
      </c>
      <c r="F248" s="429">
        <v>1795.55</v>
      </c>
      <c r="G248" s="429">
        <v>125.6885</v>
      </c>
      <c r="H248" s="429">
        <v>179.55500000000001</v>
      </c>
      <c r="I248" s="429">
        <v>2100.7934999999998</v>
      </c>
      <c r="J248" s="500">
        <f>ROUND((F248+G248+H248)*('[4]29_01_H_2020'!$O$9)*E248*12*(1+'[4]29_01_H_2020'!$O$24),2)</f>
        <v>825.65</v>
      </c>
    </row>
    <row r="249" spans="2:10" s="260" customFormat="1" ht="12.75" x14ac:dyDescent="0.2">
      <c r="B249" s="565" t="s">
        <v>81</v>
      </c>
      <c r="C249" s="424" t="s">
        <v>404</v>
      </c>
      <c r="D249" s="451" t="s">
        <v>411</v>
      </c>
      <c r="E249" s="423">
        <v>0.5</v>
      </c>
      <c r="F249" s="429">
        <v>1795.55</v>
      </c>
      <c r="G249" s="429">
        <v>125.6885</v>
      </c>
      <c r="H249" s="429">
        <v>179.55500000000001</v>
      </c>
      <c r="I249" s="429">
        <v>2100.7934999999998</v>
      </c>
      <c r="J249" s="500">
        <f>ROUND((F249+G249+H249)*('[4]29_01_H_2020'!$O$9)*E249*12*(1+'[4]29_01_H_2020'!$O$24),2)</f>
        <v>1651.29</v>
      </c>
    </row>
    <row r="250" spans="2:10" s="260" customFormat="1" ht="12.75" x14ac:dyDescent="0.2">
      <c r="B250" s="565" t="s">
        <v>81</v>
      </c>
      <c r="C250" s="424" t="s">
        <v>404</v>
      </c>
      <c r="D250" s="451" t="s">
        <v>411</v>
      </c>
      <c r="E250" s="423">
        <v>0.5</v>
      </c>
      <c r="F250" s="429">
        <v>1795.55</v>
      </c>
      <c r="G250" s="429">
        <v>143.64400000000001</v>
      </c>
      <c r="H250" s="429">
        <v>179.55500000000001</v>
      </c>
      <c r="I250" s="429">
        <v>2118.7489999999998</v>
      </c>
      <c r="J250" s="500">
        <f>ROUND((F250+G250+H250)*('[4]29_01_H_2020'!$O$9)*E250*12*(1+'[4]29_01_H_2020'!$O$24),2)</f>
        <v>1665.41</v>
      </c>
    </row>
    <row r="251" spans="2:10" s="260" customFormat="1" ht="12.75" x14ac:dyDescent="0.2">
      <c r="B251" s="565" t="s">
        <v>81</v>
      </c>
      <c r="C251" s="424" t="s">
        <v>404</v>
      </c>
      <c r="D251" s="451" t="s">
        <v>411</v>
      </c>
      <c r="E251" s="423">
        <v>0.5</v>
      </c>
      <c r="F251" s="429">
        <v>1795.55</v>
      </c>
      <c r="G251" s="429">
        <v>143.64400000000001</v>
      </c>
      <c r="H251" s="429">
        <v>179.55500000000001</v>
      </c>
      <c r="I251" s="429">
        <v>2118.7489999999998</v>
      </c>
      <c r="J251" s="500">
        <f>ROUND((F251+G251+H251)*('[4]29_01_H_2020'!$O$9)*E251*12*(1+'[4]29_01_H_2020'!$O$24),2)</f>
        <v>1665.41</v>
      </c>
    </row>
    <row r="252" spans="2:10" s="260" customFormat="1" ht="12.75" x14ac:dyDescent="0.2">
      <c r="B252" s="565" t="s">
        <v>81</v>
      </c>
      <c r="C252" s="424" t="s">
        <v>404</v>
      </c>
      <c r="D252" s="451" t="s">
        <v>411</v>
      </c>
      <c r="E252" s="423">
        <v>0.5</v>
      </c>
      <c r="F252" s="429">
        <v>1795.55</v>
      </c>
      <c r="G252" s="429">
        <v>143.64400000000001</v>
      </c>
      <c r="H252" s="429">
        <v>179.55500000000001</v>
      </c>
      <c r="I252" s="429">
        <v>2118.7489999999998</v>
      </c>
      <c r="J252" s="500">
        <f>ROUND((F252+G252+H252)*('[4]29_01_H_2020'!$O$9)*E252*12*(1+'[4]29_01_H_2020'!$O$24),2)</f>
        <v>1665.41</v>
      </c>
    </row>
    <row r="253" spans="2:10" s="260" customFormat="1" ht="12.75" x14ac:dyDescent="0.2">
      <c r="B253" s="565" t="s">
        <v>81</v>
      </c>
      <c r="C253" s="424" t="s">
        <v>404</v>
      </c>
      <c r="D253" s="451" t="s">
        <v>411</v>
      </c>
      <c r="E253" s="423">
        <v>0.25</v>
      </c>
      <c r="F253" s="429">
        <v>1795.55</v>
      </c>
      <c r="G253" s="429">
        <v>143.64400000000001</v>
      </c>
      <c r="H253" s="429">
        <v>179.55500000000001</v>
      </c>
      <c r="I253" s="429">
        <v>2118.7489999999998</v>
      </c>
      <c r="J253" s="500">
        <f>ROUND((F253+G253+H253)*('[4]29_01_H_2020'!$O$9)*E253*12*(1+'[4]29_01_H_2020'!$O$24),2)</f>
        <v>832.7</v>
      </c>
    </row>
    <row r="254" spans="2:10" s="260" customFormat="1" ht="12.75" x14ac:dyDescent="0.2">
      <c r="B254" s="565" t="s">
        <v>81</v>
      </c>
      <c r="C254" s="424" t="s">
        <v>404</v>
      </c>
      <c r="D254" s="451" t="s">
        <v>411</v>
      </c>
      <c r="E254" s="423">
        <v>0.5</v>
      </c>
      <c r="F254" s="429">
        <v>1795.55</v>
      </c>
      <c r="G254" s="429">
        <v>143.64400000000001</v>
      </c>
      <c r="H254" s="429">
        <v>179.55500000000001</v>
      </c>
      <c r="I254" s="429">
        <v>2118.7489999999998</v>
      </c>
      <c r="J254" s="500">
        <f>ROUND((F254+G254+H254)*('[4]29_01_H_2020'!$O$9)*E254*12*(1+'[4]29_01_H_2020'!$O$24),2)</f>
        <v>1665.41</v>
      </c>
    </row>
    <row r="255" spans="2:10" s="260" customFormat="1" ht="12.75" x14ac:dyDescent="0.2">
      <c r="B255" s="565" t="s">
        <v>86</v>
      </c>
      <c r="C255" s="424" t="s">
        <v>429</v>
      </c>
      <c r="D255" s="451" t="s">
        <v>430</v>
      </c>
      <c r="E255" s="423">
        <v>0.5</v>
      </c>
      <c r="F255" s="429">
        <v>1795.55</v>
      </c>
      <c r="G255" s="429">
        <v>143.64400000000001</v>
      </c>
      <c r="H255" s="429">
        <v>179.55500000000001</v>
      </c>
      <c r="I255" s="429">
        <v>2118.7489999999998</v>
      </c>
      <c r="J255" s="500">
        <f>ROUND((F255+G255+H255)*('[4]29_01_H_2020'!$O$9)*E255*12*(1+'[4]29_01_H_2020'!$O$24),2)</f>
        <v>1665.41</v>
      </c>
    </row>
    <row r="256" spans="2:10" s="260" customFormat="1" ht="12.75" x14ac:dyDescent="0.2">
      <c r="B256" s="565" t="s">
        <v>81</v>
      </c>
      <c r="C256" s="424" t="s">
        <v>317</v>
      </c>
      <c r="D256" s="451" t="s">
        <v>411</v>
      </c>
      <c r="E256" s="423">
        <v>5.9</v>
      </c>
      <c r="F256" s="429">
        <v>1660</v>
      </c>
      <c r="G256" s="429">
        <v>132.80000000000001</v>
      </c>
      <c r="H256" s="429">
        <v>166</v>
      </c>
      <c r="I256" s="429">
        <v>1958.8</v>
      </c>
      <c r="J256" s="500">
        <f>ROUND((F256+G256+H256)*('[4]29_01_H_2020'!$O$9)*E256*12*(1+'[4]29_01_H_2020'!$O$24),2)</f>
        <v>18168.23</v>
      </c>
    </row>
    <row r="257" spans="2:10" s="260" customFormat="1" ht="12.75" x14ac:dyDescent="0.2">
      <c r="B257" s="565" t="s">
        <v>82</v>
      </c>
      <c r="C257" s="424" t="s">
        <v>431</v>
      </c>
      <c r="D257" s="451" t="s">
        <v>432</v>
      </c>
      <c r="E257" s="423">
        <v>1.05</v>
      </c>
      <c r="F257" s="429">
        <v>1660</v>
      </c>
      <c r="G257" s="429">
        <v>132.80000000000001</v>
      </c>
      <c r="H257" s="429">
        <v>166</v>
      </c>
      <c r="I257" s="429">
        <v>1958.8</v>
      </c>
      <c r="J257" s="500">
        <f>ROUND((F257+G257+H257)*('[4]29_01_H_2020'!$O$9)*E257*12*(1+'[4]29_01_H_2020'!$O$24),2)</f>
        <v>3233.33</v>
      </c>
    </row>
    <row r="258" spans="2:10" s="260" customFormat="1" ht="12.75" x14ac:dyDescent="0.2">
      <c r="B258" s="565" t="s">
        <v>83</v>
      </c>
      <c r="C258" s="424" t="s">
        <v>317</v>
      </c>
      <c r="D258" s="451" t="s">
        <v>425</v>
      </c>
      <c r="E258" s="423">
        <v>0.5</v>
      </c>
      <c r="F258" s="429">
        <v>1660</v>
      </c>
      <c r="G258" s="429">
        <v>132.80000000000001</v>
      </c>
      <c r="H258" s="429">
        <v>166</v>
      </c>
      <c r="I258" s="429">
        <v>1958.8</v>
      </c>
      <c r="J258" s="500">
        <f>ROUND((F258+G258+H258)*('[4]29_01_H_2020'!$O$9)*E258*12*(1+'[4]29_01_H_2020'!$O$24),2)</f>
        <v>1539.68</v>
      </c>
    </row>
    <row r="259" spans="2:10" s="260" customFormat="1" ht="38.25" x14ac:dyDescent="0.2">
      <c r="B259" s="288" t="s">
        <v>388</v>
      </c>
      <c r="C259" s="288"/>
      <c r="D259" s="288"/>
      <c r="E259" s="274">
        <f>SUM(E260:E285)</f>
        <v>26.4</v>
      </c>
      <c r="F259" s="274">
        <f t="shared" ref="F259:I259" si="50">SUM(F260:F285)</f>
        <v>40836.42</v>
      </c>
      <c r="G259" s="274">
        <f t="shared" si="50"/>
        <v>2238.0568000000003</v>
      </c>
      <c r="H259" s="274">
        <f t="shared" si="50"/>
        <v>4083.6420000000003</v>
      </c>
      <c r="I259" s="274">
        <f t="shared" si="50"/>
        <v>47158.118799999989</v>
      </c>
      <c r="J259" s="244"/>
    </row>
    <row r="260" spans="2:10" s="260" customFormat="1" ht="12.75" x14ac:dyDescent="0.2">
      <c r="B260" s="566" t="s">
        <v>84</v>
      </c>
      <c r="C260" s="424" t="s">
        <v>442</v>
      </c>
      <c r="D260" s="451" t="s">
        <v>443</v>
      </c>
      <c r="E260" s="423">
        <v>0.25</v>
      </c>
      <c r="F260" s="429">
        <v>1605</v>
      </c>
      <c r="G260" s="429">
        <v>80.25</v>
      </c>
      <c r="H260" s="429">
        <v>160.5</v>
      </c>
      <c r="I260" s="429">
        <v>1845.75</v>
      </c>
      <c r="J260" s="500">
        <f>ROUND((F260+G260+H260)*('[4]29_01_H_2020'!$O$9)*E260*12*(1+'[4]29_01_H_2020'!$O$24),2)</f>
        <v>725.41</v>
      </c>
    </row>
    <row r="261" spans="2:10" s="260" customFormat="1" ht="12.75" x14ac:dyDescent="0.2">
      <c r="B261" s="566" t="s">
        <v>96</v>
      </c>
      <c r="C261" s="424" t="s">
        <v>444</v>
      </c>
      <c r="D261" s="451" t="s">
        <v>408</v>
      </c>
      <c r="E261" s="423">
        <v>0.5</v>
      </c>
      <c r="F261" s="429">
        <v>1605</v>
      </c>
      <c r="G261" s="429">
        <v>80.25</v>
      </c>
      <c r="H261" s="429">
        <v>160.5</v>
      </c>
      <c r="I261" s="429">
        <v>1845.75</v>
      </c>
      <c r="J261" s="500">
        <f>ROUND((F261+G261+H261)*('[4]29_01_H_2020'!$O$9)*E261*12*(1+'[4]29_01_H_2020'!$O$24),2)</f>
        <v>1450.82</v>
      </c>
    </row>
    <row r="262" spans="2:10" s="260" customFormat="1" ht="12.75" x14ac:dyDescent="0.2">
      <c r="B262" s="566" t="s">
        <v>105</v>
      </c>
      <c r="C262" s="424" t="s">
        <v>402</v>
      </c>
      <c r="D262" s="451" t="s">
        <v>403</v>
      </c>
      <c r="E262" s="423">
        <v>0.75</v>
      </c>
      <c r="F262" s="429">
        <v>1605</v>
      </c>
      <c r="G262" s="429">
        <v>112.35</v>
      </c>
      <c r="H262" s="429">
        <v>160.5</v>
      </c>
      <c r="I262" s="429">
        <v>1877.85</v>
      </c>
      <c r="J262" s="500">
        <f>ROUND((F262+G262+H262)*('[4]29_01_H_2020'!$O$9)*E262*12*(1+'[4]29_01_H_2020'!$O$24),2)</f>
        <v>2214.08</v>
      </c>
    </row>
    <row r="263" spans="2:10" s="260" customFormat="1" ht="12.75" x14ac:dyDescent="0.2">
      <c r="B263" s="566" t="s">
        <v>84</v>
      </c>
      <c r="C263" s="424" t="s">
        <v>442</v>
      </c>
      <c r="D263" s="451" t="s">
        <v>443</v>
      </c>
      <c r="E263" s="423">
        <v>2.5</v>
      </c>
      <c r="F263" s="429">
        <v>1605</v>
      </c>
      <c r="G263" s="429">
        <v>80.25</v>
      </c>
      <c r="H263" s="429">
        <v>160.5</v>
      </c>
      <c r="I263" s="429">
        <v>1845.75</v>
      </c>
      <c r="J263" s="500">
        <f>ROUND((F263+G263+H263)*('[4]29_01_H_2020'!$O$9)*E263*12*(1+'[4]29_01_H_2020'!$O$24),2)</f>
        <v>7254.1</v>
      </c>
    </row>
    <row r="264" spans="2:10" s="260" customFormat="1" ht="12.75" x14ac:dyDescent="0.2">
      <c r="B264" s="566" t="s">
        <v>96</v>
      </c>
      <c r="C264" s="424" t="s">
        <v>444</v>
      </c>
      <c r="D264" s="451" t="s">
        <v>408</v>
      </c>
      <c r="E264" s="423">
        <v>0.5</v>
      </c>
      <c r="F264" s="429">
        <v>1605</v>
      </c>
      <c r="G264" s="429">
        <v>80.25</v>
      </c>
      <c r="H264" s="429">
        <v>160.5</v>
      </c>
      <c r="I264" s="429">
        <v>1845.75</v>
      </c>
      <c r="J264" s="500">
        <f>ROUND((F264+G264+H264)*('[4]29_01_H_2020'!$O$9)*E264*12*(1+'[4]29_01_H_2020'!$O$24),2)</f>
        <v>1450.82</v>
      </c>
    </row>
    <row r="265" spans="2:10" s="260" customFormat="1" ht="12.75" x14ac:dyDescent="0.2">
      <c r="B265" s="566" t="s">
        <v>89</v>
      </c>
      <c r="C265" s="424" t="s">
        <v>445</v>
      </c>
      <c r="D265" s="451" t="s">
        <v>441</v>
      </c>
      <c r="E265" s="423">
        <v>1</v>
      </c>
      <c r="F265" s="429">
        <v>1605</v>
      </c>
      <c r="G265" s="429">
        <v>96.3</v>
      </c>
      <c r="H265" s="429">
        <v>160.5</v>
      </c>
      <c r="I265" s="429">
        <v>1861.8</v>
      </c>
      <c r="J265" s="500">
        <f>ROUND((F265+G265+H265)*('[4]29_01_H_2020'!$O$9)*E265*12*(1+'[4]29_01_H_2020'!$O$24),2)</f>
        <v>2926.87</v>
      </c>
    </row>
    <row r="266" spans="2:10" s="260" customFormat="1" ht="12.75" x14ac:dyDescent="0.2">
      <c r="B266" s="566" t="s">
        <v>230</v>
      </c>
      <c r="C266" s="424" t="s">
        <v>446</v>
      </c>
      <c r="D266" s="451" t="s">
        <v>407</v>
      </c>
      <c r="E266" s="423">
        <v>0.5</v>
      </c>
      <c r="F266" s="429">
        <v>1605</v>
      </c>
      <c r="G266" s="429">
        <v>80.25</v>
      </c>
      <c r="H266" s="429">
        <v>160.5</v>
      </c>
      <c r="I266" s="429">
        <v>1845.75</v>
      </c>
      <c r="J266" s="500">
        <f>ROUND((F266+G266+H266)*('[4]29_01_H_2020'!$O$9)*E266*12*(1+'[4]29_01_H_2020'!$O$24),2)</f>
        <v>1450.82</v>
      </c>
    </row>
    <row r="267" spans="2:10" s="260" customFormat="1" ht="12.75" x14ac:dyDescent="0.2">
      <c r="B267" s="566" t="s">
        <v>84</v>
      </c>
      <c r="C267" s="424" t="s">
        <v>442</v>
      </c>
      <c r="D267" s="451" t="s">
        <v>443</v>
      </c>
      <c r="E267" s="423">
        <v>1</v>
      </c>
      <c r="F267" s="429">
        <v>1605</v>
      </c>
      <c r="G267" s="429">
        <v>80.25</v>
      </c>
      <c r="H267" s="429">
        <v>160.5</v>
      </c>
      <c r="I267" s="429">
        <v>1845.75</v>
      </c>
      <c r="J267" s="500">
        <f>ROUND((F267+G267+H267)*('[4]29_01_H_2020'!$O$9)*E267*12*(1+'[4]29_01_H_2020'!$O$24),2)</f>
        <v>2901.64</v>
      </c>
    </row>
    <row r="268" spans="2:10" s="260" customFormat="1" ht="12.75" x14ac:dyDescent="0.2">
      <c r="B268" s="566" t="s">
        <v>84</v>
      </c>
      <c r="C268" s="424" t="s">
        <v>442</v>
      </c>
      <c r="D268" s="451" t="s">
        <v>443</v>
      </c>
      <c r="E268" s="423">
        <v>1</v>
      </c>
      <c r="F268" s="429">
        <v>1605</v>
      </c>
      <c r="G268" s="429">
        <v>80.25</v>
      </c>
      <c r="H268" s="429">
        <v>160.5</v>
      </c>
      <c r="I268" s="429">
        <v>1845.75</v>
      </c>
      <c r="J268" s="500">
        <f>ROUND((F268+G268+H268)*('[4]29_01_H_2020'!$O$9)*E268*12*(1+'[4]29_01_H_2020'!$O$24),2)</f>
        <v>2901.64</v>
      </c>
    </row>
    <row r="269" spans="2:10" s="260" customFormat="1" ht="12.75" x14ac:dyDescent="0.2">
      <c r="B269" s="566" t="s">
        <v>84</v>
      </c>
      <c r="C269" s="424" t="s">
        <v>442</v>
      </c>
      <c r="D269" s="451" t="s">
        <v>443</v>
      </c>
      <c r="E269" s="423">
        <v>0.5</v>
      </c>
      <c r="F269" s="429">
        <v>1605</v>
      </c>
      <c r="G269" s="429">
        <v>80.25</v>
      </c>
      <c r="H269" s="429">
        <v>160.5</v>
      </c>
      <c r="I269" s="429">
        <v>1845.75</v>
      </c>
      <c r="J269" s="500">
        <f>ROUND((F269+G269+H269)*('[4]29_01_H_2020'!$O$9)*E269*12*(1+'[4]29_01_H_2020'!$O$24),2)</f>
        <v>1450.82</v>
      </c>
    </row>
    <row r="270" spans="2:10" s="260" customFormat="1" ht="12.75" x14ac:dyDescent="0.2">
      <c r="B270" s="566" t="s">
        <v>229</v>
      </c>
      <c r="C270" s="424" t="s">
        <v>447</v>
      </c>
      <c r="D270" s="451" t="s">
        <v>407</v>
      </c>
      <c r="E270" s="423">
        <v>0.4</v>
      </c>
      <c r="F270" s="429">
        <v>1605</v>
      </c>
      <c r="G270" s="429">
        <v>96.3</v>
      </c>
      <c r="H270" s="429">
        <v>160.5</v>
      </c>
      <c r="I270" s="429">
        <v>1861.8</v>
      </c>
      <c r="J270" s="500">
        <f>ROUND((F270+G270+H270)*('[4]29_01_H_2020'!$O$9)*E270*12*(1+'[4]29_01_H_2020'!$O$24),2)</f>
        <v>1170.75</v>
      </c>
    </row>
    <row r="271" spans="2:10" s="260" customFormat="1" ht="12.75" x14ac:dyDescent="0.2">
      <c r="B271" s="566" t="s">
        <v>87</v>
      </c>
      <c r="C271" s="424" t="s">
        <v>726</v>
      </c>
      <c r="D271" s="451" t="s">
        <v>407</v>
      </c>
      <c r="E271" s="423">
        <v>0.25</v>
      </c>
      <c r="F271" s="429">
        <v>1605</v>
      </c>
      <c r="G271" s="429">
        <v>80.25</v>
      </c>
      <c r="H271" s="429">
        <v>160.5</v>
      </c>
      <c r="I271" s="429">
        <v>1845.75</v>
      </c>
      <c r="J271" s="500">
        <f>ROUND((F271+G271+H271)*('[4]29_01_H_2020'!$O$9)*E271*12*(1+'[4]29_01_H_2020'!$O$24),2)</f>
        <v>725.41</v>
      </c>
    </row>
    <row r="272" spans="2:10" s="260" customFormat="1" ht="12.75" x14ac:dyDescent="0.2">
      <c r="B272" s="566" t="s">
        <v>96</v>
      </c>
      <c r="C272" s="424" t="s">
        <v>444</v>
      </c>
      <c r="D272" s="451" t="s">
        <v>408</v>
      </c>
      <c r="E272" s="423">
        <v>0.5</v>
      </c>
      <c r="F272" s="429">
        <v>1605</v>
      </c>
      <c r="G272" s="429">
        <v>80.25</v>
      </c>
      <c r="H272" s="429">
        <v>160.5</v>
      </c>
      <c r="I272" s="429">
        <v>1845.75</v>
      </c>
      <c r="J272" s="500">
        <f>ROUND((F272+G272+H272)*('[4]29_01_H_2020'!$O$9)*E272*12*(1+'[4]29_01_H_2020'!$O$24),2)</f>
        <v>1450.82</v>
      </c>
    </row>
    <row r="273" spans="2:10" s="260" customFormat="1" ht="12.75" x14ac:dyDescent="0.2">
      <c r="B273" s="566" t="s">
        <v>84</v>
      </c>
      <c r="C273" s="424" t="s">
        <v>391</v>
      </c>
      <c r="D273" s="451" t="s">
        <v>392</v>
      </c>
      <c r="E273" s="423">
        <v>1</v>
      </c>
      <c r="F273" s="429">
        <v>1483</v>
      </c>
      <c r="G273" s="429">
        <v>88.98</v>
      </c>
      <c r="H273" s="429">
        <v>148.30000000000001</v>
      </c>
      <c r="I273" s="429">
        <v>1720.28</v>
      </c>
      <c r="J273" s="500">
        <f>ROUND((F273+G273+H273)*('[4]29_01_H_2020'!$O$9)*E273*12*(1+'[4]29_01_H_2020'!$O$24),2)</f>
        <v>2704.39</v>
      </c>
    </row>
    <row r="274" spans="2:10" s="260" customFormat="1" ht="12.75" x14ac:dyDescent="0.2">
      <c r="B274" s="566" t="s">
        <v>84</v>
      </c>
      <c r="C274" s="424" t="s">
        <v>391</v>
      </c>
      <c r="D274" s="451" t="s">
        <v>392</v>
      </c>
      <c r="E274" s="423">
        <v>1</v>
      </c>
      <c r="F274" s="429">
        <v>1481</v>
      </c>
      <c r="G274" s="429">
        <v>88.86</v>
      </c>
      <c r="H274" s="429">
        <v>148.1</v>
      </c>
      <c r="I274" s="429">
        <v>1717.9599999999998</v>
      </c>
      <c r="J274" s="500">
        <f>ROUND((F274+G274+H274)*('[4]29_01_H_2020'!$O$9)*E274*12*(1+'[4]29_01_H_2020'!$O$24),2)</f>
        <v>2700.74</v>
      </c>
    </row>
    <row r="275" spans="2:10" s="260" customFormat="1" ht="12.75" x14ac:dyDescent="0.2">
      <c r="B275" s="566" t="s">
        <v>84</v>
      </c>
      <c r="C275" s="424" t="s">
        <v>391</v>
      </c>
      <c r="D275" s="451" t="s">
        <v>392</v>
      </c>
      <c r="E275" s="423">
        <v>1</v>
      </c>
      <c r="F275" s="429">
        <v>1483</v>
      </c>
      <c r="G275" s="429">
        <v>88.98</v>
      </c>
      <c r="H275" s="429">
        <v>148.30000000000001</v>
      </c>
      <c r="I275" s="429">
        <v>1720.28</v>
      </c>
      <c r="J275" s="500">
        <f>ROUND((F275+G275+H275)*('[4]29_01_H_2020'!$O$9)*E275*12*(1+'[4]29_01_H_2020'!$O$24),2)</f>
        <v>2704.39</v>
      </c>
    </row>
    <row r="276" spans="2:10" s="260" customFormat="1" ht="12.75" x14ac:dyDescent="0.2">
      <c r="B276" s="566" t="s">
        <v>84</v>
      </c>
      <c r="C276" s="424" t="s">
        <v>391</v>
      </c>
      <c r="D276" s="451" t="s">
        <v>392</v>
      </c>
      <c r="E276" s="423">
        <v>1</v>
      </c>
      <c r="F276" s="429">
        <v>1483</v>
      </c>
      <c r="G276" s="429">
        <v>74.150000000000006</v>
      </c>
      <c r="H276" s="429">
        <v>148.30000000000001</v>
      </c>
      <c r="I276" s="429">
        <v>1705.45</v>
      </c>
      <c r="J276" s="500">
        <f>ROUND((F276+G276+H276)*('[4]29_01_H_2020'!$O$9)*E276*12*(1+'[4]29_01_H_2020'!$O$24),2)</f>
        <v>2681.08</v>
      </c>
    </row>
    <row r="277" spans="2:10" s="260" customFormat="1" ht="12.75" x14ac:dyDescent="0.2">
      <c r="B277" s="566" t="s">
        <v>84</v>
      </c>
      <c r="C277" s="424" t="s">
        <v>391</v>
      </c>
      <c r="D277" s="451" t="s">
        <v>392</v>
      </c>
      <c r="E277" s="423">
        <v>1</v>
      </c>
      <c r="F277" s="429">
        <v>1484</v>
      </c>
      <c r="G277" s="429">
        <v>74.2</v>
      </c>
      <c r="H277" s="429">
        <v>148.4</v>
      </c>
      <c r="I277" s="429">
        <v>1706.6000000000001</v>
      </c>
      <c r="J277" s="500">
        <f>ROUND((F277+G277+H277)*('[4]29_01_H_2020'!$O$9)*E277*12*(1+'[4]29_01_H_2020'!$O$24),2)</f>
        <v>2682.89</v>
      </c>
    </row>
    <row r="278" spans="2:10" s="260" customFormat="1" ht="12.75" x14ac:dyDescent="0.2">
      <c r="B278" s="566" t="s">
        <v>84</v>
      </c>
      <c r="C278" s="424" t="s">
        <v>391</v>
      </c>
      <c r="D278" s="451" t="s">
        <v>392</v>
      </c>
      <c r="E278" s="423">
        <v>1</v>
      </c>
      <c r="F278" s="429">
        <v>1483</v>
      </c>
      <c r="G278" s="429">
        <v>74.150000000000006</v>
      </c>
      <c r="H278" s="429">
        <v>148.30000000000001</v>
      </c>
      <c r="I278" s="429">
        <v>1705.45</v>
      </c>
      <c r="J278" s="500">
        <f>ROUND((F278+G278+H278)*('[4]29_01_H_2020'!$O$9)*E278*12*(1+'[4]29_01_H_2020'!$O$24),2)</f>
        <v>2681.08</v>
      </c>
    </row>
    <row r="279" spans="2:10" s="260" customFormat="1" ht="12.75" x14ac:dyDescent="0.2">
      <c r="B279" s="566" t="s">
        <v>84</v>
      </c>
      <c r="C279" s="424" t="s">
        <v>391</v>
      </c>
      <c r="D279" s="451" t="s">
        <v>392</v>
      </c>
      <c r="E279" s="423">
        <v>1</v>
      </c>
      <c r="F279" s="429">
        <v>1483</v>
      </c>
      <c r="G279" s="429">
        <v>74.150000000000006</v>
      </c>
      <c r="H279" s="429">
        <v>148.30000000000001</v>
      </c>
      <c r="I279" s="429">
        <v>1705.45</v>
      </c>
      <c r="J279" s="500">
        <f>ROUND((F279+G279+H279)*('[4]29_01_H_2020'!$O$9)*E279*12*(1+'[4]29_01_H_2020'!$O$24),2)</f>
        <v>2681.08</v>
      </c>
    </row>
    <row r="280" spans="2:10" s="260" customFormat="1" ht="12.75" x14ac:dyDescent="0.2">
      <c r="B280" s="566" t="s">
        <v>84</v>
      </c>
      <c r="C280" s="424" t="s">
        <v>391</v>
      </c>
      <c r="D280" s="451" t="s">
        <v>392</v>
      </c>
      <c r="E280" s="423">
        <v>0.5</v>
      </c>
      <c r="F280" s="429">
        <v>1668.14</v>
      </c>
      <c r="G280" s="429">
        <v>100.08840000000001</v>
      </c>
      <c r="H280" s="429">
        <v>166.81400000000002</v>
      </c>
      <c r="I280" s="429">
        <v>1935.0424000000003</v>
      </c>
      <c r="J280" s="500">
        <f>ROUND((F280+G280+H280)*('[4]29_01_H_2020'!$O$9)*E280*12*(1+'[4]29_01_H_2020'!$O$24),2)</f>
        <v>1521.01</v>
      </c>
    </row>
    <row r="281" spans="2:10" s="260" customFormat="1" ht="12.75" x14ac:dyDescent="0.2">
      <c r="B281" s="566" t="s">
        <v>84</v>
      </c>
      <c r="C281" s="424" t="s">
        <v>727</v>
      </c>
      <c r="D281" s="451" t="s">
        <v>392</v>
      </c>
      <c r="E281" s="423">
        <v>0.75</v>
      </c>
      <c r="F281" s="429">
        <v>1668.14</v>
      </c>
      <c r="G281" s="429">
        <v>0</v>
      </c>
      <c r="H281" s="429">
        <v>166.81400000000002</v>
      </c>
      <c r="I281" s="429">
        <v>1834.9540000000002</v>
      </c>
      <c r="J281" s="500">
        <f>ROUND((F281+G281+H281)*('[4]29_01_H_2020'!$O$9)*E281*12*(1+'[4]29_01_H_2020'!$O$24),2)</f>
        <v>2163.5</v>
      </c>
    </row>
    <row r="282" spans="2:10" s="260" customFormat="1" ht="12.75" x14ac:dyDescent="0.2">
      <c r="B282" s="566" t="s">
        <v>84</v>
      </c>
      <c r="C282" s="424" t="s">
        <v>391</v>
      </c>
      <c r="D282" s="451" t="s">
        <v>392</v>
      </c>
      <c r="E282" s="423">
        <v>1</v>
      </c>
      <c r="F282" s="429">
        <v>1668.14</v>
      </c>
      <c r="G282" s="429">
        <v>100.08840000000001</v>
      </c>
      <c r="H282" s="429">
        <v>166.81400000000002</v>
      </c>
      <c r="I282" s="429">
        <v>1935.0424000000003</v>
      </c>
      <c r="J282" s="500">
        <f>ROUND((F282+G282+H282)*('[4]29_01_H_2020'!$O$9)*E282*12*(1+'[4]29_01_H_2020'!$O$24),2)</f>
        <v>3042.01</v>
      </c>
    </row>
    <row r="283" spans="2:10" s="260" customFormat="1" ht="12.75" x14ac:dyDescent="0.2">
      <c r="B283" s="566" t="s">
        <v>89</v>
      </c>
      <c r="C283" s="424" t="s">
        <v>389</v>
      </c>
      <c r="D283" s="451" t="s">
        <v>390</v>
      </c>
      <c r="E283" s="423">
        <v>3</v>
      </c>
      <c r="F283" s="429">
        <v>1605</v>
      </c>
      <c r="G283" s="429">
        <v>128.4</v>
      </c>
      <c r="H283" s="429">
        <v>160.5</v>
      </c>
      <c r="I283" s="429">
        <v>1893.9</v>
      </c>
      <c r="J283" s="500">
        <f>ROUND((F283+G283+H283)*('[4]29_01_H_2020'!$O$9)*E283*12*(1+'[4]29_01_H_2020'!$O$24),2)</f>
        <v>8932</v>
      </c>
    </row>
    <row r="284" spans="2:10" s="260" customFormat="1" ht="12.75" x14ac:dyDescent="0.2">
      <c r="B284" s="566" t="s">
        <v>84</v>
      </c>
      <c r="C284" s="424" t="s">
        <v>391</v>
      </c>
      <c r="D284" s="451" t="s">
        <v>392</v>
      </c>
      <c r="E284" s="423">
        <v>3.5</v>
      </c>
      <c r="F284" s="429">
        <v>1477</v>
      </c>
      <c r="G284" s="429">
        <v>118.16</v>
      </c>
      <c r="H284" s="429">
        <v>147.69999999999999</v>
      </c>
      <c r="I284" s="429">
        <v>1742.8600000000001</v>
      </c>
      <c r="J284" s="500">
        <f>ROUND((F284+G284+H284)*('[4]29_01_H_2020'!$O$9)*E284*12*(1+'[4]29_01_H_2020'!$O$24),2)</f>
        <v>9589.61</v>
      </c>
    </row>
    <row r="285" spans="2:10" s="260" customFormat="1" ht="12.75" x14ac:dyDescent="0.2">
      <c r="B285" s="566" t="s">
        <v>87</v>
      </c>
      <c r="C285" s="424" t="s">
        <v>406</v>
      </c>
      <c r="D285" s="451" t="s">
        <v>407</v>
      </c>
      <c r="E285" s="423">
        <v>1</v>
      </c>
      <c r="F285" s="429">
        <v>1505</v>
      </c>
      <c r="G285" s="429">
        <v>120.4</v>
      </c>
      <c r="H285" s="429">
        <v>150.5</v>
      </c>
      <c r="I285" s="429">
        <v>1775.9</v>
      </c>
      <c r="J285" s="500">
        <f>ROUND((F285+G285+H285)*('[4]29_01_H_2020'!$O$9)*E285*12*(1+'[4]29_01_H_2020'!$O$24),2)</f>
        <v>2791.83</v>
      </c>
    </row>
    <row r="286" spans="2:10" s="260" customFormat="1" ht="38.25" x14ac:dyDescent="0.2">
      <c r="B286" s="288" t="s">
        <v>409</v>
      </c>
      <c r="C286" s="288"/>
      <c r="D286" s="288"/>
      <c r="E286" s="274">
        <f>SUM(E287:E357)</f>
        <v>204.95</v>
      </c>
      <c r="F286" s="274">
        <f t="shared" ref="F286:I286" si="51">SUM(F287:F357)</f>
        <v>89118.950000000055</v>
      </c>
      <c r="G286" s="274">
        <f t="shared" si="51"/>
        <v>6425.2326999999968</v>
      </c>
      <c r="H286" s="274">
        <f t="shared" si="51"/>
        <v>8911.8949999999913</v>
      </c>
      <c r="I286" s="274">
        <f t="shared" si="51"/>
        <v>104456.07770000002</v>
      </c>
      <c r="J286" s="244"/>
    </row>
    <row r="287" spans="2:10" s="260" customFormat="1" ht="12.75" x14ac:dyDescent="0.2">
      <c r="B287" s="582" t="s">
        <v>78</v>
      </c>
      <c r="C287" s="575" t="s">
        <v>457</v>
      </c>
      <c r="D287" s="580" t="s">
        <v>291</v>
      </c>
      <c r="E287" s="571">
        <v>4.5</v>
      </c>
      <c r="F287" s="560">
        <v>1190</v>
      </c>
      <c r="G287" s="560">
        <v>95.2</v>
      </c>
      <c r="H287" s="560">
        <v>119</v>
      </c>
      <c r="I287" s="570">
        <v>1404.2</v>
      </c>
      <c r="J287" s="500">
        <f>ROUND((F287+G287+H287)*('[4]29_01_H_2020'!$O$13)*E287*12*(1+'[4]29_01_H_2020'!$O$24),2)</f>
        <v>6091.43</v>
      </c>
    </row>
    <row r="288" spans="2:10" s="260" customFormat="1" ht="12.75" x14ac:dyDescent="0.2">
      <c r="B288" s="582" t="s">
        <v>78</v>
      </c>
      <c r="C288" s="575" t="s">
        <v>457</v>
      </c>
      <c r="D288" s="580" t="s">
        <v>291</v>
      </c>
      <c r="E288" s="571">
        <v>1</v>
      </c>
      <c r="F288" s="560">
        <v>1190</v>
      </c>
      <c r="G288" s="560">
        <v>83.3</v>
      </c>
      <c r="H288" s="560">
        <v>119</v>
      </c>
      <c r="I288" s="570">
        <v>1392.3</v>
      </c>
      <c r="J288" s="500">
        <f>ROUND((F288+G288+H288)*('[4]29_01_H_2020'!$O$13)*E288*12*(1+'[4]29_01_H_2020'!$O$24),2)</f>
        <v>1342.18</v>
      </c>
    </row>
    <row r="289" spans="2:10" s="260" customFormat="1" ht="12.75" x14ac:dyDescent="0.2">
      <c r="B289" s="582" t="s">
        <v>78</v>
      </c>
      <c r="C289" s="575" t="s">
        <v>457</v>
      </c>
      <c r="D289" s="580" t="s">
        <v>291</v>
      </c>
      <c r="E289" s="571">
        <v>6.5</v>
      </c>
      <c r="F289" s="560">
        <v>1190</v>
      </c>
      <c r="G289" s="560">
        <v>95.2</v>
      </c>
      <c r="H289" s="560">
        <v>119</v>
      </c>
      <c r="I289" s="570">
        <v>1404.2</v>
      </c>
      <c r="J289" s="500">
        <f>ROUND((F289+G289+H289)*('[4]29_01_H_2020'!$O$13)*E289*12*(1+'[4]29_01_H_2020'!$O$24),2)</f>
        <v>8798.74</v>
      </c>
    </row>
    <row r="290" spans="2:10" s="260" customFormat="1" ht="12.75" x14ac:dyDescent="0.2">
      <c r="B290" s="582" t="s">
        <v>78</v>
      </c>
      <c r="C290" s="575" t="s">
        <v>457</v>
      </c>
      <c r="D290" s="580" t="s">
        <v>291</v>
      </c>
      <c r="E290" s="571">
        <v>1</v>
      </c>
      <c r="F290" s="560">
        <v>1190</v>
      </c>
      <c r="G290" s="560">
        <v>59.5</v>
      </c>
      <c r="H290" s="560">
        <v>119</v>
      </c>
      <c r="I290" s="570">
        <v>1368.5</v>
      </c>
      <c r="J290" s="500">
        <f>ROUND((F290+G290+H290)*('[4]29_01_H_2020'!$O$13)*E290*12*(1+'[4]29_01_H_2020'!$O$24),2)</f>
        <v>1319.24</v>
      </c>
    </row>
    <row r="291" spans="2:10" s="260" customFormat="1" ht="12.75" x14ac:dyDescent="0.2">
      <c r="B291" s="582" t="s">
        <v>78</v>
      </c>
      <c r="C291" s="575" t="s">
        <v>457</v>
      </c>
      <c r="D291" s="580" t="s">
        <v>291</v>
      </c>
      <c r="E291" s="571">
        <v>1</v>
      </c>
      <c r="F291" s="560">
        <v>1190</v>
      </c>
      <c r="G291" s="560">
        <v>83.3</v>
      </c>
      <c r="H291" s="560">
        <v>119</v>
      </c>
      <c r="I291" s="570">
        <v>1392.3</v>
      </c>
      <c r="J291" s="500">
        <f>ROUND((F291+G291+H291)*('[4]29_01_H_2020'!$O$13)*E291*12*(1+'[4]29_01_H_2020'!$O$24),2)</f>
        <v>1342.18</v>
      </c>
    </row>
    <row r="292" spans="2:10" s="260" customFormat="1" ht="12.75" x14ac:dyDescent="0.2">
      <c r="B292" s="582" t="s">
        <v>78</v>
      </c>
      <c r="C292" s="575" t="s">
        <v>457</v>
      </c>
      <c r="D292" s="580" t="s">
        <v>291</v>
      </c>
      <c r="E292" s="571">
        <v>6.75</v>
      </c>
      <c r="F292" s="560">
        <v>1190</v>
      </c>
      <c r="G292" s="560">
        <v>95.2</v>
      </c>
      <c r="H292" s="560">
        <v>119</v>
      </c>
      <c r="I292" s="570">
        <v>1404.2</v>
      </c>
      <c r="J292" s="500">
        <f>ROUND((F292+G292+H292)*('[4]29_01_H_2020'!$O$13)*E292*12*(1+'[4]29_01_H_2020'!$O$24),2)</f>
        <v>9137.15</v>
      </c>
    </row>
    <row r="293" spans="2:10" s="260" customFormat="1" ht="12.75" x14ac:dyDescent="0.2">
      <c r="B293" s="582" t="s">
        <v>78</v>
      </c>
      <c r="C293" s="575" t="s">
        <v>457</v>
      </c>
      <c r="D293" s="580" t="s">
        <v>291</v>
      </c>
      <c r="E293" s="571">
        <v>3</v>
      </c>
      <c r="F293" s="560">
        <v>1190</v>
      </c>
      <c r="G293" s="560">
        <v>59.5</v>
      </c>
      <c r="H293" s="560">
        <v>119</v>
      </c>
      <c r="I293" s="570">
        <v>1368.5</v>
      </c>
      <c r="J293" s="500">
        <f>ROUND((F293+G293+H293)*('[4]29_01_H_2020'!$O$13)*E293*12*(1+'[4]29_01_H_2020'!$O$24),2)</f>
        <v>3957.71</v>
      </c>
    </row>
    <row r="294" spans="2:10" s="260" customFormat="1" ht="12.75" x14ac:dyDescent="0.2">
      <c r="B294" s="582" t="s">
        <v>78</v>
      </c>
      <c r="C294" s="575" t="s">
        <v>457</v>
      </c>
      <c r="D294" s="580" t="s">
        <v>291</v>
      </c>
      <c r="E294" s="571">
        <v>22</v>
      </c>
      <c r="F294" s="560">
        <v>1190</v>
      </c>
      <c r="G294" s="560">
        <v>95.2</v>
      </c>
      <c r="H294" s="560">
        <v>119</v>
      </c>
      <c r="I294" s="570">
        <v>1404.2</v>
      </c>
      <c r="J294" s="500">
        <f>ROUND((F294+G294+H294)*('[4]29_01_H_2020'!$O$13)*E294*12*(1+'[4]29_01_H_2020'!$O$24),2)</f>
        <v>29780.34</v>
      </c>
    </row>
    <row r="295" spans="2:10" s="260" customFormat="1" ht="12.75" x14ac:dyDescent="0.2">
      <c r="B295" s="582" t="s">
        <v>78</v>
      </c>
      <c r="C295" s="575" t="s">
        <v>457</v>
      </c>
      <c r="D295" s="580" t="s">
        <v>291</v>
      </c>
      <c r="E295" s="571">
        <v>1</v>
      </c>
      <c r="F295" s="560">
        <v>1157</v>
      </c>
      <c r="G295" s="560">
        <v>69.42</v>
      </c>
      <c r="H295" s="560">
        <v>115.7</v>
      </c>
      <c r="I295" s="570">
        <v>1342.1200000000001</v>
      </c>
      <c r="J295" s="500">
        <f>ROUND((F295+G295+H295)*('[4]29_01_H_2020'!$O$13)*E295*12*(1+'[4]29_01_H_2020'!$O$24),2)</f>
        <v>1293.81</v>
      </c>
    </row>
    <row r="296" spans="2:10" s="260" customFormat="1" ht="12.75" x14ac:dyDescent="0.2">
      <c r="B296" s="582" t="s">
        <v>78</v>
      </c>
      <c r="C296" s="575" t="s">
        <v>457</v>
      </c>
      <c r="D296" s="580" t="s">
        <v>291</v>
      </c>
      <c r="E296" s="571">
        <v>1</v>
      </c>
      <c r="F296" s="560">
        <v>1157</v>
      </c>
      <c r="G296" s="560">
        <v>57.85</v>
      </c>
      <c r="H296" s="560">
        <v>115.7</v>
      </c>
      <c r="I296" s="570">
        <v>1330.55</v>
      </c>
      <c r="J296" s="500">
        <f>ROUND((F296+G296+H296)*('[4]29_01_H_2020'!$O$13)*E296*12*(1+'[4]29_01_H_2020'!$O$24),2)</f>
        <v>1282.6500000000001</v>
      </c>
    </row>
    <row r="297" spans="2:10" s="260" customFormat="1" ht="12.75" x14ac:dyDescent="0.2">
      <c r="B297" s="582" t="s">
        <v>78</v>
      </c>
      <c r="C297" s="575" t="s">
        <v>457</v>
      </c>
      <c r="D297" s="580" t="s">
        <v>291</v>
      </c>
      <c r="E297" s="571">
        <v>7</v>
      </c>
      <c r="F297" s="560">
        <v>1190</v>
      </c>
      <c r="G297" s="560">
        <v>95.2</v>
      </c>
      <c r="H297" s="560">
        <v>119</v>
      </c>
      <c r="I297" s="570">
        <v>1404.2</v>
      </c>
      <c r="J297" s="500">
        <f>ROUND((F297+G297+H297)*('[4]29_01_H_2020'!$O$13)*E297*12*(1+'[4]29_01_H_2020'!$O$24),2)</f>
        <v>9475.56</v>
      </c>
    </row>
    <row r="298" spans="2:10" s="260" customFormat="1" ht="12.75" x14ac:dyDescent="0.2">
      <c r="B298" s="582" t="s">
        <v>78</v>
      </c>
      <c r="C298" s="575" t="s">
        <v>457</v>
      </c>
      <c r="D298" s="580" t="s">
        <v>291</v>
      </c>
      <c r="E298" s="571">
        <v>1</v>
      </c>
      <c r="F298" s="560">
        <v>1116</v>
      </c>
      <c r="G298" s="560">
        <v>89.28</v>
      </c>
      <c r="H298" s="560">
        <v>111.6</v>
      </c>
      <c r="I298" s="570">
        <v>1316.8799999999999</v>
      </c>
      <c r="J298" s="500">
        <f>ROUND((F298+G298+H298)*('[4]29_01_H_2020'!$O$13)*E298*12*(1+'[4]29_01_H_2020'!$O$24),2)</f>
        <v>1269.47</v>
      </c>
    </row>
    <row r="299" spans="2:10" s="260" customFormat="1" ht="12.75" x14ac:dyDescent="0.2">
      <c r="B299" s="582" t="s">
        <v>78</v>
      </c>
      <c r="C299" s="575" t="s">
        <v>457</v>
      </c>
      <c r="D299" s="580" t="s">
        <v>291</v>
      </c>
      <c r="E299" s="571">
        <v>1</v>
      </c>
      <c r="F299" s="560">
        <v>1116</v>
      </c>
      <c r="G299" s="560">
        <v>55.8</v>
      </c>
      <c r="H299" s="560">
        <v>111.6</v>
      </c>
      <c r="I299" s="570">
        <v>1283.3999999999999</v>
      </c>
      <c r="J299" s="500">
        <f>ROUND((F299+G299+H299)*('[4]29_01_H_2020'!$O$13)*E299*12*(1+'[4]29_01_H_2020'!$O$24),2)</f>
        <v>1237.2</v>
      </c>
    </row>
    <row r="300" spans="2:10" s="260" customFormat="1" ht="12.75" x14ac:dyDescent="0.2">
      <c r="B300" s="582" t="s">
        <v>78</v>
      </c>
      <c r="C300" s="575" t="s">
        <v>457</v>
      </c>
      <c r="D300" s="580" t="s">
        <v>291</v>
      </c>
      <c r="E300" s="571">
        <v>5</v>
      </c>
      <c r="F300" s="416">
        <v>1190</v>
      </c>
      <c r="G300" s="416">
        <v>95.2</v>
      </c>
      <c r="H300" s="416">
        <v>119</v>
      </c>
      <c r="I300" s="572">
        <v>1404.2</v>
      </c>
      <c r="J300" s="500">
        <f>ROUND((F300+G300+H300)*('[4]29_01_H_2020'!$O$13)*E300*12*(1+'[4]29_01_H_2020'!$O$24),2)</f>
        <v>6768.26</v>
      </c>
    </row>
    <row r="301" spans="2:10" s="260" customFormat="1" ht="12.75" x14ac:dyDescent="0.2">
      <c r="B301" s="582" t="s">
        <v>78</v>
      </c>
      <c r="C301" s="575" t="s">
        <v>457</v>
      </c>
      <c r="D301" s="580" t="s">
        <v>291</v>
      </c>
      <c r="E301" s="571">
        <v>1</v>
      </c>
      <c r="F301" s="416">
        <v>1190</v>
      </c>
      <c r="G301" s="416">
        <v>71.400000000000006</v>
      </c>
      <c r="H301" s="416">
        <v>119</v>
      </c>
      <c r="I301" s="572">
        <v>1380.4</v>
      </c>
      <c r="J301" s="500">
        <f>ROUND((F301+G301+H301)*('[4]29_01_H_2020'!$O$13)*E301*12*(1+'[4]29_01_H_2020'!$O$24),2)</f>
        <v>1330.71</v>
      </c>
    </row>
    <row r="302" spans="2:10" s="260" customFormat="1" ht="12.75" x14ac:dyDescent="0.2">
      <c r="B302" s="582" t="s">
        <v>721</v>
      </c>
      <c r="C302" s="575" t="s">
        <v>283</v>
      </c>
      <c r="D302" s="580" t="s">
        <v>291</v>
      </c>
      <c r="E302" s="571">
        <v>1</v>
      </c>
      <c r="F302" s="416">
        <v>1295</v>
      </c>
      <c r="G302" s="416">
        <v>103.6</v>
      </c>
      <c r="H302" s="416">
        <v>129.5</v>
      </c>
      <c r="I302" s="572">
        <v>1528.1</v>
      </c>
      <c r="J302" s="500">
        <f>ROUND((F302+G302+H302)*('[4]29_01_H_2020'!$O$13)*E302*12*(1+'[4]29_01_H_2020'!$O$24),2)</f>
        <v>1473.09</v>
      </c>
    </row>
    <row r="303" spans="2:10" s="260" customFormat="1" ht="12.75" x14ac:dyDescent="0.2">
      <c r="B303" s="582" t="s">
        <v>721</v>
      </c>
      <c r="C303" s="575" t="s">
        <v>283</v>
      </c>
      <c r="D303" s="580" t="s">
        <v>291</v>
      </c>
      <c r="E303" s="571">
        <v>1</v>
      </c>
      <c r="F303" s="416">
        <v>1295</v>
      </c>
      <c r="G303" s="416">
        <v>77.7</v>
      </c>
      <c r="H303" s="416">
        <v>129.5</v>
      </c>
      <c r="I303" s="572">
        <v>1502.2</v>
      </c>
      <c r="J303" s="500">
        <f>ROUND((F303+G303+H303)*('[4]29_01_H_2020'!$O$13)*E303*12*(1+'[4]29_01_H_2020'!$O$24),2)</f>
        <v>1448.12</v>
      </c>
    </row>
    <row r="304" spans="2:10" s="260" customFormat="1" ht="12.75" x14ac:dyDescent="0.2">
      <c r="B304" s="582" t="s">
        <v>454</v>
      </c>
      <c r="C304" s="575" t="s">
        <v>373</v>
      </c>
      <c r="D304" s="580" t="s">
        <v>291</v>
      </c>
      <c r="E304" s="571">
        <v>6</v>
      </c>
      <c r="F304" s="416">
        <v>1171</v>
      </c>
      <c r="G304" s="416">
        <v>81.97</v>
      </c>
      <c r="H304" s="416">
        <v>117.1</v>
      </c>
      <c r="I304" s="572">
        <v>1370.07</v>
      </c>
      <c r="J304" s="500">
        <f>ROUND((F304+G304+H304)*('[4]29_01_H_2020'!$O$13)*E304*12*(1+'[4]29_01_H_2020'!$O$24),2)</f>
        <v>7924.5</v>
      </c>
    </row>
    <row r="305" spans="2:10" s="260" customFormat="1" ht="12.75" x14ac:dyDescent="0.2">
      <c r="B305" s="582" t="s">
        <v>454</v>
      </c>
      <c r="C305" s="575" t="s">
        <v>373</v>
      </c>
      <c r="D305" s="580" t="s">
        <v>291</v>
      </c>
      <c r="E305" s="571">
        <v>1</v>
      </c>
      <c r="F305" s="416">
        <v>1173</v>
      </c>
      <c r="G305" s="416">
        <v>70.38</v>
      </c>
      <c r="H305" s="416">
        <v>117.3</v>
      </c>
      <c r="I305" s="572">
        <v>1360.68</v>
      </c>
      <c r="J305" s="500">
        <f>ROUND((F305+G305+H305)*('[4]29_01_H_2020'!$O$13)*E305*12*(1+'[4]29_01_H_2020'!$O$24),2)</f>
        <v>1311.7</v>
      </c>
    </row>
    <row r="306" spans="2:10" s="260" customFormat="1" ht="12.75" x14ac:dyDescent="0.2">
      <c r="B306" s="582" t="s">
        <v>454</v>
      </c>
      <c r="C306" s="575" t="s">
        <v>373</v>
      </c>
      <c r="D306" s="580" t="s">
        <v>291</v>
      </c>
      <c r="E306" s="571">
        <v>1</v>
      </c>
      <c r="F306" s="416">
        <v>1171</v>
      </c>
      <c r="G306" s="416">
        <v>81.97</v>
      </c>
      <c r="H306" s="416">
        <v>117.1</v>
      </c>
      <c r="I306" s="572">
        <v>1370.07</v>
      </c>
      <c r="J306" s="500">
        <f>ROUND((F306+G306+H306)*('[4]29_01_H_2020'!$O$13)*E306*12*(1+'[4]29_01_H_2020'!$O$24),2)</f>
        <v>1320.75</v>
      </c>
    </row>
    <row r="307" spans="2:10" s="260" customFormat="1" ht="12.75" x14ac:dyDescent="0.2">
      <c r="B307" s="582" t="s">
        <v>454</v>
      </c>
      <c r="C307" s="575" t="s">
        <v>373</v>
      </c>
      <c r="D307" s="580" t="s">
        <v>291</v>
      </c>
      <c r="E307" s="571">
        <v>1</v>
      </c>
      <c r="F307" s="416">
        <v>1172</v>
      </c>
      <c r="G307" s="416">
        <v>93.76</v>
      </c>
      <c r="H307" s="416">
        <v>117.2</v>
      </c>
      <c r="I307" s="572">
        <v>1382.96</v>
      </c>
      <c r="J307" s="500">
        <f>ROUND((F307+G307+H307)*('[4]29_01_H_2020'!$O$13)*E307*12*(1+'[4]29_01_H_2020'!$O$24),2)</f>
        <v>1333.18</v>
      </c>
    </row>
    <row r="308" spans="2:10" s="260" customFormat="1" ht="12.75" x14ac:dyDescent="0.2">
      <c r="B308" s="582" t="s">
        <v>454</v>
      </c>
      <c r="C308" s="575" t="s">
        <v>373</v>
      </c>
      <c r="D308" s="580" t="s">
        <v>291</v>
      </c>
      <c r="E308" s="571">
        <v>3</v>
      </c>
      <c r="F308" s="416">
        <v>1171</v>
      </c>
      <c r="G308" s="416">
        <v>93.68</v>
      </c>
      <c r="H308" s="416">
        <v>117.1</v>
      </c>
      <c r="I308" s="572">
        <v>1381.78</v>
      </c>
      <c r="J308" s="500">
        <f>ROUND((F308+G308+H308)*('[4]29_01_H_2020'!$O$13)*E308*12*(1+'[4]29_01_H_2020'!$O$24),2)</f>
        <v>3996.12</v>
      </c>
    </row>
    <row r="309" spans="2:10" s="260" customFormat="1" ht="12.75" x14ac:dyDescent="0.2">
      <c r="B309" s="582" t="s">
        <v>454</v>
      </c>
      <c r="C309" s="575" t="s">
        <v>373</v>
      </c>
      <c r="D309" s="580" t="s">
        <v>291</v>
      </c>
      <c r="E309" s="571">
        <v>1</v>
      </c>
      <c r="F309" s="416">
        <v>1170</v>
      </c>
      <c r="G309" s="416">
        <v>81.900000000000006</v>
      </c>
      <c r="H309" s="416">
        <v>117</v>
      </c>
      <c r="I309" s="572">
        <v>1368.9</v>
      </c>
      <c r="J309" s="500">
        <f>ROUND((F309+G309+H309)*('[4]29_01_H_2020'!$O$13)*E309*12*(1+'[4]29_01_H_2020'!$O$24),2)</f>
        <v>1319.62</v>
      </c>
    </row>
    <row r="310" spans="2:10" s="260" customFormat="1" ht="12.75" x14ac:dyDescent="0.2">
      <c r="B310" s="582" t="s">
        <v>454</v>
      </c>
      <c r="C310" s="575" t="s">
        <v>373</v>
      </c>
      <c r="D310" s="580" t="s">
        <v>291</v>
      </c>
      <c r="E310" s="571">
        <v>4</v>
      </c>
      <c r="F310" s="416">
        <v>1171</v>
      </c>
      <c r="G310" s="416">
        <v>93.68</v>
      </c>
      <c r="H310" s="416">
        <v>117.1</v>
      </c>
      <c r="I310" s="572">
        <v>1381.78</v>
      </c>
      <c r="J310" s="500">
        <f>ROUND((F310+G310+H310)*('[4]29_01_H_2020'!$O$13)*E310*12*(1+'[4]29_01_H_2020'!$O$24),2)</f>
        <v>5328.15</v>
      </c>
    </row>
    <row r="311" spans="2:10" s="260" customFormat="1" ht="12.75" x14ac:dyDescent="0.2">
      <c r="B311" s="582" t="s">
        <v>454</v>
      </c>
      <c r="C311" s="575" t="s">
        <v>373</v>
      </c>
      <c r="D311" s="580" t="s">
        <v>291</v>
      </c>
      <c r="E311" s="571">
        <v>1</v>
      </c>
      <c r="F311" s="416">
        <v>1173</v>
      </c>
      <c r="G311" s="416">
        <v>58.65</v>
      </c>
      <c r="H311" s="416">
        <v>117.3</v>
      </c>
      <c r="I311" s="572">
        <v>1348.95</v>
      </c>
      <c r="J311" s="500">
        <f>ROUND((F311+G311+H311)*('[4]29_01_H_2020'!$O$13)*E311*12*(1+'[4]29_01_H_2020'!$O$24),2)</f>
        <v>1300.3900000000001</v>
      </c>
    </row>
    <row r="312" spans="2:10" s="260" customFormat="1" ht="12.75" x14ac:dyDescent="0.2">
      <c r="B312" s="582" t="s">
        <v>454</v>
      </c>
      <c r="C312" s="575" t="s">
        <v>373</v>
      </c>
      <c r="D312" s="580" t="s">
        <v>291</v>
      </c>
      <c r="E312" s="571">
        <v>5</v>
      </c>
      <c r="F312" s="416">
        <v>1171</v>
      </c>
      <c r="G312" s="416">
        <v>93.68</v>
      </c>
      <c r="H312" s="416">
        <v>117.1</v>
      </c>
      <c r="I312" s="572">
        <v>1381.78</v>
      </c>
      <c r="J312" s="500">
        <f>ROUND((F312+G312+H312)*('[4]29_01_H_2020'!$O$13)*E312*12*(1+'[4]29_01_H_2020'!$O$24),2)</f>
        <v>6660.19</v>
      </c>
    </row>
    <row r="313" spans="2:10" s="260" customFormat="1" ht="12.75" x14ac:dyDescent="0.2">
      <c r="B313" s="582" t="s">
        <v>454</v>
      </c>
      <c r="C313" s="575" t="s">
        <v>373</v>
      </c>
      <c r="D313" s="580" t="s">
        <v>291</v>
      </c>
      <c r="E313" s="571">
        <v>2</v>
      </c>
      <c r="F313" s="416">
        <v>1171</v>
      </c>
      <c r="G313" s="416">
        <v>70.260000000000005</v>
      </c>
      <c r="H313" s="416">
        <v>117.1</v>
      </c>
      <c r="I313" s="572">
        <v>1358.36</v>
      </c>
      <c r="J313" s="500">
        <f>ROUND((F313+G313+H313)*('[4]29_01_H_2020'!$O$13)*E313*12*(1+'[4]29_01_H_2020'!$O$24),2)</f>
        <v>2618.92</v>
      </c>
    </row>
    <row r="314" spans="2:10" s="260" customFormat="1" ht="12.75" x14ac:dyDescent="0.2">
      <c r="B314" s="582" t="s">
        <v>454</v>
      </c>
      <c r="C314" s="575" t="s">
        <v>373</v>
      </c>
      <c r="D314" s="580" t="s">
        <v>291</v>
      </c>
      <c r="E314" s="571">
        <v>1</v>
      </c>
      <c r="F314" s="416">
        <v>1171</v>
      </c>
      <c r="G314" s="416">
        <v>58.55</v>
      </c>
      <c r="H314" s="416">
        <v>117.1</v>
      </c>
      <c r="I314" s="572">
        <v>1346.6499999999999</v>
      </c>
      <c r="J314" s="500">
        <f>ROUND((F314+G314+H314)*('[4]29_01_H_2020'!$O$13)*E314*12*(1+'[4]29_01_H_2020'!$O$24),2)</f>
        <v>1298.17</v>
      </c>
    </row>
    <row r="315" spans="2:10" s="260" customFormat="1" ht="12.75" x14ac:dyDescent="0.2">
      <c r="B315" s="582" t="s">
        <v>454</v>
      </c>
      <c r="C315" s="575" t="s">
        <v>373</v>
      </c>
      <c r="D315" s="580" t="s">
        <v>291</v>
      </c>
      <c r="E315" s="571">
        <v>4</v>
      </c>
      <c r="F315" s="416">
        <v>1171</v>
      </c>
      <c r="G315" s="416">
        <v>93.68</v>
      </c>
      <c r="H315" s="416">
        <v>117.1</v>
      </c>
      <c r="I315" s="572">
        <v>1381.78</v>
      </c>
      <c r="J315" s="500">
        <f>ROUND((F315+G315+H315)*('[4]29_01_H_2020'!$O$13)*E315*12*(1+'[4]29_01_H_2020'!$O$24),2)</f>
        <v>5328.15</v>
      </c>
    </row>
    <row r="316" spans="2:10" s="260" customFormat="1" ht="12.75" x14ac:dyDescent="0.2">
      <c r="B316" s="582" t="s">
        <v>454</v>
      </c>
      <c r="C316" s="575" t="s">
        <v>373</v>
      </c>
      <c r="D316" s="580" t="s">
        <v>291</v>
      </c>
      <c r="E316" s="571">
        <v>1</v>
      </c>
      <c r="F316" s="416">
        <v>1173</v>
      </c>
      <c r="G316" s="416">
        <v>93.84</v>
      </c>
      <c r="H316" s="416">
        <v>117.3</v>
      </c>
      <c r="I316" s="572">
        <v>1384.1399999999999</v>
      </c>
      <c r="J316" s="500">
        <f>ROUND((F316+G316+H316)*('[4]29_01_H_2020'!$O$13)*E316*12*(1+'[4]29_01_H_2020'!$O$24),2)</f>
        <v>1334.31</v>
      </c>
    </row>
    <row r="317" spans="2:10" s="260" customFormat="1" ht="12.75" x14ac:dyDescent="0.2">
      <c r="B317" s="582" t="s">
        <v>454</v>
      </c>
      <c r="C317" s="575" t="s">
        <v>373</v>
      </c>
      <c r="D317" s="580" t="s">
        <v>291</v>
      </c>
      <c r="E317" s="571">
        <v>1</v>
      </c>
      <c r="F317" s="416">
        <v>1175</v>
      </c>
      <c r="G317" s="416">
        <v>94</v>
      </c>
      <c r="H317" s="416">
        <v>117.5</v>
      </c>
      <c r="I317" s="572">
        <v>1386.5</v>
      </c>
      <c r="J317" s="500">
        <f>ROUND((F317+G317+H317)*('[4]29_01_H_2020'!$O$13)*E317*12*(1+'[4]29_01_H_2020'!$O$24),2)</f>
        <v>1336.59</v>
      </c>
    </row>
    <row r="318" spans="2:10" s="260" customFormat="1" ht="12.75" x14ac:dyDescent="0.2">
      <c r="B318" s="582" t="s">
        <v>721</v>
      </c>
      <c r="C318" s="575" t="s">
        <v>283</v>
      </c>
      <c r="D318" s="580" t="s">
        <v>291</v>
      </c>
      <c r="E318" s="571">
        <v>1</v>
      </c>
      <c r="F318" s="416">
        <v>1348</v>
      </c>
      <c r="G318" s="416">
        <v>67.400000000000006</v>
      </c>
      <c r="H318" s="416">
        <v>134.80000000000001</v>
      </c>
      <c r="I318" s="572">
        <v>1550.2</v>
      </c>
      <c r="J318" s="500">
        <f>ROUND((F318+G318+H318)*('[4]29_01_H_2020'!$O$13)*E318*12*(1+'[4]29_01_H_2020'!$O$24),2)</f>
        <v>1494.4</v>
      </c>
    </row>
    <row r="319" spans="2:10" s="260" customFormat="1" ht="12.75" x14ac:dyDescent="0.2">
      <c r="B319" s="582" t="s">
        <v>721</v>
      </c>
      <c r="C319" s="575" t="s">
        <v>283</v>
      </c>
      <c r="D319" s="580" t="s">
        <v>291</v>
      </c>
      <c r="E319" s="571">
        <v>1</v>
      </c>
      <c r="F319" s="416">
        <v>1348</v>
      </c>
      <c r="G319" s="416">
        <v>107.84</v>
      </c>
      <c r="H319" s="416">
        <v>134.80000000000001</v>
      </c>
      <c r="I319" s="572">
        <v>1590.6399999999999</v>
      </c>
      <c r="J319" s="500">
        <f>ROUND((F319+G319+H319)*('[4]29_01_H_2020'!$O$13)*E319*12*(1+'[4]29_01_H_2020'!$O$24),2)</f>
        <v>1533.38</v>
      </c>
    </row>
    <row r="320" spans="2:10" s="260" customFormat="1" ht="12.75" x14ac:dyDescent="0.2">
      <c r="B320" s="582" t="s">
        <v>721</v>
      </c>
      <c r="C320" s="575" t="s">
        <v>283</v>
      </c>
      <c r="D320" s="580" t="s">
        <v>291</v>
      </c>
      <c r="E320" s="571">
        <v>1</v>
      </c>
      <c r="F320" s="416">
        <v>1348</v>
      </c>
      <c r="G320" s="416">
        <v>107.84</v>
      </c>
      <c r="H320" s="416">
        <v>134.80000000000001</v>
      </c>
      <c r="I320" s="572">
        <v>1590.6399999999999</v>
      </c>
      <c r="J320" s="500">
        <f>ROUND((F320+G320+H320)*('[4]29_01_H_2020'!$O$13)*E320*12*(1+'[4]29_01_H_2020'!$O$24),2)</f>
        <v>1533.38</v>
      </c>
    </row>
    <row r="321" spans="2:10" s="260" customFormat="1" ht="12.75" x14ac:dyDescent="0.2">
      <c r="B321" s="582" t="s">
        <v>721</v>
      </c>
      <c r="C321" s="575" t="s">
        <v>283</v>
      </c>
      <c r="D321" s="580" t="s">
        <v>291</v>
      </c>
      <c r="E321" s="571">
        <v>1</v>
      </c>
      <c r="F321" s="416">
        <v>1348</v>
      </c>
      <c r="G321" s="416">
        <v>107.84</v>
      </c>
      <c r="H321" s="416">
        <v>134.80000000000001</v>
      </c>
      <c r="I321" s="572">
        <v>1590.6399999999999</v>
      </c>
      <c r="J321" s="500">
        <f>ROUND((F321+G321+H321)*('[4]29_01_H_2020'!$O$13)*E321*12*(1+'[4]29_01_H_2020'!$O$24),2)</f>
        <v>1533.38</v>
      </c>
    </row>
    <row r="322" spans="2:10" s="260" customFormat="1" ht="12.75" x14ac:dyDescent="0.2">
      <c r="B322" s="582" t="s">
        <v>721</v>
      </c>
      <c r="C322" s="575" t="s">
        <v>283</v>
      </c>
      <c r="D322" s="580" t="s">
        <v>291</v>
      </c>
      <c r="E322" s="571">
        <v>1</v>
      </c>
      <c r="F322" s="416">
        <v>1354</v>
      </c>
      <c r="G322" s="416">
        <v>108.32</v>
      </c>
      <c r="H322" s="416">
        <v>135.4</v>
      </c>
      <c r="I322" s="572">
        <v>1597.72</v>
      </c>
      <c r="J322" s="500">
        <f>ROUND((F322+G322+H322)*('[4]29_01_H_2020'!$O$13)*E322*12*(1+'[4]29_01_H_2020'!$O$24),2)</f>
        <v>1540.21</v>
      </c>
    </row>
    <row r="323" spans="2:10" s="260" customFormat="1" ht="12.75" x14ac:dyDescent="0.2">
      <c r="B323" s="582" t="s">
        <v>74</v>
      </c>
      <c r="C323" s="575" t="s">
        <v>279</v>
      </c>
      <c r="D323" s="580" t="s">
        <v>295</v>
      </c>
      <c r="E323" s="571">
        <v>1</v>
      </c>
      <c r="F323" s="416">
        <v>1275</v>
      </c>
      <c r="G323" s="416">
        <v>63.75</v>
      </c>
      <c r="H323" s="416">
        <v>127.5</v>
      </c>
      <c r="I323" s="572">
        <v>1466.25</v>
      </c>
      <c r="J323" s="500">
        <f>ROUND((F323+G323+H323)*('[4]29_01_H_2020'!$O$13)*E323*12*(1+'[4]29_01_H_2020'!$O$24),2)</f>
        <v>1413.47</v>
      </c>
    </row>
    <row r="324" spans="2:10" s="260" customFormat="1" ht="12.75" x14ac:dyDescent="0.2">
      <c r="B324" s="582" t="s">
        <v>74</v>
      </c>
      <c r="C324" s="575" t="s">
        <v>279</v>
      </c>
      <c r="D324" s="580" t="s">
        <v>295</v>
      </c>
      <c r="E324" s="571">
        <v>1</v>
      </c>
      <c r="F324" s="416">
        <v>1275</v>
      </c>
      <c r="G324" s="416">
        <v>102</v>
      </c>
      <c r="H324" s="416">
        <v>127.5</v>
      </c>
      <c r="I324" s="572">
        <v>1504.5</v>
      </c>
      <c r="J324" s="500">
        <f>ROUND((F324+G324+H324)*('[4]29_01_H_2020'!$O$13)*E324*12*(1+'[4]29_01_H_2020'!$O$24),2)</f>
        <v>1450.34</v>
      </c>
    </row>
    <row r="325" spans="2:10" s="260" customFormat="1" ht="12.75" x14ac:dyDescent="0.2">
      <c r="B325" s="582" t="s">
        <v>74</v>
      </c>
      <c r="C325" s="575" t="s">
        <v>279</v>
      </c>
      <c r="D325" s="580" t="s">
        <v>295</v>
      </c>
      <c r="E325" s="571">
        <v>1</v>
      </c>
      <c r="F325" s="416">
        <v>1275</v>
      </c>
      <c r="G325" s="416">
        <v>102</v>
      </c>
      <c r="H325" s="416">
        <v>127.5</v>
      </c>
      <c r="I325" s="572">
        <v>1504.5</v>
      </c>
      <c r="J325" s="500">
        <f>ROUND((F325+G325+H325)*('[4]29_01_H_2020'!$O$13)*E325*12*(1+'[4]29_01_H_2020'!$O$24),2)</f>
        <v>1450.34</v>
      </c>
    </row>
    <row r="326" spans="2:10" s="260" customFormat="1" ht="12.75" x14ac:dyDescent="0.2">
      <c r="B326" s="582" t="s">
        <v>74</v>
      </c>
      <c r="C326" s="575" t="s">
        <v>279</v>
      </c>
      <c r="D326" s="580" t="s">
        <v>295</v>
      </c>
      <c r="E326" s="571">
        <v>1</v>
      </c>
      <c r="F326" s="416">
        <v>1275</v>
      </c>
      <c r="G326" s="416">
        <v>102</v>
      </c>
      <c r="H326" s="416">
        <v>127.5</v>
      </c>
      <c r="I326" s="572">
        <v>1504.5</v>
      </c>
      <c r="J326" s="500">
        <f>ROUND((F326+G326+H326)*('[4]29_01_H_2020'!$O$13)*E326*12*(1+'[4]29_01_H_2020'!$O$24),2)</f>
        <v>1450.34</v>
      </c>
    </row>
    <row r="327" spans="2:10" s="260" customFormat="1" ht="12.75" x14ac:dyDescent="0.2">
      <c r="B327" s="582" t="s">
        <v>74</v>
      </c>
      <c r="C327" s="575" t="s">
        <v>279</v>
      </c>
      <c r="D327" s="580" t="s">
        <v>295</v>
      </c>
      <c r="E327" s="571">
        <v>1</v>
      </c>
      <c r="F327" s="416">
        <v>1275</v>
      </c>
      <c r="G327" s="416">
        <v>63.75</v>
      </c>
      <c r="H327" s="416">
        <v>127.5</v>
      </c>
      <c r="I327" s="572">
        <v>1466.25</v>
      </c>
      <c r="J327" s="500">
        <f>ROUND((F327+G327+H327)*('[4]29_01_H_2020'!$O$13)*E327*12*(1+'[4]29_01_H_2020'!$O$24),2)</f>
        <v>1413.47</v>
      </c>
    </row>
    <row r="328" spans="2:10" s="260" customFormat="1" ht="12.75" x14ac:dyDescent="0.2">
      <c r="B328" s="582" t="s">
        <v>74</v>
      </c>
      <c r="C328" s="575" t="s">
        <v>279</v>
      </c>
      <c r="D328" s="580" t="s">
        <v>295</v>
      </c>
      <c r="E328" s="571">
        <v>0.5</v>
      </c>
      <c r="F328" s="416">
        <v>1448.09</v>
      </c>
      <c r="G328" s="416">
        <v>115.84719999999999</v>
      </c>
      <c r="H328" s="416">
        <v>144.809</v>
      </c>
      <c r="I328" s="572">
        <v>1708.7461999999998</v>
      </c>
      <c r="J328" s="500">
        <f>ROUND((F328+G328+H328)*('[4]29_01_H_2020'!$O$13)*E328*12*(1+'[4]29_01_H_2020'!$O$24),2)</f>
        <v>823.62</v>
      </c>
    </row>
    <row r="329" spans="2:10" s="260" customFormat="1" ht="12.75" x14ac:dyDescent="0.2">
      <c r="B329" s="582" t="s">
        <v>74</v>
      </c>
      <c r="C329" s="575" t="s">
        <v>279</v>
      </c>
      <c r="D329" s="580" t="s">
        <v>295</v>
      </c>
      <c r="E329" s="571">
        <v>0.7</v>
      </c>
      <c r="F329" s="416">
        <v>1448.09</v>
      </c>
      <c r="G329" s="416">
        <v>86.88539999999999</v>
      </c>
      <c r="H329" s="416">
        <v>144.809</v>
      </c>
      <c r="I329" s="572">
        <v>1679.7843999999998</v>
      </c>
      <c r="J329" s="500">
        <f>ROUND((F329+G329+H329)*('[4]29_01_H_2020'!$O$13)*E329*12*(1+'[4]29_01_H_2020'!$O$24),2)</f>
        <v>1133.52</v>
      </c>
    </row>
    <row r="330" spans="2:10" s="260" customFormat="1" ht="12.75" x14ac:dyDescent="0.2">
      <c r="B330" s="582" t="s">
        <v>74</v>
      </c>
      <c r="C330" s="575" t="s">
        <v>279</v>
      </c>
      <c r="D330" s="580" t="s">
        <v>295</v>
      </c>
      <c r="E330" s="571">
        <v>0.25</v>
      </c>
      <c r="F330" s="416">
        <v>1448.09</v>
      </c>
      <c r="G330" s="416">
        <v>72.404499999999999</v>
      </c>
      <c r="H330" s="416">
        <v>144.809</v>
      </c>
      <c r="I330" s="572">
        <v>1665.3035</v>
      </c>
      <c r="J330" s="500">
        <f>ROUND((F330+G330+H330)*('[4]29_01_H_2020'!$O$13)*E330*12*(1+'[4]29_01_H_2020'!$O$24),2)</f>
        <v>401.34</v>
      </c>
    </row>
    <row r="331" spans="2:10" s="260" customFormat="1" ht="12.75" x14ac:dyDescent="0.2">
      <c r="B331" s="582" t="s">
        <v>74</v>
      </c>
      <c r="C331" s="575" t="s">
        <v>279</v>
      </c>
      <c r="D331" s="580" t="s">
        <v>295</v>
      </c>
      <c r="E331" s="571">
        <v>0.5</v>
      </c>
      <c r="F331" s="416">
        <v>1448.09</v>
      </c>
      <c r="G331" s="416">
        <v>115.84719999999999</v>
      </c>
      <c r="H331" s="416">
        <v>144.809</v>
      </c>
      <c r="I331" s="572">
        <v>1708.7461999999998</v>
      </c>
      <c r="J331" s="500">
        <f>ROUND((F331+G331+H331)*('[4]29_01_H_2020'!$O$13)*E331*12*(1+'[4]29_01_H_2020'!$O$24),2)</f>
        <v>823.62</v>
      </c>
    </row>
    <row r="332" spans="2:10" s="260" customFormat="1" ht="12.75" x14ac:dyDescent="0.2">
      <c r="B332" s="582" t="s">
        <v>455</v>
      </c>
      <c r="C332" s="575" t="s">
        <v>283</v>
      </c>
      <c r="D332" s="580" t="s">
        <v>291</v>
      </c>
      <c r="E332" s="571">
        <v>1</v>
      </c>
      <c r="F332" s="416">
        <v>1309.1500000000001</v>
      </c>
      <c r="G332" s="416">
        <v>104.73200000000001</v>
      </c>
      <c r="H332" s="416">
        <v>130.91499999999999</v>
      </c>
      <c r="I332" s="572">
        <v>1544.797</v>
      </c>
      <c r="J332" s="500">
        <f>ROUND((F332+G332+H332)*('[4]29_01_H_2020'!$O$13)*E332*12*(1+'[4]29_01_H_2020'!$O$24),2)</f>
        <v>1489.19</v>
      </c>
    </row>
    <row r="333" spans="2:10" s="260" customFormat="1" ht="12.75" x14ac:dyDescent="0.2">
      <c r="B333" s="582" t="s">
        <v>455</v>
      </c>
      <c r="C333" s="575" t="s">
        <v>283</v>
      </c>
      <c r="D333" s="580" t="s">
        <v>291</v>
      </c>
      <c r="E333" s="571">
        <v>1</v>
      </c>
      <c r="F333" s="416">
        <v>1309.1500000000001</v>
      </c>
      <c r="G333" s="416">
        <v>104.73200000000001</v>
      </c>
      <c r="H333" s="416">
        <v>130.91499999999999</v>
      </c>
      <c r="I333" s="572">
        <v>1544.797</v>
      </c>
      <c r="J333" s="500">
        <f>ROUND((F333+G333+H333)*('[4]29_01_H_2020'!$O$13)*E333*12*(1+'[4]29_01_H_2020'!$O$24),2)</f>
        <v>1489.19</v>
      </c>
    </row>
    <row r="334" spans="2:10" s="260" customFormat="1" ht="12.75" x14ac:dyDescent="0.2">
      <c r="B334" s="582" t="s">
        <v>455</v>
      </c>
      <c r="C334" s="575" t="s">
        <v>283</v>
      </c>
      <c r="D334" s="580" t="s">
        <v>291</v>
      </c>
      <c r="E334" s="571">
        <v>1</v>
      </c>
      <c r="F334" s="416">
        <v>1309.1500000000001</v>
      </c>
      <c r="G334" s="416">
        <v>104.73200000000001</v>
      </c>
      <c r="H334" s="416">
        <v>130.91499999999999</v>
      </c>
      <c r="I334" s="572">
        <v>1544.797</v>
      </c>
      <c r="J334" s="500">
        <f>ROUND((F334+G334+H334)*('[4]29_01_H_2020'!$O$13)*E334*12*(1+'[4]29_01_H_2020'!$O$24),2)</f>
        <v>1489.19</v>
      </c>
    </row>
    <row r="335" spans="2:10" s="260" customFormat="1" ht="12.75" x14ac:dyDescent="0.2">
      <c r="B335" s="582" t="s">
        <v>455</v>
      </c>
      <c r="C335" s="575" t="s">
        <v>283</v>
      </c>
      <c r="D335" s="580" t="s">
        <v>291</v>
      </c>
      <c r="E335" s="571">
        <v>1</v>
      </c>
      <c r="F335" s="416">
        <v>1309.1500000000001</v>
      </c>
      <c r="G335" s="416">
        <v>104.73200000000001</v>
      </c>
      <c r="H335" s="416">
        <v>130.91499999999999</v>
      </c>
      <c r="I335" s="572">
        <v>1544.797</v>
      </c>
      <c r="J335" s="500">
        <f>ROUND((F335+G335+H335)*('[4]29_01_H_2020'!$O$13)*E335*12*(1+'[4]29_01_H_2020'!$O$24),2)</f>
        <v>1489.19</v>
      </c>
    </row>
    <row r="336" spans="2:10" s="260" customFormat="1" ht="12.75" x14ac:dyDescent="0.2">
      <c r="B336" s="582" t="s">
        <v>455</v>
      </c>
      <c r="C336" s="575" t="s">
        <v>283</v>
      </c>
      <c r="D336" s="580" t="s">
        <v>291</v>
      </c>
      <c r="E336" s="571">
        <v>0.75</v>
      </c>
      <c r="F336" s="416">
        <v>1309.1500000000001</v>
      </c>
      <c r="G336" s="416">
        <v>65.457499999999996</v>
      </c>
      <c r="H336" s="416">
        <v>130.91499999999999</v>
      </c>
      <c r="I336" s="572">
        <v>1505.5225</v>
      </c>
      <c r="J336" s="500">
        <f>ROUND((F336+G336+H336)*('[4]29_01_H_2020'!$O$13)*E336*12*(1+'[4]29_01_H_2020'!$O$24),2)</f>
        <v>1088.5</v>
      </c>
    </row>
    <row r="337" spans="2:10" s="260" customFormat="1" ht="12.75" x14ac:dyDescent="0.2">
      <c r="B337" s="579" t="s">
        <v>728</v>
      </c>
      <c r="C337" s="575" t="s">
        <v>546</v>
      </c>
      <c r="D337" s="580" t="s">
        <v>419</v>
      </c>
      <c r="E337" s="571">
        <v>0.75</v>
      </c>
      <c r="F337" s="416">
        <v>1244.49</v>
      </c>
      <c r="G337" s="416">
        <v>99.559200000000004</v>
      </c>
      <c r="H337" s="416">
        <v>124.449</v>
      </c>
      <c r="I337" s="572">
        <v>1468.4982</v>
      </c>
      <c r="J337" s="500">
        <f>ROUND((F337+G337+H337)*('[4]29_01_H_2020'!$O$13)*E337*12*(1+'[4]29_01_H_2020'!$O$24),2)</f>
        <v>1061.73</v>
      </c>
    </row>
    <row r="338" spans="2:10" s="260" customFormat="1" ht="12.75" x14ac:dyDescent="0.2">
      <c r="B338" s="579" t="s">
        <v>728</v>
      </c>
      <c r="C338" s="575" t="s">
        <v>546</v>
      </c>
      <c r="D338" s="580" t="s">
        <v>419</v>
      </c>
      <c r="E338" s="571">
        <v>0.5</v>
      </c>
      <c r="F338" s="416">
        <v>1244.49</v>
      </c>
      <c r="G338" s="416">
        <v>99.559200000000004</v>
      </c>
      <c r="H338" s="416">
        <v>124.449</v>
      </c>
      <c r="I338" s="572">
        <v>1468.4982</v>
      </c>
      <c r="J338" s="500">
        <f>ROUND((F338+G338+H338)*('[4]29_01_H_2020'!$O$13)*E338*12*(1+'[4]29_01_H_2020'!$O$24),2)</f>
        <v>707.82</v>
      </c>
    </row>
    <row r="339" spans="2:10" s="260" customFormat="1" ht="12.75" x14ac:dyDescent="0.2">
      <c r="B339" s="579" t="s">
        <v>728</v>
      </c>
      <c r="C339" s="575" t="s">
        <v>546</v>
      </c>
      <c r="D339" s="580" t="s">
        <v>419</v>
      </c>
      <c r="E339" s="571">
        <v>1</v>
      </c>
      <c r="F339" s="416">
        <v>1244.49</v>
      </c>
      <c r="G339" s="416">
        <v>62.224499999999999</v>
      </c>
      <c r="H339" s="416">
        <v>124.449</v>
      </c>
      <c r="I339" s="572">
        <v>1431.1635000000001</v>
      </c>
      <c r="J339" s="500">
        <f>ROUND((F339+G339+H339)*('[4]29_01_H_2020'!$O$13)*E339*12*(1+'[4]29_01_H_2020'!$O$24),2)</f>
        <v>1379.64</v>
      </c>
    </row>
    <row r="340" spans="2:10" s="260" customFormat="1" ht="12.75" x14ac:dyDescent="0.2">
      <c r="B340" s="579" t="s">
        <v>728</v>
      </c>
      <c r="C340" s="575" t="s">
        <v>546</v>
      </c>
      <c r="D340" s="580" t="s">
        <v>419</v>
      </c>
      <c r="E340" s="571">
        <v>1</v>
      </c>
      <c r="F340" s="416">
        <v>1244.49</v>
      </c>
      <c r="G340" s="416">
        <v>99.559200000000004</v>
      </c>
      <c r="H340" s="416">
        <v>124.449</v>
      </c>
      <c r="I340" s="572">
        <v>1468.4982</v>
      </c>
      <c r="J340" s="500">
        <f>ROUND((F340+G340+H340)*('[4]29_01_H_2020'!$O$13)*E340*12*(1+'[4]29_01_H_2020'!$O$24),2)</f>
        <v>1415.64</v>
      </c>
    </row>
    <row r="341" spans="2:10" s="260" customFormat="1" ht="12.75" x14ac:dyDescent="0.2">
      <c r="B341" s="579" t="s">
        <v>728</v>
      </c>
      <c r="C341" s="575" t="s">
        <v>546</v>
      </c>
      <c r="D341" s="580" t="s">
        <v>419</v>
      </c>
      <c r="E341" s="571">
        <v>1</v>
      </c>
      <c r="F341" s="416">
        <v>1244.49</v>
      </c>
      <c r="G341" s="416">
        <v>99.559200000000004</v>
      </c>
      <c r="H341" s="416">
        <v>124.449</v>
      </c>
      <c r="I341" s="572">
        <v>1468.4982</v>
      </c>
      <c r="J341" s="500">
        <f>ROUND((F341+G341+H341)*('[4]29_01_H_2020'!$O$13)*E341*12*(1+'[4]29_01_H_2020'!$O$24),2)</f>
        <v>1415.64</v>
      </c>
    </row>
    <row r="342" spans="2:10" s="260" customFormat="1" ht="12.75" x14ac:dyDescent="0.2">
      <c r="B342" s="579" t="s">
        <v>728</v>
      </c>
      <c r="C342" s="575" t="s">
        <v>546</v>
      </c>
      <c r="D342" s="580" t="s">
        <v>419</v>
      </c>
      <c r="E342" s="571">
        <v>1</v>
      </c>
      <c r="F342" s="416">
        <v>1244.49</v>
      </c>
      <c r="G342" s="416">
        <v>99.559200000000004</v>
      </c>
      <c r="H342" s="416">
        <v>124.449</v>
      </c>
      <c r="I342" s="572">
        <v>1468.4982</v>
      </c>
      <c r="J342" s="500">
        <f>ROUND((F342+G342+H342)*('[4]29_01_H_2020'!$O$13)*E342*12*(1+'[4]29_01_H_2020'!$O$24),2)</f>
        <v>1415.64</v>
      </c>
    </row>
    <row r="343" spans="2:10" s="260" customFormat="1" ht="12.75" x14ac:dyDescent="0.2">
      <c r="B343" s="579" t="s">
        <v>728</v>
      </c>
      <c r="C343" s="575" t="s">
        <v>546</v>
      </c>
      <c r="D343" s="580" t="s">
        <v>419</v>
      </c>
      <c r="E343" s="571">
        <v>1</v>
      </c>
      <c r="F343" s="416">
        <v>1244.49</v>
      </c>
      <c r="G343" s="416">
        <v>74.66940000000001</v>
      </c>
      <c r="H343" s="416">
        <v>124.449</v>
      </c>
      <c r="I343" s="572">
        <v>1443.6084000000001</v>
      </c>
      <c r="J343" s="500">
        <f>ROUND((F343+G343+H343)*('[4]29_01_H_2020'!$O$13)*E343*12*(1+'[4]29_01_H_2020'!$O$24),2)</f>
        <v>1391.64</v>
      </c>
    </row>
    <row r="344" spans="2:10" s="260" customFormat="1" ht="12.75" x14ac:dyDescent="0.2">
      <c r="B344" s="579" t="s">
        <v>728</v>
      </c>
      <c r="C344" s="575" t="s">
        <v>546</v>
      </c>
      <c r="D344" s="580" t="s">
        <v>419</v>
      </c>
      <c r="E344" s="571">
        <v>1</v>
      </c>
      <c r="F344" s="416">
        <v>1244.49</v>
      </c>
      <c r="G344" s="416">
        <v>99.559200000000004</v>
      </c>
      <c r="H344" s="416">
        <v>124.449</v>
      </c>
      <c r="I344" s="572">
        <v>1468.4982</v>
      </c>
      <c r="J344" s="500">
        <f>ROUND((F344+G344+H344)*('[4]29_01_H_2020'!$O$13)*E344*12*(1+'[4]29_01_H_2020'!$O$24),2)</f>
        <v>1415.64</v>
      </c>
    </row>
    <row r="345" spans="2:10" s="260" customFormat="1" ht="12.75" x14ac:dyDescent="0.2">
      <c r="B345" s="579" t="s">
        <v>729</v>
      </c>
      <c r="C345" s="575" t="s">
        <v>347</v>
      </c>
      <c r="D345" s="580" t="s">
        <v>348</v>
      </c>
      <c r="E345" s="571">
        <v>0.5</v>
      </c>
      <c r="F345" s="416">
        <v>1244.49</v>
      </c>
      <c r="G345" s="416">
        <v>99.559200000000004</v>
      </c>
      <c r="H345" s="416">
        <v>124.449</v>
      </c>
      <c r="I345" s="572">
        <v>1468.4982</v>
      </c>
      <c r="J345" s="500">
        <f>ROUND((F345+G345+H345)*('[4]29_01_H_2020'!$O$13)*E345*12*(1+'[4]29_01_H_2020'!$O$24),2)</f>
        <v>707.82</v>
      </c>
    </row>
    <row r="346" spans="2:10" s="260" customFormat="1" ht="12.75" x14ac:dyDescent="0.2">
      <c r="B346" s="579" t="s">
        <v>729</v>
      </c>
      <c r="C346" s="575" t="s">
        <v>347</v>
      </c>
      <c r="D346" s="580" t="s">
        <v>348</v>
      </c>
      <c r="E346" s="571">
        <v>0.5</v>
      </c>
      <c r="F346" s="416">
        <v>1244.49</v>
      </c>
      <c r="G346" s="416">
        <v>99.559200000000004</v>
      </c>
      <c r="H346" s="416">
        <v>124.449</v>
      </c>
      <c r="I346" s="572">
        <v>1468.4982</v>
      </c>
      <c r="J346" s="500">
        <f>ROUND((F346+G346+H346)*('[4]29_01_H_2020'!$O$13)*E346*12*(1+'[4]29_01_H_2020'!$O$24),2)</f>
        <v>707.82</v>
      </c>
    </row>
    <row r="347" spans="2:10" s="260" customFormat="1" ht="12.75" x14ac:dyDescent="0.2">
      <c r="B347" s="579" t="s">
        <v>729</v>
      </c>
      <c r="C347" s="575" t="s">
        <v>347</v>
      </c>
      <c r="D347" s="580" t="s">
        <v>348</v>
      </c>
      <c r="E347" s="571">
        <v>1</v>
      </c>
      <c r="F347" s="416">
        <v>1244.49</v>
      </c>
      <c r="G347" s="416">
        <v>74.66940000000001</v>
      </c>
      <c r="H347" s="416">
        <v>124.449</v>
      </c>
      <c r="I347" s="572">
        <v>1443.6084000000001</v>
      </c>
      <c r="J347" s="500">
        <f>ROUND((F347+G347+H347)*('[4]29_01_H_2020'!$O$13)*E347*12*(1+'[4]29_01_H_2020'!$O$24),2)</f>
        <v>1391.64</v>
      </c>
    </row>
    <row r="348" spans="2:10" s="260" customFormat="1" ht="12.75" x14ac:dyDescent="0.2">
      <c r="B348" s="579" t="s">
        <v>729</v>
      </c>
      <c r="C348" s="575" t="s">
        <v>347</v>
      </c>
      <c r="D348" s="580" t="s">
        <v>348</v>
      </c>
      <c r="E348" s="571">
        <v>1</v>
      </c>
      <c r="F348" s="416">
        <v>1244.49</v>
      </c>
      <c r="G348" s="416">
        <v>99.559200000000004</v>
      </c>
      <c r="H348" s="416">
        <v>124.449</v>
      </c>
      <c r="I348" s="572">
        <v>1468.4982</v>
      </c>
      <c r="J348" s="500">
        <f>ROUND((F348+G348+H348)*('[4]29_01_H_2020'!$O$13)*E348*12*(1+'[4]29_01_H_2020'!$O$24),2)</f>
        <v>1415.64</v>
      </c>
    </row>
    <row r="349" spans="2:10" s="260" customFormat="1" ht="12.75" x14ac:dyDescent="0.2">
      <c r="B349" s="579" t="s">
        <v>729</v>
      </c>
      <c r="C349" s="575" t="s">
        <v>347</v>
      </c>
      <c r="D349" s="580" t="s">
        <v>348</v>
      </c>
      <c r="E349" s="571">
        <v>1</v>
      </c>
      <c r="F349" s="416">
        <v>1244.49</v>
      </c>
      <c r="G349" s="416">
        <v>99.559200000000004</v>
      </c>
      <c r="H349" s="416">
        <v>124.449</v>
      </c>
      <c r="I349" s="572">
        <v>1468.4982</v>
      </c>
      <c r="J349" s="500">
        <f>ROUND((F349+G349+H349)*('[4]29_01_H_2020'!$O$13)*E349*12*(1+'[4]29_01_H_2020'!$O$24),2)</f>
        <v>1415.64</v>
      </c>
    </row>
    <row r="350" spans="2:10" s="260" customFormat="1" ht="12.75" x14ac:dyDescent="0.2">
      <c r="B350" s="579" t="s">
        <v>729</v>
      </c>
      <c r="C350" s="575" t="s">
        <v>347</v>
      </c>
      <c r="D350" s="580" t="s">
        <v>348</v>
      </c>
      <c r="E350" s="571">
        <v>1</v>
      </c>
      <c r="F350" s="416">
        <v>1244.49</v>
      </c>
      <c r="G350" s="416">
        <v>99.559200000000004</v>
      </c>
      <c r="H350" s="416">
        <v>124.449</v>
      </c>
      <c r="I350" s="572">
        <v>1468.4982</v>
      </c>
      <c r="J350" s="500">
        <f>ROUND((F350+G350+H350)*('[4]29_01_H_2020'!$O$13)*E350*12*(1+'[4]29_01_H_2020'!$O$24),2)</f>
        <v>1415.64</v>
      </c>
    </row>
    <row r="351" spans="2:10" s="260" customFormat="1" ht="12.75" x14ac:dyDescent="0.2">
      <c r="B351" s="579" t="s">
        <v>729</v>
      </c>
      <c r="C351" s="575" t="s">
        <v>347</v>
      </c>
      <c r="D351" s="580" t="s">
        <v>348</v>
      </c>
      <c r="E351" s="571">
        <v>1</v>
      </c>
      <c r="F351" s="416">
        <v>1244.49</v>
      </c>
      <c r="G351" s="416">
        <v>99.559200000000004</v>
      </c>
      <c r="H351" s="416">
        <v>124.449</v>
      </c>
      <c r="I351" s="572">
        <v>1468.4982</v>
      </c>
      <c r="J351" s="500">
        <f>ROUND((F351+G351+H351)*('[4]29_01_H_2020'!$O$13)*E351*12*(1+'[4]29_01_H_2020'!$O$24),2)</f>
        <v>1415.64</v>
      </c>
    </row>
    <row r="352" spans="2:10" s="260" customFormat="1" ht="12.75" x14ac:dyDescent="0.2">
      <c r="B352" s="579" t="s">
        <v>728</v>
      </c>
      <c r="C352" s="575" t="s">
        <v>546</v>
      </c>
      <c r="D352" s="580" t="s">
        <v>419</v>
      </c>
      <c r="E352" s="571">
        <v>1</v>
      </c>
      <c r="F352" s="416">
        <v>1244.49</v>
      </c>
      <c r="G352" s="416">
        <v>99.559200000000004</v>
      </c>
      <c r="H352" s="416">
        <v>124.449</v>
      </c>
      <c r="I352" s="572">
        <v>1468.4982</v>
      </c>
      <c r="J352" s="500">
        <f>ROUND((F352+G352+H352)*('[4]29_01_H_2020'!$O$13)*E352*12*(1+'[4]29_01_H_2020'!$O$24),2)</f>
        <v>1415.64</v>
      </c>
    </row>
    <row r="353" spans="2:10" s="260" customFormat="1" ht="12.75" x14ac:dyDescent="0.2">
      <c r="B353" s="579" t="s">
        <v>456</v>
      </c>
      <c r="C353" s="575" t="s">
        <v>373</v>
      </c>
      <c r="D353" s="580" t="s">
        <v>291</v>
      </c>
      <c r="E353" s="571">
        <v>66.25</v>
      </c>
      <c r="F353" s="416">
        <v>1253</v>
      </c>
      <c r="G353" s="416">
        <v>100.24</v>
      </c>
      <c r="H353" s="416">
        <v>125.3</v>
      </c>
      <c r="I353" s="572">
        <v>1478.54</v>
      </c>
      <c r="J353" s="500">
        <f>ROUND((F353+G353+H353)*('[4]29_01_H_2020'!$O$13)*E353*12*(1+'[4]29_01_H_2020'!$O$24),2)</f>
        <v>94427.15</v>
      </c>
    </row>
    <row r="354" spans="2:10" s="260" customFormat="1" ht="12.75" x14ac:dyDescent="0.2">
      <c r="B354" s="579" t="s">
        <v>721</v>
      </c>
      <c r="C354" s="575" t="s">
        <v>283</v>
      </c>
      <c r="D354" s="580" t="s">
        <v>291</v>
      </c>
      <c r="E354" s="571">
        <v>3</v>
      </c>
      <c r="F354" s="416">
        <v>1353</v>
      </c>
      <c r="G354" s="416">
        <v>108.24</v>
      </c>
      <c r="H354" s="416">
        <v>135.30000000000001</v>
      </c>
      <c r="I354" s="572">
        <v>1596.54</v>
      </c>
      <c r="J354" s="500">
        <f>ROUND((F354+G354+H354)*('[4]29_01_H_2020'!$O$13)*E354*12*(1+'[4]29_01_H_2020'!$O$24),2)</f>
        <v>4617.2</v>
      </c>
    </row>
    <row r="355" spans="2:10" s="260" customFormat="1" ht="12.75" x14ac:dyDescent="0.2">
      <c r="B355" s="579" t="s">
        <v>730</v>
      </c>
      <c r="C355" s="575" t="s">
        <v>449</v>
      </c>
      <c r="D355" s="580" t="s">
        <v>291</v>
      </c>
      <c r="E355" s="571">
        <v>2</v>
      </c>
      <c r="F355" s="416">
        <v>1504</v>
      </c>
      <c r="G355" s="416">
        <v>120.32</v>
      </c>
      <c r="H355" s="416">
        <v>150.4</v>
      </c>
      <c r="I355" s="572">
        <v>1774.72</v>
      </c>
      <c r="J355" s="500">
        <f>ROUND((F355+G355+H355)*('[4]29_01_H_2020'!$O$13)*E355*12*(1+'[4]29_01_H_2020'!$O$24),2)</f>
        <v>3421.67</v>
      </c>
    </row>
    <row r="356" spans="2:10" s="260" customFormat="1" ht="12.75" x14ac:dyDescent="0.2">
      <c r="B356" s="579" t="s">
        <v>448</v>
      </c>
      <c r="C356" s="575" t="s">
        <v>449</v>
      </c>
      <c r="D356" s="580" t="s">
        <v>295</v>
      </c>
      <c r="E356" s="571">
        <v>3</v>
      </c>
      <c r="F356" s="416">
        <v>1504</v>
      </c>
      <c r="G356" s="416">
        <v>120.32</v>
      </c>
      <c r="H356" s="416">
        <v>150.4</v>
      </c>
      <c r="I356" s="572">
        <v>1774.72</v>
      </c>
      <c r="J356" s="500">
        <f>ROUND((F356+G356+H356)*('[4]29_01_H_2020'!$O$13)*E356*12*(1+'[4]29_01_H_2020'!$O$24),2)</f>
        <v>5132.5</v>
      </c>
    </row>
    <row r="357" spans="2:10" s="260" customFormat="1" ht="15" customHeight="1" x14ac:dyDescent="0.2">
      <c r="B357" s="579" t="s">
        <v>731</v>
      </c>
      <c r="C357" s="575" t="s">
        <v>449</v>
      </c>
      <c r="D357" s="580" t="s">
        <v>291</v>
      </c>
      <c r="E357" s="571">
        <v>3</v>
      </c>
      <c r="F357" s="416">
        <v>1504</v>
      </c>
      <c r="G357" s="416">
        <v>120.32</v>
      </c>
      <c r="H357" s="416">
        <v>150.4</v>
      </c>
      <c r="I357" s="572">
        <v>1774.72</v>
      </c>
      <c r="J357" s="500">
        <f>ROUND((F357+G357+H357)*('[4]29_01_H_2020'!$O$13)*E357*12*(1+'[4]29_01_H_2020'!$O$24),2)</f>
        <v>5132.5</v>
      </c>
    </row>
    <row r="358" spans="2:10" s="260" customFormat="1" ht="38.25" x14ac:dyDescent="0.2">
      <c r="B358" s="288" t="s">
        <v>61</v>
      </c>
      <c r="C358" s="288"/>
      <c r="D358" s="288"/>
      <c r="E358" s="274">
        <f>SUM(E359:E367)</f>
        <v>8.5</v>
      </c>
      <c r="F358" s="274">
        <f t="shared" ref="F358:I358" si="52">SUM(F359:F367)</f>
        <v>12143.18</v>
      </c>
      <c r="G358" s="274">
        <f t="shared" si="52"/>
        <v>850.31169999999997</v>
      </c>
      <c r="H358" s="274">
        <f t="shared" si="52"/>
        <v>1214.318</v>
      </c>
      <c r="I358" s="274">
        <f t="shared" si="52"/>
        <v>14207.8097</v>
      </c>
      <c r="J358" s="244"/>
    </row>
    <row r="359" spans="2:10" s="260" customFormat="1" ht="12.75" x14ac:dyDescent="0.2">
      <c r="B359" s="585" t="s">
        <v>88</v>
      </c>
      <c r="C359" s="451" t="s">
        <v>418</v>
      </c>
      <c r="D359" s="451" t="s">
        <v>296</v>
      </c>
      <c r="E359" s="429">
        <v>1</v>
      </c>
      <c r="F359" s="586">
        <v>1295</v>
      </c>
      <c r="G359" s="586">
        <v>77.7</v>
      </c>
      <c r="H359" s="586">
        <v>129.5</v>
      </c>
      <c r="I359" s="586">
        <v>1502.2</v>
      </c>
      <c r="J359" s="500">
        <f>ROUND((F359+G359+H359)*('[4]29_01_H_2020'!$O$13)*E359*12*(1+'[4]29_01_H_2020'!$O$24),2)</f>
        <v>1448.12</v>
      </c>
    </row>
    <row r="360" spans="2:10" s="260" customFormat="1" ht="12.75" x14ac:dyDescent="0.2">
      <c r="B360" s="582" t="s">
        <v>98</v>
      </c>
      <c r="C360" s="575" t="s">
        <v>452</v>
      </c>
      <c r="D360" s="580" t="s">
        <v>453</v>
      </c>
      <c r="E360" s="571">
        <v>1</v>
      </c>
      <c r="F360" s="416">
        <v>1295</v>
      </c>
      <c r="G360" s="416">
        <v>77.7</v>
      </c>
      <c r="H360" s="416">
        <v>129.5</v>
      </c>
      <c r="I360" s="572">
        <v>1502.2</v>
      </c>
      <c r="J360" s="500">
        <f>ROUND((F360+G360+H360)*('[4]29_01_H_2020'!$O$13)*E360*12*(1+'[4]29_01_H_2020'!$O$24),2)</f>
        <v>1448.12</v>
      </c>
    </row>
    <row r="361" spans="2:10" s="260" customFormat="1" ht="12.75" x14ac:dyDescent="0.2">
      <c r="B361" s="582" t="s">
        <v>88</v>
      </c>
      <c r="C361" s="575" t="s">
        <v>418</v>
      </c>
      <c r="D361" s="580" t="s">
        <v>296</v>
      </c>
      <c r="E361" s="571">
        <v>1</v>
      </c>
      <c r="F361" s="416">
        <v>1295</v>
      </c>
      <c r="G361" s="416">
        <v>103.6</v>
      </c>
      <c r="H361" s="416">
        <v>129.5</v>
      </c>
      <c r="I361" s="572">
        <v>1528.1</v>
      </c>
      <c r="J361" s="500">
        <f>ROUND((F361+G361+H361)*('[4]29_01_H_2020'!$O$13)*E361*12*(1+'[4]29_01_H_2020'!$O$24),2)</f>
        <v>1473.09</v>
      </c>
    </row>
    <row r="362" spans="2:10" s="260" customFormat="1" ht="12.75" x14ac:dyDescent="0.2">
      <c r="B362" s="582" t="s">
        <v>88</v>
      </c>
      <c r="C362" s="575" t="s">
        <v>418</v>
      </c>
      <c r="D362" s="580" t="s">
        <v>296</v>
      </c>
      <c r="E362" s="571">
        <v>1</v>
      </c>
      <c r="F362" s="416">
        <v>1295</v>
      </c>
      <c r="G362" s="416">
        <v>103.6</v>
      </c>
      <c r="H362" s="416">
        <v>129.5</v>
      </c>
      <c r="I362" s="572">
        <v>1528.1</v>
      </c>
      <c r="J362" s="500">
        <f>ROUND((F362+G362+H362)*('[4]29_01_H_2020'!$O$13)*E362*12*(1+'[4]29_01_H_2020'!$O$24),2)</f>
        <v>1473.09</v>
      </c>
    </row>
    <row r="363" spans="2:10" s="260" customFormat="1" ht="12.75" x14ac:dyDescent="0.2">
      <c r="B363" s="582" t="s">
        <v>88</v>
      </c>
      <c r="C363" s="575" t="s">
        <v>418</v>
      </c>
      <c r="D363" s="580" t="s">
        <v>296</v>
      </c>
      <c r="E363" s="571">
        <v>1</v>
      </c>
      <c r="F363" s="416">
        <v>1295</v>
      </c>
      <c r="G363" s="416">
        <v>77.7</v>
      </c>
      <c r="H363" s="416">
        <v>129.5</v>
      </c>
      <c r="I363" s="572">
        <v>1502.2</v>
      </c>
      <c r="J363" s="500">
        <f>ROUND((F363+G363+H363)*('[4]29_01_H_2020'!$O$13)*E363*12*(1+'[4]29_01_H_2020'!$O$24),2)</f>
        <v>1448.12</v>
      </c>
    </row>
    <row r="364" spans="2:10" s="260" customFormat="1" ht="12.75" x14ac:dyDescent="0.2">
      <c r="B364" s="566" t="s">
        <v>98</v>
      </c>
      <c r="C364" s="424" t="s">
        <v>452</v>
      </c>
      <c r="D364" s="451" t="s">
        <v>453</v>
      </c>
      <c r="E364" s="423">
        <v>0.5</v>
      </c>
      <c r="F364" s="416">
        <v>1295</v>
      </c>
      <c r="G364" s="429">
        <v>103.6</v>
      </c>
      <c r="H364" s="586">
        <v>129.5</v>
      </c>
      <c r="I364" s="586">
        <v>1528.1</v>
      </c>
      <c r="J364" s="500">
        <f>ROUND((F364+G364+H364)*('[4]29_01_H_2020'!$O$13)*E364*12*(1+'[4]29_01_H_2020'!$O$24),2)</f>
        <v>736.55</v>
      </c>
    </row>
    <row r="365" spans="2:10" s="260" customFormat="1" ht="12.75" x14ac:dyDescent="0.2">
      <c r="B365" s="566" t="s">
        <v>88</v>
      </c>
      <c r="C365" s="424" t="s">
        <v>451</v>
      </c>
      <c r="D365" s="451" t="s">
        <v>296</v>
      </c>
      <c r="E365" s="423">
        <v>1</v>
      </c>
      <c r="F365" s="416">
        <v>1448.09</v>
      </c>
      <c r="G365" s="429">
        <v>115.84719999999999</v>
      </c>
      <c r="H365" s="429">
        <v>144.809</v>
      </c>
      <c r="I365" s="429">
        <v>1708.7461999999998</v>
      </c>
      <c r="J365" s="500">
        <f>ROUND((F365+G365+H365)*('[4]29_01_H_2020'!$O$13)*E365*12*(1+'[4]29_01_H_2020'!$O$24),2)</f>
        <v>1647.23</v>
      </c>
    </row>
    <row r="366" spans="2:10" s="260" customFormat="1" ht="12.75" x14ac:dyDescent="0.2">
      <c r="B366" s="566" t="s">
        <v>88</v>
      </c>
      <c r="C366" s="424" t="s">
        <v>732</v>
      </c>
      <c r="D366" s="451" t="s">
        <v>296</v>
      </c>
      <c r="E366" s="423">
        <v>1</v>
      </c>
      <c r="F366" s="416">
        <v>1448.09</v>
      </c>
      <c r="G366" s="429">
        <v>72.404499999999999</v>
      </c>
      <c r="H366" s="429">
        <v>144.809</v>
      </c>
      <c r="I366" s="429">
        <v>1665.3035</v>
      </c>
      <c r="J366" s="500">
        <f>ROUND((F366+G366+H366)*('[4]29_01_H_2020'!$O$13)*E366*12*(1+'[4]29_01_H_2020'!$O$24),2)</f>
        <v>1605.36</v>
      </c>
    </row>
    <row r="367" spans="2:10" s="260" customFormat="1" ht="12.75" x14ac:dyDescent="0.2">
      <c r="B367" s="566" t="s">
        <v>88</v>
      </c>
      <c r="C367" s="424" t="s">
        <v>451</v>
      </c>
      <c r="D367" s="451" t="s">
        <v>296</v>
      </c>
      <c r="E367" s="423">
        <v>1</v>
      </c>
      <c r="F367" s="416">
        <v>1477</v>
      </c>
      <c r="G367" s="424">
        <v>118.16</v>
      </c>
      <c r="H367" s="429">
        <v>147.69999999999999</v>
      </c>
      <c r="I367" s="424">
        <v>1742.8600000000001</v>
      </c>
      <c r="J367" s="500">
        <f>ROUND((F367+G367+H367)*('[4]29_01_H_2020'!$O$13)*E367*12*(1+'[4]29_01_H_2020'!$O$24),2)</f>
        <v>1680.12</v>
      </c>
    </row>
    <row r="368" spans="2:10" s="260" customFormat="1" ht="12.75" x14ac:dyDescent="0.2">
      <c r="B368" s="287" t="s">
        <v>62</v>
      </c>
      <c r="C368" s="287"/>
      <c r="D368" s="287"/>
      <c r="E368" s="272">
        <f>E369+E406+E414</f>
        <v>51.850000000000009</v>
      </c>
      <c r="F368" s="561">
        <v>52042.880000000005</v>
      </c>
      <c r="G368" s="561">
        <v>2913.7547999999988</v>
      </c>
      <c r="H368" s="561">
        <v>7158.4759999999987</v>
      </c>
      <c r="I368" s="561">
        <v>62115.110800000024</v>
      </c>
      <c r="J368" s="244"/>
    </row>
    <row r="369" spans="2:10" s="260" customFormat="1" ht="38.25" x14ac:dyDescent="0.2">
      <c r="B369" s="288" t="s">
        <v>395</v>
      </c>
      <c r="C369" s="288"/>
      <c r="D369" s="288"/>
      <c r="E369" s="274">
        <f>SUM(E370:E405)</f>
        <v>33.150000000000006</v>
      </c>
      <c r="F369" s="274">
        <f t="shared" ref="F369:I369" si="53">SUM(F370:F405)</f>
        <v>47216</v>
      </c>
      <c r="G369" s="274">
        <f t="shared" si="53"/>
        <v>2792.9399999999996</v>
      </c>
      <c r="H369" s="274">
        <f t="shared" si="53"/>
        <v>4737.6499999999969</v>
      </c>
      <c r="I369" s="274">
        <f t="shared" si="53"/>
        <v>54746.590000000033</v>
      </c>
      <c r="J369" s="244"/>
    </row>
    <row r="370" spans="2:10" s="260" customFormat="1" ht="12.75" x14ac:dyDescent="0.2">
      <c r="B370" s="587" t="s">
        <v>84</v>
      </c>
      <c r="C370" s="424" t="s">
        <v>442</v>
      </c>
      <c r="D370" s="451" t="s">
        <v>443</v>
      </c>
      <c r="E370" s="423">
        <v>1</v>
      </c>
      <c r="F370" s="429">
        <v>1500</v>
      </c>
      <c r="G370" s="429">
        <v>90</v>
      </c>
      <c r="H370" s="429">
        <v>150</v>
      </c>
      <c r="I370" s="429">
        <v>1740</v>
      </c>
      <c r="J370" s="500">
        <f>ROUND((F370+G370+H370)*('[4]29_01_H_2020'!$O$13)*E370*12*(1+'[4]29_01_H_2020'!$O$24),2)</f>
        <v>1677.36</v>
      </c>
    </row>
    <row r="371" spans="2:10" s="260" customFormat="1" ht="12.75" x14ac:dyDescent="0.2">
      <c r="B371" s="587" t="s">
        <v>89</v>
      </c>
      <c r="C371" s="424" t="s">
        <v>445</v>
      </c>
      <c r="D371" s="451" t="s">
        <v>441</v>
      </c>
      <c r="E371" s="423">
        <v>0.5</v>
      </c>
      <c r="F371" s="429">
        <v>1605</v>
      </c>
      <c r="G371" s="429">
        <v>112.35</v>
      </c>
      <c r="H371" s="429">
        <v>176.55</v>
      </c>
      <c r="I371" s="429">
        <v>1893.8999999999999</v>
      </c>
      <c r="J371" s="500">
        <f>ROUND((F371+G371+H371)*('[4]29_01_H_2020'!$O$13)*E371*12*(1+'[4]29_01_H_2020'!$O$24),2)</f>
        <v>912.86</v>
      </c>
    </row>
    <row r="372" spans="2:10" s="260" customFormat="1" ht="12.75" x14ac:dyDescent="0.2">
      <c r="B372" s="587" t="s">
        <v>84</v>
      </c>
      <c r="C372" s="424" t="s">
        <v>442</v>
      </c>
      <c r="D372" s="451" t="s">
        <v>443</v>
      </c>
      <c r="E372" s="423">
        <v>1</v>
      </c>
      <c r="F372" s="429">
        <v>1605</v>
      </c>
      <c r="G372" s="429">
        <v>0</v>
      </c>
      <c r="H372" s="429">
        <v>160.5</v>
      </c>
      <c r="I372" s="429">
        <v>1765.5</v>
      </c>
      <c r="J372" s="500">
        <f>ROUND((F372+G372+H372)*('[4]29_01_H_2020'!$O$13)*E372*12*(1+'[4]29_01_H_2020'!$O$24),2)</f>
        <v>1701.95</v>
      </c>
    </row>
    <row r="373" spans="2:10" s="260" customFormat="1" ht="12.75" x14ac:dyDescent="0.2">
      <c r="B373" s="587" t="s">
        <v>84</v>
      </c>
      <c r="C373" s="424" t="s">
        <v>442</v>
      </c>
      <c r="D373" s="451" t="s">
        <v>443</v>
      </c>
      <c r="E373" s="423">
        <v>0.5</v>
      </c>
      <c r="F373" s="429">
        <v>1605</v>
      </c>
      <c r="G373" s="429">
        <v>80.25</v>
      </c>
      <c r="H373" s="429">
        <v>160.5</v>
      </c>
      <c r="I373" s="429">
        <v>1845.75</v>
      </c>
      <c r="J373" s="500">
        <f>ROUND((F373+G373+H373)*('[4]29_01_H_2020'!$O$13)*E373*12*(1+'[4]29_01_H_2020'!$O$24),2)</f>
        <v>889.65</v>
      </c>
    </row>
    <row r="374" spans="2:10" s="260" customFormat="1" ht="12.75" x14ac:dyDescent="0.2">
      <c r="B374" s="587" t="s">
        <v>89</v>
      </c>
      <c r="C374" s="424" t="s">
        <v>445</v>
      </c>
      <c r="D374" s="451" t="s">
        <v>441</v>
      </c>
      <c r="E374" s="423">
        <v>1</v>
      </c>
      <c r="F374" s="429">
        <v>1605</v>
      </c>
      <c r="G374" s="429">
        <v>80.25</v>
      </c>
      <c r="H374" s="429">
        <v>160.5</v>
      </c>
      <c r="I374" s="429">
        <v>1845.75</v>
      </c>
      <c r="J374" s="500">
        <f>ROUND((F374+G374+H374)*('[4]29_01_H_2020'!$O$13)*E374*12*(1+'[4]29_01_H_2020'!$O$24),2)</f>
        <v>1779.31</v>
      </c>
    </row>
    <row r="375" spans="2:10" s="260" customFormat="1" ht="12.75" x14ac:dyDescent="0.2">
      <c r="B375" s="587" t="s">
        <v>229</v>
      </c>
      <c r="C375" s="424" t="s">
        <v>447</v>
      </c>
      <c r="D375" s="451" t="s">
        <v>407</v>
      </c>
      <c r="E375" s="423">
        <v>1</v>
      </c>
      <c r="F375" s="429">
        <v>1605</v>
      </c>
      <c r="G375" s="429">
        <v>80.25</v>
      </c>
      <c r="H375" s="429">
        <v>160.5</v>
      </c>
      <c r="I375" s="429">
        <v>1845.75</v>
      </c>
      <c r="J375" s="500">
        <f>ROUND((F375+G375+H375)*('[4]29_01_H_2020'!$O$13)*E375*12*(1+'[4]29_01_H_2020'!$O$24),2)</f>
        <v>1779.31</v>
      </c>
    </row>
    <row r="376" spans="2:10" s="260" customFormat="1" ht="12.75" x14ac:dyDescent="0.2">
      <c r="B376" s="587" t="s">
        <v>84</v>
      </c>
      <c r="C376" s="424" t="s">
        <v>442</v>
      </c>
      <c r="D376" s="451" t="s">
        <v>443</v>
      </c>
      <c r="E376" s="423">
        <v>1</v>
      </c>
      <c r="F376" s="429">
        <v>1605</v>
      </c>
      <c r="G376" s="429">
        <v>80.25</v>
      </c>
      <c r="H376" s="429">
        <v>160.5</v>
      </c>
      <c r="I376" s="429">
        <v>1845.75</v>
      </c>
      <c r="J376" s="500">
        <f>ROUND((F376+G376+H376)*('[4]29_01_H_2020'!$O$13)*E376*12*(1+'[4]29_01_H_2020'!$O$24),2)</f>
        <v>1779.31</v>
      </c>
    </row>
    <row r="377" spans="2:10" s="260" customFormat="1" ht="12.75" x14ac:dyDescent="0.2">
      <c r="B377" s="587" t="s">
        <v>84</v>
      </c>
      <c r="C377" s="424" t="s">
        <v>442</v>
      </c>
      <c r="D377" s="451" t="s">
        <v>443</v>
      </c>
      <c r="E377" s="423">
        <v>1</v>
      </c>
      <c r="F377" s="429">
        <v>1605</v>
      </c>
      <c r="G377" s="429">
        <v>80.25</v>
      </c>
      <c r="H377" s="429">
        <v>160.5</v>
      </c>
      <c r="I377" s="429">
        <v>1845.75</v>
      </c>
      <c r="J377" s="500">
        <f>ROUND((F377+G377+H377)*('[4]29_01_H_2020'!$O$13)*E377*12*(1+'[4]29_01_H_2020'!$O$24),2)</f>
        <v>1779.31</v>
      </c>
    </row>
    <row r="378" spans="2:10" s="260" customFormat="1" ht="12.75" x14ac:dyDescent="0.2">
      <c r="B378" s="587" t="s">
        <v>84</v>
      </c>
      <c r="C378" s="424" t="s">
        <v>442</v>
      </c>
      <c r="D378" s="451" t="s">
        <v>443</v>
      </c>
      <c r="E378" s="423">
        <v>0.75</v>
      </c>
      <c r="F378" s="429">
        <v>1605</v>
      </c>
      <c r="G378" s="429">
        <v>96.3</v>
      </c>
      <c r="H378" s="429">
        <v>160.5</v>
      </c>
      <c r="I378" s="429">
        <v>1861.8</v>
      </c>
      <c r="J378" s="500">
        <f>ROUND((F378+G378+H378)*('[4]29_01_H_2020'!$O$13)*E378*12*(1+'[4]29_01_H_2020'!$O$24),2)</f>
        <v>1346.08</v>
      </c>
    </row>
    <row r="379" spans="2:10" s="260" customFormat="1" ht="12.75" x14ac:dyDescent="0.2">
      <c r="B379" s="587" t="s">
        <v>84</v>
      </c>
      <c r="C379" s="424" t="s">
        <v>442</v>
      </c>
      <c r="D379" s="451" t="s">
        <v>443</v>
      </c>
      <c r="E379" s="423">
        <v>1</v>
      </c>
      <c r="F379" s="429">
        <v>1500</v>
      </c>
      <c r="G379" s="429">
        <v>75</v>
      </c>
      <c r="H379" s="429">
        <v>150</v>
      </c>
      <c r="I379" s="429">
        <v>1725</v>
      </c>
      <c r="J379" s="500">
        <f>ROUND((F379+G379+H379)*('[4]29_01_H_2020'!$O$13)*E379*12*(1+'[4]29_01_H_2020'!$O$24),2)</f>
        <v>1662.9</v>
      </c>
    </row>
    <row r="380" spans="2:10" s="260" customFormat="1" ht="12.75" x14ac:dyDescent="0.2">
      <c r="B380" s="587" t="s">
        <v>84</v>
      </c>
      <c r="C380" s="424" t="s">
        <v>442</v>
      </c>
      <c r="D380" s="451" t="s">
        <v>443</v>
      </c>
      <c r="E380" s="423">
        <v>1</v>
      </c>
      <c r="F380" s="429">
        <v>1605</v>
      </c>
      <c r="G380" s="429">
        <v>80.25</v>
      </c>
      <c r="H380" s="429">
        <v>160.5</v>
      </c>
      <c r="I380" s="429">
        <v>1845.75</v>
      </c>
      <c r="J380" s="500">
        <f>ROUND((F380+G380+H380)*('[4]29_01_H_2020'!$O$13)*E380*12*(1+'[4]29_01_H_2020'!$O$24),2)</f>
        <v>1779.31</v>
      </c>
    </row>
    <row r="381" spans="2:10" s="260" customFormat="1" ht="12.75" x14ac:dyDescent="0.2">
      <c r="B381" s="587" t="s">
        <v>229</v>
      </c>
      <c r="C381" s="424" t="s">
        <v>447</v>
      </c>
      <c r="D381" s="451" t="s">
        <v>407</v>
      </c>
      <c r="E381" s="423">
        <v>1</v>
      </c>
      <c r="F381" s="429">
        <v>1605</v>
      </c>
      <c r="G381" s="429">
        <v>80.25</v>
      </c>
      <c r="H381" s="429">
        <v>160.5</v>
      </c>
      <c r="I381" s="429">
        <v>1845.75</v>
      </c>
      <c r="J381" s="500">
        <f>ROUND((F381+G381+H381)*('[4]29_01_H_2020'!$O$13)*E381*12*(1+'[4]29_01_H_2020'!$O$24),2)</f>
        <v>1779.31</v>
      </c>
    </row>
    <row r="382" spans="2:10" s="260" customFormat="1" ht="12.75" x14ac:dyDescent="0.2">
      <c r="B382" s="587" t="s">
        <v>84</v>
      </c>
      <c r="C382" s="424" t="s">
        <v>391</v>
      </c>
      <c r="D382" s="451" t="s">
        <v>392</v>
      </c>
      <c r="E382" s="423">
        <v>1</v>
      </c>
      <c r="F382" s="429">
        <v>1324</v>
      </c>
      <c r="G382" s="429">
        <v>66.2</v>
      </c>
      <c r="H382" s="429">
        <v>132.4</v>
      </c>
      <c r="I382" s="429">
        <v>1522.6000000000001</v>
      </c>
      <c r="J382" s="500">
        <f>ROUND((F382+G382+H382)*('[4]29_01_H_2020'!$O$13)*E382*12*(1+'[4]29_01_H_2020'!$O$24),2)</f>
        <v>1467.79</v>
      </c>
    </row>
    <row r="383" spans="2:10" s="260" customFormat="1" ht="12.75" x14ac:dyDescent="0.2">
      <c r="B383" s="587" t="s">
        <v>84</v>
      </c>
      <c r="C383" s="424" t="s">
        <v>391</v>
      </c>
      <c r="D383" s="451" t="s">
        <v>392</v>
      </c>
      <c r="E383" s="423">
        <v>1</v>
      </c>
      <c r="F383" s="429">
        <v>1323</v>
      </c>
      <c r="G383" s="429">
        <v>66.150000000000006</v>
      </c>
      <c r="H383" s="429">
        <v>132.30000000000001</v>
      </c>
      <c r="I383" s="429">
        <v>1521.45</v>
      </c>
      <c r="J383" s="500">
        <f>ROUND((F383+G383+H383)*('[4]29_01_H_2020'!$O$13)*E383*12*(1+'[4]29_01_H_2020'!$O$24),2)</f>
        <v>1466.68</v>
      </c>
    </row>
    <row r="384" spans="2:10" s="260" customFormat="1" ht="12.75" x14ac:dyDescent="0.2">
      <c r="B384" s="587" t="s">
        <v>84</v>
      </c>
      <c r="C384" s="424" t="s">
        <v>391</v>
      </c>
      <c r="D384" s="451" t="s">
        <v>392</v>
      </c>
      <c r="E384" s="423">
        <v>1</v>
      </c>
      <c r="F384" s="429">
        <v>1325</v>
      </c>
      <c r="G384" s="429">
        <v>79.5</v>
      </c>
      <c r="H384" s="429">
        <v>132.5</v>
      </c>
      <c r="I384" s="429">
        <v>1537</v>
      </c>
      <c r="J384" s="500">
        <f>ROUND((F384+G384+H384)*('[4]29_01_H_2020'!$O$13)*E384*12*(1+'[4]29_01_H_2020'!$O$24),2)</f>
        <v>1481.67</v>
      </c>
    </row>
    <row r="385" spans="2:10" s="260" customFormat="1" ht="12.75" x14ac:dyDescent="0.2">
      <c r="B385" s="587" t="s">
        <v>87</v>
      </c>
      <c r="C385" s="424" t="s">
        <v>406</v>
      </c>
      <c r="D385" s="451" t="s">
        <v>407</v>
      </c>
      <c r="E385" s="423">
        <v>1</v>
      </c>
      <c r="F385" s="429">
        <v>1323</v>
      </c>
      <c r="G385" s="429">
        <v>66.150000000000006</v>
      </c>
      <c r="H385" s="429">
        <v>132.30000000000001</v>
      </c>
      <c r="I385" s="429">
        <v>1521.45</v>
      </c>
      <c r="J385" s="500">
        <f>ROUND((F385+G385+H385)*('[4]29_01_H_2020'!$O$13)*E385*12*(1+'[4]29_01_H_2020'!$O$24),2)</f>
        <v>1466.68</v>
      </c>
    </row>
    <row r="386" spans="2:10" s="260" customFormat="1" ht="12.75" x14ac:dyDescent="0.2">
      <c r="B386" s="566" t="s">
        <v>456</v>
      </c>
      <c r="C386" s="424" t="s">
        <v>373</v>
      </c>
      <c r="D386" s="451" t="s">
        <v>291</v>
      </c>
      <c r="E386" s="423">
        <v>0.6</v>
      </c>
      <c r="F386" s="429">
        <v>1137</v>
      </c>
      <c r="G386" s="424">
        <v>90.96</v>
      </c>
      <c r="H386" s="429">
        <v>113.7</v>
      </c>
      <c r="I386" s="429">
        <v>1341.66</v>
      </c>
      <c r="J386" s="500">
        <f>ROUND((F386+G386+H386)*('[4]29_01_H_2020'!$O$13)*E386*12*(1+'[4]29_01_H_2020'!$O$24),2)</f>
        <v>776.02</v>
      </c>
    </row>
    <row r="387" spans="2:10" s="260" customFormat="1" ht="12.75" x14ac:dyDescent="0.2">
      <c r="B387" s="566" t="s">
        <v>456</v>
      </c>
      <c r="C387" s="424" t="s">
        <v>373</v>
      </c>
      <c r="D387" s="451" t="s">
        <v>291</v>
      </c>
      <c r="E387" s="423">
        <v>1</v>
      </c>
      <c r="F387" s="429">
        <v>1137</v>
      </c>
      <c r="G387" s="424">
        <v>56.85</v>
      </c>
      <c r="H387" s="429">
        <v>113.7</v>
      </c>
      <c r="I387" s="429">
        <v>1307.55</v>
      </c>
      <c r="J387" s="500">
        <f>ROUND((F387+G387+H387)*('[4]29_01_H_2020'!$O$13)*E387*12*(1+'[4]29_01_H_2020'!$O$24),2)</f>
        <v>1260.48</v>
      </c>
    </row>
    <row r="388" spans="2:10" s="260" customFormat="1" ht="12.75" x14ac:dyDescent="0.2">
      <c r="B388" s="566" t="s">
        <v>456</v>
      </c>
      <c r="C388" s="424" t="s">
        <v>373</v>
      </c>
      <c r="D388" s="451" t="s">
        <v>348</v>
      </c>
      <c r="E388" s="423">
        <v>0.3</v>
      </c>
      <c r="F388" s="429">
        <v>1137</v>
      </c>
      <c r="G388" s="424">
        <v>56.85</v>
      </c>
      <c r="H388" s="429">
        <v>113.7</v>
      </c>
      <c r="I388" s="429">
        <v>1307.55</v>
      </c>
      <c r="J388" s="500">
        <f>ROUND((F388+G388+H388)*('[4]29_01_H_2020'!$O$13)*E388*12*(1+'[4]29_01_H_2020'!$O$24),2)</f>
        <v>378.14</v>
      </c>
    </row>
    <row r="389" spans="2:10" s="260" customFormat="1" ht="12.75" x14ac:dyDescent="0.2">
      <c r="B389" s="566" t="s">
        <v>456</v>
      </c>
      <c r="C389" s="424" t="s">
        <v>373</v>
      </c>
      <c r="D389" s="451" t="s">
        <v>291</v>
      </c>
      <c r="E389" s="423">
        <v>1</v>
      </c>
      <c r="F389" s="429">
        <v>1137</v>
      </c>
      <c r="G389" s="424">
        <v>90.96</v>
      </c>
      <c r="H389" s="429">
        <v>113.7</v>
      </c>
      <c r="I389" s="429">
        <v>1341.66</v>
      </c>
      <c r="J389" s="500">
        <f>ROUND((F389+G389+H389)*('[4]29_01_H_2020'!$O$13)*E389*12*(1+'[4]29_01_H_2020'!$O$24),2)</f>
        <v>1293.3599999999999</v>
      </c>
    </row>
    <row r="390" spans="2:10" s="260" customFormat="1" ht="12.75" x14ac:dyDescent="0.2">
      <c r="B390" s="566" t="s">
        <v>456</v>
      </c>
      <c r="C390" s="424" t="s">
        <v>373</v>
      </c>
      <c r="D390" s="451" t="s">
        <v>291</v>
      </c>
      <c r="E390" s="423">
        <v>1</v>
      </c>
      <c r="F390" s="429">
        <v>1137</v>
      </c>
      <c r="G390" s="424">
        <v>56.85</v>
      </c>
      <c r="H390" s="429">
        <v>113.7</v>
      </c>
      <c r="I390" s="429">
        <v>1307.55</v>
      </c>
      <c r="J390" s="500">
        <f>ROUND((F390+G390+H390)*('[4]29_01_H_2020'!$O$13)*E390*12*(1+'[4]29_01_H_2020'!$O$24),2)</f>
        <v>1260.48</v>
      </c>
    </row>
    <row r="391" spans="2:10" s="260" customFormat="1" ht="12.75" x14ac:dyDescent="0.2">
      <c r="B391" s="566" t="s">
        <v>456</v>
      </c>
      <c r="C391" s="424" t="s">
        <v>373</v>
      </c>
      <c r="D391" s="451" t="s">
        <v>291</v>
      </c>
      <c r="E391" s="423">
        <v>1</v>
      </c>
      <c r="F391" s="429">
        <v>1137</v>
      </c>
      <c r="G391" s="424">
        <v>56.85</v>
      </c>
      <c r="H391" s="429">
        <v>113.7</v>
      </c>
      <c r="I391" s="429">
        <v>1307.55</v>
      </c>
      <c r="J391" s="500">
        <f>ROUND((F391+G391+H391)*('[4]29_01_H_2020'!$O$13)*E391*12*(1+'[4]29_01_H_2020'!$O$24),2)</f>
        <v>1260.48</v>
      </c>
    </row>
    <row r="392" spans="2:10" s="260" customFormat="1" ht="12.75" x14ac:dyDescent="0.2">
      <c r="B392" s="566" t="s">
        <v>456</v>
      </c>
      <c r="C392" s="424" t="s">
        <v>373</v>
      </c>
      <c r="D392" s="451" t="s">
        <v>291</v>
      </c>
      <c r="E392" s="423">
        <v>1</v>
      </c>
      <c r="F392" s="429">
        <v>1137</v>
      </c>
      <c r="G392" s="424">
        <v>90.96</v>
      </c>
      <c r="H392" s="429">
        <v>113.7</v>
      </c>
      <c r="I392" s="429">
        <v>1341.66</v>
      </c>
      <c r="J392" s="500">
        <f>ROUND((F392+G392+H392)*('[4]29_01_H_2020'!$O$13)*E392*12*(1+'[4]29_01_H_2020'!$O$24),2)</f>
        <v>1293.3599999999999</v>
      </c>
    </row>
    <row r="393" spans="2:10" s="260" customFormat="1" ht="12.75" x14ac:dyDescent="0.2">
      <c r="B393" s="566" t="s">
        <v>456</v>
      </c>
      <c r="C393" s="424" t="s">
        <v>373</v>
      </c>
      <c r="D393" s="451" t="s">
        <v>291</v>
      </c>
      <c r="E393" s="423">
        <v>0.5</v>
      </c>
      <c r="F393" s="429">
        <v>1137</v>
      </c>
      <c r="G393" s="424">
        <v>68.22</v>
      </c>
      <c r="H393" s="429">
        <v>113.7</v>
      </c>
      <c r="I393" s="429">
        <v>1318.92</v>
      </c>
      <c r="J393" s="500">
        <f>ROUND((F393+G393+H393)*('[4]29_01_H_2020'!$O$13)*E393*12*(1+'[4]29_01_H_2020'!$O$24),2)</f>
        <v>635.72</v>
      </c>
    </row>
    <row r="394" spans="2:10" s="260" customFormat="1" ht="12.75" x14ac:dyDescent="0.2">
      <c r="B394" s="566" t="s">
        <v>456</v>
      </c>
      <c r="C394" s="424" t="s">
        <v>373</v>
      </c>
      <c r="D394" s="451" t="s">
        <v>291</v>
      </c>
      <c r="E394" s="423">
        <v>1</v>
      </c>
      <c r="F394" s="429">
        <v>1137</v>
      </c>
      <c r="G394" s="424">
        <v>90.96</v>
      </c>
      <c r="H394" s="429">
        <v>113.7</v>
      </c>
      <c r="I394" s="429">
        <v>1341.66</v>
      </c>
      <c r="J394" s="500">
        <f>ROUND((F394+G394+H394)*('[4]29_01_H_2020'!$O$13)*E394*12*(1+'[4]29_01_H_2020'!$O$24),2)</f>
        <v>1293.3599999999999</v>
      </c>
    </row>
    <row r="395" spans="2:10" s="260" customFormat="1" ht="12.75" x14ac:dyDescent="0.2">
      <c r="B395" s="566" t="s">
        <v>456</v>
      </c>
      <c r="C395" s="424" t="s">
        <v>373</v>
      </c>
      <c r="D395" s="451" t="s">
        <v>291</v>
      </c>
      <c r="E395" s="423">
        <v>1</v>
      </c>
      <c r="F395" s="429">
        <v>1137</v>
      </c>
      <c r="G395" s="424">
        <v>90.96</v>
      </c>
      <c r="H395" s="429">
        <v>113.7</v>
      </c>
      <c r="I395" s="429">
        <v>1341.66</v>
      </c>
      <c r="J395" s="500">
        <f>ROUND((F395+G395+H395)*('[4]29_01_H_2020'!$O$13)*E395*12*(1+'[4]29_01_H_2020'!$O$24),2)</f>
        <v>1293.3599999999999</v>
      </c>
    </row>
    <row r="396" spans="2:10" s="260" customFormat="1" ht="12.75" x14ac:dyDescent="0.2">
      <c r="B396" s="566" t="s">
        <v>456</v>
      </c>
      <c r="C396" s="424" t="s">
        <v>373</v>
      </c>
      <c r="D396" s="451" t="s">
        <v>291</v>
      </c>
      <c r="E396" s="423">
        <v>1</v>
      </c>
      <c r="F396" s="429">
        <v>1137</v>
      </c>
      <c r="G396" s="424">
        <v>79.59</v>
      </c>
      <c r="H396" s="429">
        <v>113.7</v>
      </c>
      <c r="I396" s="429">
        <v>1330.29</v>
      </c>
      <c r="J396" s="500">
        <f>ROUND((F396+G396+H396)*('[4]29_01_H_2020'!$O$13)*E396*12*(1+'[4]29_01_H_2020'!$O$24),2)</f>
        <v>1282.4000000000001</v>
      </c>
    </row>
    <row r="397" spans="2:10" s="260" customFormat="1" ht="12.75" x14ac:dyDescent="0.2">
      <c r="B397" s="566" t="s">
        <v>456</v>
      </c>
      <c r="C397" s="424" t="s">
        <v>373</v>
      </c>
      <c r="D397" s="451" t="s">
        <v>291</v>
      </c>
      <c r="E397" s="423">
        <v>1</v>
      </c>
      <c r="F397" s="429">
        <v>1137</v>
      </c>
      <c r="G397" s="424">
        <v>68.22</v>
      </c>
      <c r="H397" s="429">
        <v>113.7</v>
      </c>
      <c r="I397" s="429">
        <v>1318.92</v>
      </c>
      <c r="J397" s="500">
        <f>ROUND((F397+G397+H397)*('[4]29_01_H_2020'!$O$13)*E397*12*(1+'[4]29_01_H_2020'!$O$24),2)</f>
        <v>1271.44</v>
      </c>
    </row>
    <row r="398" spans="2:10" s="260" customFormat="1" ht="12.75" x14ac:dyDescent="0.2">
      <c r="B398" s="566" t="s">
        <v>456</v>
      </c>
      <c r="C398" s="424" t="s">
        <v>373</v>
      </c>
      <c r="D398" s="451" t="s">
        <v>291</v>
      </c>
      <c r="E398" s="423">
        <v>1</v>
      </c>
      <c r="F398" s="429">
        <v>1137</v>
      </c>
      <c r="G398" s="424">
        <v>56.85</v>
      </c>
      <c r="H398" s="429">
        <v>113.7</v>
      </c>
      <c r="I398" s="429">
        <v>1307.55</v>
      </c>
      <c r="J398" s="500">
        <f>ROUND((F398+G398+H398)*('[4]29_01_H_2020'!$O$13)*E398*12*(1+'[4]29_01_H_2020'!$O$24),2)</f>
        <v>1260.48</v>
      </c>
    </row>
    <row r="399" spans="2:10" s="260" customFormat="1" ht="12.75" x14ac:dyDescent="0.2">
      <c r="B399" s="566" t="s">
        <v>456</v>
      </c>
      <c r="C399" s="424" t="s">
        <v>373</v>
      </c>
      <c r="D399" s="451" t="s">
        <v>291</v>
      </c>
      <c r="E399" s="423">
        <v>1</v>
      </c>
      <c r="F399" s="429">
        <v>1137</v>
      </c>
      <c r="G399" s="424">
        <v>90.96</v>
      </c>
      <c r="H399" s="429">
        <v>113.7</v>
      </c>
      <c r="I399" s="429">
        <v>1341.66</v>
      </c>
      <c r="J399" s="500">
        <f>ROUND((F399+G399+H399)*('[4]29_01_H_2020'!$O$13)*E399*12*(1+'[4]29_01_H_2020'!$O$24),2)</f>
        <v>1293.3599999999999</v>
      </c>
    </row>
    <row r="400" spans="2:10" s="260" customFormat="1" ht="12.75" x14ac:dyDescent="0.2">
      <c r="B400" s="566" t="s">
        <v>456</v>
      </c>
      <c r="C400" s="424" t="s">
        <v>373</v>
      </c>
      <c r="D400" s="451" t="s">
        <v>291</v>
      </c>
      <c r="E400" s="423">
        <v>1</v>
      </c>
      <c r="F400" s="429">
        <v>1137</v>
      </c>
      <c r="G400" s="424">
        <v>90.96</v>
      </c>
      <c r="H400" s="429">
        <v>113.7</v>
      </c>
      <c r="I400" s="429">
        <v>1341.66</v>
      </c>
      <c r="J400" s="500">
        <f>ROUND((F400+G400+H400)*('[4]29_01_H_2020'!$O$13)*E400*12*(1+'[4]29_01_H_2020'!$O$24),2)</f>
        <v>1293.3599999999999</v>
      </c>
    </row>
    <row r="401" spans="2:10" s="260" customFormat="1" ht="12.75" x14ac:dyDescent="0.2">
      <c r="B401" s="566" t="s">
        <v>456</v>
      </c>
      <c r="C401" s="424" t="s">
        <v>373</v>
      </c>
      <c r="D401" s="451" t="s">
        <v>291</v>
      </c>
      <c r="E401" s="423">
        <v>1</v>
      </c>
      <c r="F401" s="429">
        <v>1137</v>
      </c>
      <c r="G401" s="424">
        <v>90.96</v>
      </c>
      <c r="H401" s="429">
        <v>113.7</v>
      </c>
      <c r="I401" s="429">
        <v>1341.66</v>
      </c>
      <c r="J401" s="500">
        <f>ROUND((F401+G401+H401)*('[4]29_01_H_2020'!$O$13)*E401*12*(1+'[4]29_01_H_2020'!$O$24),2)</f>
        <v>1293.3599999999999</v>
      </c>
    </row>
    <row r="402" spans="2:10" s="260" customFormat="1" ht="12.75" x14ac:dyDescent="0.2">
      <c r="B402" s="566" t="s">
        <v>456</v>
      </c>
      <c r="C402" s="424" t="s">
        <v>373</v>
      </c>
      <c r="D402" s="451" t="s">
        <v>291</v>
      </c>
      <c r="E402" s="423">
        <v>1</v>
      </c>
      <c r="F402" s="429">
        <v>1137</v>
      </c>
      <c r="G402" s="424">
        <v>90.96</v>
      </c>
      <c r="H402" s="429">
        <v>113.7</v>
      </c>
      <c r="I402" s="429">
        <v>1341.66</v>
      </c>
      <c r="J402" s="500">
        <f>ROUND((F402+G402+H402)*('[4]29_01_H_2020'!$O$13)*E402*12*(1+'[4]29_01_H_2020'!$O$24),2)</f>
        <v>1293.3599999999999</v>
      </c>
    </row>
    <row r="403" spans="2:10" s="260" customFormat="1" ht="12.75" x14ac:dyDescent="0.2">
      <c r="B403" s="566" t="s">
        <v>456</v>
      </c>
      <c r="C403" s="424" t="s">
        <v>373</v>
      </c>
      <c r="D403" s="451" t="s">
        <v>291</v>
      </c>
      <c r="E403" s="423">
        <v>1</v>
      </c>
      <c r="F403" s="429">
        <v>1137</v>
      </c>
      <c r="G403" s="424">
        <v>90.96</v>
      </c>
      <c r="H403" s="429">
        <v>113.7</v>
      </c>
      <c r="I403" s="429">
        <v>1341.66</v>
      </c>
      <c r="J403" s="500">
        <f>ROUND((F403+G403+H403)*('[4]29_01_H_2020'!$O$13)*E403*12*(1+'[4]29_01_H_2020'!$O$24),2)</f>
        <v>1293.3599999999999</v>
      </c>
    </row>
    <row r="404" spans="2:10" s="260" customFormat="1" ht="12.75" x14ac:dyDescent="0.2">
      <c r="B404" s="566" t="s">
        <v>456</v>
      </c>
      <c r="C404" s="424" t="s">
        <v>373</v>
      </c>
      <c r="D404" s="451" t="s">
        <v>291</v>
      </c>
      <c r="E404" s="423">
        <v>1</v>
      </c>
      <c r="F404" s="429">
        <v>1137</v>
      </c>
      <c r="G404" s="424">
        <v>68.22</v>
      </c>
      <c r="H404" s="429">
        <v>113.7</v>
      </c>
      <c r="I404" s="429">
        <v>1318.92</v>
      </c>
      <c r="J404" s="500">
        <f>ROUND((F404+G404+H404)*('[4]29_01_H_2020'!$O$13)*E404*12*(1+'[4]29_01_H_2020'!$O$24),2)</f>
        <v>1271.44</v>
      </c>
    </row>
    <row r="405" spans="2:10" s="260" customFormat="1" ht="12.75" x14ac:dyDescent="0.2">
      <c r="B405" s="566" t="s">
        <v>85</v>
      </c>
      <c r="C405" s="424" t="s">
        <v>391</v>
      </c>
      <c r="D405" s="451" t="s">
        <v>392</v>
      </c>
      <c r="E405" s="423">
        <v>1</v>
      </c>
      <c r="F405" s="429">
        <v>1268</v>
      </c>
      <c r="G405" s="424">
        <v>101.44</v>
      </c>
      <c r="H405" s="424">
        <v>126.8</v>
      </c>
      <c r="I405" s="424">
        <v>1496.24</v>
      </c>
      <c r="J405" s="500">
        <f>ROUND((F405+G405+H405)*('[4]29_01_H_2020'!$O$13)*E405*12*(1+'[4]29_01_H_2020'!$O$24),2)</f>
        <v>1442.38</v>
      </c>
    </row>
    <row r="406" spans="2:10" s="260" customFormat="1" ht="38.25" x14ac:dyDescent="0.2">
      <c r="B406" s="288" t="s">
        <v>172</v>
      </c>
      <c r="C406" s="288"/>
      <c r="D406" s="288"/>
      <c r="E406" s="274">
        <f>SUM(E407:E413)</f>
        <v>5.7</v>
      </c>
      <c r="F406" s="274">
        <f t="shared" ref="F406:I406" si="54">SUM(F407:F413)</f>
        <v>9032.18</v>
      </c>
      <c r="G406" s="274">
        <f t="shared" si="54"/>
        <v>436.95899999999995</v>
      </c>
      <c r="H406" s="274">
        <f t="shared" si="54"/>
        <v>903.21799999999996</v>
      </c>
      <c r="I406" s="274">
        <f t="shared" si="54"/>
        <v>10372.357</v>
      </c>
      <c r="J406" s="244"/>
    </row>
    <row r="407" spans="2:10" s="260" customFormat="1" ht="12.75" x14ac:dyDescent="0.2">
      <c r="B407" s="566" t="s">
        <v>88</v>
      </c>
      <c r="C407" s="424" t="s">
        <v>418</v>
      </c>
      <c r="D407" s="451" t="s">
        <v>296</v>
      </c>
      <c r="E407" s="588">
        <v>0.5</v>
      </c>
      <c r="F407" s="588">
        <v>1295</v>
      </c>
      <c r="G407" s="588">
        <v>64.75</v>
      </c>
      <c r="H407" s="588">
        <v>129.5</v>
      </c>
      <c r="I407" s="588">
        <v>1489.25</v>
      </c>
      <c r="J407" s="500">
        <f>ROUND((F407+G407+H407)*('[4]29_01_H_2020'!$O$13)*E407*12*(1+'[4]29_01_H_2020'!$O$24),2)</f>
        <v>717.82</v>
      </c>
    </row>
    <row r="408" spans="2:10" s="260" customFormat="1" ht="12.75" x14ac:dyDescent="0.2">
      <c r="B408" s="566" t="s">
        <v>458</v>
      </c>
      <c r="C408" s="424" t="s">
        <v>733</v>
      </c>
      <c r="D408" s="451" t="s">
        <v>459</v>
      </c>
      <c r="E408" s="588">
        <v>1</v>
      </c>
      <c r="F408" s="588">
        <v>1295</v>
      </c>
      <c r="G408" s="588">
        <v>0</v>
      </c>
      <c r="H408" s="588">
        <v>129.5</v>
      </c>
      <c r="I408" s="588">
        <v>1424.5</v>
      </c>
      <c r="J408" s="500">
        <f>ROUND((F408+G408+H408)*('[4]29_01_H_2020'!$O$13)*E408*12*(1+'[4]29_01_H_2020'!$O$24),2)</f>
        <v>1373.22</v>
      </c>
    </row>
    <row r="409" spans="2:10" s="260" customFormat="1" ht="12.75" x14ac:dyDescent="0.2">
      <c r="B409" s="566" t="s">
        <v>88</v>
      </c>
      <c r="C409" s="424" t="s">
        <v>418</v>
      </c>
      <c r="D409" s="451" t="s">
        <v>296</v>
      </c>
      <c r="E409" s="588">
        <v>1</v>
      </c>
      <c r="F409" s="588">
        <v>1295</v>
      </c>
      <c r="G409" s="588">
        <v>103.6</v>
      </c>
      <c r="H409" s="588">
        <v>129.5</v>
      </c>
      <c r="I409" s="588">
        <v>1528.1</v>
      </c>
      <c r="J409" s="500">
        <f>ROUND((F409+G409+H409)*('[4]29_01_H_2020'!$O$13)*E409*12*(1+'[4]29_01_H_2020'!$O$24),2)</f>
        <v>1473.09</v>
      </c>
    </row>
    <row r="410" spans="2:10" s="260" customFormat="1" ht="12.75" x14ac:dyDescent="0.2">
      <c r="B410" s="566" t="s">
        <v>88</v>
      </c>
      <c r="C410" s="424" t="s">
        <v>450</v>
      </c>
      <c r="D410" s="451" t="s">
        <v>296</v>
      </c>
      <c r="E410" s="588">
        <v>1</v>
      </c>
      <c r="F410" s="588">
        <v>1126</v>
      </c>
      <c r="G410" s="588">
        <v>56.3</v>
      </c>
      <c r="H410" s="588">
        <v>112.6</v>
      </c>
      <c r="I410" s="588">
        <v>1294.8999999999999</v>
      </c>
      <c r="J410" s="500">
        <f>ROUND((F410+G410+H410)*('[4]29_01_H_2020'!$O$13)*E410*12*(1+'[4]29_01_H_2020'!$O$24),2)</f>
        <v>1248.29</v>
      </c>
    </row>
    <row r="411" spans="2:10" s="260" customFormat="1" ht="12.75" x14ac:dyDescent="0.2">
      <c r="B411" s="566" t="s">
        <v>88</v>
      </c>
      <c r="C411" s="424" t="s">
        <v>450</v>
      </c>
      <c r="D411" s="451" t="s">
        <v>296</v>
      </c>
      <c r="E411" s="588">
        <v>1</v>
      </c>
      <c r="F411" s="588">
        <v>1125</v>
      </c>
      <c r="G411" s="588">
        <v>67.5</v>
      </c>
      <c r="H411" s="588">
        <v>112.5</v>
      </c>
      <c r="I411" s="588">
        <v>1305</v>
      </c>
      <c r="J411" s="500">
        <f>ROUND((F411+G411+H411)*('[4]29_01_H_2020'!$O$13)*E411*12*(1+'[4]29_01_H_2020'!$O$24),2)</f>
        <v>1258.02</v>
      </c>
    </row>
    <row r="412" spans="2:10" s="260" customFormat="1" ht="12.75" x14ac:dyDescent="0.2">
      <c r="B412" s="566" t="s">
        <v>88</v>
      </c>
      <c r="C412" s="424" t="s">
        <v>451</v>
      </c>
      <c r="D412" s="451" t="s">
        <v>296</v>
      </c>
      <c r="E412" s="588">
        <v>0.7</v>
      </c>
      <c r="F412" s="588">
        <v>1448.09</v>
      </c>
      <c r="G412" s="588">
        <v>72.404499999999999</v>
      </c>
      <c r="H412" s="588">
        <v>144.809</v>
      </c>
      <c r="I412" s="588">
        <v>1665.3035</v>
      </c>
      <c r="J412" s="500">
        <f>ROUND((F412+G412+H412)*('[4]29_01_H_2020'!$O$13)*E412*12*(1+'[4]29_01_H_2020'!$O$24),2)</f>
        <v>1123.75</v>
      </c>
    </row>
    <row r="413" spans="2:10" s="260" customFormat="1" ht="12.75" x14ac:dyDescent="0.2">
      <c r="B413" s="566" t="s">
        <v>88</v>
      </c>
      <c r="C413" s="424" t="s">
        <v>734</v>
      </c>
      <c r="D413" s="451" t="s">
        <v>735</v>
      </c>
      <c r="E413" s="588">
        <v>0.5</v>
      </c>
      <c r="F413" s="588">
        <v>1448.09</v>
      </c>
      <c r="G413" s="588">
        <v>72.404499999999999</v>
      </c>
      <c r="H413" s="588">
        <v>144.809</v>
      </c>
      <c r="I413" s="588">
        <v>1665.3035</v>
      </c>
      <c r="J413" s="500">
        <f>ROUND((F413+G413+H413)*('[4]29_01_H_2020'!$O$13)*E413*12*(1+'[4]29_01_H_2020'!$O$24),2)</f>
        <v>802.68</v>
      </c>
    </row>
    <row r="414" spans="2:10" s="260" customFormat="1" ht="12.75" x14ac:dyDescent="0.2">
      <c r="B414" s="288" t="s">
        <v>286</v>
      </c>
      <c r="C414" s="288"/>
      <c r="D414" s="288"/>
      <c r="E414" s="274">
        <f>E415+E416</f>
        <v>13</v>
      </c>
      <c r="F414" s="274">
        <f t="shared" ref="F414:I414" si="55">F415+F416</f>
        <v>1956</v>
      </c>
      <c r="G414" s="274">
        <f t="shared" si="55"/>
        <v>156.47999999999999</v>
      </c>
      <c r="H414" s="274">
        <f t="shared" si="55"/>
        <v>195.60000000000002</v>
      </c>
      <c r="I414" s="274">
        <f t="shared" si="55"/>
        <v>2308.08</v>
      </c>
      <c r="J414" s="244"/>
    </row>
    <row r="415" spans="2:10" s="260" customFormat="1" ht="12.75" x14ac:dyDescent="0.2">
      <c r="B415" s="607" t="s">
        <v>11</v>
      </c>
      <c r="C415" s="600" t="s">
        <v>287</v>
      </c>
      <c r="D415" s="600" t="s">
        <v>288</v>
      </c>
      <c r="E415" s="586">
        <v>1</v>
      </c>
      <c r="F415" s="586">
        <v>927</v>
      </c>
      <c r="G415" s="586">
        <v>74.16</v>
      </c>
      <c r="H415" s="586">
        <v>92.7</v>
      </c>
      <c r="I415" s="424">
        <v>1093.8599999999999</v>
      </c>
      <c r="J415" s="606">
        <f>ROUND((F415+G415+H415)*('[4]29_01_H_2020'!$O$16)*E415*12*(1+'[4]29_01_H_2020'!$O$24),2)</f>
        <v>1119.3699999999999</v>
      </c>
    </row>
    <row r="416" spans="2:10" s="260" customFormat="1" ht="12.75" x14ac:dyDescent="0.2">
      <c r="B416" s="607" t="s">
        <v>11</v>
      </c>
      <c r="C416" s="600" t="s">
        <v>287</v>
      </c>
      <c r="D416" s="600" t="s">
        <v>288</v>
      </c>
      <c r="E416" s="586">
        <v>12</v>
      </c>
      <c r="F416" s="586">
        <v>1029</v>
      </c>
      <c r="G416" s="586">
        <v>82.32</v>
      </c>
      <c r="H416" s="586">
        <v>102.9</v>
      </c>
      <c r="I416" s="424">
        <v>1214.22</v>
      </c>
      <c r="J416" s="606">
        <f>ROUND((F416+G416+H416)*('[4]29_01_H_2020'!$O$16)*E416*12*(1+'[4]29_01_H_2020'!$O$24),2)</f>
        <v>14910.5</v>
      </c>
    </row>
    <row r="417" spans="2:13" s="260" customFormat="1" x14ac:dyDescent="0.2">
      <c r="B417" s="623" t="s">
        <v>460</v>
      </c>
      <c r="C417" s="623"/>
      <c r="D417" s="623"/>
      <c r="E417" s="624">
        <f>SUM(E415:E416,E407:E413,E370:E405,E359:E367,E287:E357,E260:E285,E217:E258)</f>
        <v>321.64999999999992</v>
      </c>
      <c r="F417" s="625"/>
      <c r="G417" s="625"/>
      <c r="H417" s="625"/>
      <c r="I417" s="626"/>
      <c r="J417" s="249">
        <f>SUM(J217:J416)</f>
        <v>534099.04</v>
      </c>
    </row>
    <row r="418" spans="2:13" x14ac:dyDescent="0.25">
      <c r="B418" s="801" t="s">
        <v>90</v>
      </c>
      <c r="C418" s="801"/>
      <c r="D418" s="801"/>
      <c r="E418" s="801"/>
      <c r="F418" s="801"/>
      <c r="G418" s="801"/>
      <c r="H418" s="801"/>
      <c r="I418" s="801"/>
      <c r="J418" s="609"/>
      <c r="K418" s="258"/>
      <c r="L418" s="258"/>
      <c r="M418" s="258"/>
    </row>
    <row r="419" spans="2:13" ht="30" customHeight="1" x14ac:dyDescent="0.25">
      <c r="B419" s="287" t="s">
        <v>23</v>
      </c>
      <c r="C419" s="287"/>
      <c r="D419" s="287"/>
      <c r="E419" s="295">
        <f>E420+E433+E425</f>
        <v>26.5</v>
      </c>
      <c r="F419" s="295">
        <f t="shared" ref="F419:I419" si="56">F420+F433+F425</f>
        <v>29785</v>
      </c>
      <c r="G419" s="295">
        <f t="shared" si="56"/>
        <v>2183.4499999999998</v>
      </c>
      <c r="H419" s="295">
        <f t="shared" si="56"/>
        <v>2813.0299999999997</v>
      </c>
      <c r="I419" s="295">
        <f t="shared" si="56"/>
        <v>34781.480000000003</v>
      </c>
      <c r="J419" s="610"/>
      <c r="K419" s="276"/>
      <c r="L419" s="258"/>
      <c r="M419" s="258"/>
    </row>
    <row r="420" spans="2:13" x14ac:dyDescent="0.25">
      <c r="B420" s="288" t="s">
        <v>24</v>
      </c>
      <c r="C420" s="288"/>
      <c r="D420" s="288"/>
      <c r="E420" s="277">
        <f>E421+E422+E423+E424</f>
        <v>7.5</v>
      </c>
      <c r="F420" s="562">
        <f>SUM(F421:F424)</f>
        <v>7139</v>
      </c>
      <c r="G420" s="562">
        <f>SUM(G421:G424)</f>
        <v>554.73</v>
      </c>
      <c r="H420" s="562">
        <f>SUM(H421:H424)</f>
        <v>748.64</v>
      </c>
      <c r="I420" s="562">
        <f>SUM(I421:I424)</f>
        <v>8442.369999999999</v>
      </c>
      <c r="J420" s="610"/>
      <c r="K420" s="258"/>
      <c r="L420" s="258"/>
      <c r="M420" s="258"/>
    </row>
    <row r="421" spans="2:13" x14ac:dyDescent="0.25">
      <c r="B421" s="590" t="s">
        <v>73</v>
      </c>
      <c r="C421" s="591" t="s">
        <v>300</v>
      </c>
      <c r="D421" s="611" t="s">
        <v>277</v>
      </c>
      <c r="E421" s="104">
        <v>1</v>
      </c>
      <c r="F421" s="589">
        <v>2000</v>
      </c>
      <c r="G421" s="589">
        <v>160</v>
      </c>
      <c r="H421" s="589">
        <v>95.81</v>
      </c>
      <c r="I421" s="589">
        <f>(F421+G421+H421)</f>
        <v>2255.81</v>
      </c>
      <c r="J421" s="500">
        <f>ROUND((F421+G421+H421)*('[4]29_01_H_2020'!$O$9)*E421*12*(1+'[4]29_01_H_2020'!$O$24),2)</f>
        <v>3546.28</v>
      </c>
      <c r="K421" s="258"/>
      <c r="L421" s="258"/>
      <c r="M421" s="258"/>
    </row>
    <row r="422" spans="2:13" x14ac:dyDescent="0.25">
      <c r="B422" s="590" t="s">
        <v>3</v>
      </c>
      <c r="C422" s="591" t="s">
        <v>300</v>
      </c>
      <c r="D422" s="611" t="s">
        <v>277</v>
      </c>
      <c r="E422" s="104">
        <v>3</v>
      </c>
      <c r="F422" s="589">
        <v>1750</v>
      </c>
      <c r="G422" s="589">
        <v>140</v>
      </c>
      <c r="H422" s="589">
        <v>83.83</v>
      </c>
      <c r="I422" s="589">
        <f t="shared" ref="I422:I423" si="57">(F422+G422+H422)</f>
        <v>1973.83</v>
      </c>
      <c r="J422" s="500">
        <f>ROUND((F422+G422+H422)*('[4]29_01_H_2020'!$O$9)*E422*12*(1+'[4]29_01_H_2020'!$O$24),2)</f>
        <v>9308.9699999999993</v>
      </c>
      <c r="K422" s="258"/>
      <c r="L422" s="258"/>
      <c r="M422" s="258"/>
    </row>
    <row r="423" spans="2:13" x14ac:dyDescent="0.25">
      <c r="B423" s="590" t="s">
        <v>91</v>
      </c>
      <c r="C423" s="591" t="s">
        <v>404</v>
      </c>
      <c r="D423" s="611" t="s">
        <v>411</v>
      </c>
      <c r="E423" s="104">
        <v>0.5</v>
      </c>
      <c r="F423" s="589">
        <v>1750</v>
      </c>
      <c r="G423" s="589">
        <v>140</v>
      </c>
      <c r="H423" s="589">
        <v>83.83</v>
      </c>
      <c r="I423" s="589">
        <f t="shared" si="57"/>
        <v>1973.83</v>
      </c>
      <c r="J423" s="500">
        <f>ROUND((F423+G423+H423)*('[4]29_01_H_2020'!$O$9)*E423*12*(1+'[4]29_01_H_2020'!$O$24),2)</f>
        <v>1551.49</v>
      </c>
      <c r="K423" s="258"/>
      <c r="L423" s="258"/>
      <c r="M423" s="258"/>
    </row>
    <row r="424" spans="2:13" x14ac:dyDescent="0.25">
      <c r="B424" s="590" t="s">
        <v>92</v>
      </c>
      <c r="C424" s="591" t="s">
        <v>300</v>
      </c>
      <c r="D424" s="611" t="s">
        <v>277</v>
      </c>
      <c r="E424" s="104">
        <v>3</v>
      </c>
      <c r="F424" s="589">
        <v>1639</v>
      </c>
      <c r="G424" s="589">
        <v>114.73</v>
      </c>
      <c r="H424" s="589">
        <v>485.17</v>
      </c>
      <c r="I424" s="589">
        <f>(F424+G424+H424)</f>
        <v>2238.9</v>
      </c>
      <c r="J424" s="500">
        <f>ROUND((F424+G424+H424)*('[4]29_01_H_2020'!$O$9)*E424*12*(1+'[4]29_01_H_2020'!$O$24),2)</f>
        <v>10559.09</v>
      </c>
      <c r="K424" s="258"/>
      <c r="L424" s="258"/>
      <c r="M424" s="258"/>
    </row>
    <row r="425" spans="2:13" ht="38.25" x14ac:dyDescent="0.25">
      <c r="B425" s="288" t="s">
        <v>388</v>
      </c>
      <c r="C425" s="288"/>
      <c r="D425" s="288"/>
      <c r="E425" s="274">
        <f>SUM(E426:E432)</f>
        <v>11</v>
      </c>
      <c r="F425" s="274">
        <f t="shared" ref="F425:I425" si="58">SUM(F426:F432)</f>
        <v>10900</v>
      </c>
      <c r="G425" s="274">
        <f t="shared" si="58"/>
        <v>779.49999999999989</v>
      </c>
      <c r="H425" s="274">
        <f t="shared" si="58"/>
        <v>1044.31</v>
      </c>
      <c r="I425" s="274">
        <f t="shared" si="58"/>
        <v>12723.810000000003</v>
      </c>
      <c r="J425" s="610"/>
      <c r="K425" s="258"/>
      <c r="L425" s="258"/>
      <c r="M425" s="258"/>
    </row>
    <row r="426" spans="2:13" x14ac:dyDescent="0.25">
      <c r="B426" s="612" t="s">
        <v>93</v>
      </c>
      <c r="C426" s="613" t="s">
        <v>391</v>
      </c>
      <c r="D426" s="611" t="s">
        <v>392</v>
      </c>
      <c r="E426" s="104">
        <v>1</v>
      </c>
      <c r="F426" s="589">
        <v>1650</v>
      </c>
      <c r="G426" s="589">
        <v>123.75</v>
      </c>
      <c r="H426" s="589">
        <v>158.08000000000001</v>
      </c>
      <c r="I426" s="589">
        <f>(F426+G426+H426)</f>
        <v>1931.83</v>
      </c>
      <c r="J426" s="500">
        <f>ROUND((F426+G426+H426)*('[4]29_01_H_2020'!$O$9)*E426*12*(1+'[4]29_01_H_2020'!$O$24),2)</f>
        <v>3036.96</v>
      </c>
      <c r="K426" s="258"/>
      <c r="L426" s="258"/>
      <c r="M426" s="258"/>
    </row>
    <row r="427" spans="2:13" x14ac:dyDescent="0.25">
      <c r="B427" s="612" t="s">
        <v>84</v>
      </c>
      <c r="C427" s="613" t="s">
        <v>391</v>
      </c>
      <c r="D427" s="611" t="s">
        <v>392</v>
      </c>
      <c r="E427" s="104">
        <v>5</v>
      </c>
      <c r="F427" s="589">
        <v>1520</v>
      </c>
      <c r="G427" s="589">
        <v>106.4</v>
      </c>
      <c r="H427" s="589">
        <v>145.63</v>
      </c>
      <c r="I427" s="589">
        <f t="shared" ref="I427:I432" si="59">(F427+G427+H427)</f>
        <v>1772.0300000000002</v>
      </c>
      <c r="J427" s="500">
        <f>ROUND((F427+G427+H427)*('[4]29_01_H_2020'!$O$9)*E427*12*(1+'[4]29_01_H_2020'!$O$24),2)</f>
        <v>13928.73</v>
      </c>
      <c r="K427" s="258"/>
      <c r="L427" s="258"/>
      <c r="M427" s="258"/>
    </row>
    <row r="428" spans="2:13" x14ac:dyDescent="0.25">
      <c r="B428" s="590" t="s">
        <v>94</v>
      </c>
      <c r="C428" s="591" t="s">
        <v>389</v>
      </c>
      <c r="D428" s="611" t="s">
        <v>390</v>
      </c>
      <c r="E428" s="104">
        <v>1</v>
      </c>
      <c r="F428" s="589">
        <v>1650</v>
      </c>
      <c r="G428" s="589">
        <v>123.75</v>
      </c>
      <c r="H428" s="589">
        <v>158.08000000000001</v>
      </c>
      <c r="I428" s="589">
        <f t="shared" si="59"/>
        <v>1931.83</v>
      </c>
      <c r="J428" s="500">
        <f>ROUND((F428+G428+H428)*('[4]29_01_H_2020'!$O$9)*E428*12*(1+'[4]29_01_H_2020'!$O$24),2)</f>
        <v>3036.96</v>
      </c>
      <c r="K428" s="258"/>
      <c r="L428" s="258"/>
      <c r="M428" s="258"/>
    </row>
    <row r="429" spans="2:13" x14ac:dyDescent="0.25">
      <c r="B429" s="590" t="s">
        <v>89</v>
      </c>
      <c r="C429" s="591" t="s">
        <v>389</v>
      </c>
      <c r="D429" s="611" t="s">
        <v>390</v>
      </c>
      <c r="E429" s="104">
        <v>2</v>
      </c>
      <c r="F429" s="589">
        <v>1520</v>
      </c>
      <c r="G429" s="589">
        <v>106.4</v>
      </c>
      <c r="H429" s="589">
        <v>145.63</v>
      </c>
      <c r="I429" s="589">
        <f t="shared" si="59"/>
        <v>1772.0300000000002</v>
      </c>
      <c r="J429" s="500">
        <f>ROUND((F429+G429+H429)*('[4]29_01_H_2020'!$O$9)*E429*12*(1+'[4]29_01_H_2020'!$O$24),2)</f>
        <v>5571.49</v>
      </c>
      <c r="K429" s="258"/>
      <c r="L429" s="258"/>
      <c r="M429" s="258"/>
    </row>
    <row r="430" spans="2:13" x14ac:dyDescent="0.25">
      <c r="B430" s="590" t="s">
        <v>96</v>
      </c>
      <c r="C430" s="591" t="s">
        <v>461</v>
      </c>
      <c r="D430" s="611" t="s">
        <v>408</v>
      </c>
      <c r="E430" s="104">
        <v>1</v>
      </c>
      <c r="F430" s="589">
        <v>1520</v>
      </c>
      <c r="G430" s="589">
        <v>106.4</v>
      </c>
      <c r="H430" s="589">
        <v>145.63</v>
      </c>
      <c r="I430" s="589">
        <f t="shared" si="59"/>
        <v>1772.0300000000002</v>
      </c>
      <c r="J430" s="500">
        <f>ROUND((F430+G430+H430)*('[4]29_01_H_2020'!$O$9)*E430*12*(1+'[4]29_01_H_2020'!$O$24),2)</f>
        <v>2785.75</v>
      </c>
      <c r="K430" s="258"/>
      <c r="L430" s="258"/>
      <c r="M430" s="258"/>
    </row>
    <row r="431" spans="2:13" x14ac:dyDescent="0.25">
      <c r="B431" s="590" t="s">
        <v>105</v>
      </c>
      <c r="C431" s="591" t="s">
        <v>462</v>
      </c>
      <c r="D431" s="611" t="s">
        <v>403</v>
      </c>
      <c r="E431" s="104">
        <v>0.5</v>
      </c>
      <c r="F431" s="589">
        <v>1520</v>
      </c>
      <c r="G431" s="589">
        <v>106.4</v>
      </c>
      <c r="H431" s="589">
        <v>145.63</v>
      </c>
      <c r="I431" s="589">
        <f t="shared" si="59"/>
        <v>1772.0300000000002</v>
      </c>
      <c r="J431" s="500">
        <f>ROUND((F431+G431+H431)*('[4]29_01_H_2020'!$O$9)*E431*12*(1+'[4]29_01_H_2020'!$O$24),2)</f>
        <v>1392.87</v>
      </c>
      <c r="K431" s="258"/>
      <c r="L431" s="258"/>
      <c r="M431" s="258"/>
    </row>
    <row r="432" spans="2:13" x14ac:dyDescent="0.25">
      <c r="B432" s="590" t="s">
        <v>87</v>
      </c>
      <c r="C432" s="591" t="s">
        <v>406</v>
      </c>
      <c r="D432" s="611" t="s">
        <v>407</v>
      </c>
      <c r="E432" s="104">
        <v>0.5</v>
      </c>
      <c r="F432" s="589">
        <v>1520</v>
      </c>
      <c r="G432" s="589">
        <v>106.4</v>
      </c>
      <c r="H432" s="589">
        <v>145.63</v>
      </c>
      <c r="I432" s="589">
        <f t="shared" si="59"/>
        <v>1772.0300000000002</v>
      </c>
      <c r="J432" s="500">
        <f>ROUND((F432+G432+H432)*('[4]29_01_H_2020'!$O$9)*E432*12*(1+'[4]29_01_H_2020'!$O$24),2)</f>
        <v>1392.87</v>
      </c>
      <c r="K432" s="258"/>
      <c r="L432" s="258"/>
      <c r="M432" s="258"/>
    </row>
    <row r="433" spans="2:13" ht="59.1" customHeight="1" x14ac:dyDescent="0.25">
      <c r="B433" s="288" t="s">
        <v>61</v>
      </c>
      <c r="C433" s="288"/>
      <c r="D433" s="288"/>
      <c r="E433" s="277">
        <f>E434</f>
        <v>8</v>
      </c>
      <c r="F433" s="563">
        <f>SUM(F434:F435)</f>
        <v>11746</v>
      </c>
      <c r="G433" s="563">
        <f>SUM(G434:G435)</f>
        <v>849.22</v>
      </c>
      <c r="H433" s="563">
        <f>SUM(H434:H435)</f>
        <v>1020.0799999999999</v>
      </c>
      <c r="I433" s="563">
        <f>SUM(I434:I435)</f>
        <v>13615.299999999997</v>
      </c>
      <c r="J433" s="610"/>
      <c r="K433" s="258"/>
      <c r="L433" s="258"/>
      <c r="M433" s="258"/>
    </row>
    <row r="434" spans="2:13" ht="21.95" customHeight="1" x14ac:dyDescent="0.25">
      <c r="B434" s="590" t="s">
        <v>88</v>
      </c>
      <c r="C434" s="591" t="s">
        <v>451</v>
      </c>
      <c r="D434" s="611" t="s">
        <v>296</v>
      </c>
      <c r="E434" s="614">
        <v>8</v>
      </c>
      <c r="F434" s="615">
        <v>1300</v>
      </c>
      <c r="G434" s="615">
        <v>91</v>
      </c>
      <c r="H434" s="615">
        <v>124.55</v>
      </c>
      <c r="I434" s="589">
        <f>(F434+G434+H434)</f>
        <v>1515.55</v>
      </c>
      <c r="J434" s="500">
        <f>ROUND((F434+G434+H434)*('[4]29_01_H_2020'!$O$13)*E434*12*(1+'[4]29_01_H_2020'!$O$24),2)</f>
        <v>11687.95</v>
      </c>
      <c r="K434" s="258"/>
      <c r="L434" s="258"/>
      <c r="M434" s="258"/>
    </row>
    <row r="435" spans="2:13" ht="26.25" customHeight="1" x14ac:dyDescent="0.25">
      <c r="B435" s="287" t="s">
        <v>62</v>
      </c>
      <c r="C435" s="287"/>
      <c r="D435" s="287"/>
      <c r="E435" s="272">
        <f>E436+E438+E445</f>
        <v>26.5</v>
      </c>
      <c r="F435" s="272">
        <f t="shared" ref="F435:I435" si="60">F436+F438+F445</f>
        <v>10446</v>
      </c>
      <c r="G435" s="272">
        <f t="shared" si="60"/>
        <v>758.22</v>
      </c>
      <c r="H435" s="272">
        <f t="shared" si="60"/>
        <v>895.53</v>
      </c>
      <c r="I435" s="272">
        <f t="shared" si="60"/>
        <v>12099.749999999998</v>
      </c>
      <c r="J435" s="610"/>
      <c r="K435" s="278"/>
      <c r="L435" s="258"/>
      <c r="M435" s="258"/>
    </row>
    <row r="436" spans="2:13" x14ac:dyDescent="0.25">
      <c r="B436" s="288" t="s">
        <v>169</v>
      </c>
      <c r="C436" s="288"/>
      <c r="D436" s="288"/>
      <c r="E436" s="274">
        <f>E437</f>
        <v>2</v>
      </c>
      <c r="F436" s="562">
        <f>SUM(F437:F437)</f>
        <v>1550</v>
      </c>
      <c r="G436" s="562">
        <f>SUM(G437:G437)</f>
        <v>108.5</v>
      </c>
      <c r="H436" s="562">
        <f>SUM(H437:H437)</f>
        <v>74.25</v>
      </c>
      <c r="I436" s="562">
        <f>SUM(I437:I437)</f>
        <v>1732.75</v>
      </c>
      <c r="J436" s="610"/>
      <c r="K436" s="258"/>
      <c r="L436" s="258"/>
      <c r="M436" s="258"/>
    </row>
    <row r="437" spans="2:13" x14ac:dyDescent="0.25">
      <c r="B437" s="590" t="s">
        <v>175</v>
      </c>
      <c r="C437" s="591" t="s">
        <v>354</v>
      </c>
      <c r="D437" s="611" t="s">
        <v>277</v>
      </c>
      <c r="E437" s="592">
        <v>2</v>
      </c>
      <c r="F437" s="589">
        <v>1550</v>
      </c>
      <c r="G437" s="589">
        <v>108.5</v>
      </c>
      <c r="H437" s="589">
        <v>74.25</v>
      </c>
      <c r="I437" s="589">
        <f>(F437+G437+H437)</f>
        <v>1732.75</v>
      </c>
      <c r="J437" s="500">
        <f>ROUND((F437+G437+H437)*('[4]29_01_H_2020'!$O$9)*E437*12*(1+'[4]29_01_H_2020'!$O$24),2)</f>
        <v>5447.99</v>
      </c>
      <c r="K437" s="258"/>
      <c r="L437" s="258"/>
      <c r="M437" s="258"/>
    </row>
    <row r="438" spans="2:13" ht="38.25" x14ac:dyDescent="0.25">
      <c r="B438" s="288" t="s">
        <v>395</v>
      </c>
      <c r="C438" s="288"/>
      <c r="D438" s="288"/>
      <c r="E438" s="274">
        <f>SUM(E439:E444)</f>
        <v>23.5</v>
      </c>
      <c r="F438" s="274">
        <f t="shared" ref="F438:I438" si="61">SUM(F439:F444)</f>
        <v>7696</v>
      </c>
      <c r="G438" s="274">
        <f>SUM(G439:G444)</f>
        <v>565.72</v>
      </c>
      <c r="H438" s="274">
        <f t="shared" si="61"/>
        <v>706.31</v>
      </c>
      <c r="I438" s="274">
        <f t="shared" si="61"/>
        <v>8968.0299999999988</v>
      </c>
      <c r="J438" s="610"/>
      <c r="K438" s="258"/>
      <c r="L438" s="258"/>
      <c r="M438" s="258"/>
    </row>
    <row r="439" spans="2:13" x14ac:dyDescent="0.25">
      <c r="B439" s="590" t="s">
        <v>85</v>
      </c>
      <c r="C439" s="591" t="s">
        <v>391</v>
      </c>
      <c r="D439" s="611" t="s">
        <v>392</v>
      </c>
      <c r="E439" s="592">
        <v>6</v>
      </c>
      <c r="F439" s="589">
        <v>1340</v>
      </c>
      <c r="G439" s="589">
        <v>93.8</v>
      </c>
      <c r="H439" s="589">
        <v>128.38</v>
      </c>
      <c r="I439" s="589">
        <f>(F439+G439+H439)</f>
        <v>1562.1799999999998</v>
      </c>
      <c r="J439" s="500">
        <f>ROUND((F439+G439+H439)*('[4]29_01_H_2020'!$O$13)*E439*12*(1+'[4]29_01_H_2020'!$O$24),2)</f>
        <v>9035.67</v>
      </c>
      <c r="K439" s="258"/>
      <c r="L439" s="258"/>
      <c r="M439" s="258"/>
    </row>
    <row r="440" spans="2:13" x14ac:dyDescent="0.25">
      <c r="B440" s="590" t="s">
        <v>95</v>
      </c>
      <c r="C440" s="591" t="s">
        <v>389</v>
      </c>
      <c r="D440" s="611" t="s">
        <v>390</v>
      </c>
      <c r="E440" s="592">
        <v>1</v>
      </c>
      <c r="F440" s="589">
        <v>1340</v>
      </c>
      <c r="G440" s="589">
        <v>93.8</v>
      </c>
      <c r="H440" s="589">
        <v>128.38</v>
      </c>
      <c r="I440" s="589">
        <f t="shared" ref="I440:I441" si="62">(F440+G440+H440)</f>
        <v>1562.1799999999998</v>
      </c>
      <c r="J440" s="500">
        <f>ROUND((F440+G440+H440)*('[4]29_01_H_2020'!$O$13)*E440*12*(1+'[4]29_01_H_2020'!$O$24),2)</f>
        <v>1505.94</v>
      </c>
      <c r="K440" s="258"/>
      <c r="L440" s="258"/>
      <c r="M440" s="258"/>
    </row>
    <row r="441" spans="2:13" x14ac:dyDescent="0.25">
      <c r="B441" s="590" t="s">
        <v>463</v>
      </c>
      <c r="C441" s="591" t="s">
        <v>373</v>
      </c>
      <c r="D441" s="611" t="s">
        <v>291</v>
      </c>
      <c r="E441" s="615">
        <v>3.6</v>
      </c>
      <c r="F441" s="615">
        <v>1200</v>
      </c>
      <c r="G441" s="615">
        <v>84</v>
      </c>
      <c r="H441" s="615">
        <v>114.97</v>
      </c>
      <c r="I441" s="589">
        <f t="shared" si="62"/>
        <v>1398.97</v>
      </c>
      <c r="J441" s="500">
        <f>ROUND((F441+G441+H441)*('[4]29_01_H_2020'!$O$13)*E441*12*(1+'[4]29_01_H_2020'!$O$24),2)</f>
        <v>4855</v>
      </c>
      <c r="K441" s="258"/>
      <c r="L441" s="258"/>
      <c r="M441" s="258"/>
    </row>
    <row r="442" spans="2:13" ht="15" customHeight="1" x14ac:dyDescent="0.25">
      <c r="B442" s="612" t="s">
        <v>75</v>
      </c>
      <c r="C442" s="613" t="s">
        <v>283</v>
      </c>
      <c r="D442" s="611" t="s">
        <v>291</v>
      </c>
      <c r="E442" s="104">
        <v>1.9</v>
      </c>
      <c r="F442" s="589">
        <v>1400</v>
      </c>
      <c r="G442" s="589">
        <v>112</v>
      </c>
      <c r="H442" s="589">
        <v>0</v>
      </c>
      <c r="I442" s="589">
        <f>(F442+G442+H442)</f>
        <v>1512</v>
      </c>
      <c r="J442" s="500">
        <f>ROUND((F442+G442+H442)*('[4]29_01_H_2020'!$O$13)*E442*12*(1+'[4]29_01_H_2020'!$O$24),2)</f>
        <v>2769.38</v>
      </c>
      <c r="K442" s="258"/>
      <c r="L442" s="258"/>
      <c r="M442" s="258"/>
    </row>
    <row r="443" spans="2:13" ht="15" customHeight="1" x14ac:dyDescent="0.25">
      <c r="B443" s="612" t="s">
        <v>464</v>
      </c>
      <c r="C443" s="613" t="s">
        <v>373</v>
      </c>
      <c r="D443" s="611" t="s">
        <v>291</v>
      </c>
      <c r="E443" s="104">
        <v>5</v>
      </c>
      <c r="F443" s="589">
        <v>1116</v>
      </c>
      <c r="G443" s="589">
        <v>78.12</v>
      </c>
      <c r="H443" s="589">
        <v>210.03</v>
      </c>
      <c r="I443" s="589">
        <f t="shared" ref="I443:I444" si="63">(F443+G443+H443)</f>
        <v>1404.1499999999999</v>
      </c>
      <c r="J443" s="500">
        <f>ROUND((F443+G443+H443)*('[4]29_01_H_2020'!$O$13)*E443*12*(1+'[4]29_01_H_2020'!$O$24),2)</f>
        <v>6768.02</v>
      </c>
      <c r="K443" s="258"/>
      <c r="L443" s="258"/>
      <c r="M443" s="258"/>
    </row>
    <row r="444" spans="2:13" ht="15" customHeight="1" x14ac:dyDescent="0.25">
      <c r="B444" s="612" t="s">
        <v>78</v>
      </c>
      <c r="C444" s="613" t="s">
        <v>373</v>
      </c>
      <c r="D444" s="611" t="s">
        <v>291</v>
      </c>
      <c r="E444" s="104">
        <v>6</v>
      </c>
      <c r="F444" s="589">
        <v>1300</v>
      </c>
      <c r="G444" s="589">
        <v>104</v>
      </c>
      <c r="H444" s="589">
        <v>124.55</v>
      </c>
      <c r="I444" s="589">
        <f t="shared" si="63"/>
        <v>1528.55</v>
      </c>
      <c r="J444" s="500">
        <f>ROUND((F444+G444+H444)*('[4]29_01_H_2020'!$O$13)*E444*12*(1+'[4]29_01_H_2020'!$O$24),2)</f>
        <v>8841.15</v>
      </c>
      <c r="K444" s="258"/>
      <c r="L444" s="258"/>
      <c r="M444" s="258"/>
    </row>
    <row r="445" spans="2:13" ht="25.5" x14ac:dyDescent="0.25">
      <c r="B445" s="288" t="s">
        <v>465</v>
      </c>
      <c r="C445" s="288"/>
      <c r="D445" s="288"/>
      <c r="E445" s="274">
        <f>E446</f>
        <v>1</v>
      </c>
      <c r="F445" s="562">
        <f>SUM(F446:F446)</f>
        <v>1200</v>
      </c>
      <c r="G445" s="562">
        <f>SUM(G446:G446)</f>
        <v>84</v>
      </c>
      <c r="H445" s="562">
        <f>SUM(H446:H446)</f>
        <v>114.97</v>
      </c>
      <c r="I445" s="562">
        <f>SUM(I446:I446)</f>
        <v>1398.97</v>
      </c>
      <c r="J445" s="610"/>
      <c r="K445" s="258"/>
      <c r="L445" s="258"/>
      <c r="M445" s="258"/>
    </row>
    <row r="446" spans="2:13" x14ac:dyDescent="0.25">
      <c r="B446" s="244" t="s">
        <v>466</v>
      </c>
      <c r="C446" s="616" t="s">
        <v>292</v>
      </c>
      <c r="D446" s="611" t="s">
        <v>293</v>
      </c>
      <c r="E446" s="615">
        <v>1</v>
      </c>
      <c r="F446" s="615">
        <v>1200</v>
      </c>
      <c r="G446" s="615">
        <v>84</v>
      </c>
      <c r="H446" s="615">
        <v>114.97</v>
      </c>
      <c r="I446" s="589">
        <f t="shared" ref="I446" si="64">F446+G446+H446</f>
        <v>1398.97</v>
      </c>
      <c r="J446" s="500">
        <f>ROUND((F446+G446+H446)*('[4]29_01_H_2020'!$O$13)*E446*12*(1+'[4]29_01_H_2020'!$O$24),2)</f>
        <v>1348.61</v>
      </c>
      <c r="K446" s="258"/>
      <c r="L446" s="258"/>
      <c r="M446" s="258"/>
    </row>
    <row r="447" spans="2:13" x14ac:dyDescent="0.25">
      <c r="B447" s="617" t="s">
        <v>467</v>
      </c>
      <c r="C447" s="617"/>
      <c r="D447" s="617"/>
      <c r="E447" s="618">
        <f>E435+E419</f>
        <v>53</v>
      </c>
      <c r="F447" s="617" t="s">
        <v>538</v>
      </c>
      <c r="G447" s="617" t="s">
        <v>538</v>
      </c>
      <c r="H447" s="617" t="s">
        <v>538</v>
      </c>
      <c r="I447" s="617" t="s">
        <v>538</v>
      </c>
      <c r="J447" s="619">
        <f>SUM(J421:J446)</f>
        <v>108371.17000000001</v>
      </c>
      <c r="K447" s="258"/>
      <c r="L447" s="258"/>
      <c r="M447" s="258"/>
    </row>
    <row r="448" spans="2:13" s="279" customFormat="1" x14ac:dyDescent="0.2">
      <c r="B448" s="296" t="s">
        <v>14</v>
      </c>
      <c r="C448" s="296"/>
      <c r="D448" s="296"/>
      <c r="E448" s="297">
        <f>E447+E417+E213</f>
        <v>374.64999999999992</v>
      </c>
      <c r="F448" s="294" t="s">
        <v>69</v>
      </c>
      <c r="G448" s="294" t="s">
        <v>69</v>
      </c>
      <c r="H448" s="294" t="s">
        <v>69</v>
      </c>
      <c r="I448" s="620"/>
      <c r="J448" s="621">
        <f>J447+J417+J213</f>
        <v>863516.89000000013</v>
      </c>
      <c r="L448" s="564"/>
    </row>
  </sheetData>
  <mergeCells count="25">
    <mergeCell ref="J1:K1"/>
    <mergeCell ref="B128:I128"/>
    <mergeCell ref="B160:I160"/>
    <mergeCell ref="B187:I187"/>
    <mergeCell ref="B205:I205"/>
    <mergeCell ref="H5:H6"/>
    <mergeCell ref="I5:I6"/>
    <mergeCell ref="J5:J6"/>
    <mergeCell ref="B7:I7"/>
    <mergeCell ref="B8:I8"/>
    <mergeCell ref="B2:I2"/>
    <mergeCell ref="B4:J4"/>
    <mergeCell ref="B5:B6"/>
    <mergeCell ref="C5:C6"/>
    <mergeCell ref="D5:D6"/>
    <mergeCell ref="E5:E6"/>
    <mergeCell ref="F5:F6"/>
    <mergeCell ref="G5:G6"/>
    <mergeCell ref="B418:I418"/>
    <mergeCell ref="B214:I214"/>
    <mergeCell ref="B52:I52"/>
    <mergeCell ref="B68:I68"/>
    <mergeCell ref="B83:I83"/>
    <mergeCell ref="B97:I97"/>
    <mergeCell ref="B112:I112"/>
  </mergeCells>
  <pageMargins left="0.11811023622047245" right="0.11811023622047245" top="0.74803149606299213" bottom="0.74803149606299213" header="0.31496062992125984" footer="0.31496062992125984"/>
  <pageSetup paperSize="9" scale="70" orientation="portrait" horizontalDpi="300" verticalDpi="300" r:id="rId1"/>
  <headerFooter>
    <oddFooter>&amp;C&amp;P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B4A5D-488C-4F10-929F-F6DA19FE103F}">
  <sheetPr>
    <tabColor theme="9" tint="0.79998168889431442"/>
  </sheetPr>
  <dimension ref="A1:O57"/>
  <sheetViews>
    <sheetView topLeftCell="A15" workbookViewId="0">
      <selection activeCell="M2" sqref="M2"/>
    </sheetView>
  </sheetViews>
  <sheetFormatPr defaultRowHeight="15" x14ac:dyDescent="0.25"/>
  <cols>
    <col min="2" max="2" width="25.5703125" customWidth="1"/>
    <col min="3" max="3" width="15.140625" customWidth="1"/>
    <col min="4" max="4" width="13.140625" customWidth="1"/>
    <col min="5" max="5" width="19.140625" customWidth="1"/>
    <col min="10" max="10" width="11.140625" customWidth="1"/>
    <col min="13" max="13" width="15.7109375" customWidth="1"/>
    <col min="14" max="14" width="15.85546875" customWidth="1"/>
    <col min="15" max="15" width="11.5703125" customWidth="1"/>
  </cols>
  <sheetData>
    <row r="1" spans="1:15" x14ac:dyDescent="0.25">
      <c r="I1" s="710" t="s">
        <v>750</v>
      </c>
      <c r="J1" s="710"/>
    </row>
    <row r="2" spans="1:15" x14ac:dyDescent="0.25">
      <c r="B2" s="810" t="s">
        <v>737</v>
      </c>
      <c r="C2" s="810"/>
      <c r="D2" s="810"/>
      <c r="E2" s="810"/>
      <c r="F2" s="810"/>
      <c r="G2" s="810"/>
      <c r="H2" s="810"/>
      <c r="I2" s="810"/>
      <c r="J2" s="810"/>
      <c r="K2" s="55"/>
      <c r="L2" s="55"/>
    </row>
    <row r="3" spans="1:15" x14ac:dyDescent="0.25">
      <c r="B3" s="810"/>
      <c r="C3" s="810"/>
      <c r="D3" s="810"/>
      <c r="E3" s="810"/>
      <c r="F3" s="810"/>
      <c r="G3" s="810"/>
      <c r="H3" s="810"/>
      <c r="I3" s="810"/>
      <c r="J3" s="810"/>
    </row>
    <row r="4" spans="1:15" ht="19.5" customHeight="1" x14ac:dyDescent="0.25">
      <c r="J4" s="385" t="s">
        <v>519</v>
      </c>
    </row>
    <row r="5" spans="1:15" ht="15.75" x14ac:dyDescent="0.25">
      <c r="B5" s="777" t="s">
        <v>0</v>
      </c>
      <c r="C5" s="777"/>
      <c r="D5" s="777"/>
      <c r="E5" s="777"/>
      <c r="F5" s="777"/>
      <c r="G5" s="777"/>
      <c r="H5" s="777"/>
      <c r="I5" s="777"/>
      <c r="J5" s="777"/>
    </row>
    <row r="6" spans="1:15" ht="15" customHeight="1" x14ac:dyDescent="0.25">
      <c r="B6" s="778" t="s">
        <v>20</v>
      </c>
      <c r="C6" s="809" t="s">
        <v>270</v>
      </c>
      <c r="D6" s="809" t="s">
        <v>271</v>
      </c>
      <c r="E6" s="780" t="s">
        <v>21</v>
      </c>
      <c r="F6" s="778" t="s">
        <v>22</v>
      </c>
      <c r="G6" s="778" t="s">
        <v>521</v>
      </c>
      <c r="H6" s="778" t="s">
        <v>522</v>
      </c>
      <c r="I6" s="778" t="s">
        <v>617</v>
      </c>
      <c r="J6" s="779" t="s">
        <v>524</v>
      </c>
    </row>
    <row r="7" spans="1:15" ht="75" customHeight="1" x14ac:dyDescent="0.25">
      <c r="B7" s="778"/>
      <c r="C7" s="809"/>
      <c r="D7" s="809"/>
      <c r="E7" s="780"/>
      <c r="F7" s="778"/>
      <c r="G7" s="778"/>
      <c r="H7" s="778"/>
      <c r="I7" s="778"/>
      <c r="J7" s="779"/>
      <c r="M7" s="411" t="s">
        <v>525</v>
      </c>
      <c r="N7" s="411" t="s">
        <v>271</v>
      </c>
      <c r="O7" s="411" t="s">
        <v>526</v>
      </c>
    </row>
    <row r="8" spans="1:15" x14ac:dyDescent="0.25">
      <c r="A8" s="30"/>
      <c r="B8" s="750" t="s">
        <v>176</v>
      </c>
      <c r="C8" s="750"/>
      <c r="D8" s="750"/>
      <c r="E8" s="750"/>
      <c r="F8" s="750"/>
      <c r="G8" s="750"/>
      <c r="H8" s="750"/>
      <c r="I8" s="750"/>
      <c r="J8" s="630"/>
      <c r="K8" s="29"/>
      <c r="L8" s="27"/>
      <c r="M8" s="627"/>
      <c r="N8" s="368"/>
      <c r="O8" s="368"/>
    </row>
    <row r="9" spans="1:15" ht="15" customHeight="1" x14ac:dyDescent="0.25">
      <c r="A9" s="30"/>
      <c r="B9" s="775" t="s">
        <v>177</v>
      </c>
      <c r="C9" s="775"/>
      <c r="D9" s="775"/>
      <c r="E9" s="775"/>
      <c r="F9" s="775"/>
      <c r="G9" s="775"/>
      <c r="H9" s="775"/>
      <c r="I9" s="775"/>
      <c r="J9" s="368"/>
      <c r="K9" s="29"/>
      <c r="L9" s="27"/>
      <c r="M9" s="627"/>
      <c r="N9" s="368"/>
      <c r="O9" s="368"/>
    </row>
    <row r="10" spans="1:15" ht="26.25" x14ac:dyDescent="0.25">
      <c r="A10" s="30"/>
      <c r="B10" s="298" t="s">
        <v>23</v>
      </c>
      <c r="C10" s="298"/>
      <c r="D10" s="298"/>
      <c r="E10" s="299"/>
      <c r="F10" s="12"/>
      <c r="G10" s="12"/>
      <c r="H10" s="12"/>
      <c r="I10" s="496"/>
      <c r="J10" s="631"/>
      <c r="K10" s="29"/>
      <c r="L10" s="27"/>
      <c r="M10" s="627"/>
      <c r="N10" s="368"/>
      <c r="O10" s="368"/>
    </row>
    <row r="11" spans="1:15" x14ac:dyDescent="0.25">
      <c r="A11" s="30"/>
      <c r="B11" s="300" t="s">
        <v>70</v>
      </c>
      <c r="C11" s="300"/>
      <c r="D11" s="300"/>
      <c r="E11" s="5"/>
      <c r="F11" s="6"/>
      <c r="G11" s="6"/>
      <c r="H11" s="6"/>
      <c r="I11" s="498"/>
      <c r="J11" s="632"/>
      <c r="K11" s="29"/>
      <c r="L11" s="27"/>
      <c r="M11" s="627"/>
      <c r="N11" s="368"/>
      <c r="O11" s="368"/>
    </row>
    <row r="12" spans="1:15" ht="39" x14ac:dyDescent="0.25">
      <c r="A12" s="30"/>
      <c r="B12" s="633" t="s">
        <v>738</v>
      </c>
      <c r="C12" s="634" t="s">
        <v>273</v>
      </c>
      <c r="D12" s="634" t="s">
        <v>364</v>
      </c>
      <c r="E12" s="635">
        <v>1</v>
      </c>
      <c r="F12" s="636">
        <v>2500</v>
      </c>
      <c r="G12" s="488">
        <v>75</v>
      </c>
      <c r="H12" s="488">
        <v>590</v>
      </c>
      <c r="I12" s="488">
        <f>F12+G12+H12</f>
        <v>3165</v>
      </c>
      <c r="J12" s="500">
        <f>ROUND((F12+G12+H12)*('[4]29_01_H_2020'!$O$9)*E12*12*(1+'[4]29_01_H_2020'!$O$24),2)</f>
        <v>4975.59</v>
      </c>
      <c r="K12" s="29"/>
      <c r="L12" s="27"/>
      <c r="M12" s="627"/>
      <c r="N12" s="628" t="s">
        <v>364</v>
      </c>
      <c r="O12" s="628" t="s">
        <v>621</v>
      </c>
    </row>
    <row r="13" spans="1:15" ht="51.75" x14ac:dyDescent="0.25">
      <c r="A13" s="30"/>
      <c r="B13" s="633" t="s">
        <v>739</v>
      </c>
      <c r="C13" s="634" t="s">
        <v>740</v>
      </c>
      <c r="D13" s="634" t="s">
        <v>364</v>
      </c>
      <c r="E13" s="635">
        <v>0.8</v>
      </c>
      <c r="F13" s="636">
        <v>2350</v>
      </c>
      <c r="G13" s="488">
        <v>70.5</v>
      </c>
      <c r="H13" s="488">
        <v>200</v>
      </c>
      <c r="I13" s="488">
        <f t="shared" ref="I13:I34" si="0">F13+G13+H13</f>
        <v>2620.5</v>
      </c>
      <c r="J13" s="500">
        <f>ROUND((F13+G13+H13)*('[4]29_01_H_2020'!$O$9)*E13*12*(1+'[4]29_01_H_2020'!$O$24),2)</f>
        <v>3295.68</v>
      </c>
      <c r="K13" s="29"/>
      <c r="L13" s="27"/>
      <c r="M13" s="627"/>
      <c r="N13" s="628" t="s">
        <v>364</v>
      </c>
      <c r="O13" s="628" t="s">
        <v>621</v>
      </c>
    </row>
    <row r="14" spans="1:15" ht="26.25" x14ac:dyDescent="0.25">
      <c r="A14" s="30"/>
      <c r="B14" s="633" t="s">
        <v>741</v>
      </c>
      <c r="C14" s="634" t="s">
        <v>468</v>
      </c>
      <c r="D14" s="634" t="s">
        <v>364</v>
      </c>
      <c r="E14" s="635">
        <v>0.4</v>
      </c>
      <c r="F14" s="636">
        <v>2300</v>
      </c>
      <c r="G14" s="488">
        <v>69</v>
      </c>
      <c r="H14" s="488">
        <v>276</v>
      </c>
      <c r="I14" s="488">
        <f t="shared" si="0"/>
        <v>2645</v>
      </c>
      <c r="J14" s="500">
        <f>ROUND((F14+G14+H14)*('[4]29_01_H_2020'!$O$9)*E14*12*(1+'[4]29_01_H_2020'!$O$24),2)</f>
        <v>1663.24</v>
      </c>
      <c r="K14" s="29"/>
      <c r="L14" s="27"/>
      <c r="M14" s="627"/>
      <c r="N14" s="628" t="s">
        <v>364</v>
      </c>
      <c r="O14" s="628" t="s">
        <v>621</v>
      </c>
    </row>
    <row r="15" spans="1:15" ht="26.25" x14ac:dyDescent="0.25">
      <c r="A15" s="30"/>
      <c r="B15" s="633" t="s">
        <v>742</v>
      </c>
      <c r="C15" s="634" t="s">
        <v>404</v>
      </c>
      <c r="D15" s="634" t="s">
        <v>411</v>
      </c>
      <c r="E15" s="635">
        <v>1</v>
      </c>
      <c r="F15" s="636">
        <v>2300</v>
      </c>
      <c r="G15" s="488">
        <v>69</v>
      </c>
      <c r="H15" s="488">
        <v>276</v>
      </c>
      <c r="I15" s="488">
        <f t="shared" si="0"/>
        <v>2645</v>
      </c>
      <c r="J15" s="500">
        <f>ROUND((F15+G15+H15)*('[4]29_01_H_2020'!$O$9)*E15*12*(1+'[4]29_01_H_2020'!$O$24),2)</f>
        <v>4158.1099999999997</v>
      </c>
      <c r="K15" s="29"/>
      <c r="L15" s="27"/>
      <c r="M15" s="627"/>
      <c r="N15" s="628" t="s">
        <v>411</v>
      </c>
      <c r="O15" s="628" t="s">
        <v>621</v>
      </c>
    </row>
    <row r="16" spans="1:15" x14ac:dyDescent="0.25">
      <c r="A16" s="30"/>
      <c r="B16" s="633" t="s">
        <v>638</v>
      </c>
      <c r="C16" s="634" t="s">
        <v>325</v>
      </c>
      <c r="D16" s="634" t="s">
        <v>469</v>
      </c>
      <c r="E16" s="635">
        <v>1</v>
      </c>
      <c r="F16" s="636">
        <v>2300</v>
      </c>
      <c r="G16" s="488">
        <v>69</v>
      </c>
      <c r="H16" s="488">
        <v>276</v>
      </c>
      <c r="I16" s="488">
        <f t="shared" si="0"/>
        <v>2645</v>
      </c>
      <c r="J16" s="500">
        <f>ROUND((F16+G16+H16)*('[4]29_01_H_2020'!$O$9)*E16*12*(1+'[4]29_01_H_2020'!$O$24),2)</f>
        <v>4158.1099999999997</v>
      </c>
      <c r="K16" s="29"/>
      <c r="L16" s="27"/>
      <c r="M16" s="627"/>
      <c r="N16" s="628" t="s">
        <v>469</v>
      </c>
      <c r="O16" s="628" t="s">
        <v>621</v>
      </c>
    </row>
    <row r="17" spans="1:15" ht="26.25" x14ac:dyDescent="0.25">
      <c r="A17" s="30"/>
      <c r="B17" s="633" t="s">
        <v>743</v>
      </c>
      <c r="C17" s="634" t="s">
        <v>327</v>
      </c>
      <c r="D17" s="634" t="s">
        <v>401</v>
      </c>
      <c r="E17" s="635">
        <v>0.5</v>
      </c>
      <c r="F17" s="636">
        <v>2300</v>
      </c>
      <c r="G17" s="488">
        <v>69</v>
      </c>
      <c r="H17" s="488">
        <v>276</v>
      </c>
      <c r="I17" s="488">
        <f t="shared" si="0"/>
        <v>2645</v>
      </c>
      <c r="J17" s="500">
        <f>ROUND((F17+G17+H17)*('[4]29_01_H_2020'!$O$9)*E17*12*(1+'[4]29_01_H_2020'!$O$24),2)</f>
        <v>2079.06</v>
      </c>
      <c r="K17" s="29"/>
      <c r="L17" s="27"/>
      <c r="M17" s="627"/>
      <c r="N17" s="628" t="s">
        <v>401</v>
      </c>
      <c r="O17" s="628" t="s">
        <v>621</v>
      </c>
    </row>
    <row r="18" spans="1:15" x14ac:dyDescent="0.25">
      <c r="A18" s="30"/>
      <c r="B18" s="633" t="s">
        <v>637</v>
      </c>
      <c r="C18" s="634" t="s">
        <v>323</v>
      </c>
      <c r="D18" s="634" t="s">
        <v>386</v>
      </c>
      <c r="E18" s="635">
        <v>0.4</v>
      </c>
      <c r="F18" s="636">
        <v>2300</v>
      </c>
      <c r="G18" s="488">
        <v>69</v>
      </c>
      <c r="H18" s="488">
        <v>276</v>
      </c>
      <c r="I18" s="488">
        <f t="shared" si="0"/>
        <v>2645</v>
      </c>
      <c r="J18" s="500">
        <f>ROUND((F18+G18+H18)*('[4]29_01_H_2020'!$O$9)*E18*12*(1+'[4]29_01_H_2020'!$O$24),2)</f>
        <v>1663.24</v>
      </c>
      <c r="K18" s="29"/>
      <c r="L18" s="27"/>
      <c r="M18" s="627"/>
      <c r="N18" s="628" t="s">
        <v>386</v>
      </c>
      <c r="O18" s="628" t="s">
        <v>621</v>
      </c>
    </row>
    <row r="19" spans="1:15" ht="26.25" x14ac:dyDescent="0.25">
      <c r="A19" s="30"/>
      <c r="B19" s="633" t="s">
        <v>741</v>
      </c>
      <c r="C19" s="634" t="s">
        <v>468</v>
      </c>
      <c r="D19" s="634" t="s">
        <v>364</v>
      </c>
      <c r="E19" s="635">
        <v>0.2</v>
      </c>
      <c r="F19" s="636">
        <v>2200</v>
      </c>
      <c r="G19" s="488">
        <v>66</v>
      </c>
      <c r="H19" s="488">
        <v>185</v>
      </c>
      <c r="I19" s="488">
        <f t="shared" si="0"/>
        <v>2451</v>
      </c>
      <c r="J19" s="500">
        <f>ROUND((F19+G19+H19)*('[4]29_01_H_2020'!$O$9)*E19*12*(1+'[4]29_01_H_2020'!$O$24),2)</f>
        <v>770.63</v>
      </c>
      <c r="K19" s="29"/>
      <c r="L19" s="27"/>
      <c r="M19" s="627"/>
      <c r="N19" s="628" t="s">
        <v>364</v>
      </c>
      <c r="O19" s="628" t="s">
        <v>621</v>
      </c>
    </row>
    <row r="20" spans="1:15" ht="26.25" x14ac:dyDescent="0.25">
      <c r="A20" s="30"/>
      <c r="B20" s="633" t="s">
        <v>741</v>
      </c>
      <c r="C20" s="634" t="s">
        <v>468</v>
      </c>
      <c r="D20" s="634" t="s">
        <v>364</v>
      </c>
      <c r="E20" s="635">
        <v>0.2</v>
      </c>
      <c r="F20" s="636">
        <v>2200</v>
      </c>
      <c r="G20" s="488">
        <v>66</v>
      </c>
      <c r="H20" s="488">
        <v>185</v>
      </c>
      <c r="I20" s="488">
        <f t="shared" si="0"/>
        <v>2451</v>
      </c>
      <c r="J20" s="500">
        <f>ROUND((F20+G20+H20)*('[4]29_01_H_2020'!$O$9)*E20*12*(1+'[4]29_01_H_2020'!$O$24),2)</f>
        <v>770.63</v>
      </c>
      <c r="K20" s="29"/>
      <c r="L20" s="27"/>
      <c r="M20" s="627"/>
      <c r="N20" s="628" t="s">
        <v>364</v>
      </c>
      <c r="O20" s="628" t="s">
        <v>621</v>
      </c>
    </row>
    <row r="21" spans="1:15" x14ac:dyDescent="0.25">
      <c r="A21" s="30"/>
      <c r="B21" s="633" t="s">
        <v>637</v>
      </c>
      <c r="C21" s="634" t="s">
        <v>323</v>
      </c>
      <c r="D21" s="634" t="s">
        <v>386</v>
      </c>
      <c r="E21" s="635">
        <v>0.4</v>
      </c>
      <c r="F21" s="636">
        <v>2200</v>
      </c>
      <c r="G21" s="488">
        <v>66</v>
      </c>
      <c r="H21" s="488">
        <v>185</v>
      </c>
      <c r="I21" s="488">
        <f t="shared" si="0"/>
        <v>2451</v>
      </c>
      <c r="J21" s="500">
        <f>ROUND((F21+G21+H21)*('[4]29_01_H_2020'!$O$9)*E21*12*(1+'[4]29_01_H_2020'!$O$24),2)</f>
        <v>1541.25</v>
      </c>
      <c r="K21" s="29"/>
      <c r="L21" s="27"/>
      <c r="M21" s="627"/>
      <c r="N21" s="628" t="s">
        <v>386</v>
      </c>
      <c r="O21" s="628" t="s">
        <v>621</v>
      </c>
    </row>
    <row r="22" spans="1:15" x14ac:dyDescent="0.25">
      <c r="A22" s="30"/>
      <c r="B22" s="633" t="s">
        <v>744</v>
      </c>
      <c r="C22" s="634" t="s">
        <v>470</v>
      </c>
      <c r="D22" s="634" t="s">
        <v>471</v>
      </c>
      <c r="E22" s="635">
        <v>0.2</v>
      </c>
      <c r="F22" s="636">
        <v>2200</v>
      </c>
      <c r="G22" s="488">
        <v>66</v>
      </c>
      <c r="H22" s="488">
        <v>185</v>
      </c>
      <c r="I22" s="488">
        <f t="shared" si="0"/>
        <v>2451</v>
      </c>
      <c r="J22" s="500">
        <f>ROUND((F22+G22+H22)*('[4]29_01_H_2020'!$O$9)*E22*12*(1+'[4]29_01_H_2020'!$O$24),2)</f>
        <v>770.63</v>
      </c>
      <c r="K22" s="29"/>
      <c r="L22" s="27"/>
      <c r="M22" s="627"/>
      <c r="N22" s="628" t="s">
        <v>471</v>
      </c>
      <c r="O22" s="628" t="s">
        <v>621</v>
      </c>
    </row>
    <row r="23" spans="1:15" x14ac:dyDescent="0.25">
      <c r="A23" s="30"/>
      <c r="B23" s="633" t="s">
        <v>744</v>
      </c>
      <c r="C23" s="634" t="s">
        <v>470</v>
      </c>
      <c r="D23" s="634" t="s">
        <v>471</v>
      </c>
      <c r="E23" s="635">
        <v>0.2</v>
      </c>
      <c r="F23" s="636">
        <v>2200</v>
      </c>
      <c r="G23" s="488">
        <v>66</v>
      </c>
      <c r="H23" s="488">
        <v>185</v>
      </c>
      <c r="I23" s="488">
        <f t="shared" si="0"/>
        <v>2451</v>
      </c>
      <c r="J23" s="500">
        <f>ROUND((F23+G23+H23)*('[4]29_01_H_2020'!$O$9)*E23*12*(1+'[4]29_01_H_2020'!$O$24),2)</f>
        <v>770.63</v>
      </c>
      <c r="K23" s="29"/>
      <c r="L23" s="27"/>
      <c r="M23" s="627"/>
      <c r="N23" s="628" t="s">
        <v>471</v>
      </c>
      <c r="O23" s="628" t="s">
        <v>621</v>
      </c>
    </row>
    <row r="24" spans="1:15" x14ac:dyDescent="0.25">
      <c r="A24" s="30"/>
      <c r="B24" s="633" t="s">
        <v>637</v>
      </c>
      <c r="C24" s="634" t="s">
        <v>323</v>
      </c>
      <c r="D24" s="634" t="s">
        <v>386</v>
      </c>
      <c r="E24" s="635">
        <v>0.2</v>
      </c>
      <c r="F24" s="636">
        <v>2200</v>
      </c>
      <c r="G24" s="488">
        <v>66</v>
      </c>
      <c r="H24" s="488">
        <v>185</v>
      </c>
      <c r="I24" s="488">
        <f t="shared" si="0"/>
        <v>2451</v>
      </c>
      <c r="J24" s="500">
        <f>ROUND((F24+G24+H24)*('[4]29_01_H_2020'!$O$9)*E24*12*(1+'[4]29_01_H_2020'!$O$24),2)</f>
        <v>770.63</v>
      </c>
      <c r="K24" s="29"/>
      <c r="L24" s="27"/>
      <c r="M24" s="627"/>
      <c r="N24" s="628" t="s">
        <v>386</v>
      </c>
      <c r="O24" s="628" t="s">
        <v>621</v>
      </c>
    </row>
    <row r="25" spans="1:15" ht="26.25" x14ac:dyDescent="0.25">
      <c r="A25" s="30"/>
      <c r="B25" s="633" t="s">
        <v>741</v>
      </c>
      <c r="C25" s="634" t="s">
        <v>468</v>
      </c>
      <c r="D25" s="634" t="s">
        <v>364</v>
      </c>
      <c r="E25" s="635">
        <v>0.2</v>
      </c>
      <c r="F25" s="636">
        <v>2200</v>
      </c>
      <c r="G25" s="488">
        <v>66</v>
      </c>
      <c r="H25" s="488">
        <v>185</v>
      </c>
      <c r="I25" s="488">
        <f t="shared" si="0"/>
        <v>2451</v>
      </c>
      <c r="J25" s="500">
        <f>ROUND((F25+G25+H25)*('[4]29_01_H_2020'!$O$9)*E25*12*(1+'[4]29_01_H_2020'!$O$24),2)</f>
        <v>770.63</v>
      </c>
      <c r="K25" s="29"/>
      <c r="L25" s="27"/>
      <c r="M25" s="627"/>
      <c r="N25" s="628" t="s">
        <v>364</v>
      </c>
      <c r="O25" s="628" t="s">
        <v>621</v>
      </c>
    </row>
    <row r="26" spans="1:15" ht="16.5" customHeight="1" x14ac:dyDescent="0.25">
      <c r="A26" s="30"/>
      <c r="B26" s="633" t="s">
        <v>745</v>
      </c>
      <c r="C26" s="634">
        <v>2212104</v>
      </c>
      <c r="D26" s="634" t="s">
        <v>363</v>
      </c>
      <c r="E26" s="635">
        <v>0.2</v>
      </c>
      <c r="F26" s="636">
        <v>2200</v>
      </c>
      <c r="G26" s="488">
        <v>66</v>
      </c>
      <c r="H26" s="488">
        <v>185</v>
      </c>
      <c r="I26" s="488">
        <f t="shared" si="0"/>
        <v>2451</v>
      </c>
      <c r="J26" s="500">
        <f>ROUND((F26+G26+H26)*('[4]29_01_H_2020'!$O$9)*E26*12*(1+'[4]29_01_H_2020'!$O$24),2)</f>
        <v>770.63</v>
      </c>
      <c r="K26" s="29"/>
      <c r="L26" s="27"/>
      <c r="M26" s="627"/>
      <c r="N26" s="628" t="s">
        <v>363</v>
      </c>
      <c r="O26" s="628" t="s">
        <v>621</v>
      </c>
    </row>
    <row r="27" spans="1:15" ht="26.25" x14ac:dyDescent="0.25">
      <c r="A27" s="30"/>
      <c r="B27" s="633" t="s">
        <v>634</v>
      </c>
      <c r="C27" s="634" t="s">
        <v>317</v>
      </c>
      <c r="D27" s="634" t="s">
        <v>425</v>
      </c>
      <c r="E27" s="635">
        <v>0.25</v>
      </c>
      <c r="F27" s="636">
        <v>2200</v>
      </c>
      <c r="G27" s="488">
        <v>66</v>
      </c>
      <c r="H27" s="488">
        <v>185</v>
      </c>
      <c r="I27" s="488">
        <f t="shared" si="0"/>
        <v>2451</v>
      </c>
      <c r="J27" s="500">
        <f>ROUND((F27+G27+H27)*('[4]29_01_H_2020'!$O$9)*E27*12*(1+'[4]29_01_H_2020'!$O$24),2)</f>
        <v>963.28</v>
      </c>
      <c r="K27" s="29"/>
      <c r="L27" s="27"/>
      <c r="M27" s="627"/>
      <c r="N27" s="628" t="s">
        <v>425</v>
      </c>
      <c r="O27" s="628" t="s">
        <v>621</v>
      </c>
    </row>
    <row r="28" spans="1:15" ht="16.5" customHeight="1" x14ac:dyDescent="0.25">
      <c r="A28" s="30"/>
      <c r="B28" s="633" t="s">
        <v>746</v>
      </c>
      <c r="C28" s="634" t="s">
        <v>431</v>
      </c>
      <c r="D28" s="634" t="s">
        <v>432</v>
      </c>
      <c r="E28" s="635">
        <v>0.75</v>
      </c>
      <c r="F28" s="636">
        <v>2200</v>
      </c>
      <c r="G28" s="488">
        <v>66</v>
      </c>
      <c r="H28" s="488">
        <v>185</v>
      </c>
      <c r="I28" s="488">
        <f t="shared" si="0"/>
        <v>2451</v>
      </c>
      <c r="J28" s="500">
        <f>ROUND((F28+G28+H28)*('[4]29_01_H_2020'!$O$9)*E28*12*(1+'[4]29_01_H_2020'!$O$24),2)</f>
        <v>2889.85</v>
      </c>
      <c r="K28" s="29"/>
      <c r="L28" s="27"/>
      <c r="M28" s="627"/>
      <c r="N28" s="628" t="s">
        <v>432</v>
      </c>
      <c r="O28" s="628" t="s">
        <v>621</v>
      </c>
    </row>
    <row r="29" spans="1:15" ht="16.5" customHeight="1" x14ac:dyDescent="0.25">
      <c r="A29" s="30"/>
      <c r="B29" s="633" t="s">
        <v>747</v>
      </c>
      <c r="C29" s="634" t="s">
        <v>472</v>
      </c>
      <c r="D29" s="634" t="s">
        <v>473</v>
      </c>
      <c r="E29" s="635">
        <v>0.6</v>
      </c>
      <c r="F29" s="636">
        <v>2200</v>
      </c>
      <c r="G29" s="488">
        <v>66</v>
      </c>
      <c r="H29" s="488">
        <v>185</v>
      </c>
      <c r="I29" s="488">
        <f t="shared" si="0"/>
        <v>2451</v>
      </c>
      <c r="J29" s="500">
        <f>ROUND((F29+G29+H29)*('[4]29_01_H_2020'!$O$9)*E29*12*(1+'[4]29_01_H_2020'!$O$24),2)</f>
        <v>2311.88</v>
      </c>
      <c r="K29" s="29"/>
      <c r="L29" s="27"/>
      <c r="M29" s="627"/>
      <c r="N29" s="628" t="s">
        <v>473</v>
      </c>
      <c r="O29" s="628" t="s">
        <v>621</v>
      </c>
    </row>
    <row r="30" spans="1:15" x14ac:dyDescent="0.25">
      <c r="A30" s="30"/>
      <c r="B30" s="633" t="s">
        <v>636</v>
      </c>
      <c r="C30" s="634" t="s">
        <v>321</v>
      </c>
      <c r="D30" s="634" t="s">
        <v>748</v>
      </c>
      <c r="E30" s="635">
        <v>0.2</v>
      </c>
      <c r="F30" s="636">
        <v>2200</v>
      </c>
      <c r="G30" s="488">
        <v>66</v>
      </c>
      <c r="H30" s="488">
        <v>185</v>
      </c>
      <c r="I30" s="488">
        <f t="shared" si="0"/>
        <v>2451</v>
      </c>
      <c r="J30" s="500">
        <f>ROUND((F30+G30+H30)*('[4]29_01_H_2020'!$O$9)*E30*12*(1+'[4]29_01_H_2020'!$O$24),2)</f>
        <v>770.63</v>
      </c>
      <c r="K30" s="29"/>
      <c r="L30" s="27"/>
      <c r="M30" s="627"/>
      <c r="N30" s="628" t="s">
        <v>748</v>
      </c>
      <c r="O30" s="628" t="s">
        <v>621</v>
      </c>
    </row>
    <row r="31" spans="1:15" x14ac:dyDescent="0.25">
      <c r="A31" s="30"/>
      <c r="B31" s="633" t="s">
        <v>636</v>
      </c>
      <c r="C31" s="634" t="s">
        <v>321</v>
      </c>
      <c r="D31" s="634" t="s">
        <v>748</v>
      </c>
      <c r="E31" s="635">
        <v>0.2</v>
      </c>
      <c r="F31" s="636">
        <v>2200</v>
      </c>
      <c r="G31" s="488">
        <v>66</v>
      </c>
      <c r="H31" s="488">
        <v>185</v>
      </c>
      <c r="I31" s="488">
        <f t="shared" si="0"/>
        <v>2451</v>
      </c>
      <c r="J31" s="500">
        <f>ROUND((F31+G31+H31)*('[4]29_01_H_2020'!$O$9)*E31*12*(1+'[4]29_01_H_2020'!$O$24),2)</f>
        <v>770.63</v>
      </c>
      <c r="K31" s="29"/>
      <c r="L31" s="27"/>
      <c r="M31" s="627"/>
      <c r="N31" s="628" t="s">
        <v>748</v>
      </c>
      <c r="O31" s="628" t="s">
        <v>621</v>
      </c>
    </row>
    <row r="32" spans="1:15" ht="26.25" x14ac:dyDescent="0.25">
      <c r="A32" s="30"/>
      <c r="B32" s="633" t="s">
        <v>749</v>
      </c>
      <c r="C32" s="634" t="s">
        <v>474</v>
      </c>
      <c r="D32" s="634" t="s">
        <v>475</v>
      </c>
      <c r="E32" s="635">
        <v>0.2</v>
      </c>
      <c r="F32" s="636">
        <v>2200</v>
      </c>
      <c r="G32" s="488">
        <v>66</v>
      </c>
      <c r="H32" s="488">
        <v>185</v>
      </c>
      <c r="I32" s="488">
        <f t="shared" si="0"/>
        <v>2451</v>
      </c>
      <c r="J32" s="500">
        <f>ROUND((F32+G32+H32)*('[4]29_01_H_2020'!$O$9)*E32*12*(1+'[4]29_01_H_2020'!$O$24),2)</f>
        <v>770.63</v>
      </c>
      <c r="K32" s="29"/>
      <c r="L32" s="27"/>
      <c r="M32" s="627"/>
      <c r="N32" s="628" t="s">
        <v>475</v>
      </c>
      <c r="O32" s="628" t="s">
        <v>621</v>
      </c>
    </row>
    <row r="33" spans="1:15" ht="64.5" x14ac:dyDescent="0.25">
      <c r="A33" s="30"/>
      <c r="B33" s="637" t="s">
        <v>388</v>
      </c>
      <c r="C33" s="637"/>
      <c r="D33" s="637"/>
      <c r="E33" s="105"/>
      <c r="F33" s="106"/>
      <c r="G33" s="106"/>
      <c r="H33" s="106"/>
      <c r="I33" s="106"/>
      <c r="J33" s="638"/>
      <c r="K33" s="29"/>
      <c r="L33" s="27"/>
      <c r="M33" s="627"/>
      <c r="N33" s="368"/>
      <c r="O33" s="368"/>
    </row>
    <row r="34" spans="1:15" x14ac:dyDescent="0.25">
      <c r="A34" s="30"/>
      <c r="B34" s="293" t="s">
        <v>106</v>
      </c>
      <c r="C34" s="600" t="s">
        <v>476</v>
      </c>
      <c r="D34" s="600" t="s">
        <v>477</v>
      </c>
      <c r="E34" s="104">
        <v>0.8</v>
      </c>
      <c r="F34" s="629">
        <v>1600</v>
      </c>
      <c r="G34" s="629">
        <v>0</v>
      </c>
      <c r="H34" s="629">
        <v>80</v>
      </c>
      <c r="I34" s="488">
        <f t="shared" si="0"/>
        <v>1680</v>
      </c>
      <c r="J34" s="500">
        <f>ROUND((F34+G34+H34)*('[4]29_01_H_2020'!$O$9)*E34*12*(1+'[4]29_01_H_2020'!$O$24),2)</f>
        <v>2112.86</v>
      </c>
      <c r="K34" s="29"/>
      <c r="L34" s="27"/>
      <c r="M34" s="627"/>
      <c r="N34" s="628" t="s">
        <v>477</v>
      </c>
      <c r="O34" s="628" t="s">
        <v>621</v>
      </c>
    </row>
    <row r="35" spans="1:15" ht="64.5" x14ac:dyDescent="0.25">
      <c r="B35" s="639" t="s">
        <v>478</v>
      </c>
      <c r="C35" s="639"/>
      <c r="D35" s="639"/>
      <c r="E35" s="5"/>
      <c r="F35" s="6"/>
      <c r="G35" s="6"/>
      <c r="H35" s="6"/>
      <c r="I35" s="6"/>
      <c r="J35" s="632"/>
      <c r="M35" s="368"/>
      <c r="N35" s="368"/>
      <c r="O35" s="368"/>
    </row>
    <row r="36" spans="1:15" x14ac:dyDescent="0.25">
      <c r="A36" s="30"/>
      <c r="B36" s="633" t="s">
        <v>76</v>
      </c>
      <c r="C36" s="593" t="s">
        <v>280</v>
      </c>
      <c r="D36" s="593" t="s">
        <v>294</v>
      </c>
      <c r="E36" s="635">
        <v>0.5</v>
      </c>
      <c r="F36" s="636">
        <v>1340</v>
      </c>
      <c r="G36" s="488">
        <v>107.2</v>
      </c>
      <c r="H36" s="488">
        <v>220</v>
      </c>
      <c r="I36" s="488">
        <f>F36+G36+H36</f>
        <v>1667.2</v>
      </c>
      <c r="J36" s="500">
        <f>ROUND((F36+G36+H36)*('[4]29_01_H_2020'!$O$13)*E36*12*(1+'[4]29_01_H_2020'!$O$24),2)</f>
        <v>803.59</v>
      </c>
      <c r="K36" s="29"/>
      <c r="L36" s="27"/>
      <c r="M36" s="627"/>
      <c r="N36" s="628" t="s">
        <v>294</v>
      </c>
      <c r="O36" s="628" t="s">
        <v>621</v>
      </c>
    </row>
    <row r="37" spans="1:15" x14ac:dyDescent="0.25">
      <c r="A37" s="30"/>
      <c r="B37" s="633" t="s">
        <v>76</v>
      </c>
      <c r="C37" s="593" t="s">
        <v>280</v>
      </c>
      <c r="D37" s="593" t="s">
        <v>294</v>
      </c>
      <c r="E37" s="635">
        <v>0.5</v>
      </c>
      <c r="F37" s="636">
        <v>1340</v>
      </c>
      <c r="G37" s="488">
        <v>107.2</v>
      </c>
      <c r="H37" s="488">
        <v>220</v>
      </c>
      <c r="I37" s="488">
        <f t="shared" ref="I37:I41" si="1">F37+G37+H37</f>
        <v>1667.2</v>
      </c>
      <c r="J37" s="500">
        <f>ROUND((F37+G37+H37)*('[4]29_01_H_2020'!$O$13)*E37*12*(1+'[4]29_01_H_2020'!$O$24),2)</f>
        <v>803.59</v>
      </c>
      <c r="K37" s="29"/>
      <c r="L37" s="27"/>
      <c r="M37" s="627"/>
      <c r="N37" s="628" t="s">
        <v>294</v>
      </c>
      <c r="O37" s="628" t="s">
        <v>621</v>
      </c>
    </row>
    <row r="38" spans="1:15" x14ac:dyDescent="0.25">
      <c r="A38" s="30"/>
      <c r="B38" s="640" t="s">
        <v>76</v>
      </c>
      <c r="C38" s="593" t="s">
        <v>280</v>
      </c>
      <c r="D38" s="593" t="s">
        <v>294</v>
      </c>
      <c r="E38" s="641">
        <v>0.5</v>
      </c>
      <c r="F38" s="488">
        <v>1340</v>
      </c>
      <c r="G38" s="488">
        <v>107.2</v>
      </c>
      <c r="H38" s="488">
        <v>220</v>
      </c>
      <c r="I38" s="488">
        <f t="shared" si="1"/>
        <v>1667.2</v>
      </c>
      <c r="J38" s="500">
        <f>ROUND((F38+G38+H38)*('[4]29_01_H_2020'!$O$13)*E38*12*(1+'[4]29_01_H_2020'!$O$24),2)</f>
        <v>803.59</v>
      </c>
      <c r="K38" s="29"/>
      <c r="L38" s="27"/>
      <c r="M38" s="627"/>
      <c r="N38" s="628" t="s">
        <v>294</v>
      </c>
      <c r="O38" s="628" t="s">
        <v>621</v>
      </c>
    </row>
    <row r="39" spans="1:15" x14ac:dyDescent="0.25">
      <c r="A39" s="30"/>
      <c r="B39" s="640" t="s">
        <v>227</v>
      </c>
      <c r="C39" s="593" t="s">
        <v>292</v>
      </c>
      <c r="D39" s="593" t="s">
        <v>293</v>
      </c>
      <c r="E39" s="641">
        <v>0.5</v>
      </c>
      <c r="F39" s="488">
        <v>1340</v>
      </c>
      <c r="G39" s="488">
        <v>40.199999999999996</v>
      </c>
      <c r="H39" s="488">
        <v>220</v>
      </c>
      <c r="I39" s="488">
        <f t="shared" si="1"/>
        <v>1600.2</v>
      </c>
      <c r="J39" s="500">
        <f>ROUND((F39+G39+H39)*('[4]29_01_H_2020'!$O$13)*E39*12*(1+'[4]29_01_H_2020'!$O$24),2)</f>
        <v>771.3</v>
      </c>
      <c r="K39" s="29"/>
      <c r="L39" s="27"/>
      <c r="M39" s="627"/>
      <c r="N39" s="628" t="s">
        <v>293</v>
      </c>
      <c r="O39" s="628" t="s">
        <v>621</v>
      </c>
    </row>
    <row r="40" spans="1:15" x14ac:dyDescent="0.25">
      <c r="A40" s="30"/>
      <c r="B40" s="640" t="s">
        <v>227</v>
      </c>
      <c r="C40" s="593" t="s">
        <v>292</v>
      </c>
      <c r="D40" s="593" t="s">
        <v>293</v>
      </c>
      <c r="E40" s="641">
        <v>1</v>
      </c>
      <c r="F40" s="488">
        <v>1340</v>
      </c>
      <c r="G40" s="488">
        <v>40.199999999999996</v>
      </c>
      <c r="H40" s="488">
        <v>220</v>
      </c>
      <c r="I40" s="488">
        <f t="shared" si="1"/>
        <v>1600.2</v>
      </c>
      <c r="J40" s="500">
        <f>ROUND((F40+G40+H40)*('[4]29_01_H_2020'!$O$13)*E40*12*(1+'[4]29_01_H_2020'!$O$24),2)</f>
        <v>1542.6</v>
      </c>
      <c r="K40" s="29"/>
      <c r="L40" s="27"/>
      <c r="M40" s="627"/>
      <c r="N40" s="628" t="s">
        <v>293</v>
      </c>
      <c r="O40" s="628" t="s">
        <v>621</v>
      </c>
    </row>
    <row r="41" spans="1:15" x14ac:dyDescent="0.25">
      <c r="A41" s="30"/>
      <c r="B41" s="640" t="s">
        <v>227</v>
      </c>
      <c r="C41" s="593" t="s">
        <v>292</v>
      </c>
      <c r="D41" s="593" t="s">
        <v>293</v>
      </c>
      <c r="E41" s="641">
        <v>0.9</v>
      </c>
      <c r="F41" s="488">
        <v>1340</v>
      </c>
      <c r="G41" s="488">
        <v>40.199999999999996</v>
      </c>
      <c r="H41" s="488">
        <v>220</v>
      </c>
      <c r="I41" s="488">
        <f t="shared" si="1"/>
        <v>1600.2</v>
      </c>
      <c r="J41" s="500">
        <f>ROUND((F41+G41+H41)*('[4]29_01_H_2020'!$O$13)*E41*12*(1+'[4]29_01_H_2020'!$O$24),2)</f>
        <v>1388.34</v>
      </c>
      <c r="K41" s="29"/>
      <c r="L41" s="27"/>
      <c r="M41" s="627"/>
      <c r="N41" s="628" t="s">
        <v>293</v>
      </c>
      <c r="O41" s="628" t="s">
        <v>621</v>
      </c>
    </row>
    <row r="42" spans="1:15" ht="19.5" customHeight="1" x14ac:dyDescent="0.25">
      <c r="A42" s="30"/>
      <c r="B42" s="808" t="s">
        <v>62</v>
      </c>
      <c r="C42" s="808"/>
      <c r="D42" s="808"/>
      <c r="E42" s="808"/>
      <c r="F42" s="808"/>
      <c r="G42" s="808"/>
      <c r="H42" s="808"/>
      <c r="I42" s="808"/>
      <c r="J42" s="808"/>
      <c r="K42" s="29"/>
      <c r="L42" s="27"/>
      <c r="M42" s="627"/>
      <c r="N42" s="368"/>
      <c r="O42" s="368"/>
    </row>
    <row r="43" spans="1:15" ht="77.25" x14ac:dyDescent="0.25">
      <c r="B43" s="639" t="s">
        <v>282</v>
      </c>
      <c r="C43" s="639"/>
      <c r="D43" s="639"/>
      <c r="E43" s="5"/>
      <c r="F43" s="6"/>
      <c r="G43" s="6"/>
      <c r="H43" s="6"/>
      <c r="I43" s="6"/>
      <c r="J43" s="632"/>
      <c r="M43" s="368"/>
      <c r="N43" s="368"/>
      <c r="O43" s="368"/>
    </row>
    <row r="44" spans="1:15" x14ac:dyDescent="0.25">
      <c r="A44" s="30"/>
      <c r="B44" s="633" t="s">
        <v>8</v>
      </c>
      <c r="C44" s="593" t="s">
        <v>284</v>
      </c>
      <c r="D44" s="593" t="s">
        <v>291</v>
      </c>
      <c r="E44" s="635">
        <v>1</v>
      </c>
      <c r="F44" s="636">
        <v>1450</v>
      </c>
      <c r="G44" s="488">
        <v>143.5</v>
      </c>
      <c r="H44" s="488">
        <v>240</v>
      </c>
      <c r="I44" s="488">
        <f>F44+G44+H44</f>
        <v>1833.5</v>
      </c>
      <c r="J44" s="500">
        <f>ROUND((F44+G44+H44)*('[4]29_01_H_2020'!$O$13)*E44*12*(1+'[4]29_01_H_2020'!$O$24),2)</f>
        <v>1767.5</v>
      </c>
      <c r="K44" s="29"/>
      <c r="L44" s="27"/>
      <c r="M44" s="627"/>
      <c r="N44" s="368" t="s">
        <v>291</v>
      </c>
      <c r="O44" s="368" t="s">
        <v>621</v>
      </c>
    </row>
    <row r="45" spans="1:15" x14ac:dyDescent="0.25">
      <c r="A45" s="30"/>
      <c r="B45" s="633" t="s">
        <v>78</v>
      </c>
      <c r="C45" s="593" t="s">
        <v>373</v>
      </c>
      <c r="D45" s="593" t="s">
        <v>291</v>
      </c>
      <c r="E45" s="635">
        <v>1</v>
      </c>
      <c r="F45" s="636">
        <v>1340</v>
      </c>
      <c r="G45" s="488">
        <v>40.199999999999996</v>
      </c>
      <c r="H45" s="488">
        <v>220</v>
      </c>
      <c r="I45" s="488">
        <f t="shared" ref="I45:I51" si="2">F45+G45+H45</f>
        <v>1600.2</v>
      </c>
      <c r="J45" s="500">
        <f>ROUND((F45+G45+H45)*('[4]29_01_H_2020'!$O$13)*E45*12*(1+'[4]29_01_H_2020'!$O$24),2)</f>
        <v>1542.6</v>
      </c>
      <c r="K45" s="29"/>
      <c r="L45" s="27"/>
      <c r="M45" s="627"/>
      <c r="N45" s="368" t="s">
        <v>291</v>
      </c>
      <c r="O45" s="368" t="s">
        <v>621</v>
      </c>
    </row>
    <row r="46" spans="1:15" x14ac:dyDescent="0.25">
      <c r="A46" s="30"/>
      <c r="B46" s="633" t="s">
        <v>78</v>
      </c>
      <c r="C46" s="593" t="s">
        <v>373</v>
      </c>
      <c r="D46" s="593" t="s">
        <v>291</v>
      </c>
      <c r="E46" s="635">
        <v>1</v>
      </c>
      <c r="F46" s="636">
        <v>1340</v>
      </c>
      <c r="G46" s="488">
        <v>40.199999999999996</v>
      </c>
      <c r="H46" s="488">
        <v>220</v>
      </c>
      <c r="I46" s="488">
        <f t="shared" si="2"/>
        <v>1600.2</v>
      </c>
      <c r="J46" s="500">
        <f>ROUND((F46+G46+H46)*('[4]29_01_H_2020'!$O$13)*E46*12*(1+'[4]29_01_H_2020'!$O$24),2)</f>
        <v>1542.6</v>
      </c>
      <c r="K46" s="29"/>
      <c r="L46" s="27"/>
      <c r="M46" s="627"/>
      <c r="N46" s="368" t="s">
        <v>291</v>
      </c>
      <c r="O46" s="368" t="s">
        <v>621</v>
      </c>
    </row>
    <row r="47" spans="1:15" x14ac:dyDescent="0.25">
      <c r="A47" s="30"/>
      <c r="B47" s="633" t="s">
        <v>78</v>
      </c>
      <c r="C47" s="593" t="s">
        <v>373</v>
      </c>
      <c r="D47" s="593" t="s">
        <v>291</v>
      </c>
      <c r="E47" s="635">
        <v>0.4</v>
      </c>
      <c r="F47" s="636">
        <v>1340</v>
      </c>
      <c r="G47" s="488">
        <v>40.199999999999996</v>
      </c>
      <c r="H47" s="488">
        <v>220</v>
      </c>
      <c r="I47" s="488">
        <f t="shared" si="2"/>
        <v>1600.2</v>
      </c>
      <c r="J47" s="500">
        <f>ROUND((F47+G47+H47)*('[4]29_01_H_2020'!$O$13)*E47*12*(1+'[4]29_01_H_2020'!$O$24),2)</f>
        <v>617.04</v>
      </c>
      <c r="K47" s="29"/>
      <c r="L47" s="27"/>
      <c r="M47" s="627"/>
      <c r="N47" s="368" t="s">
        <v>291</v>
      </c>
      <c r="O47" s="368" t="s">
        <v>621</v>
      </c>
    </row>
    <row r="48" spans="1:15" x14ac:dyDescent="0.25">
      <c r="A48" s="30"/>
      <c r="B48" s="633" t="s">
        <v>78</v>
      </c>
      <c r="C48" s="593" t="s">
        <v>373</v>
      </c>
      <c r="D48" s="593" t="s">
        <v>291</v>
      </c>
      <c r="E48" s="635">
        <v>1</v>
      </c>
      <c r="F48" s="636">
        <v>1340</v>
      </c>
      <c r="G48" s="488">
        <v>40.199999999999996</v>
      </c>
      <c r="H48" s="488">
        <v>220</v>
      </c>
      <c r="I48" s="488">
        <f t="shared" si="2"/>
        <v>1600.2</v>
      </c>
      <c r="J48" s="500">
        <f>ROUND((F48+G48+H48)*('[4]29_01_H_2020'!$O$13)*E48*12*(1+'[4]29_01_H_2020'!$O$24),2)</f>
        <v>1542.6</v>
      </c>
      <c r="K48" s="29"/>
      <c r="L48" s="27"/>
      <c r="M48" s="627"/>
      <c r="N48" s="368" t="s">
        <v>291</v>
      </c>
      <c r="O48" s="368" t="s">
        <v>621</v>
      </c>
    </row>
    <row r="49" spans="1:15" x14ac:dyDescent="0.25">
      <c r="A49" s="30"/>
      <c r="B49" s="633" t="s">
        <v>78</v>
      </c>
      <c r="C49" s="593" t="s">
        <v>373</v>
      </c>
      <c r="D49" s="593" t="s">
        <v>291</v>
      </c>
      <c r="E49" s="635">
        <v>0.2</v>
      </c>
      <c r="F49" s="636">
        <v>1340</v>
      </c>
      <c r="G49" s="488">
        <v>40.199999999999996</v>
      </c>
      <c r="H49" s="488">
        <v>220</v>
      </c>
      <c r="I49" s="488">
        <f t="shared" si="2"/>
        <v>1600.2</v>
      </c>
      <c r="J49" s="500">
        <f>ROUND((F49+G49+H49)*('[4]29_01_H_2020'!$O$13)*E49*12*(1+'[4]29_01_H_2020'!$O$24),2)</f>
        <v>308.52</v>
      </c>
      <c r="K49" s="29"/>
      <c r="L49" s="27"/>
      <c r="M49" s="627"/>
      <c r="N49" s="368" t="s">
        <v>291</v>
      </c>
      <c r="O49" s="368" t="s">
        <v>621</v>
      </c>
    </row>
    <row r="50" spans="1:15" x14ac:dyDescent="0.25">
      <c r="A50" s="30"/>
      <c r="B50" s="633" t="s">
        <v>78</v>
      </c>
      <c r="C50" s="593" t="s">
        <v>373</v>
      </c>
      <c r="D50" s="593" t="s">
        <v>291</v>
      </c>
      <c r="E50" s="635">
        <v>1</v>
      </c>
      <c r="F50" s="636">
        <v>1340</v>
      </c>
      <c r="G50" s="488">
        <v>40.199999999999996</v>
      </c>
      <c r="H50" s="488">
        <v>220</v>
      </c>
      <c r="I50" s="488">
        <f t="shared" si="2"/>
        <v>1600.2</v>
      </c>
      <c r="J50" s="500">
        <f>ROUND((F50+G50+H50)*('[4]29_01_H_2020'!$O$13)*E50*12*(1+'[4]29_01_H_2020'!$O$24),2)</f>
        <v>1542.6</v>
      </c>
      <c r="K50" s="29"/>
      <c r="L50" s="27"/>
      <c r="M50" s="627"/>
      <c r="N50" s="368" t="s">
        <v>291</v>
      </c>
      <c r="O50" s="368" t="s">
        <v>621</v>
      </c>
    </row>
    <row r="51" spans="1:15" x14ac:dyDescent="0.25">
      <c r="A51" s="30"/>
      <c r="B51" s="633" t="s">
        <v>78</v>
      </c>
      <c r="C51" s="593" t="s">
        <v>373</v>
      </c>
      <c r="D51" s="593" t="s">
        <v>291</v>
      </c>
      <c r="E51" s="635">
        <v>1</v>
      </c>
      <c r="F51" s="636">
        <v>1340</v>
      </c>
      <c r="G51" s="488">
        <v>40.199999999999996</v>
      </c>
      <c r="H51" s="488">
        <v>220</v>
      </c>
      <c r="I51" s="488">
        <f t="shared" si="2"/>
        <v>1600.2</v>
      </c>
      <c r="J51" s="500">
        <f>ROUND((F51+G51+H51)*('[4]29_01_H_2020'!$O$13)*E51*12*(1+'[4]29_01_H_2020'!$O$24),2)</f>
        <v>1542.6</v>
      </c>
      <c r="K51" s="29"/>
      <c r="L51" s="27"/>
      <c r="M51" s="627"/>
      <c r="N51" s="368" t="s">
        <v>291</v>
      </c>
      <c r="O51" s="368" t="s">
        <v>621</v>
      </c>
    </row>
    <row r="52" spans="1:15" x14ac:dyDescent="0.25">
      <c r="A52" s="30"/>
      <c r="B52" s="642" t="s">
        <v>14</v>
      </c>
      <c r="C52" s="642"/>
      <c r="D52" s="642"/>
      <c r="E52" s="643">
        <f>SUM(E12:E32,E36:E41,E34,E44:E51)</f>
        <v>20.399999999999999</v>
      </c>
      <c r="F52" s="644" t="s">
        <v>69</v>
      </c>
      <c r="G52" s="644" t="s">
        <v>69</v>
      </c>
      <c r="H52" s="644" t="s">
        <v>69</v>
      </c>
      <c r="I52" s="644" t="s">
        <v>69</v>
      </c>
      <c r="J52" s="497">
        <f>SUM(J12:J32,J36:J41,J34,J44:J51)</f>
        <v>56037.519999999975</v>
      </c>
      <c r="K52" s="29"/>
      <c r="L52" s="27"/>
      <c r="M52" s="27"/>
    </row>
    <row r="53" spans="1:15" x14ac:dyDescent="0.25">
      <c r="A53" s="30"/>
      <c r="K53" s="29"/>
      <c r="L53" s="27"/>
      <c r="M53" s="27"/>
    </row>
    <row r="54" spans="1:15" x14ac:dyDescent="0.25">
      <c r="A54" s="30"/>
      <c r="K54" s="84"/>
      <c r="L54" s="27"/>
      <c r="M54" s="27"/>
    </row>
    <row r="55" spans="1:15" x14ac:dyDescent="0.25">
      <c r="A55" s="30"/>
      <c r="K55" s="29"/>
      <c r="L55" s="27"/>
      <c r="M55" s="27"/>
    </row>
    <row r="56" spans="1:15" x14ac:dyDescent="0.25">
      <c r="A56" s="30"/>
      <c r="K56" s="29"/>
      <c r="L56" s="27"/>
      <c r="M56" s="27"/>
    </row>
    <row r="57" spans="1:15" x14ac:dyDescent="0.25">
      <c r="J57" s="24"/>
    </row>
  </sheetData>
  <mergeCells count="15">
    <mergeCell ref="I1:J1"/>
    <mergeCell ref="B2:J3"/>
    <mergeCell ref="B5:J5"/>
    <mergeCell ref="G6:G7"/>
    <mergeCell ref="H6:H7"/>
    <mergeCell ref="I6:I7"/>
    <mergeCell ref="J6:J7"/>
    <mergeCell ref="B42:J42"/>
    <mergeCell ref="B8:I8"/>
    <mergeCell ref="B9:I9"/>
    <mergeCell ref="B6:B7"/>
    <mergeCell ref="C6:C7"/>
    <mergeCell ref="D6:D7"/>
    <mergeCell ref="E6:E7"/>
    <mergeCell ref="F6:F7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29_01_H_2020</vt:lpstr>
      <vt:lpstr>KOPSAVILKUMS</vt:lpstr>
      <vt:lpstr>caur tarifiem</vt:lpstr>
      <vt:lpstr>rezidenti_algas (valsts_apmaks)</vt:lpstr>
      <vt:lpstr>rezidenti_fin (valsts_apmaks)</vt:lpstr>
      <vt:lpstr>rezidenti_algas (maksas)</vt:lpstr>
      <vt:lpstr>rezidenti_fin (maksas)</vt:lpstr>
      <vt:lpstr>Pārējās ministrijas MK851</vt:lpstr>
      <vt:lpstr>VM NMPD MK851</vt:lpstr>
      <vt:lpstr>VM VADC MK851</vt:lpstr>
      <vt:lpstr>VM VTMEC MK851</vt:lpstr>
      <vt:lpstr>LM_līgumorg_851</vt:lpstr>
      <vt:lpstr>IEM_kapitsab_851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Gints Rudzītis</dc:creator>
  <cp:lastModifiedBy>Liene Ābola</cp:lastModifiedBy>
  <cp:lastPrinted>2021-09-30T11:17:05Z</cp:lastPrinted>
  <dcterms:created xsi:type="dcterms:W3CDTF">2019-05-13T06:29:17Z</dcterms:created>
  <dcterms:modified xsi:type="dcterms:W3CDTF">2023-12-05T09:06:46Z</dcterms:modified>
</cp:coreProperties>
</file>