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Projekti\2025\Izdienas pensijas\TAP\"/>
    </mc:Choice>
  </mc:AlternateContent>
  <xr:revisionPtr revIDLastSave="0" documentId="13_ncr:1_{5326A7CE-5254-45F6-8F7F-EA1901D7A6B0}" xr6:coauthVersionLast="47" xr6:coauthVersionMax="47" xr10:uidLastSave="{00000000-0000-0000-0000-000000000000}"/>
  <bookViews>
    <workbookView xWindow="-120" yWindow="-120" windowWidth="29040" windowHeight="15720" tabRatio="678" activeTab="5" xr2:uid="{00000000-000D-0000-FFFF-FFFF00000000}"/>
  </bookViews>
  <sheets>
    <sheet name="Vidējais termiņš" sheetId="14" r:id="rId1"/>
    <sheet name="1.piel_TM (IeVP)" sheetId="3" r:id="rId2"/>
    <sheet name="2.piel_Valsts policija" sheetId="10" r:id="rId3"/>
    <sheet name="3.piel_VUGD " sheetId="20" r:id="rId4"/>
    <sheet name="4.piel_Valsts robežsardze" sheetId="12" r:id="rId5"/>
    <sheet name="5.piel_Ieksējās drošības birojs" sheetId="13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4" l="1"/>
  <c r="D14" i="14"/>
  <c r="B14" i="14"/>
  <c r="C12" i="14"/>
  <c r="D12" i="14"/>
  <c r="B12" i="14"/>
  <c r="C10" i="14"/>
  <c r="D10" i="14"/>
  <c r="B10" i="14"/>
  <c r="C8" i="14"/>
  <c r="D8" i="14"/>
  <c r="B8" i="14"/>
  <c r="C6" i="14"/>
  <c r="C23" i="14" s="1"/>
  <c r="D6" i="14"/>
  <c r="D23" i="14" s="1"/>
  <c r="B6" i="14"/>
  <c r="B23" i="14" l="1"/>
  <c r="B7" i="14"/>
  <c r="C7" i="14" s="1"/>
  <c r="D7" i="14" s="1"/>
  <c r="B16" i="14"/>
  <c r="B25" i="14"/>
  <c r="D25" i="14"/>
  <c r="D27" i="14" s="1"/>
  <c r="D28" i="14" s="1"/>
  <c r="C25" i="14"/>
  <c r="C27" i="14" s="1"/>
  <c r="C28" i="14" s="1"/>
  <c r="C16" i="14"/>
  <c r="C17" i="14" s="1"/>
  <c r="D16" i="14"/>
  <c r="D17" i="14" s="1"/>
  <c r="J15" i="20"/>
  <c r="J27" i="20" s="1"/>
  <c r="J6" i="20" s="1"/>
  <c r="J16" i="20"/>
  <c r="J17" i="20"/>
  <c r="J18" i="20"/>
  <c r="J19" i="20"/>
  <c r="J20" i="20"/>
  <c r="J21" i="20"/>
  <c r="J22" i="20"/>
  <c r="J23" i="20"/>
  <c r="J24" i="20"/>
  <c r="J25" i="20"/>
  <c r="J26" i="20"/>
  <c r="M16" i="20"/>
  <c r="M17" i="20"/>
  <c r="M18" i="20"/>
  <c r="M19" i="20"/>
  <c r="M20" i="20"/>
  <c r="M21" i="20"/>
  <c r="M22" i="20"/>
  <c r="M23" i="20"/>
  <c r="M24" i="20"/>
  <c r="M25" i="20"/>
  <c r="M26" i="20"/>
  <c r="M15" i="20"/>
  <c r="L16" i="20"/>
  <c r="L17" i="20"/>
  <c r="L18" i="20"/>
  <c r="L19" i="20"/>
  <c r="L20" i="20"/>
  <c r="L21" i="20"/>
  <c r="L22" i="20"/>
  <c r="L23" i="20"/>
  <c r="L24" i="20"/>
  <c r="L25" i="20"/>
  <c r="L26" i="20"/>
  <c r="L15" i="20"/>
  <c r="K16" i="20"/>
  <c r="K17" i="20"/>
  <c r="K18" i="20"/>
  <c r="K19" i="20"/>
  <c r="K20" i="20"/>
  <c r="K21" i="20"/>
  <c r="K22" i="20"/>
  <c r="K23" i="20"/>
  <c r="K24" i="20"/>
  <c r="K25" i="20"/>
  <c r="K26" i="20"/>
  <c r="K15" i="20"/>
  <c r="I6" i="10"/>
  <c r="O6" i="10"/>
  <c r="N6" i="10"/>
  <c r="M6" i="10"/>
  <c r="L6" i="10"/>
  <c r="I7" i="10"/>
  <c r="I8" i="10"/>
  <c r="I9" i="10"/>
  <c r="I10" i="10"/>
  <c r="I11" i="10"/>
  <c r="I12" i="10"/>
  <c r="I13" i="10"/>
  <c r="I14" i="10"/>
  <c r="I15" i="10"/>
  <c r="I16" i="10"/>
  <c r="I17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N6" i="12"/>
  <c r="M6" i="12"/>
  <c r="K6" i="12"/>
  <c r="B27" i="14" l="1"/>
  <c r="B28" i="14" s="1"/>
  <c r="K27" i="20"/>
  <c r="K6" i="20" s="1"/>
  <c r="M27" i="20"/>
  <c r="M6" i="20" s="1"/>
  <c r="L27" i="20"/>
  <c r="L6" i="20" s="1"/>
  <c r="L8" i="13" l="1"/>
  <c r="K8" i="13"/>
  <c r="J8" i="13"/>
  <c r="I8" i="13"/>
  <c r="H6" i="3"/>
  <c r="I6" i="3"/>
  <c r="J6" i="3"/>
  <c r="G6" i="3"/>
  <c r="B24" i="14"/>
  <c r="B17" i="14"/>
  <c r="B15" i="14" l="1"/>
  <c r="C15" i="14" s="1"/>
  <c r="D15" i="14" s="1"/>
  <c r="B13" i="14"/>
  <c r="C13" i="14" s="1"/>
  <c r="D13" i="14" s="1"/>
  <c r="B11" i="14"/>
  <c r="C11" i="14" s="1"/>
  <c r="D11" i="14" s="1"/>
  <c r="B9" i="14"/>
  <c r="B26" i="14" l="1"/>
  <c r="B29" i="14" s="1"/>
  <c r="C9" i="14"/>
  <c r="C26" i="14" s="1"/>
  <c r="C24" i="14"/>
  <c r="B18" i="14"/>
  <c r="C29" i="14" l="1"/>
  <c r="D9" i="14"/>
  <c r="D26" i="14" s="1"/>
  <c r="D24" i="14"/>
  <c r="C18" i="14"/>
  <c r="L6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8" i="12"/>
  <c r="I9" i="12"/>
  <c r="I10" i="12"/>
  <c r="I11" i="12"/>
  <c r="I12" i="12"/>
  <c r="I13" i="12"/>
  <c r="I14" i="12"/>
  <c r="I15" i="12"/>
  <c r="I16" i="12"/>
  <c r="I17" i="12"/>
  <c r="I18" i="12"/>
  <c r="I7" i="12"/>
  <c r="C18" i="10"/>
  <c r="F57" i="10"/>
  <c r="E57" i="10"/>
  <c r="D57" i="10"/>
  <c r="C57" i="10"/>
  <c r="F44" i="10"/>
  <c r="E44" i="10"/>
  <c r="D44" i="10"/>
  <c r="C44" i="10"/>
  <c r="F31" i="10"/>
  <c r="E31" i="10"/>
  <c r="D31" i="10"/>
  <c r="C31" i="10"/>
  <c r="F18" i="10"/>
  <c r="E18" i="10"/>
  <c r="D18" i="10"/>
  <c r="D29" i="14" l="1"/>
  <c r="D18" i="14"/>
</calcChain>
</file>

<file path=xl/sharedStrings.xml><?xml version="1.0" encoding="utf-8"?>
<sst xmlns="http://schemas.openxmlformats.org/spreadsheetml/2006/main" count="202" uniqueCount="93">
  <si>
    <t>2026.gads</t>
  </si>
  <si>
    <t>Rādītājs</t>
  </si>
  <si>
    <t>Vidējās darba samaksas apmērs, kas noteikts par gadiem, kas tiek ņemti vērā izdienas pensijas aprēķinā (euro)</t>
  </si>
  <si>
    <t>Vidējais izdienas stāžs (gadi)</t>
  </si>
  <si>
    <t>Vidējais procents, kas piemērojams vidējai darba samaksai pirms plānotās izdienas pensijas piešķiršanas</t>
  </si>
  <si>
    <t>vidējais izdienas stāžs</t>
  </si>
  <si>
    <t>Tieslietu ministrija</t>
  </si>
  <si>
    <t>2027.gads</t>
  </si>
  <si>
    <t>Mēnesis</t>
  </si>
  <si>
    <t>2028.gads</t>
  </si>
  <si>
    <t>2029.gads</t>
  </si>
  <si>
    <t>potenciālo jaunpiešķirto izdienas pensiju saņēmēju skaits vidēji mēnesī</t>
  </si>
  <si>
    <t>Gads</t>
  </si>
  <si>
    <t>vidējās darba samaksas apmērs, kas noteikts par gadiem, kas tiek ņemti vērā izdienas
pensijas aprēķinā</t>
  </si>
  <si>
    <t xml:space="preserve">vidējais procents, kas piemērojams vidējai darba samaksai pirms plānotās izdienas pensijas
piešķiršanas </t>
  </si>
  <si>
    <t>Vidējais izdienas pensijas apmērs mēnesī</t>
  </si>
  <si>
    <t>7 = 4 x 6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</si>
  <si>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</si>
  <si>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</si>
  <si>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</si>
  <si>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</si>
  <si>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</si>
  <si>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</si>
  <si>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</si>
  <si>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</si>
  <si>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</si>
  <si>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</si>
  <si>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</si>
  <si>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</si>
  <si>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Vidēji 2026.gadā</t>
  </si>
  <si>
    <t>x</t>
  </si>
  <si>
    <t>Vidēji 2027.gadā</t>
  </si>
  <si>
    <t>Vidēji 2028.gadā</t>
  </si>
  <si>
    <t>Vidēji 2029.gadā</t>
  </si>
  <si>
    <t>KOPĀ</t>
  </si>
  <si>
    <t>skaits</t>
  </si>
  <si>
    <t>2026.g.</t>
  </si>
  <si>
    <r>
      <t xml:space="preserve">1 </t>
    </r>
    <r>
      <rPr>
        <sz val="8"/>
        <color theme="1"/>
        <rFont val="Times New Roman"/>
        <family val="1"/>
        <charset val="186"/>
      </rPr>
      <t>(tiesības uz pens.iegūtas 01.07.2024.)</t>
    </r>
  </si>
  <si>
    <t>31 gads</t>
  </si>
  <si>
    <t>25 gadi</t>
  </si>
  <si>
    <t>2027.g.</t>
  </si>
  <si>
    <t>29 gadi</t>
  </si>
  <si>
    <t>28 gadi</t>
  </si>
  <si>
    <t>20 gadi</t>
  </si>
  <si>
    <t>23 gadi</t>
  </si>
  <si>
    <t>2028.g.</t>
  </si>
  <si>
    <t>30 gadi</t>
  </si>
  <si>
    <t>27 gadi</t>
  </si>
  <si>
    <t xml:space="preserve">2029.g. </t>
  </si>
  <si>
    <t>jūnija</t>
  </si>
  <si>
    <t>IeVP</t>
  </si>
  <si>
    <t>VP</t>
  </si>
  <si>
    <t>VUGD</t>
  </si>
  <si>
    <t>VRS</t>
  </si>
  <si>
    <t>IDB</t>
  </si>
  <si>
    <t>Fiskālā ietekme</t>
  </si>
  <si>
    <t>Indikatīvi nepieciešams izdienas pensijām</t>
  </si>
  <si>
    <t>Valsts policija</t>
  </si>
  <si>
    <t xml:space="preserve">Ietekme uz valsts budžetu par Iekšlietu ministrijas sistēmas iestāžu un Ieslodzījuma vietu pārvaldes amatpersonu ar speciālajām dienesta pakāpēm potenciālajiem izdienas pensijas pieprasītājiem 2027. - 2029. gadā </t>
  </si>
  <si>
    <t>Valsts robežsardze</t>
  </si>
  <si>
    <t>Valsts ugunsdzēsības un glābšanas dienests</t>
  </si>
  <si>
    <t>Iekšējās drošības birojs </t>
  </si>
  <si>
    <r>
      <t xml:space="preserve">Potenciālo jaunpiešķirto izdienas pensiju saņēmēju skaits </t>
    </r>
    <r>
      <rPr>
        <u/>
        <sz val="11"/>
        <color theme="1"/>
        <rFont val="Times New Roman"/>
        <family val="1"/>
        <charset val="186"/>
      </rPr>
      <t>vidēji mēnesī</t>
    </r>
  </si>
  <si>
    <t>Aprēķina periods konkrētajā gadā</t>
  </si>
  <si>
    <t>Aprēķins</t>
  </si>
  <si>
    <r>
      <t xml:space="preserve">Informācija par </t>
    </r>
    <r>
      <rPr>
        <b/>
        <u/>
        <sz val="14"/>
        <color theme="1"/>
        <rFont val="Times New Roman"/>
        <family val="1"/>
        <charset val="186"/>
      </rPr>
      <t>Iekšējās drošības biroja</t>
    </r>
    <r>
      <rPr>
        <b/>
        <sz val="14"/>
        <color theme="1"/>
        <rFont val="Times New Roman"/>
        <family val="1"/>
        <charset val="186"/>
      </rPr>
      <t xml:space="preserve"> dienējošajām amatersonām, kurām iestājas tiesības saņemt izdienas pensiju 2026. - 2029. gadā </t>
    </r>
  </si>
  <si>
    <r>
      <t xml:space="preserve">Informācija par </t>
    </r>
    <r>
      <rPr>
        <b/>
        <u/>
        <sz val="14"/>
        <color theme="1"/>
        <rFont val="Times New Roman"/>
        <family val="1"/>
        <charset val="186"/>
      </rPr>
      <t>Ieslodzījuma vietu pārvaldes</t>
    </r>
    <r>
      <rPr>
        <b/>
        <sz val="14"/>
        <color theme="1"/>
        <rFont val="Times New Roman"/>
        <family val="1"/>
        <charset val="186"/>
      </rPr>
      <t xml:space="preserve"> potenciālajiem izdienas pensiju saņēmējiem un pieprasītājiem 2026. -  2029.gadā</t>
    </r>
  </si>
  <si>
    <t>2027.</t>
  </si>
  <si>
    <t>2028.</t>
  </si>
  <si>
    <t>2029.</t>
  </si>
  <si>
    <t>2026.</t>
  </si>
  <si>
    <t>*kopā ar Valsts policijas koledžu</t>
  </si>
  <si>
    <t>*kopā ar Ugunsdrošības un civilās aizsardzības koledžu</t>
  </si>
  <si>
    <t>*kopā ar Valsts robežsardzes koledžu</t>
  </si>
  <si>
    <r>
      <t xml:space="preserve">Informācija par </t>
    </r>
    <r>
      <rPr>
        <b/>
        <u/>
        <sz val="14"/>
        <rFont val="Times New Roman"/>
        <family val="1"/>
        <charset val="186"/>
      </rPr>
      <t>Valsts robežsardzes*</t>
    </r>
    <r>
      <rPr>
        <b/>
        <sz val="14"/>
        <rFont val="Times New Roman"/>
        <family val="1"/>
        <charset val="186"/>
      </rPr>
      <t xml:space="preserve"> potenciālajiem izdienas pensiju pieprasītājiem    2026. - 2029.gadā </t>
    </r>
  </si>
  <si>
    <r>
      <t xml:space="preserve">Informācija par  </t>
    </r>
    <r>
      <rPr>
        <b/>
        <u/>
        <sz val="14"/>
        <rFont val="Times New Roman"/>
        <family val="1"/>
        <charset val="186"/>
      </rPr>
      <t>Valsts policijas*</t>
    </r>
    <r>
      <rPr>
        <b/>
        <sz val="14"/>
        <rFont val="Times New Roman"/>
        <family val="1"/>
        <charset val="186"/>
      </rPr>
      <t xml:space="preserve"> potenciālajiem izdienas pensiju pieprasītājiem 2026. - 2029.gadā </t>
    </r>
  </si>
  <si>
    <r>
      <t xml:space="preserve">Informācija par </t>
    </r>
    <r>
      <rPr>
        <b/>
        <u/>
        <sz val="14"/>
        <rFont val="Times New Roman"/>
        <family val="1"/>
        <charset val="186"/>
      </rPr>
      <t>Valsts ugunsdzēsības un glābšanas dienesta</t>
    </r>
    <r>
      <rPr>
        <b/>
        <sz val="14"/>
        <rFont val="Times New Roman"/>
        <family val="1"/>
        <charset val="186"/>
      </rPr>
      <t xml:space="preserve">* potenciālajiem izdienas pensiju pieprasītājiem 2026. - 2029.gadā </t>
    </r>
  </si>
  <si>
    <t>Iekšlietu ministrija</t>
  </si>
  <si>
    <t xml:space="preserve">Tieslietu ministrija </t>
  </si>
  <si>
    <t>Kopsavilkums</t>
  </si>
  <si>
    <t>Tieslietu ministrija (Ieslodzījuma vietu pārvalde)</t>
  </si>
  <si>
    <t>Sadalījumā pa iestādēm</t>
  </si>
  <si>
    <t>Gada ietekme 2 mēneši*</t>
  </si>
  <si>
    <t>Kopējā fiskālā ietekme 2 mēneši*</t>
  </si>
  <si>
    <t>Pielikums
likumprojekta "Grozījumi likumā "Par izdienas pensijām Iekšlietu 
ministrijas sistēmas darbiniekiem ar speciālajām dienesta pakāpēm""
 sākotnējās ietekmes (ex-ante) novērtējuma ziņojumam (anotācijai)</t>
  </si>
  <si>
    <t>Detalizēti aprēķini 1., 2., 3., 4. un 5. pielikumā.</t>
  </si>
  <si>
    <t xml:space="preserve">Fiskālā ietekme, nosacījumam, ka izdienas pensijas aprēķinā neņem vērā pēdējos 2 mēnešus, aprēkināta kā 6,4% no nepieciešamā finansējuma. </t>
  </si>
  <si>
    <t>Aprēķinus veikusi Valsts kanceleja pēc vienotas metodoloģijas.</t>
  </si>
  <si>
    <t>1.pielikums</t>
  </si>
  <si>
    <t>2.pielikums</t>
  </si>
  <si>
    <t>3. pielikums</t>
  </si>
  <si>
    <t>4. pielikums</t>
  </si>
  <si>
    <t>5.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</si>
</sst>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.0%"/>
  </numFmts>
  <fonts count="24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i/>
      <sz val="11"/>
      <color theme="1"/>
      <name val="Times New Roman"/>
      <family val="1"/>
      <charset val="186"/>
    </font>
    <font>
      <b/>
      <sz val="14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color rgb="FF414142"/>
      <name val="Times New Roman"/>
      <family val="1"/>
      <charset val="186"/>
    </font>
    <font>
      <u/>
      <sz val="11"/>
      <color theme="1"/>
      <name val="Times New Roman"/>
      <family val="1"/>
      <charset val="186"/>
    </font>
    <font>
      <b/>
      <u/>
      <sz val="14"/>
      <color theme="1"/>
      <name val="Times New Roman"/>
      <family val="1"/>
      <charset val="186"/>
    </font>
    <font>
      <b/>
      <u/>
      <sz val="14"/>
      <name val="Times New Roman"/>
      <family val="1"/>
      <charset val="186"/>
    </font>
    <font>
      <b/>
      <sz val="14"/>
      <color rgb="FF414142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0"/>
      <name val="BaltHelvetica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25">
    <xf numFmtId="0" fontId="0" fillId="0" borderId="0"/>
    <xf numFmtId="9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2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20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20" fillId="0" borderId="0"/>
    <xf numFmtId="0" fontId="9" fillId="0" borderId="0"/>
    <xf numFmtId="0" fontId="20" fillId="0" borderId="0"/>
    <xf numFmtId="0" fontId="9" fillId="0" borderId="0"/>
    <xf numFmtId="9" fontId="20" fillId="0" borderId="0" applyFont="0" applyFill="0" applyBorder="0" applyAlignment="0" applyProtection="0"/>
    <xf numFmtId="0" fontId="20" fillId="0" borderId="0"/>
    <xf numFmtId="0" fontId="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20" fillId="0" borderId="0"/>
    <xf numFmtId="0" fontId="9" fillId="0" borderId="0"/>
    <xf numFmtId="9" fontId="20" fillId="0" borderId="0" applyFont="0" applyFill="0" applyBorder="0" applyAlignment="0" applyProtection="0"/>
    <xf numFmtId="0" fontId="9" fillId="0" borderId="0"/>
    <xf numFmtId="9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0" fontId="22" fillId="0" borderId="0"/>
    <xf numFmtId="0" fontId="9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0" fontId="20" fillId="0" borderId="0"/>
    <xf numFmtId="0" fontId="9" fillId="0" borderId="0"/>
    <xf numFmtId="0" fontId="20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20" fillId="0" borderId="0"/>
    <xf numFmtId="0" fontId="21" fillId="0" borderId="0"/>
    <xf numFmtId="0" fontId="23" fillId="0" borderId="0"/>
    <xf numFmtId="0" fontId="9" fillId="0" borderId="0"/>
    <xf numFmtId="0" fontId="23" fillId="0" borderId="0"/>
    <xf numFmtId="0" fontId="20" fillId="0" borderId="0"/>
    <xf numFmtId="0" fontId="9" fillId="0" borderId="0"/>
    <xf numFmtId="0" fontId="20" fillId="0" borderId="0"/>
    <xf numFmtId="0" fontId="20" fillId="0" borderId="0"/>
  </cellStyleXfs>
  <cellXfs count="101">
    <xf numFmtId="0" fontId="0" fillId="0" borderId="0" xfId="0"/>
    <xf numFmtId="0" fontId="6" fillId="0" borderId="3" xfId="2" applyFont="1" applyBorder="1"/>
    <xf numFmtId="2" fontId="6" fillId="0" borderId="3" xfId="2" applyNumberFormat="1" applyFont="1" applyBorder="1"/>
    <xf numFmtId="10" fontId="6" fillId="0" borderId="3" xfId="3" applyNumberFormat="1" applyFont="1" applyBorder="1"/>
    <xf numFmtId="0" fontId="7" fillId="0" borderId="3" xfId="2" applyFont="1" applyBorder="1"/>
    <xf numFmtId="2" fontId="7" fillId="0" borderId="3" xfId="2" applyNumberFormat="1" applyFont="1" applyBorder="1"/>
    <xf numFmtId="10" fontId="7" fillId="0" borderId="3" xfId="3" applyNumberFormat="1" applyFont="1" applyBorder="1"/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9" fontId="2" fillId="0" borderId="3" xfId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2" fontId="2" fillId="0" borderId="3" xfId="0" applyNumberFormat="1" applyFont="1" applyBorder="1" applyAlignment="1">
      <alignment horizontal="center" vertical="center"/>
    </xf>
    <xf numFmtId="9" fontId="2" fillId="0" borderId="3" xfId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/>
    <xf numFmtId="0" fontId="7" fillId="0" borderId="3" xfId="0" applyFont="1" applyBorder="1"/>
    <xf numFmtId="1" fontId="7" fillId="0" borderId="0" xfId="0" applyNumberFormat="1" applyFont="1"/>
    <xf numFmtId="165" fontId="7" fillId="0" borderId="0" xfId="0" applyNumberFormat="1" applyFont="1"/>
    <xf numFmtId="0" fontId="10" fillId="4" borderId="3" xfId="0" applyFont="1" applyFill="1" applyBorder="1" applyAlignment="1">
      <alignment horizontal="right"/>
    </xf>
    <xf numFmtId="0" fontId="7" fillId="2" borderId="3" xfId="0" applyFont="1" applyFill="1" applyBorder="1"/>
    <xf numFmtId="3" fontId="7" fillId="0" borderId="3" xfId="0" applyNumberFormat="1" applyFont="1" applyBorder="1"/>
    <xf numFmtId="3" fontId="7" fillId="4" borderId="3" xfId="0" applyNumberFormat="1" applyFont="1" applyFill="1" applyBorder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6" fillId="0" borderId="3" xfId="0" applyFont="1" applyBorder="1"/>
    <xf numFmtId="0" fontId="14" fillId="0" borderId="0" xfId="0" applyFont="1"/>
    <xf numFmtId="0" fontId="13" fillId="3" borderId="3" xfId="0" applyFont="1" applyFill="1" applyBorder="1"/>
    <xf numFmtId="0" fontId="1" fillId="0" borderId="0" xfId="0" applyFont="1"/>
    <xf numFmtId="0" fontId="8" fillId="0" borderId="0" xfId="0" applyFont="1"/>
    <xf numFmtId="0" fontId="3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left" wrapText="1"/>
    </xf>
    <xf numFmtId="1" fontId="13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left" wrapText="1"/>
    </xf>
    <xf numFmtId="3" fontId="13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2" fontId="13" fillId="0" borderId="3" xfId="0" applyNumberFormat="1" applyFont="1" applyBorder="1" applyAlignment="1">
      <alignment horizontal="center"/>
    </xf>
    <xf numFmtId="10" fontId="13" fillId="0" borderId="3" xfId="0" applyNumberFormat="1" applyFont="1" applyBorder="1" applyAlignment="1">
      <alignment horizontal="center"/>
    </xf>
    <xf numFmtId="164" fontId="7" fillId="0" borderId="0" xfId="0" applyNumberFormat="1" applyFont="1"/>
    <xf numFmtId="0" fontId="7" fillId="0" borderId="3" xfId="0" applyFont="1" applyBorder="1" applyAlignment="1">
      <alignment wrapText="1"/>
    </xf>
    <xf numFmtId="0" fontId="6" fillId="0" borderId="0" xfId="0" applyFont="1" applyAlignment="1">
      <alignment horizontal="right"/>
    </xf>
    <xf numFmtId="0" fontId="6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/>
    </xf>
    <xf numFmtId="3" fontId="13" fillId="6" borderId="3" xfId="0" applyNumberFormat="1" applyFont="1" applyFill="1" applyBorder="1"/>
    <xf numFmtId="3" fontId="6" fillId="3" borderId="3" xfId="0" applyNumberFormat="1" applyFont="1" applyFill="1" applyBorder="1"/>
    <xf numFmtId="4" fontId="7" fillId="0" borderId="0" xfId="0" applyNumberFormat="1" applyFont="1"/>
    <xf numFmtId="3" fontId="19" fillId="2" borderId="3" xfId="0" applyNumberFormat="1" applyFont="1" applyFill="1" applyBorder="1"/>
    <xf numFmtId="0" fontId="7" fillId="0" borderId="14" xfId="0" applyFont="1" applyBorder="1"/>
    <xf numFmtId="0" fontId="10" fillId="0" borderId="14" xfId="0" applyFont="1" applyBorder="1" applyAlignment="1">
      <alignment horizontal="right"/>
    </xf>
    <xf numFmtId="0" fontId="10" fillId="0" borderId="3" xfId="0" applyFont="1" applyBorder="1" applyAlignment="1">
      <alignment horizontal="right"/>
    </xf>
    <xf numFmtId="0" fontId="18" fillId="0" borderId="0" xfId="0" applyFont="1" applyAlignment="1">
      <alignment horizontal="center" wrapText="1"/>
    </xf>
    <xf numFmtId="166" fontId="7" fillId="0" borderId="0" xfId="1" applyNumberFormat="1" applyFont="1"/>
    <xf numFmtId="0" fontId="7" fillId="0" borderId="0" xfId="0" applyFont="1"/>
    <xf numFmtId="0" fontId="6" fillId="0" borderId="3" xfId="0" applyFont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wrapText="1"/>
    </xf>
    <xf numFmtId="0" fontId="8" fillId="0" borderId="15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</cellXfs>
  <cellStyles count="125">
    <cellStyle name="Normal" xfId="0" builtinId="0"/>
    <cellStyle name="Normal 10" xfId="33" xr:uid="{A4BBB4D0-A17A-4B18-AEF7-C4B862D1B383}"/>
    <cellStyle name="Normal 11" xfId="34" xr:uid="{1F59A6C8-BA5B-435E-86F4-1FEDAF39B33B}"/>
    <cellStyle name="Normal 11 10" xfId="69" xr:uid="{2B33FCD1-DED7-4ECD-BF4F-38D0487FB7E6}"/>
    <cellStyle name="Normal 11 11" xfId="75" xr:uid="{FC00C60C-BD3F-4B59-AC03-1CA79B7473A5}"/>
    <cellStyle name="Normal 11 2" xfId="36" xr:uid="{4CEF44C4-BC34-4AA1-9117-D93CA2F5EF40}"/>
    <cellStyle name="Normal 11 3" xfId="37" xr:uid="{22CA60E8-4765-4B27-B183-44A9B4141F5C}"/>
    <cellStyle name="Normal 11 4" xfId="41" xr:uid="{D57ABAC6-44C8-4E6F-99AD-81CEE7F3063E}"/>
    <cellStyle name="Normal 11 5" xfId="44" xr:uid="{ED80FE4D-E852-4112-AE9A-CE67DB21DAF5}"/>
    <cellStyle name="Normal 11 6" xfId="48" xr:uid="{32F086BE-FFB0-491D-A46C-2522508643BA}"/>
    <cellStyle name="Normal 11 7" xfId="54" xr:uid="{4FB51B97-D06B-416B-A453-949C2E013AB9}"/>
    <cellStyle name="Normal 11 8" xfId="56" xr:uid="{F6B55041-C1DC-411E-8B86-6402C65796E9}"/>
    <cellStyle name="Normal 11 9" xfId="64" xr:uid="{462992E5-BC4F-4611-8521-7CBC31F17D17}"/>
    <cellStyle name="Normal 12" xfId="38" xr:uid="{5948816D-36D4-4C35-82F9-FE59D1A4A2CA}"/>
    <cellStyle name="Normal 12 10" xfId="80" xr:uid="{BA1150C7-F197-4405-8C16-4D6A669D8611}"/>
    <cellStyle name="Normal 12 2" xfId="42" xr:uid="{26510C21-134A-4D7F-B971-97A1F6070D87}"/>
    <cellStyle name="Normal 12 3" xfId="47" xr:uid="{03D0FEE7-2BE6-4BC4-8952-52D0890B331C}"/>
    <cellStyle name="Normal 12 4" xfId="49" xr:uid="{E2250CD4-23AB-46A4-9DDC-73BD48F1E9B8}"/>
    <cellStyle name="Normal 12 5" xfId="57" xr:uid="{03801C11-F8E5-40B4-979E-C57303B15807}"/>
    <cellStyle name="Normal 12 6" xfId="58" xr:uid="{5B3A2A01-2D1E-4915-B9C6-2B3F34C4F320}"/>
    <cellStyle name="Normal 12 7" xfId="68" xr:uid="{2A68EBA2-0B2B-47A3-87DD-638107F8B644}"/>
    <cellStyle name="Normal 12 8" xfId="74" xr:uid="{E0BE423B-0420-46A7-A0A0-5D5FF34021F9}"/>
    <cellStyle name="Normal 12 9" xfId="10" xr:uid="{E80885E5-B66B-4B67-BB81-4978B77B50EE}"/>
    <cellStyle name="Normal 13" xfId="12" xr:uid="{EAC4340F-4438-4F39-AB63-EA47E1E7C0A2}"/>
    <cellStyle name="Normal 13 2" xfId="55" xr:uid="{5F8AE86D-46F8-4063-B068-7D6A0D86B8D0}"/>
    <cellStyle name="Normal 14" xfId="6" xr:uid="{61A722D2-9D92-44CC-AE80-A50294ED0A3B}"/>
    <cellStyle name="Normal 14 2" xfId="45" xr:uid="{2804D2F5-491E-410D-B9F7-A91AEC758E97}"/>
    <cellStyle name="Normal 14 3" xfId="52" xr:uid="{E4B29588-BEDD-4917-A0C3-33416D27271F}"/>
    <cellStyle name="Normal 14 4" xfId="62" xr:uid="{E59DE0C1-495E-4084-A759-A5BB05E22C1B}"/>
    <cellStyle name="Normal 14 5" xfId="67" xr:uid="{05D1E0EB-7FD8-4C58-97D6-201D4C387061}"/>
    <cellStyle name="Normal 14 6" xfId="72" xr:uid="{29E5F8E6-F95E-47F7-B22B-1FCBA756FF3E}"/>
    <cellStyle name="Normal 15" xfId="83" xr:uid="{CAD0DEB5-78C7-40BA-98F1-850F6491B2FC}"/>
    <cellStyle name="Normal 15 2" xfId="4" xr:uid="{3EC428E0-E1F8-4493-BBF7-3D027FCF8199}"/>
    <cellStyle name="Normal 16" xfId="46" xr:uid="{A42CE5BF-334E-4F76-A66E-8AF7CD2ABD25}"/>
    <cellStyle name="Normal 16 2" xfId="53" xr:uid="{69E345EB-4858-4F52-BF9E-6024532F12A4}"/>
    <cellStyle name="Normal 16 3" xfId="63" xr:uid="{CC0AD5B7-47E0-467E-AFF1-BA797C08FD88}"/>
    <cellStyle name="Normal 17" xfId="50" xr:uid="{13AB00F2-6770-42EC-92D9-1D8BD535A057}"/>
    <cellStyle name="Normal 17 2" xfId="65" xr:uid="{232FEF9F-945E-413F-ABD2-D770C282C3F4}"/>
    <cellStyle name="Normal 17 3" xfId="73" xr:uid="{937CB62F-4164-49E4-ACF7-C5CB32F47B69}"/>
    <cellStyle name="Normal 17 4" xfId="88" xr:uid="{A0F60338-CA02-4B2C-AA87-BF36BC908640}"/>
    <cellStyle name="Normal 17 4 2" xfId="18" xr:uid="{9D9C073B-4C1C-4A3F-B175-32206DEB81D6}"/>
    <cellStyle name="Normal 18" xfId="84" xr:uid="{80363B01-F1EB-4519-8973-991E652AA6A9}"/>
    <cellStyle name="Normal 18 2" xfId="90" xr:uid="{5243F6CD-9A5C-44DA-9519-A402A8B1B698}"/>
    <cellStyle name="Normal 19" xfId="60" xr:uid="{6D914675-7ED2-458F-98FD-2DC8DBC8FC15}"/>
    <cellStyle name="Normal 19 2" xfId="70" xr:uid="{98E1E2BE-70C5-4413-8B0A-AFDFA3EFBD55}"/>
    <cellStyle name="Normal 2" xfId="2" xr:uid="{00000000-0005-0000-0000-000006000000}"/>
    <cellStyle name="Normal 2 2" xfId="117" xr:uid="{DF37A554-3E73-4F9D-A91D-6E668B5F0B17}"/>
    <cellStyle name="Normal 2 3" xfId="9" xr:uid="{A69F9601-01B2-43A8-8B0F-3DFCDD32486B}"/>
    <cellStyle name="Normal 20" xfId="66" xr:uid="{85180398-39D4-476A-ADB2-7B672EFA5C1C}"/>
    <cellStyle name="Normal 20 2" xfId="71" xr:uid="{CC6BC80B-0EC4-4B59-BA89-FBE8779BCAA2}"/>
    <cellStyle name="Normal 21" xfId="85" xr:uid="{22B5A5D0-01AE-4F38-9387-A943D2273822}"/>
    <cellStyle name="Normal 22" xfId="92" xr:uid="{A90DD5B7-CEAA-4DE3-99D9-FADC26BB7167}"/>
    <cellStyle name="Normal 22 2" xfId="114" xr:uid="{CB68CC4A-5601-469C-94A4-229FF6A542D0}"/>
    <cellStyle name="Normal 22 3" xfId="119" xr:uid="{31D120C1-5A81-4A17-A6C3-4EE954529169}"/>
    <cellStyle name="Normal 23" xfId="115" xr:uid="{7F2A9577-C87B-42A5-B6BC-5D16009C4249}"/>
    <cellStyle name="Normal 24" xfId="15" xr:uid="{EDB068DF-DF94-4269-9B56-6D30011AFB15}"/>
    <cellStyle name="Normal 25" xfId="116" xr:uid="{CE3CE940-7A04-46EE-9865-AD8C33C1828B}"/>
    <cellStyle name="Normal 26" xfId="118" xr:uid="{EC58BDD4-23B1-4011-A46D-37D9011E4DF8}"/>
    <cellStyle name="Normal 27" xfId="120" xr:uid="{D0A19FA9-1B03-4FD4-BC0C-6813404D07C2}"/>
    <cellStyle name="Normal 28" xfId="121" xr:uid="{3D37F4A0-96B3-4D0F-81F5-E5FB6C997765}"/>
    <cellStyle name="Normal 29" xfId="123" xr:uid="{554038B8-2214-4DE7-87EA-0C6F950124FC}"/>
    <cellStyle name="Normal 3" xfId="31" xr:uid="{EFEE76C3-8F16-47EB-BABC-1A3102DF46CB}"/>
    <cellStyle name="Normal 3 2" xfId="14" xr:uid="{62D0B90E-7836-4774-8095-35AAF28CBFF8}"/>
    <cellStyle name="Normal 30" xfId="8" xr:uid="{7A127158-A0B5-41EB-93C6-FB06DE073488}"/>
    <cellStyle name="Normal 31" xfId="124" xr:uid="{AED2821C-80BA-41C6-BE9F-DB3F7F4470CD}"/>
    <cellStyle name="Normal 32" xfId="13" xr:uid="{6849AC39-61D3-4019-8314-EC7E6101D4A0}"/>
    <cellStyle name="Normal 32 2" xfId="17" xr:uid="{48B4CCE7-6B1D-4783-BE7D-594BF9529C8A}"/>
    <cellStyle name="Normal 4" xfId="39" xr:uid="{761B8B31-F7F5-4FAC-A8A6-A3659EFD0E2D}"/>
    <cellStyle name="Normal 5" xfId="59" xr:uid="{84A9AC47-620B-4DA3-B641-EF915C8E20F2}"/>
    <cellStyle name="Normal 6" xfId="76" xr:uid="{41C9BA27-1615-4058-8F52-3BDC5EFDBBEA}"/>
    <cellStyle name="Normal 6 2" xfId="77" xr:uid="{0B31C7EC-9CC4-4B53-98F7-6C5BFCEA555C}"/>
    <cellStyle name="Normal 7" xfId="32" xr:uid="{526E293F-A943-48CA-98A8-B8C4FF79D5BE}"/>
    <cellStyle name="Normal 7 2" xfId="35" xr:uid="{3345421E-A280-4CCA-AF17-6B7EA239B2C4}"/>
    <cellStyle name="Normal 7 3" xfId="40" xr:uid="{D2CB4559-B645-48EC-979D-F629C5DDD16D}"/>
    <cellStyle name="Normal 7 4" xfId="43" xr:uid="{A94553E1-EDBD-45A2-AF8A-5819FF2BF808}"/>
    <cellStyle name="Normal 7 5" xfId="51" xr:uid="{38967B88-0C88-4198-802A-B4E253AFC82C}"/>
    <cellStyle name="Normal 7 6" xfId="61" xr:uid="{72652E7B-3E96-458F-8835-261E4146DC86}"/>
    <cellStyle name="Normal 7 7" xfId="11" xr:uid="{13BAFDF4-C028-4403-8DEB-5D2F54C38DB8}"/>
    <cellStyle name="Normal 7 7 2 2" xfId="122" xr:uid="{06C863B2-5A50-4879-BC0A-184666F77766}"/>
    <cellStyle name="Normal 7 8" xfId="93" xr:uid="{69F42205-E7AA-4D78-8E39-84658E936ABF}"/>
    <cellStyle name="Normal 8" xfId="78" xr:uid="{4E86C13D-9996-4B6E-B463-3D88BE971A42}"/>
    <cellStyle name="Normal 8 2" xfId="5" xr:uid="{B6AD6BBD-994D-40A9-97C9-1FCA60EF705A}"/>
    <cellStyle name="Normal 8 3" xfId="7" xr:uid="{A8CB46FB-895D-4608-919E-5A9109CDE512}"/>
    <cellStyle name="Normal 9" xfId="16" xr:uid="{A9448BE5-2672-43FE-9EF2-7BEF10EE3354}"/>
    <cellStyle name="Normal 9 2" xfId="89" xr:uid="{2EFBEE4D-2D8A-47BC-BAF5-A8122191A128}"/>
    <cellStyle name="Parastais_FMLikp01_p05_221205_pap_afp_makp" xfId="87" xr:uid="{C7EA0AEF-2E16-4768-9AA8-4B6BDE02DAB7}"/>
    <cellStyle name="Parasts 2" xfId="20" xr:uid="{D75DF979-6590-44C0-8225-9106144667D2}"/>
    <cellStyle name="Parasts 2 2" xfId="27" xr:uid="{019C6241-AE38-400D-8C2A-EC33B71A709B}"/>
    <cellStyle name="Parasts 2 2 2" xfId="98" xr:uid="{2365A0C1-5793-42BB-A828-4EA43ED423A4}"/>
    <cellStyle name="Parasts 2 2 2 2" xfId="103" xr:uid="{B35E30D2-A595-4218-9F67-38CB67572D7B}"/>
    <cellStyle name="Parasts 2 2 2 2 2" xfId="112" xr:uid="{94686A70-7125-49CD-AF14-640B0BEA6C68}"/>
    <cellStyle name="Parasts 2 2 2 3" xfId="107" xr:uid="{C69830DA-A4E1-4D79-9261-EDAC694DD2EE}"/>
    <cellStyle name="Parasts 2 2 3" xfId="101" xr:uid="{C2403B5A-88FE-4C37-86D2-5586E5429BD5}"/>
    <cellStyle name="Parasts 2 2 3 2" xfId="110" xr:uid="{82B76167-F260-4189-9422-157F72601B30}"/>
    <cellStyle name="Parasts 2 2 4" xfId="95" xr:uid="{9119C4FD-8085-48EC-A659-67514E314B84}"/>
    <cellStyle name="Parasts 2 3" xfId="30" xr:uid="{E210576E-69E7-4BC6-A300-5C24E77D75EC}"/>
    <cellStyle name="Parasts 2 3 2" xfId="100" xr:uid="{3C69BF58-18D9-46A9-8E1E-49C674298CCA}"/>
    <cellStyle name="Parasts 2 3 2 2" xfId="109" xr:uid="{56E457AE-0685-4A67-BD28-A18B0DE6754A}"/>
    <cellStyle name="Parasts 2 3 3" xfId="106" xr:uid="{034A9A0B-AF9D-46E3-B966-D9844A161D8E}"/>
    <cellStyle name="Parasts 2 3 4" xfId="97" xr:uid="{114441DA-9944-448F-A2EF-8A03EF43EF19}"/>
    <cellStyle name="Parasts 2 4" xfId="96" xr:uid="{E70CAF3C-302A-42B0-9A09-AA592FF8B5AE}"/>
    <cellStyle name="Parasts 2 4 2" xfId="102" xr:uid="{109FC4EF-8D71-4F91-B37F-FF36CF927897}"/>
    <cellStyle name="Parasts 2 4 2 2" xfId="111" xr:uid="{E3ED3709-6977-430A-B40A-FC80B2E69831}"/>
    <cellStyle name="Parasts 2 4 3" xfId="105" xr:uid="{058EF2E7-C22A-4EF7-BE09-7711A1562A9D}"/>
    <cellStyle name="Parasts 2 5" xfId="99" xr:uid="{CFA85EA4-9B71-496D-9C4F-E2148A5AEB17}"/>
    <cellStyle name="Parasts 2 5 2" xfId="108" xr:uid="{F8B3CA18-7F99-4883-9B50-A327DAD12F43}"/>
    <cellStyle name="Parasts 2 6" xfId="104" xr:uid="{D9C5B3F1-ABAE-49F5-943A-E13B81DFE954}"/>
    <cellStyle name="Parasts 2 7" xfId="113" xr:uid="{E4145E20-7F90-4766-8BBF-89E5D8396C1D}"/>
    <cellStyle name="Parasts 3" xfId="19" xr:uid="{0067183B-4964-4645-9148-E47E5E3A781F}"/>
    <cellStyle name="Parasts 3 2" xfId="24" xr:uid="{2D25E137-046D-4D4E-9649-4C966C05AB0B}"/>
    <cellStyle name="Parasts 3 3" xfId="22" xr:uid="{192B0A11-4F60-4BD1-A255-AD311DBBAFEB}"/>
    <cellStyle name="Parasts 4" xfId="23" xr:uid="{6EBEC5C0-8980-40F9-81D9-FCE3F5F0C6E6}"/>
    <cellStyle name="Parasts 5" xfId="21" xr:uid="{7EEA4F3E-B397-4142-9E29-71920FBF454E}"/>
    <cellStyle name="Parasts 5 2" xfId="28" xr:uid="{67AAA6FB-1819-4299-9DC5-5CB7F1912DD9}"/>
    <cellStyle name="Parasts 6" xfId="26" xr:uid="{BC6495BE-FFAE-48AE-B152-748B47C85E5C}"/>
    <cellStyle name="Parasts 6 2" xfId="29" xr:uid="{BFFC27DA-AA8D-4988-A2A6-DA143E2388CE}"/>
    <cellStyle name="Parasts 7" xfId="94" xr:uid="{F45EF289-4754-4560-95A2-DA791598E874}"/>
    <cellStyle name="Percent" xfId="1" builtinId="5"/>
    <cellStyle name="Percent 2" xfId="3" xr:uid="{00000000-0005-0000-0000-000007000000}"/>
    <cellStyle name="Percent 2 2" xfId="79" xr:uid="{EC9A879C-FF62-4B03-8436-A31C73751FC5}"/>
    <cellStyle name="Percent 3" xfId="82" xr:uid="{78B07C8C-F300-4A0D-BB7E-198ACC26CAF2}"/>
    <cellStyle name="Percent 3 2" xfId="91" xr:uid="{24BB9E74-1270-44F1-B277-9F18946C5402}"/>
    <cellStyle name="Percent 4" xfId="86" xr:uid="{4C0ED520-900C-4F36-AF4E-506824564A8A}"/>
    <cellStyle name="Percent 5" xfId="81" xr:uid="{66FE683F-5CC9-466D-83DC-DE492891BACD}"/>
    <cellStyle name="Procenti 2" xfId="25" xr:uid="{A4055705-5EB3-4FB5-BCA1-CA3FAE4AA0B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B69D9-5C8E-46D0-AD53-E615A1BA1959}">
  <sheetPr>
    <pageSetUpPr fitToPage="1"/>
  </sheetPr>
  <dimension ref="A1:P34"/>
  <sheetViews>
    <sheetView topLeftCell="A10" zoomScale="96" zoomScaleNormal="96" workbookViewId="0">
      <selection activeCell="K8" sqref="K8"/>
    </sheetView>
  </sheetViews>
  <sheetFormatPr defaultRowHeight="15"/>
  <cols>
    <col min="1" max="1" width="42.28515625" style="16" customWidth="1"/>
    <col min="2" max="4" width="11.5703125" style="16" bestFit="1" customWidth="1"/>
    <col min="5" max="5" width="9.140625" style="16"/>
    <col min="6" max="6" width="10.42578125" style="16" bestFit="1" customWidth="1"/>
    <col min="7" max="7" width="10" style="16" bestFit="1" customWidth="1"/>
    <col min="8" max="16384" width="9.140625" style="16"/>
  </cols>
  <sheetData>
    <row r="1" spans="1:16" ht="83.25" customHeight="1">
      <c r="A1" s="82" t="s">
        <v>84</v>
      </c>
      <c r="B1" s="82"/>
      <c r="C1" s="82"/>
      <c r="D1" s="82"/>
    </row>
    <row r="2" spans="1:16" ht="79.5" customHeight="1">
      <c r="A2" s="81" t="s">
        <v>58</v>
      </c>
      <c r="B2" s="81"/>
      <c r="C2" s="81"/>
      <c r="D2" s="81"/>
      <c r="H2" s="78"/>
    </row>
    <row r="3" spans="1:16" ht="18.75">
      <c r="A3" s="77"/>
      <c r="B3" s="77"/>
      <c r="C3" s="77"/>
      <c r="D3" s="77"/>
    </row>
    <row r="4" spans="1:16" ht="15.75">
      <c r="A4" s="52" t="s">
        <v>81</v>
      </c>
    </row>
    <row r="5" spans="1:16">
      <c r="A5" s="17"/>
      <c r="B5" s="80" t="s">
        <v>67</v>
      </c>
      <c r="C5" s="80" t="s">
        <v>68</v>
      </c>
      <c r="D5" s="80" t="s">
        <v>69</v>
      </c>
    </row>
    <row r="6" spans="1:16">
      <c r="A6" s="17" t="s">
        <v>80</v>
      </c>
      <c r="B6" s="22">
        <f>'1.piel_TM (IeVP)'!H6</f>
        <v>1281707</v>
      </c>
      <c r="C6" s="22">
        <f>'1.piel_TM (IeVP)'!I6</f>
        <v>1776074</v>
      </c>
      <c r="D6" s="22">
        <f>'1.piel_TM (IeVP)'!J6</f>
        <v>2203257</v>
      </c>
      <c r="E6" s="18"/>
      <c r="F6" s="19"/>
      <c r="G6" s="19"/>
    </row>
    <row r="7" spans="1:16">
      <c r="A7" s="20" t="s">
        <v>55</v>
      </c>
      <c r="B7" s="23">
        <f>B6*0.064</f>
        <v>82029.248000000007</v>
      </c>
      <c r="C7" s="23">
        <f>C6*0.064+B7</f>
        <v>195697.984</v>
      </c>
      <c r="D7" s="23">
        <f>D6*0.064+C7</f>
        <v>336706.43200000003</v>
      </c>
      <c r="E7" s="18"/>
      <c r="F7" s="19"/>
      <c r="G7" s="19"/>
    </row>
    <row r="8" spans="1:16">
      <c r="A8" s="17" t="s">
        <v>57</v>
      </c>
      <c r="B8" s="22">
        <f>'2.piel_Valsts policija'!M6</f>
        <v>3044828</v>
      </c>
      <c r="C8" s="22">
        <f>'2.piel_Valsts policija'!N6</f>
        <v>3453956</v>
      </c>
      <c r="D8" s="22">
        <f>'2.piel_Valsts policija'!O6</f>
        <v>2082945</v>
      </c>
      <c r="E8" s="18"/>
      <c r="F8" s="19"/>
      <c r="G8" s="19"/>
    </row>
    <row r="9" spans="1:16">
      <c r="A9" s="20" t="s">
        <v>55</v>
      </c>
      <c r="B9" s="23">
        <f>B8*0.064</f>
        <v>194868.992</v>
      </c>
      <c r="C9" s="23">
        <f>C8*0.064+B9</f>
        <v>415922.17599999998</v>
      </c>
      <c r="D9" s="23">
        <f>D8*0.064+C9</f>
        <v>549230.65599999996</v>
      </c>
      <c r="E9" s="18"/>
      <c r="F9" s="19"/>
      <c r="G9" s="19"/>
    </row>
    <row r="10" spans="1:16">
      <c r="A10" s="17" t="s">
        <v>60</v>
      </c>
      <c r="B10" s="22">
        <f>'3.piel_VUGD '!K6</f>
        <v>536156</v>
      </c>
      <c r="C10" s="22">
        <f>'3.piel_VUGD '!L6</f>
        <v>569976</v>
      </c>
      <c r="D10" s="22">
        <f>'3.piel_VUGD '!M6</f>
        <v>633213</v>
      </c>
      <c r="E10" s="18"/>
      <c r="F10" s="19"/>
      <c r="G10" s="19"/>
      <c r="N10" s="72"/>
      <c r="O10" s="72"/>
      <c r="P10" s="72"/>
    </row>
    <row r="11" spans="1:16">
      <c r="A11" s="20" t="s">
        <v>55</v>
      </c>
      <c r="B11" s="23">
        <f>B10*0.064</f>
        <v>34313.984000000004</v>
      </c>
      <c r="C11" s="23">
        <f>C10*0.064+B11</f>
        <v>70792.448000000004</v>
      </c>
      <c r="D11" s="23">
        <f>D10*0.064+C11</f>
        <v>111318.08</v>
      </c>
      <c r="E11" s="18"/>
      <c r="F11" s="19"/>
      <c r="G11" s="19"/>
    </row>
    <row r="12" spans="1:16">
      <c r="A12" s="17" t="s">
        <v>59</v>
      </c>
      <c r="B12" s="22">
        <f>'4.piel_Valsts robežsardze'!L6</f>
        <v>696362.39970104769</v>
      </c>
      <c r="C12" s="22">
        <f>'4.piel_Valsts robežsardze'!M6</f>
        <v>420663</v>
      </c>
      <c r="D12" s="22">
        <f>'4.piel_Valsts robežsardze'!N6</f>
        <v>469107</v>
      </c>
      <c r="E12" s="18"/>
      <c r="F12" s="19"/>
      <c r="G12" s="19"/>
    </row>
    <row r="13" spans="1:16">
      <c r="A13" s="20" t="s">
        <v>55</v>
      </c>
      <c r="B13" s="23">
        <f>B12*0.064</f>
        <v>44567.193580867053</v>
      </c>
      <c r="C13" s="23">
        <f>C12*0.064+B13</f>
        <v>71489.625580867054</v>
      </c>
      <c r="D13" s="23">
        <f>D12*0.064+C13</f>
        <v>101512.47358086705</v>
      </c>
      <c r="E13" s="18"/>
      <c r="F13" s="19"/>
    </row>
    <row r="14" spans="1:16">
      <c r="A14" s="17" t="s">
        <v>61</v>
      </c>
      <c r="B14" s="22">
        <f>'5.piel_Ieksējās drošības birojs'!J8</f>
        <v>53721</v>
      </c>
      <c r="C14" s="22">
        <f>'5.piel_Ieksējās drošības birojs'!K8</f>
        <v>53369</v>
      </c>
      <c r="D14" s="22">
        <f>'5.piel_Ieksējās drošības birojs'!L8</f>
        <v>18944</v>
      </c>
      <c r="E14" s="18"/>
      <c r="F14" s="19"/>
      <c r="G14" s="19"/>
      <c r="J14" s="65"/>
      <c r="K14" s="65"/>
    </row>
    <row r="15" spans="1:16">
      <c r="A15" s="20" t="s">
        <v>55</v>
      </c>
      <c r="B15" s="23">
        <f>B14*0.064</f>
        <v>3438.1440000000002</v>
      </c>
      <c r="C15" s="23">
        <f>C14*0.064+B15</f>
        <v>6853.76</v>
      </c>
      <c r="D15" s="23">
        <f>D14*0.064+C15</f>
        <v>8066.1760000000004</v>
      </c>
      <c r="E15" s="18"/>
      <c r="F15" s="19"/>
      <c r="G15" s="19"/>
    </row>
    <row r="16" spans="1:16">
      <c r="A16" s="20"/>
      <c r="B16" s="70">
        <f>SUM(B6,B8,B10,B12,B14)</f>
        <v>5612774.3997010477</v>
      </c>
      <c r="C16" s="70">
        <f>SUM(C6,C8,C10,C12,C14)</f>
        <v>6274038</v>
      </c>
      <c r="D16" s="70">
        <f>SUM(D6,D8,D10,D12,D14)</f>
        <v>5407466</v>
      </c>
      <c r="E16" s="18"/>
      <c r="F16" s="19"/>
      <c r="G16" s="19"/>
    </row>
    <row r="17" spans="1:4">
      <c r="A17" s="53" t="s">
        <v>82</v>
      </c>
      <c r="B17" s="71">
        <f>B16*0.064</f>
        <v>359217.56158086704</v>
      </c>
      <c r="C17" s="71">
        <f>C16*0.064</f>
        <v>401538.43200000003</v>
      </c>
      <c r="D17" s="71">
        <f>D16*0.064</f>
        <v>346077.82400000002</v>
      </c>
    </row>
    <row r="18" spans="1:4">
      <c r="A18" s="21" t="s">
        <v>83</v>
      </c>
      <c r="B18" s="73">
        <f>SUM(B7,B9,B11,B13,B15)</f>
        <v>359217.56158086704</v>
      </c>
      <c r="C18" s="73">
        <f>SUM(C7,C9,C11,C13,C15)</f>
        <v>760755.99358086695</v>
      </c>
      <c r="D18" s="73">
        <f>SUM(D7,D9,D11,D13,D15)</f>
        <v>1106833.8175808671</v>
      </c>
    </row>
    <row r="21" spans="1:4">
      <c r="A21" s="24" t="s">
        <v>79</v>
      </c>
    </row>
    <row r="22" spans="1:4">
      <c r="A22" s="17"/>
      <c r="B22" s="80" t="s">
        <v>67</v>
      </c>
      <c r="C22" s="80" t="s">
        <v>68</v>
      </c>
      <c r="D22" s="80" t="s">
        <v>69</v>
      </c>
    </row>
    <row r="23" spans="1:4">
      <c r="A23" s="17" t="s">
        <v>78</v>
      </c>
      <c r="B23" s="22">
        <f t="shared" ref="B23:D24" si="0">B6</f>
        <v>1281707</v>
      </c>
      <c r="C23" s="22">
        <f t="shared" si="0"/>
        <v>1776074</v>
      </c>
      <c r="D23" s="22">
        <f t="shared" si="0"/>
        <v>2203257</v>
      </c>
    </row>
    <row r="24" spans="1:4">
      <c r="A24" s="76" t="s">
        <v>55</v>
      </c>
      <c r="B24" s="22">
        <f t="shared" si="0"/>
        <v>82029.248000000007</v>
      </c>
      <c r="C24" s="22">
        <f t="shared" si="0"/>
        <v>195697.984</v>
      </c>
      <c r="D24" s="22">
        <f t="shared" si="0"/>
        <v>336706.43200000003</v>
      </c>
    </row>
    <row r="25" spans="1:4">
      <c r="A25" s="74" t="s">
        <v>77</v>
      </c>
      <c r="B25" s="22">
        <f t="shared" ref="B25:D26" si="1">B8+B10+B12+B14</f>
        <v>4331067.3997010477</v>
      </c>
      <c r="C25" s="22">
        <f t="shared" si="1"/>
        <v>4497964</v>
      </c>
      <c r="D25" s="22">
        <f t="shared" si="1"/>
        <v>3204209</v>
      </c>
    </row>
    <row r="26" spans="1:4">
      <c r="A26" s="75" t="s">
        <v>55</v>
      </c>
      <c r="B26" s="22">
        <f t="shared" si="1"/>
        <v>277188.31358086702</v>
      </c>
      <c r="C26" s="22">
        <f t="shared" si="1"/>
        <v>565058.00958086702</v>
      </c>
      <c r="D26" s="22">
        <f t="shared" si="1"/>
        <v>770127.38558086695</v>
      </c>
    </row>
    <row r="27" spans="1:4">
      <c r="A27" s="20"/>
      <c r="B27" s="70">
        <f>SUM(B23,B25)</f>
        <v>5612774.3997010477</v>
      </c>
      <c r="C27" s="70">
        <f t="shared" ref="C27:D27" si="2">SUM(C23,C25)</f>
        <v>6274038</v>
      </c>
      <c r="D27" s="70">
        <f t="shared" si="2"/>
        <v>5407466</v>
      </c>
    </row>
    <row r="28" spans="1:4">
      <c r="A28" s="53" t="s">
        <v>82</v>
      </c>
      <c r="B28" s="71">
        <f>B27*0.064</f>
        <v>359217.56158086704</v>
      </c>
      <c r="C28" s="71">
        <f>C27*0.064</f>
        <v>401538.43200000003</v>
      </c>
      <c r="D28" s="71">
        <f>D27*0.064</f>
        <v>346077.82400000002</v>
      </c>
    </row>
    <row r="29" spans="1:4">
      <c r="A29" s="21" t="s">
        <v>83</v>
      </c>
      <c r="B29" s="73">
        <f>SUM(B24,B26)</f>
        <v>359217.56158086704</v>
      </c>
      <c r="C29" s="73">
        <f t="shared" ref="C29:D29" si="3">SUM(C24,C26)</f>
        <v>760755.99358086707</v>
      </c>
      <c r="D29" s="73">
        <f t="shared" si="3"/>
        <v>1106833.8175808671</v>
      </c>
    </row>
    <row r="31" spans="1:4" s="79" customFormat="1" ht="34.5" customHeight="1">
      <c r="A31" s="83" t="s">
        <v>86</v>
      </c>
      <c r="B31" s="83"/>
      <c r="C31" s="83"/>
      <c r="D31" s="83"/>
    </row>
    <row r="32" spans="1:4">
      <c r="A32" s="16" t="s">
        <v>85</v>
      </c>
    </row>
    <row r="34" spans="1:1">
      <c r="A34" s="16" t="s">
        <v>87</v>
      </c>
    </row>
  </sheetData>
  <mergeCells count="3">
    <mergeCell ref="A2:D2"/>
    <mergeCell ref="A1:D1"/>
    <mergeCell ref="A31:D31"/>
  </mergeCells>
  <pageMargins left="0.7" right="0.7" top="0.75" bottom="0.75" header="0.3" footer="0.3"/>
  <pageSetup paperSize="9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9"/>
  <sheetViews>
    <sheetView workbookViewId="0">
      <selection activeCell="J1" sqref="J1"/>
    </sheetView>
  </sheetViews>
  <sheetFormatPr defaultRowHeight="15"/>
  <cols>
    <col min="1" max="1" width="35.140625" style="16" customWidth="1"/>
    <col min="2" max="2" width="14.7109375" style="16" customWidth="1"/>
    <col min="3" max="3" width="13.140625" style="16" customWidth="1"/>
    <col min="4" max="4" width="16" style="16" customWidth="1"/>
    <col min="5" max="5" width="11.28515625" style="16" customWidth="1"/>
    <col min="6" max="16384" width="9.140625" style="16"/>
  </cols>
  <sheetData>
    <row r="1" spans="1:10">
      <c r="J1" s="16" t="s">
        <v>88</v>
      </c>
    </row>
    <row r="2" spans="1:10" ht="15.75">
      <c r="A2" s="54" t="s">
        <v>6</v>
      </c>
    </row>
    <row r="4" spans="1:10" ht="49.5" customHeight="1">
      <c r="A4" s="84" t="s">
        <v>66</v>
      </c>
      <c r="B4" s="84"/>
      <c r="C4" s="84"/>
      <c r="D4" s="84"/>
      <c r="E4" s="84"/>
      <c r="G4" s="85" t="s">
        <v>56</v>
      </c>
      <c r="H4" s="85"/>
      <c r="I4" s="85"/>
      <c r="J4" s="85"/>
    </row>
    <row r="5" spans="1:10">
      <c r="A5" s="56" t="s">
        <v>1</v>
      </c>
      <c r="B5" s="57" t="s">
        <v>0</v>
      </c>
      <c r="C5" s="57" t="s">
        <v>7</v>
      </c>
      <c r="D5" s="57" t="s">
        <v>9</v>
      </c>
      <c r="E5" s="57" t="s">
        <v>10</v>
      </c>
      <c r="G5" s="51">
        <v>2026</v>
      </c>
      <c r="H5" s="51">
        <v>2027</v>
      </c>
      <c r="I5" s="51">
        <v>2028</v>
      </c>
      <c r="J5" s="51">
        <v>2029</v>
      </c>
    </row>
    <row r="6" spans="1:10" ht="30">
      <c r="A6" s="58" t="s">
        <v>62</v>
      </c>
      <c r="B6" s="59">
        <v>9.8333333333333339</v>
      </c>
      <c r="C6" s="59">
        <v>15.5</v>
      </c>
      <c r="D6" s="59">
        <v>21.916666666666668</v>
      </c>
      <c r="E6" s="59">
        <v>27.666666666666668</v>
      </c>
      <c r="F6" s="67" t="s">
        <v>50</v>
      </c>
      <c r="G6" s="22">
        <f>ROUND((B6*(B7*B9))*12+(B6*(B7*B9))*11+(B6*(B7*B9))*10+(B6*(B7*B9))*9+(B6*(B7*B9))*8+(B6*(B7*B9))*7+(B6*(B7*B9))*6+(B6*(B7*B9))*5+(B6*(B7*B9))*4+(B6*(B7*B9))*3+(B6*(B7*B9))*2+(B6*(B7*B9))*1,0)</f>
        <v>837468</v>
      </c>
      <c r="H6" s="22">
        <f t="shared" ref="H6:J6" si="0">ROUND((C6*(C7*C9))*12+(C6*(C7*C9))*11+(C6*(C7*C9))*10+(C6*(C7*C9))*9+(C6*(C7*C9))*8+(C6*(C7*C9))*7+(C6*(C7*C9))*6+(C6*(C7*C9))*5+(C6*(C7*C9))*4+(C6*(C7*C9))*3+(C6*(C7*C9))*2+(C6*(C7*C9))*1,0)</f>
        <v>1281707</v>
      </c>
      <c r="I6" s="22">
        <f t="shared" si="0"/>
        <v>1776074</v>
      </c>
      <c r="J6" s="22">
        <f t="shared" si="0"/>
        <v>2203257</v>
      </c>
    </row>
    <row r="7" spans="1:10" ht="45">
      <c r="A7" s="60" t="s">
        <v>2</v>
      </c>
      <c r="B7" s="61">
        <v>1704.19</v>
      </c>
      <c r="C7" s="61">
        <v>1655.69</v>
      </c>
      <c r="D7" s="61">
        <v>1616.53</v>
      </c>
      <c r="E7" s="61">
        <v>1600.52</v>
      </c>
    </row>
    <row r="8" spans="1:10">
      <c r="A8" s="62" t="s">
        <v>3</v>
      </c>
      <c r="B8" s="63">
        <v>24.13</v>
      </c>
      <c r="C8" s="63">
        <v>24.25</v>
      </c>
      <c r="D8" s="63">
        <v>24.45</v>
      </c>
      <c r="E8" s="63">
        <v>24.246987951807228</v>
      </c>
    </row>
    <row r="9" spans="1:10" ht="45">
      <c r="A9" s="58" t="s">
        <v>4</v>
      </c>
      <c r="B9" s="64">
        <v>0.64070000000000005</v>
      </c>
      <c r="C9" s="64">
        <v>0.64029999999999998</v>
      </c>
      <c r="D9" s="64">
        <v>0.64270000000000005</v>
      </c>
      <c r="E9" s="64">
        <v>0.63790000000000002</v>
      </c>
    </row>
  </sheetData>
  <mergeCells count="2">
    <mergeCell ref="A4:E4"/>
    <mergeCell ref="G4:J4"/>
  </mergeCells>
  <pageMargins left="0.7" right="0.7" top="0.75" bottom="0.75" header="0.3" footer="0.3"/>
  <pageSetup paperSize="9" scale="64" fitToHeight="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24F84-1164-4146-8296-C4B6906CC295}">
  <sheetPr>
    <tabColor theme="0" tint="-4.9989318521683403E-2"/>
    <pageSetUpPr fitToPage="1"/>
  </sheetPr>
  <dimension ref="A1:O74"/>
  <sheetViews>
    <sheetView topLeftCell="D1" workbookViewId="0">
      <selection activeCell="O1" sqref="O1"/>
    </sheetView>
  </sheetViews>
  <sheetFormatPr defaultRowHeight="15"/>
  <cols>
    <col min="1" max="1" width="18.42578125" style="16" customWidth="1"/>
    <col min="2" max="2" width="14.140625" style="16" customWidth="1"/>
    <col min="3" max="3" width="13.85546875" style="16" customWidth="1"/>
    <col min="4" max="4" width="13.7109375" style="16" customWidth="1"/>
    <col min="5" max="5" width="14" style="16" customWidth="1"/>
    <col min="6" max="6" width="18.7109375" style="16" customWidth="1"/>
    <col min="7" max="7" width="14.42578125" style="16" hidden="1" customWidth="1"/>
    <col min="8" max="11" width="9.140625" style="16"/>
    <col min="12" max="12" width="11.42578125" style="16" bestFit="1" customWidth="1"/>
    <col min="13" max="15" width="10.140625" style="16" bestFit="1" customWidth="1"/>
    <col min="16" max="16384" width="9.140625" style="16"/>
  </cols>
  <sheetData>
    <row r="1" spans="1:15" ht="17.25" customHeight="1">
      <c r="A1" s="55"/>
      <c r="O1" s="16" t="s">
        <v>89</v>
      </c>
    </row>
    <row r="2" spans="1:15" ht="36" customHeight="1">
      <c r="A2" s="93" t="s">
        <v>75</v>
      </c>
      <c r="B2" s="93"/>
      <c r="C2" s="93"/>
      <c r="D2" s="93"/>
      <c r="E2" s="93"/>
      <c r="F2" s="93"/>
      <c r="G2" s="93"/>
    </row>
    <row r="3" spans="1:15" ht="24" customHeight="1">
      <c r="H3" s="86" t="s">
        <v>64</v>
      </c>
      <c r="I3" s="86"/>
    </row>
    <row r="4" spans="1:15" s="28" customFormat="1" ht="73.5" customHeight="1">
      <c r="A4" s="25" t="s">
        <v>12</v>
      </c>
      <c r="B4" s="15" t="s">
        <v>8</v>
      </c>
      <c r="C4" s="26" t="s">
        <v>11</v>
      </c>
      <c r="D4" s="27" t="s">
        <v>13</v>
      </c>
      <c r="E4" s="26" t="s">
        <v>5</v>
      </c>
      <c r="F4" s="26" t="s">
        <v>14</v>
      </c>
      <c r="G4" s="26" t="s">
        <v>15</v>
      </c>
      <c r="H4" s="26" t="s">
        <v>63</v>
      </c>
      <c r="I4" s="66" t="s">
        <v>56</v>
      </c>
      <c r="L4" s="87" t="s">
        <v>56</v>
      </c>
      <c r="M4" s="87"/>
      <c r="N4" s="87"/>
      <c r="O4" s="87"/>
    </row>
    <row r="5" spans="1:15" s="33" customFormat="1" ht="14.25">
      <c r="A5" s="29">
        <v>1</v>
      </c>
      <c r="B5" s="30">
        <v>2</v>
      </c>
      <c r="C5" s="31">
        <v>3</v>
      </c>
      <c r="D5" s="32">
        <v>4</v>
      </c>
      <c r="E5" s="31">
        <v>5</v>
      </c>
      <c r="F5" s="31">
        <v>6</v>
      </c>
      <c r="G5" s="31" t="s">
        <v>16</v>
      </c>
      <c r="H5" s="30"/>
      <c r="I5" s="30"/>
      <c r="L5" s="44">
        <v>2026</v>
      </c>
      <c r="M5" s="44">
        <v>2027</v>
      </c>
      <c r="N5" s="44">
        <v>2028</v>
      </c>
      <c r="O5" s="44">
        <v>2029</v>
      </c>
    </row>
    <row r="6" spans="1:15" s="28" customFormat="1">
      <c r="A6" s="90">
        <v>2026</v>
      </c>
      <c r="B6" s="34" t="s">
        <v>17</v>
      </c>
      <c r="C6" s="34">
        <v>29</v>
      </c>
      <c r="D6" s="35">
        <v>2321</v>
      </c>
      <c r="E6" s="36">
        <v>27</v>
      </c>
      <c r="F6" s="36">
        <v>69</v>
      </c>
      <c r="G6" s="34"/>
      <c r="H6" s="15">
        <v>12</v>
      </c>
      <c r="I6" s="15">
        <f t="shared" ref="I6:I17" si="0">C6*D6*F6/100*H6</f>
        <v>557318.52</v>
      </c>
      <c r="K6" s="46" t="s">
        <v>51</v>
      </c>
      <c r="L6" s="69">
        <f>ROUND(SUM(I6:I17),0)</f>
        <v>3211435</v>
      </c>
      <c r="M6" s="69">
        <f>ROUND(SUM(I19:I30),0)</f>
        <v>3044828</v>
      </c>
      <c r="N6" s="69">
        <f>ROUND(SUM(I32:I43),0)</f>
        <v>3453956</v>
      </c>
      <c r="O6" s="69">
        <f>ROUND(SUM(I45:I56),0)</f>
        <v>2082945</v>
      </c>
    </row>
    <row r="7" spans="1:15" s="28" customFormat="1">
      <c r="A7" s="91"/>
      <c r="B7" s="37" t="s">
        <v>18</v>
      </c>
      <c r="C7" s="37">
        <v>24</v>
      </c>
      <c r="D7" s="38">
        <v>2820</v>
      </c>
      <c r="E7" s="39">
        <v>29</v>
      </c>
      <c r="F7" s="39">
        <v>73</v>
      </c>
      <c r="G7" s="37"/>
      <c r="H7" s="15">
        <v>11</v>
      </c>
      <c r="I7" s="15">
        <f t="shared" si="0"/>
        <v>543470.4</v>
      </c>
    </row>
    <row r="8" spans="1:15" s="28" customFormat="1">
      <c r="A8" s="91"/>
      <c r="B8" s="37" t="s">
        <v>19</v>
      </c>
      <c r="C8" s="37">
        <v>34</v>
      </c>
      <c r="D8" s="38">
        <v>2416</v>
      </c>
      <c r="E8" s="39">
        <v>28</v>
      </c>
      <c r="F8" s="40">
        <v>71</v>
      </c>
      <c r="G8" s="37"/>
      <c r="H8" s="15">
        <v>10</v>
      </c>
      <c r="I8" s="15">
        <f t="shared" si="0"/>
        <v>583222.4</v>
      </c>
    </row>
    <row r="9" spans="1:15" s="28" customFormat="1">
      <c r="A9" s="91"/>
      <c r="B9" s="37" t="s">
        <v>20</v>
      </c>
      <c r="C9" s="37">
        <v>23</v>
      </c>
      <c r="D9" s="38">
        <v>2540</v>
      </c>
      <c r="E9" s="39">
        <v>28</v>
      </c>
      <c r="F9" s="40">
        <v>71</v>
      </c>
      <c r="G9" s="37"/>
      <c r="H9" s="15">
        <v>9</v>
      </c>
      <c r="I9" s="15">
        <f t="shared" si="0"/>
        <v>373303.8</v>
      </c>
    </row>
    <row r="10" spans="1:15" s="28" customFormat="1">
      <c r="A10" s="91"/>
      <c r="B10" s="37" t="s">
        <v>21</v>
      </c>
      <c r="C10" s="37">
        <v>17</v>
      </c>
      <c r="D10" s="38">
        <v>2633</v>
      </c>
      <c r="E10" s="39">
        <v>27</v>
      </c>
      <c r="F10" s="40">
        <v>69</v>
      </c>
      <c r="G10" s="37"/>
      <c r="H10" s="15">
        <v>8</v>
      </c>
      <c r="I10" s="15">
        <f t="shared" si="0"/>
        <v>247080.72</v>
      </c>
    </row>
    <row r="11" spans="1:15" s="28" customFormat="1">
      <c r="A11" s="91"/>
      <c r="B11" s="37" t="s">
        <v>22</v>
      </c>
      <c r="C11" s="37">
        <v>15</v>
      </c>
      <c r="D11" s="38">
        <v>2157</v>
      </c>
      <c r="E11" s="39">
        <v>27</v>
      </c>
      <c r="F11" s="39">
        <v>69</v>
      </c>
      <c r="G11" s="37"/>
      <c r="H11" s="15">
        <v>7</v>
      </c>
      <c r="I11" s="15">
        <f t="shared" si="0"/>
        <v>156274.65</v>
      </c>
    </row>
    <row r="12" spans="1:15" s="28" customFormat="1">
      <c r="A12" s="91"/>
      <c r="B12" s="37" t="s">
        <v>23</v>
      </c>
      <c r="C12" s="37">
        <v>18</v>
      </c>
      <c r="D12" s="38">
        <v>2355</v>
      </c>
      <c r="E12" s="39">
        <v>25</v>
      </c>
      <c r="F12" s="36">
        <v>66</v>
      </c>
      <c r="G12" s="37"/>
      <c r="H12" s="15">
        <v>6</v>
      </c>
      <c r="I12" s="15">
        <f t="shared" si="0"/>
        <v>167864.40000000002</v>
      </c>
    </row>
    <row r="13" spans="1:15" s="28" customFormat="1">
      <c r="A13" s="91"/>
      <c r="B13" s="37" t="s">
        <v>24</v>
      </c>
      <c r="C13" s="37">
        <v>25</v>
      </c>
      <c r="D13" s="38">
        <v>2638</v>
      </c>
      <c r="E13" s="39">
        <v>27</v>
      </c>
      <c r="F13" s="40">
        <v>69</v>
      </c>
      <c r="G13" s="37"/>
      <c r="H13" s="15">
        <v>5</v>
      </c>
      <c r="I13" s="15">
        <f t="shared" si="0"/>
        <v>227527.5</v>
      </c>
    </row>
    <row r="14" spans="1:15" s="28" customFormat="1">
      <c r="A14" s="91"/>
      <c r="B14" s="37" t="s">
        <v>25</v>
      </c>
      <c r="C14" s="37">
        <v>17</v>
      </c>
      <c r="D14" s="38">
        <v>2644</v>
      </c>
      <c r="E14" s="39">
        <v>28</v>
      </c>
      <c r="F14" s="39">
        <v>71</v>
      </c>
      <c r="G14" s="37"/>
      <c r="H14" s="15">
        <v>4</v>
      </c>
      <c r="I14" s="15">
        <f t="shared" si="0"/>
        <v>127652.32</v>
      </c>
    </row>
    <row r="15" spans="1:15" s="28" customFormat="1">
      <c r="A15" s="91"/>
      <c r="B15" s="37" t="s">
        <v>26</v>
      </c>
      <c r="C15" s="37">
        <v>24</v>
      </c>
      <c r="D15" s="38">
        <v>2585</v>
      </c>
      <c r="E15" s="39">
        <v>28</v>
      </c>
      <c r="F15" s="40">
        <v>71</v>
      </c>
      <c r="G15" s="37"/>
      <c r="H15" s="15">
        <v>3</v>
      </c>
      <c r="I15" s="15">
        <f t="shared" si="0"/>
        <v>132145.20000000001</v>
      </c>
    </row>
    <row r="16" spans="1:15" s="28" customFormat="1">
      <c r="A16" s="91"/>
      <c r="B16" s="37" t="s">
        <v>27</v>
      </c>
      <c r="C16" s="37">
        <v>17</v>
      </c>
      <c r="D16" s="38">
        <v>2220</v>
      </c>
      <c r="E16" s="39">
        <v>28</v>
      </c>
      <c r="F16" s="36">
        <v>71</v>
      </c>
      <c r="G16" s="37"/>
      <c r="H16" s="15">
        <v>2</v>
      </c>
      <c r="I16" s="15">
        <f t="shared" si="0"/>
        <v>53590.8</v>
      </c>
    </row>
    <row r="17" spans="1:9" s="28" customFormat="1">
      <c r="A17" s="92"/>
      <c r="B17" s="41" t="s">
        <v>28</v>
      </c>
      <c r="C17" s="41">
        <v>23</v>
      </c>
      <c r="D17" s="42">
        <v>2571</v>
      </c>
      <c r="E17" s="43">
        <v>28</v>
      </c>
      <c r="F17" s="40">
        <v>71</v>
      </c>
      <c r="G17" s="41"/>
      <c r="H17" s="15">
        <v>1</v>
      </c>
      <c r="I17" s="15">
        <f t="shared" si="0"/>
        <v>41984.43</v>
      </c>
    </row>
    <row r="18" spans="1:9" s="46" customFormat="1">
      <c r="A18" s="88" t="s">
        <v>29</v>
      </c>
      <c r="B18" s="89"/>
      <c r="C18" s="44">
        <f>ROUND(SUM(C6:C17)/12,0)</f>
        <v>22</v>
      </c>
      <c r="D18" s="45">
        <f t="shared" ref="D18:E18" si="1">ROUND(SUM(D6:D17)/12,0)</f>
        <v>2492</v>
      </c>
      <c r="E18" s="44">
        <f t="shared" si="1"/>
        <v>28</v>
      </c>
      <c r="F18" s="44">
        <f>ROUND(SUM(F6:F17)/12,0)</f>
        <v>70</v>
      </c>
      <c r="G18" s="44" t="s">
        <v>30</v>
      </c>
      <c r="H18" s="44"/>
      <c r="I18" s="15"/>
    </row>
    <row r="19" spans="1:9" s="28" customFormat="1">
      <c r="A19" s="90">
        <v>2027</v>
      </c>
      <c r="B19" s="47" t="s">
        <v>17</v>
      </c>
      <c r="C19" s="34">
        <v>23</v>
      </c>
      <c r="D19" s="35">
        <v>2799.94</v>
      </c>
      <c r="E19" s="34">
        <v>27</v>
      </c>
      <c r="F19" s="39">
        <v>69</v>
      </c>
      <c r="G19" s="34"/>
      <c r="H19" s="15">
        <v>12</v>
      </c>
      <c r="I19" s="15">
        <f t="shared" ref="I19:I30" si="2">C19*D19*F19/100*H19</f>
        <v>533220.5736</v>
      </c>
    </row>
    <row r="20" spans="1:9" s="28" customFormat="1">
      <c r="A20" s="91"/>
      <c r="B20" s="37" t="s">
        <v>18</v>
      </c>
      <c r="C20" s="37">
        <v>13</v>
      </c>
      <c r="D20" s="38">
        <v>3069.11</v>
      </c>
      <c r="E20" s="37">
        <v>28</v>
      </c>
      <c r="F20" s="40">
        <v>71</v>
      </c>
      <c r="G20" s="37"/>
      <c r="H20" s="15">
        <v>11</v>
      </c>
      <c r="I20" s="15">
        <f t="shared" si="2"/>
        <v>311606.73829999997</v>
      </c>
    </row>
    <row r="21" spans="1:9" s="28" customFormat="1">
      <c r="A21" s="91"/>
      <c r="B21" s="37" t="s">
        <v>19</v>
      </c>
      <c r="C21" s="37">
        <v>26</v>
      </c>
      <c r="D21" s="38">
        <v>2746.2200000000003</v>
      </c>
      <c r="E21" s="39">
        <v>27</v>
      </c>
      <c r="F21" s="36">
        <v>69</v>
      </c>
      <c r="G21" s="37"/>
      <c r="H21" s="15">
        <v>10</v>
      </c>
      <c r="I21" s="15">
        <f t="shared" si="2"/>
        <v>492671.86799999996</v>
      </c>
    </row>
    <row r="22" spans="1:9" s="28" customFormat="1">
      <c r="A22" s="91"/>
      <c r="B22" s="37" t="s">
        <v>20</v>
      </c>
      <c r="C22" s="37">
        <v>18</v>
      </c>
      <c r="D22" s="38">
        <v>2497.1600000000003</v>
      </c>
      <c r="E22" s="39">
        <v>29</v>
      </c>
      <c r="F22" s="40">
        <v>73</v>
      </c>
      <c r="G22" s="37"/>
      <c r="H22" s="15">
        <v>9</v>
      </c>
      <c r="I22" s="15">
        <f t="shared" si="2"/>
        <v>295314.14160000003</v>
      </c>
    </row>
    <row r="23" spans="1:9" s="28" customFormat="1">
      <c r="A23" s="91"/>
      <c r="B23" s="37" t="s">
        <v>21</v>
      </c>
      <c r="C23" s="37">
        <v>19</v>
      </c>
      <c r="D23" s="38">
        <v>2963.1200000000003</v>
      </c>
      <c r="E23" s="39">
        <v>30</v>
      </c>
      <c r="F23" s="36">
        <v>75</v>
      </c>
      <c r="G23" s="37"/>
      <c r="H23" s="15">
        <v>8</v>
      </c>
      <c r="I23" s="15">
        <f t="shared" si="2"/>
        <v>337795.68</v>
      </c>
    </row>
    <row r="24" spans="1:9" s="28" customFormat="1">
      <c r="A24" s="91"/>
      <c r="B24" s="37" t="s">
        <v>22</v>
      </c>
      <c r="C24" s="37">
        <v>19</v>
      </c>
      <c r="D24" s="38">
        <v>2374.17</v>
      </c>
      <c r="E24" s="39">
        <v>26</v>
      </c>
      <c r="F24" s="36">
        <v>67</v>
      </c>
      <c r="G24" s="37"/>
      <c r="H24" s="15">
        <v>7</v>
      </c>
      <c r="I24" s="15">
        <f t="shared" si="2"/>
        <v>211562.2887</v>
      </c>
    </row>
    <row r="25" spans="1:9" s="28" customFormat="1">
      <c r="A25" s="91"/>
      <c r="B25" s="37" t="s">
        <v>23</v>
      </c>
      <c r="C25" s="37">
        <v>25</v>
      </c>
      <c r="D25" s="38">
        <v>2693.75</v>
      </c>
      <c r="E25" s="39">
        <v>28</v>
      </c>
      <c r="F25" s="39">
        <v>71</v>
      </c>
      <c r="G25" s="37"/>
      <c r="H25" s="15">
        <v>6</v>
      </c>
      <c r="I25" s="15">
        <f t="shared" si="2"/>
        <v>286884.375</v>
      </c>
    </row>
    <row r="26" spans="1:9" s="28" customFormat="1">
      <c r="A26" s="91"/>
      <c r="B26" s="37" t="s">
        <v>24</v>
      </c>
      <c r="C26" s="37">
        <v>22</v>
      </c>
      <c r="D26" s="38">
        <v>3034.03</v>
      </c>
      <c r="E26" s="39">
        <v>27</v>
      </c>
      <c r="F26" s="40">
        <v>69</v>
      </c>
      <c r="G26" s="37"/>
      <c r="H26" s="15">
        <v>5</v>
      </c>
      <c r="I26" s="15">
        <f t="shared" si="2"/>
        <v>230282.87700000001</v>
      </c>
    </row>
    <row r="27" spans="1:9" s="28" customFormat="1">
      <c r="A27" s="91"/>
      <c r="B27" s="37" t="s">
        <v>25</v>
      </c>
      <c r="C27" s="37">
        <v>19</v>
      </c>
      <c r="D27" s="38">
        <v>2827.1400000000003</v>
      </c>
      <c r="E27" s="39">
        <v>28</v>
      </c>
      <c r="F27" s="40">
        <v>71</v>
      </c>
      <c r="G27" s="37"/>
      <c r="H27" s="15">
        <v>4</v>
      </c>
      <c r="I27" s="15">
        <f t="shared" si="2"/>
        <v>152552.47440000001</v>
      </c>
    </row>
    <row r="28" spans="1:9" s="28" customFormat="1">
      <c r="A28" s="91"/>
      <c r="B28" s="37" t="s">
        <v>26</v>
      </c>
      <c r="C28" s="37">
        <v>13</v>
      </c>
      <c r="D28" s="38">
        <v>2685.96</v>
      </c>
      <c r="E28" s="39">
        <v>28</v>
      </c>
      <c r="F28" s="40">
        <v>71</v>
      </c>
      <c r="G28" s="37"/>
      <c r="H28" s="15">
        <v>3</v>
      </c>
      <c r="I28" s="15">
        <f t="shared" si="2"/>
        <v>74374.232400000008</v>
      </c>
    </row>
    <row r="29" spans="1:9" s="28" customFormat="1">
      <c r="A29" s="91"/>
      <c r="B29" s="37" t="s">
        <v>27</v>
      </c>
      <c r="C29" s="37">
        <v>26</v>
      </c>
      <c r="D29" s="38">
        <v>2346</v>
      </c>
      <c r="E29" s="39">
        <v>25</v>
      </c>
      <c r="F29" s="36">
        <v>66</v>
      </c>
      <c r="G29" s="37"/>
      <c r="H29" s="15">
        <v>2</v>
      </c>
      <c r="I29" s="15">
        <f t="shared" si="2"/>
        <v>80514.720000000001</v>
      </c>
    </row>
    <row r="30" spans="1:9" s="28" customFormat="1">
      <c r="A30" s="92"/>
      <c r="B30" s="41" t="s">
        <v>28</v>
      </c>
      <c r="C30" s="41">
        <v>19</v>
      </c>
      <c r="D30" s="42">
        <v>2743.1800000000003</v>
      </c>
      <c r="E30" s="43">
        <v>29</v>
      </c>
      <c r="F30" s="40">
        <v>73</v>
      </c>
      <c r="G30" s="41"/>
      <c r="H30" s="15">
        <v>1</v>
      </c>
      <c r="I30" s="15">
        <f t="shared" si="2"/>
        <v>38047.906600000009</v>
      </c>
    </row>
    <row r="31" spans="1:9" s="46" customFormat="1">
      <c r="A31" s="88" t="s">
        <v>31</v>
      </c>
      <c r="B31" s="89"/>
      <c r="C31" s="44">
        <f>ROUND(SUM(C19:C30)/12,0)</f>
        <v>20</v>
      </c>
      <c r="D31" s="45">
        <f t="shared" ref="D31:E31" si="3">ROUND(SUM(D19:D30)/12,0)</f>
        <v>2732</v>
      </c>
      <c r="E31" s="44">
        <f t="shared" si="3"/>
        <v>28</v>
      </c>
      <c r="F31" s="44">
        <f>ROUND(SUM(F19:F30)/12,0)</f>
        <v>70</v>
      </c>
      <c r="G31" s="44" t="s">
        <v>30</v>
      </c>
      <c r="H31" s="44"/>
      <c r="I31" s="15"/>
    </row>
    <row r="32" spans="1:9" s="28" customFormat="1">
      <c r="A32" s="90">
        <v>2028</v>
      </c>
      <c r="B32" s="47" t="s">
        <v>17</v>
      </c>
      <c r="C32" s="34">
        <v>23</v>
      </c>
      <c r="D32" s="35">
        <v>3145.59</v>
      </c>
      <c r="E32" s="36">
        <v>27</v>
      </c>
      <c r="F32" s="36">
        <v>69</v>
      </c>
      <c r="G32" s="34"/>
      <c r="H32" s="15">
        <v>12</v>
      </c>
      <c r="I32" s="15">
        <f t="shared" ref="I32:I43" si="4">C32*D32*F32/100*H32</f>
        <v>599046.15960000001</v>
      </c>
    </row>
    <row r="33" spans="1:9" s="28" customFormat="1">
      <c r="A33" s="91"/>
      <c r="B33" s="37" t="s">
        <v>18</v>
      </c>
      <c r="C33" s="37">
        <v>22</v>
      </c>
      <c r="D33" s="38">
        <v>3058.82</v>
      </c>
      <c r="E33" s="39">
        <v>27</v>
      </c>
      <c r="F33" s="36">
        <v>69</v>
      </c>
      <c r="G33" s="37"/>
      <c r="H33" s="15">
        <v>11</v>
      </c>
      <c r="I33" s="15">
        <f t="shared" si="4"/>
        <v>510761.76360000012</v>
      </c>
    </row>
    <row r="34" spans="1:9" s="28" customFormat="1">
      <c r="A34" s="91"/>
      <c r="B34" s="37" t="s">
        <v>19</v>
      </c>
      <c r="C34" s="37">
        <v>27</v>
      </c>
      <c r="D34" s="38">
        <v>2624.8900000000003</v>
      </c>
      <c r="E34" s="39">
        <v>28</v>
      </c>
      <c r="F34" s="40">
        <v>71</v>
      </c>
      <c r="G34" s="37"/>
      <c r="H34" s="15">
        <v>10</v>
      </c>
      <c r="I34" s="15">
        <f t="shared" si="4"/>
        <v>503191.41300000012</v>
      </c>
    </row>
    <row r="35" spans="1:9" s="28" customFormat="1">
      <c r="A35" s="91"/>
      <c r="B35" s="37" t="s">
        <v>20</v>
      </c>
      <c r="C35" s="37">
        <v>33</v>
      </c>
      <c r="D35" s="38">
        <v>3212.65</v>
      </c>
      <c r="E35" s="39">
        <v>29</v>
      </c>
      <c r="F35" s="40">
        <v>73</v>
      </c>
      <c r="G35" s="37"/>
      <c r="H35" s="15">
        <v>9</v>
      </c>
      <c r="I35" s="15">
        <f t="shared" si="4"/>
        <v>696534.64649999992</v>
      </c>
    </row>
    <row r="36" spans="1:9" s="28" customFormat="1">
      <c r="A36" s="91"/>
      <c r="B36" s="37" t="s">
        <v>21</v>
      </c>
      <c r="C36" s="37">
        <v>20</v>
      </c>
      <c r="D36" s="38">
        <v>2940.0200000000004</v>
      </c>
      <c r="E36" s="39">
        <v>29</v>
      </c>
      <c r="F36" s="40">
        <v>73</v>
      </c>
      <c r="G36" s="37"/>
      <c r="H36" s="15">
        <v>8</v>
      </c>
      <c r="I36" s="15">
        <f t="shared" si="4"/>
        <v>343394.33600000001</v>
      </c>
    </row>
    <row r="37" spans="1:9" s="28" customFormat="1">
      <c r="A37" s="91"/>
      <c r="B37" s="37" t="s">
        <v>22</v>
      </c>
      <c r="C37" s="37">
        <v>7</v>
      </c>
      <c r="D37" s="38">
        <v>2587.5200000000004</v>
      </c>
      <c r="E37" s="39">
        <v>26</v>
      </c>
      <c r="F37" s="39">
        <v>67</v>
      </c>
      <c r="G37" s="37"/>
      <c r="H37" s="15">
        <v>7</v>
      </c>
      <c r="I37" s="15">
        <f t="shared" si="4"/>
        <v>84948.281600000002</v>
      </c>
    </row>
    <row r="38" spans="1:9" s="28" customFormat="1">
      <c r="A38" s="91"/>
      <c r="B38" s="37" t="s">
        <v>23</v>
      </c>
      <c r="C38" s="37">
        <v>21</v>
      </c>
      <c r="D38" s="38">
        <v>2969.6000000000004</v>
      </c>
      <c r="E38" s="39">
        <v>27</v>
      </c>
      <c r="F38" s="36">
        <v>69</v>
      </c>
      <c r="G38" s="37"/>
      <c r="H38" s="15">
        <v>6</v>
      </c>
      <c r="I38" s="15">
        <f t="shared" si="4"/>
        <v>258177.024</v>
      </c>
    </row>
    <row r="39" spans="1:9" s="28" customFormat="1">
      <c r="A39" s="91"/>
      <c r="B39" s="37" t="s">
        <v>24</v>
      </c>
      <c r="C39" s="37">
        <v>15</v>
      </c>
      <c r="D39" s="38">
        <v>3252.3</v>
      </c>
      <c r="E39" s="39">
        <v>29</v>
      </c>
      <c r="F39" s="36">
        <v>73</v>
      </c>
      <c r="G39" s="37"/>
      <c r="H39" s="15">
        <v>5</v>
      </c>
      <c r="I39" s="15">
        <f t="shared" si="4"/>
        <v>178063.42499999999</v>
      </c>
    </row>
    <row r="40" spans="1:9" s="28" customFormat="1">
      <c r="A40" s="91"/>
      <c r="B40" s="37" t="s">
        <v>25</v>
      </c>
      <c r="C40" s="37">
        <v>13</v>
      </c>
      <c r="D40" s="38">
        <v>2617.2200000000003</v>
      </c>
      <c r="E40" s="39">
        <v>24</v>
      </c>
      <c r="F40" s="39">
        <v>63</v>
      </c>
      <c r="G40" s="37"/>
      <c r="H40" s="15">
        <v>4</v>
      </c>
      <c r="I40" s="15">
        <f t="shared" si="4"/>
        <v>85740.127200000003</v>
      </c>
    </row>
    <row r="41" spans="1:9" s="28" customFormat="1">
      <c r="A41" s="91"/>
      <c r="B41" s="37" t="s">
        <v>26</v>
      </c>
      <c r="C41" s="37">
        <v>17</v>
      </c>
      <c r="D41" s="38">
        <v>2876.2000000000003</v>
      </c>
      <c r="E41" s="39">
        <v>26</v>
      </c>
      <c r="F41" s="40">
        <v>67</v>
      </c>
      <c r="G41" s="37"/>
      <c r="H41" s="15">
        <v>3</v>
      </c>
      <c r="I41" s="15">
        <f t="shared" si="4"/>
        <v>98279.754000000001</v>
      </c>
    </row>
    <row r="42" spans="1:9" s="28" customFormat="1">
      <c r="A42" s="91"/>
      <c r="B42" s="37" t="s">
        <v>27</v>
      </c>
      <c r="C42" s="37">
        <v>12</v>
      </c>
      <c r="D42" s="38">
        <v>2438.8100000000004</v>
      </c>
      <c r="E42" s="39">
        <v>26</v>
      </c>
      <c r="F42" s="36">
        <v>67</v>
      </c>
      <c r="G42" s="37"/>
      <c r="H42" s="15">
        <v>2</v>
      </c>
      <c r="I42" s="15">
        <f t="shared" si="4"/>
        <v>39216.064800000007</v>
      </c>
    </row>
    <row r="43" spans="1:9" s="28" customFormat="1">
      <c r="A43" s="92"/>
      <c r="B43" s="41" t="s">
        <v>28</v>
      </c>
      <c r="C43" s="41">
        <v>24</v>
      </c>
      <c r="D43" s="42">
        <v>3230.7700000000004</v>
      </c>
      <c r="E43" s="43">
        <v>29</v>
      </c>
      <c r="F43" s="36">
        <v>73</v>
      </c>
      <c r="G43" s="41"/>
      <c r="H43" s="15">
        <v>1</v>
      </c>
      <c r="I43" s="15">
        <f t="shared" si="4"/>
        <v>56603.090400000008</v>
      </c>
    </row>
    <row r="44" spans="1:9" s="24" customFormat="1">
      <c r="A44" s="88" t="s">
        <v>32</v>
      </c>
      <c r="B44" s="89"/>
      <c r="C44" s="44">
        <f>ROUND(SUM(C32:C43)/12,0)</f>
        <v>20</v>
      </c>
      <c r="D44" s="45">
        <f t="shared" ref="D44:E44" si="5">ROUND(SUM(D32:D43)/12,0)</f>
        <v>2913</v>
      </c>
      <c r="E44" s="44">
        <f t="shared" si="5"/>
        <v>27</v>
      </c>
      <c r="F44" s="44">
        <f>ROUND(SUM(F32:F43)/12,0)</f>
        <v>70</v>
      </c>
      <c r="G44" s="44" t="s">
        <v>30</v>
      </c>
      <c r="H44" s="51"/>
      <c r="I44" s="15"/>
    </row>
    <row r="45" spans="1:9">
      <c r="A45" s="90">
        <v>2029</v>
      </c>
      <c r="B45" s="47" t="s">
        <v>17</v>
      </c>
      <c r="C45" s="34">
        <v>9</v>
      </c>
      <c r="D45" s="35">
        <v>3119.8300000000004</v>
      </c>
      <c r="E45" s="36">
        <v>26</v>
      </c>
      <c r="F45" s="36">
        <v>67</v>
      </c>
      <c r="G45" s="34"/>
      <c r="H45" s="15">
        <v>12</v>
      </c>
      <c r="I45" s="15">
        <f t="shared" ref="I45:I56" si="6">C45*D45*F45/100*H45</f>
        <v>225750.89880000002</v>
      </c>
    </row>
    <row r="46" spans="1:9">
      <c r="A46" s="91"/>
      <c r="B46" s="37" t="s">
        <v>18</v>
      </c>
      <c r="C46" s="37">
        <v>16</v>
      </c>
      <c r="D46" s="38">
        <v>3149.0800000000004</v>
      </c>
      <c r="E46" s="39">
        <v>28</v>
      </c>
      <c r="F46" s="36">
        <v>71</v>
      </c>
      <c r="G46" s="37"/>
      <c r="H46" s="15">
        <v>11</v>
      </c>
      <c r="I46" s="15">
        <f t="shared" si="6"/>
        <v>393509.03680000006</v>
      </c>
    </row>
    <row r="47" spans="1:9">
      <c r="A47" s="91"/>
      <c r="B47" s="37" t="s">
        <v>19</v>
      </c>
      <c r="C47" s="37">
        <v>15</v>
      </c>
      <c r="D47" s="38">
        <v>3117.6600000000003</v>
      </c>
      <c r="E47" s="39">
        <v>26</v>
      </c>
      <c r="F47" s="40">
        <v>67</v>
      </c>
      <c r="G47" s="37"/>
      <c r="H47" s="15">
        <v>10</v>
      </c>
      <c r="I47" s="15">
        <f t="shared" si="6"/>
        <v>313324.83</v>
      </c>
    </row>
    <row r="48" spans="1:9">
      <c r="A48" s="91"/>
      <c r="B48" s="37" t="s">
        <v>20</v>
      </c>
      <c r="C48" s="37">
        <v>16</v>
      </c>
      <c r="D48" s="38">
        <v>2919.78</v>
      </c>
      <c r="E48" s="39">
        <v>29</v>
      </c>
      <c r="F48" s="40">
        <v>75</v>
      </c>
      <c r="G48" s="37"/>
      <c r="H48" s="15">
        <v>9</v>
      </c>
      <c r="I48" s="15">
        <f t="shared" si="6"/>
        <v>315336.24000000005</v>
      </c>
    </row>
    <row r="49" spans="1:9">
      <c r="A49" s="91"/>
      <c r="B49" s="37" t="s">
        <v>21</v>
      </c>
      <c r="C49" s="37">
        <v>13</v>
      </c>
      <c r="D49" s="38">
        <v>2995.4300000000003</v>
      </c>
      <c r="E49" s="39">
        <v>28</v>
      </c>
      <c r="F49" s="40">
        <v>71</v>
      </c>
      <c r="G49" s="37"/>
      <c r="H49" s="15">
        <v>8</v>
      </c>
      <c r="I49" s="15">
        <f t="shared" si="6"/>
        <v>221182.55120000002</v>
      </c>
    </row>
    <row r="50" spans="1:9">
      <c r="A50" s="91"/>
      <c r="B50" s="37" t="s">
        <v>22</v>
      </c>
      <c r="C50" s="37">
        <v>14</v>
      </c>
      <c r="D50" s="38">
        <v>2843.4300000000003</v>
      </c>
      <c r="E50" s="39">
        <v>26</v>
      </c>
      <c r="F50" s="39">
        <v>67</v>
      </c>
      <c r="G50" s="37"/>
      <c r="H50" s="15">
        <v>7</v>
      </c>
      <c r="I50" s="15">
        <f t="shared" si="6"/>
        <v>186699.61380000002</v>
      </c>
    </row>
    <row r="51" spans="1:9">
      <c r="A51" s="91"/>
      <c r="B51" s="37" t="s">
        <v>23</v>
      </c>
      <c r="C51" s="37">
        <v>8</v>
      </c>
      <c r="D51" s="38">
        <v>2816.2200000000003</v>
      </c>
      <c r="E51" s="39">
        <v>30</v>
      </c>
      <c r="F51" s="36">
        <v>75</v>
      </c>
      <c r="G51" s="37"/>
      <c r="H51" s="15">
        <v>6</v>
      </c>
      <c r="I51" s="15">
        <f t="shared" si="6"/>
        <v>101383.92000000001</v>
      </c>
    </row>
    <row r="52" spans="1:9">
      <c r="A52" s="91"/>
      <c r="B52" s="37" t="s">
        <v>24</v>
      </c>
      <c r="C52" s="37">
        <v>10</v>
      </c>
      <c r="D52" s="38">
        <v>2862.8900000000003</v>
      </c>
      <c r="E52" s="39">
        <v>25</v>
      </c>
      <c r="F52" s="36">
        <v>66</v>
      </c>
      <c r="G52" s="37"/>
      <c r="H52" s="15">
        <v>5</v>
      </c>
      <c r="I52" s="15">
        <f t="shared" si="6"/>
        <v>94475.37</v>
      </c>
    </row>
    <row r="53" spans="1:9">
      <c r="A53" s="91"/>
      <c r="B53" s="37" t="s">
        <v>25</v>
      </c>
      <c r="C53" s="37">
        <v>16</v>
      </c>
      <c r="D53" s="38">
        <v>2600.4700000000003</v>
      </c>
      <c r="E53" s="39">
        <v>27</v>
      </c>
      <c r="F53" s="39">
        <v>69</v>
      </c>
      <c r="G53" s="37"/>
      <c r="H53" s="15">
        <v>4</v>
      </c>
      <c r="I53" s="15">
        <f t="shared" si="6"/>
        <v>114836.75520000001</v>
      </c>
    </row>
    <row r="54" spans="1:9">
      <c r="A54" s="91"/>
      <c r="B54" s="37" t="s">
        <v>26</v>
      </c>
      <c r="C54" s="37">
        <v>11</v>
      </c>
      <c r="D54" s="38">
        <v>2811.2900000000004</v>
      </c>
      <c r="E54" s="39">
        <v>26</v>
      </c>
      <c r="F54" s="40">
        <v>67</v>
      </c>
      <c r="G54" s="37"/>
      <c r="H54" s="15">
        <v>3</v>
      </c>
      <c r="I54" s="15">
        <f t="shared" si="6"/>
        <v>62157.621900000013</v>
      </c>
    </row>
    <row r="55" spans="1:9">
      <c r="A55" s="91"/>
      <c r="B55" s="37" t="s">
        <v>27</v>
      </c>
      <c r="C55" s="37">
        <v>11</v>
      </c>
      <c r="D55" s="38">
        <v>2840.2000000000003</v>
      </c>
      <c r="E55" s="39">
        <v>27</v>
      </c>
      <c r="F55" s="36">
        <v>69</v>
      </c>
      <c r="G55" s="37"/>
      <c r="H55" s="15">
        <v>2</v>
      </c>
      <c r="I55" s="15">
        <f t="shared" si="6"/>
        <v>43114.236000000004</v>
      </c>
    </row>
    <row r="56" spans="1:9">
      <c r="A56" s="92"/>
      <c r="B56" s="41" t="s">
        <v>28</v>
      </c>
      <c r="C56" s="41">
        <v>7</v>
      </c>
      <c r="D56" s="42">
        <v>2533.7700000000004</v>
      </c>
      <c r="E56" s="43">
        <v>24</v>
      </c>
      <c r="F56" s="36">
        <v>63</v>
      </c>
      <c r="G56" s="41"/>
      <c r="H56" s="15">
        <v>1</v>
      </c>
      <c r="I56" s="15">
        <f t="shared" si="6"/>
        <v>11173.925700000003</v>
      </c>
    </row>
    <row r="57" spans="1:9">
      <c r="A57" s="88" t="s">
        <v>33</v>
      </c>
      <c r="B57" s="89"/>
      <c r="C57" s="44">
        <f>ROUND(SUM(C45:C56)/12,0)</f>
        <v>12</v>
      </c>
      <c r="D57" s="45">
        <f t="shared" ref="D57:E57" si="7">ROUND(SUM(D45:D56)/12,0)</f>
        <v>2884</v>
      </c>
      <c r="E57" s="44">
        <f t="shared" si="7"/>
        <v>27</v>
      </c>
      <c r="F57" s="44">
        <f>ROUND(SUM(F45:F56)/12,0)</f>
        <v>69</v>
      </c>
      <c r="G57" s="44" t="s">
        <v>30</v>
      </c>
      <c r="H57" s="17"/>
      <c r="I57" s="17"/>
    </row>
    <row r="59" spans="1:9">
      <c r="A59" s="16" t="s">
        <v>71</v>
      </c>
    </row>
    <row r="61" spans="1:9" ht="21.95" customHeight="1"/>
    <row r="73" ht="14.1" customHeight="1"/>
    <row r="74" ht="21" customHeight="1"/>
  </sheetData>
  <mergeCells count="11">
    <mergeCell ref="A2:G2"/>
    <mergeCell ref="A6:A17"/>
    <mergeCell ref="A18:B18"/>
    <mergeCell ref="A19:A30"/>
    <mergeCell ref="A31:B31"/>
    <mergeCell ref="H3:I3"/>
    <mergeCell ref="L4:O4"/>
    <mergeCell ref="A44:B44"/>
    <mergeCell ref="A45:A56"/>
    <mergeCell ref="A57:B57"/>
    <mergeCell ref="A32:A43"/>
  </mergeCells>
  <pageMargins left="0.7" right="0.7" top="0.75" bottom="0.75" header="0.3" footer="0.3"/>
  <pageSetup paperSize="9" scale="5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5D5BF-BF69-4B07-8694-BD43CF0B28A6}">
  <sheetPr>
    <pageSetUpPr fitToPage="1"/>
  </sheetPr>
  <dimension ref="A1:M27"/>
  <sheetViews>
    <sheetView workbookViewId="0">
      <selection activeCell="P4" sqref="P4"/>
    </sheetView>
  </sheetViews>
  <sheetFormatPr defaultRowHeight="15"/>
  <cols>
    <col min="1" max="1" width="18.42578125" style="16" customWidth="1"/>
    <col min="2" max="2" width="14.140625" style="16" customWidth="1"/>
    <col min="3" max="3" width="13.85546875" style="16" customWidth="1"/>
    <col min="4" max="4" width="13.7109375" style="16" customWidth="1"/>
    <col min="5" max="5" width="14" style="16" customWidth="1"/>
    <col min="6" max="6" width="18.7109375" style="16" customWidth="1"/>
    <col min="7" max="7" width="14.42578125" style="16" hidden="1" customWidth="1"/>
    <col min="8" max="16384" width="9.140625" style="16"/>
  </cols>
  <sheetData>
    <row r="1" spans="1:13">
      <c r="M1" s="16" t="s">
        <v>90</v>
      </c>
    </row>
    <row r="2" spans="1:13" ht="42.75" customHeight="1">
      <c r="A2" s="93" t="s">
        <v>76</v>
      </c>
      <c r="B2" s="93"/>
      <c r="C2" s="93"/>
      <c r="D2" s="93"/>
      <c r="E2" s="93"/>
      <c r="F2" s="93"/>
      <c r="G2" s="93"/>
    </row>
    <row r="4" spans="1:13" s="28" customFormat="1" ht="135">
      <c r="A4" s="25" t="s">
        <v>12</v>
      </c>
      <c r="B4" s="15" t="s">
        <v>8</v>
      </c>
      <c r="C4" s="26" t="s">
        <v>11</v>
      </c>
      <c r="D4" s="27" t="s">
        <v>13</v>
      </c>
      <c r="E4" s="26" t="s">
        <v>5</v>
      </c>
      <c r="F4" s="26" t="s">
        <v>14</v>
      </c>
      <c r="G4" s="26" t="s">
        <v>15</v>
      </c>
      <c r="J4" s="85" t="s">
        <v>56</v>
      </c>
      <c r="K4" s="85"/>
      <c r="L4" s="85"/>
      <c r="M4" s="85"/>
    </row>
    <row r="5" spans="1:13" s="33" customFormat="1" ht="14.25">
      <c r="A5" s="29">
        <v>1</v>
      </c>
      <c r="B5" s="30">
        <v>2</v>
      </c>
      <c r="C5" s="31">
        <v>3</v>
      </c>
      <c r="D5" s="32">
        <v>4</v>
      </c>
      <c r="E5" s="31">
        <v>5</v>
      </c>
      <c r="F5" s="31">
        <v>6</v>
      </c>
      <c r="G5" s="31" t="s">
        <v>16</v>
      </c>
      <c r="J5" s="44">
        <v>2026</v>
      </c>
      <c r="K5" s="44">
        <v>2027</v>
      </c>
      <c r="L5" s="44">
        <v>2028</v>
      </c>
      <c r="M5" s="44">
        <v>2029</v>
      </c>
    </row>
    <row r="6" spans="1:13" s="46" customFormat="1">
      <c r="A6" s="88" t="s">
        <v>29</v>
      </c>
      <c r="B6" s="89"/>
      <c r="C6" s="44">
        <v>8</v>
      </c>
      <c r="D6" s="48">
        <v>1543.18</v>
      </c>
      <c r="E6" s="44">
        <v>23</v>
      </c>
      <c r="F6" s="49">
        <v>0.63</v>
      </c>
      <c r="G6" s="44" t="s">
        <v>30</v>
      </c>
      <c r="I6" s="46" t="s">
        <v>52</v>
      </c>
      <c r="J6" s="22">
        <f>ROUND(J27,0)</f>
        <v>606655</v>
      </c>
      <c r="K6" s="22">
        <f t="shared" ref="K6:M6" si="0">ROUND(K27,0)</f>
        <v>536156</v>
      </c>
      <c r="L6" s="22">
        <f t="shared" si="0"/>
        <v>569976</v>
      </c>
      <c r="M6" s="22">
        <f t="shared" si="0"/>
        <v>633213</v>
      </c>
    </row>
    <row r="7" spans="1:13" s="46" customFormat="1" ht="14.25">
      <c r="A7" s="88" t="s">
        <v>31</v>
      </c>
      <c r="B7" s="89"/>
      <c r="C7" s="44">
        <v>6</v>
      </c>
      <c r="D7" s="48">
        <v>1762.51</v>
      </c>
      <c r="E7" s="44">
        <v>24</v>
      </c>
      <c r="F7" s="49">
        <v>0.65</v>
      </c>
      <c r="G7" s="44" t="s">
        <v>30</v>
      </c>
    </row>
    <row r="8" spans="1:13" s="24" customFormat="1" ht="14.25">
      <c r="A8" s="88" t="s">
        <v>32</v>
      </c>
      <c r="B8" s="89"/>
      <c r="C8" s="44">
        <v>6</v>
      </c>
      <c r="D8" s="48">
        <v>1933.17</v>
      </c>
      <c r="E8" s="44">
        <v>23</v>
      </c>
      <c r="F8" s="49">
        <v>0.63</v>
      </c>
      <c r="G8" s="44" t="s">
        <v>30</v>
      </c>
      <c r="H8" s="46"/>
    </row>
    <row r="9" spans="1:13">
      <c r="A9" s="88" t="s">
        <v>33</v>
      </c>
      <c r="B9" s="89"/>
      <c r="C9" s="44">
        <v>6</v>
      </c>
      <c r="D9" s="48">
        <v>2147.65</v>
      </c>
      <c r="E9" s="44">
        <v>23</v>
      </c>
      <c r="F9" s="49">
        <v>0.63</v>
      </c>
      <c r="G9" s="44" t="s">
        <v>30</v>
      </c>
      <c r="H9" s="46"/>
    </row>
    <row r="10" spans="1:13">
      <c r="A10" s="16" t="s">
        <v>72</v>
      </c>
    </row>
    <row r="13" spans="1:13">
      <c r="B13" s="16" t="s">
        <v>64</v>
      </c>
    </row>
    <row r="14" spans="1:13" ht="60">
      <c r="H14" s="26" t="s">
        <v>63</v>
      </c>
      <c r="J14" s="17" t="s">
        <v>70</v>
      </c>
      <c r="K14" s="17" t="s">
        <v>67</v>
      </c>
      <c r="L14" s="17" t="s">
        <v>68</v>
      </c>
      <c r="M14" s="17" t="s">
        <v>69</v>
      </c>
    </row>
    <row r="15" spans="1:13">
      <c r="B15" s="17">
        <v>6</v>
      </c>
      <c r="C15" s="48">
        <v>1543.18</v>
      </c>
      <c r="D15" s="48">
        <v>1762.51</v>
      </c>
      <c r="E15" s="48">
        <v>1933.17</v>
      </c>
      <c r="F15" s="48">
        <v>2147.65</v>
      </c>
      <c r="H15" s="17">
        <v>12</v>
      </c>
      <c r="J15" s="17">
        <f>$C$6*$D$6*$F$6*H15</f>
        <v>93331.526400000002</v>
      </c>
      <c r="K15" s="17">
        <f t="shared" ref="K15:K26" si="1">B15*D15*$F$7*H15</f>
        <v>82485.467999999993</v>
      </c>
      <c r="L15" s="17">
        <f t="shared" ref="L15:L26" si="2">B15*E15*$F$8*H15</f>
        <v>87688.591199999995</v>
      </c>
      <c r="M15" s="17">
        <f t="shared" ref="M15:M26" si="3">B15*F15*$F$9*H15</f>
        <v>97417.40400000001</v>
      </c>
    </row>
    <row r="16" spans="1:13">
      <c r="B16" s="17">
        <v>6</v>
      </c>
      <c r="C16" s="48">
        <v>1543.18</v>
      </c>
      <c r="D16" s="48">
        <v>1762.51</v>
      </c>
      <c r="E16" s="48">
        <v>1933.17</v>
      </c>
      <c r="F16" s="48">
        <v>2147.65</v>
      </c>
      <c r="H16" s="17">
        <v>11</v>
      </c>
      <c r="J16" s="17">
        <f t="shared" ref="J16:J26" si="4">$C$6*$D$6*$F$6*H16</f>
        <v>85553.899200000014</v>
      </c>
      <c r="K16" s="17">
        <f t="shared" si="1"/>
        <v>75611.679000000004</v>
      </c>
      <c r="L16" s="17">
        <f t="shared" si="2"/>
        <v>80381.208599999998</v>
      </c>
      <c r="M16" s="17">
        <f t="shared" si="3"/>
        <v>89299.287000000011</v>
      </c>
    </row>
    <row r="17" spans="2:13">
      <c r="B17" s="17">
        <v>6</v>
      </c>
      <c r="C17" s="48">
        <v>1543.18</v>
      </c>
      <c r="D17" s="48">
        <v>1762.51</v>
      </c>
      <c r="E17" s="48">
        <v>1933.17</v>
      </c>
      <c r="F17" s="48">
        <v>2147.65</v>
      </c>
      <c r="H17" s="17">
        <v>10</v>
      </c>
      <c r="J17" s="17">
        <f t="shared" si="4"/>
        <v>77776.272000000012</v>
      </c>
      <c r="K17" s="17">
        <f t="shared" si="1"/>
        <v>68737.89</v>
      </c>
      <c r="L17" s="17">
        <f t="shared" si="2"/>
        <v>73073.826000000001</v>
      </c>
      <c r="M17" s="17">
        <f t="shared" si="3"/>
        <v>81181.170000000013</v>
      </c>
    </row>
    <row r="18" spans="2:13">
      <c r="B18" s="17">
        <v>6</v>
      </c>
      <c r="C18" s="48">
        <v>1543.18</v>
      </c>
      <c r="D18" s="48">
        <v>1762.51</v>
      </c>
      <c r="E18" s="48">
        <v>1933.17</v>
      </c>
      <c r="F18" s="48">
        <v>2147.65</v>
      </c>
      <c r="H18" s="17">
        <v>9</v>
      </c>
      <c r="J18" s="17">
        <f t="shared" si="4"/>
        <v>69998.644800000009</v>
      </c>
      <c r="K18" s="17">
        <f t="shared" si="1"/>
        <v>61864.100999999995</v>
      </c>
      <c r="L18" s="17">
        <f t="shared" si="2"/>
        <v>65766.443400000004</v>
      </c>
      <c r="M18" s="17">
        <f t="shared" si="3"/>
        <v>73063.053000000014</v>
      </c>
    </row>
    <row r="19" spans="2:13">
      <c r="B19" s="17">
        <v>6</v>
      </c>
      <c r="C19" s="48">
        <v>1543.18</v>
      </c>
      <c r="D19" s="48">
        <v>1762.51</v>
      </c>
      <c r="E19" s="48">
        <v>1933.17</v>
      </c>
      <c r="F19" s="48">
        <v>2147.65</v>
      </c>
      <c r="H19" s="17">
        <v>8</v>
      </c>
      <c r="J19" s="17">
        <f t="shared" si="4"/>
        <v>62221.017600000006</v>
      </c>
      <c r="K19" s="17">
        <f t="shared" si="1"/>
        <v>54990.311999999998</v>
      </c>
      <c r="L19" s="17">
        <f t="shared" si="2"/>
        <v>58459.060799999999</v>
      </c>
      <c r="M19" s="17">
        <f t="shared" si="3"/>
        <v>64944.936000000009</v>
      </c>
    </row>
    <row r="20" spans="2:13">
      <c r="B20" s="17">
        <v>6</v>
      </c>
      <c r="C20" s="48">
        <v>1543.18</v>
      </c>
      <c r="D20" s="48">
        <v>1762.51</v>
      </c>
      <c r="E20" s="48">
        <v>1933.17</v>
      </c>
      <c r="F20" s="48">
        <v>2147.65</v>
      </c>
      <c r="H20" s="17">
        <v>7</v>
      </c>
      <c r="J20" s="17">
        <f t="shared" si="4"/>
        <v>54443.390400000004</v>
      </c>
      <c r="K20" s="17">
        <f t="shared" si="1"/>
        <v>48116.523000000001</v>
      </c>
      <c r="L20" s="17">
        <f t="shared" si="2"/>
        <v>51151.678200000002</v>
      </c>
      <c r="M20" s="17">
        <f t="shared" si="3"/>
        <v>56826.81900000001</v>
      </c>
    </row>
    <row r="21" spans="2:13">
      <c r="B21" s="17">
        <v>6</v>
      </c>
      <c r="C21" s="48">
        <v>1543.18</v>
      </c>
      <c r="D21" s="48">
        <v>1762.51</v>
      </c>
      <c r="E21" s="48">
        <v>1933.17</v>
      </c>
      <c r="F21" s="48">
        <v>2147.65</v>
      </c>
      <c r="H21" s="17">
        <v>6</v>
      </c>
      <c r="J21" s="17">
        <f t="shared" si="4"/>
        <v>46665.763200000001</v>
      </c>
      <c r="K21" s="17">
        <f t="shared" si="1"/>
        <v>41242.733999999997</v>
      </c>
      <c r="L21" s="17">
        <f t="shared" si="2"/>
        <v>43844.295599999998</v>
      </c>
      <c r="M21" s="17">
        <f t="shared" si="3"/>
        <v>48708.702000000005</v>
      </c>
    </row>
    <row r="22" spans="2:13">
      <c r="B22" s="17">
        <v>6</v>
      </c>
      <c r="C22" s="48">
        <v>1543.18</v>
      </c>
      <c r="D22" s="48">
        <v>1762.51</v>
      </c>
      <c r="E22" s="48">
        <v>1933.17</v>
      </c>
      <c r="F22" s="48">
        <v>2147.65</v>
      </c>
      <c r="H22" s="17">
        <v>5</v>
      </c>
      <c r="J22" s="17">
        <f t="shared" si="4"/>
        <v>38888.136000000006</v>
      </c>
      <c r="K22" s="17">
        <f t="shared" si="1"/>
        <v>34368.945</v>
      </c>
      <c r="L22" s="17">
        <f t="shared" si="2"/>
        <v>36536.913</v>
      </c>
      <c r="M22" s="17">
        <f t="shared" si="3"/>
        <v>40590.585000000006</v>
      </c>
    </row>
    <row r="23" spans="2:13">
      <c r="B23" s="17">
        <v>6</v>
      </c>
      <c r="C23" s="48">
        <v>1543.18</v>
      </c>
      <c r="D23" s="48">
        <v>1762.51</v>
      </c>
      <c r="E23" s="48">
        <v>1933.17</v>
      </c>
      <c r="F23" s="48">
        <v>2147.65</v>
      </c>
      <c r="H23" s="17">
        <v>4</v>
      </c>
      <c r="J23" s="17">
        <f t="shared" si="4"/>
        <v>31110.508800000003</v>
      </c>
      <c r="K23" s="17">
        <f t="shared" si="1"/>
        <v>27495.155999999999</v>
      </c>
      <c r="L23" s="17">
        <f t="shared" si="2"/>
        <v>29229.5304</v>
      </c>
      <c r="M23" s="17">
        <f t="shared" si="3"/>
        <v>32472.468000000004</v>
      </c>
    </row>
    <row r="24" spans="2:13">
      <c r="B24" s="17">
        <v>6</v>
      </c>
      <c r="C24" s="48">
        <v>1543.18</v>
      </c>
      <c r="D24" s="48">
        <v>1762.51</v>
      </c>
      <c r="E24" s="48">
        <v>1933.17</v>
      </c>
      <c r="F24" s="48">
        <v>2147.65</v>
      </c>
      <c r="H24" s="17">
        <v>3</v>
      </c>
      <c r="J24" s="17">
        <f t="shared" si="4"/>
        <v>23332.881600000001</v>
      </c>
      <c r="K24" s="17">
        <f t="shared" si="1"/>
        <v>20621.366999999998</v>
      </c>
      <c r="L24" s="17">
        <f t="shared" si="2"/>
        <v>21922.147799999999</v>
      </c>
      <c r="M24" s="17">
        <f t="shared" si="3"/>
        <v>24354.351000000002</v>
      </c>
    </row>
    <row r="25" spans="2:13">
      <c r="B25" s="17">
        <v>6</v>
      </c>
      <c r="C25" s="48">
        <v>1543.18</v>
      </c>
      <c r="D25" s="48">
        <v>1762.51</v>
      </c>
      <c r="E25" s="48">
        <v>1933.17</v>
      </c>
      <c r="F25" s="48">
        <v>2147.65</v>
      </c>
      <c r="H25" s="17">
        <v>2</v>
      </c>
      <c r="J25" s="17">
        <f t="shared" si="4"/>
        <v>15555.254400000002</v>
      </c>
      <c r="K25" s="17">
        <f t="shared" si="1"/>
        <v>13747.578</v>
      </c>
      <c r="L25" s="17">
        <f t="shared" si="2"/>
        <v>14614.7652</v>
      </c>
      <c r="M25" s="17">
        <f t="shared" si="3"/>
        <v>16236.234000000002</v>
      </c>
    </row>
    <row r="26" spans="2:13">
      <c r="B26" s="17">
        <v>6</v>
      </c>
      <c r="C26" s="48">
        <v>1543.18</v>
      </c>
      <c r="D26" s="48">
        <v>1762.51</v>
      </c>
      <c r="E26" s="48">
        <v>1933.17</v>
      </c>
      <c r="F26" s="48">
        <v>2147.65</v>
      </c>
      <c r="H26" s="17">
        <v>1</v>
      </c>
      <c r="J26" s="17">
        <f t="shared" si="4"/>
        <v>7777.6272000000008</v>
      </c>
      <c r="K26" s="17">
        <f t="shared" si="1"/>
        <v>6873.7889999999998</v>
      </c>
      <c r="L26" s="17">
        <f t="shared" si="2"/>
        <v>7307.3825999999999</v>
      </c>
      <c r="M26" s="17">
        <f t="shared" si="3"/>
        <v>8118.1170000000011</v>
      </c>
    </row>
    <row r="27" spans="2:13">
      <c r="J27" s="51">
        <f>SUM(J15:J26)</f>
        <v>606654.92159999989</v>
      </c>
      <c r="K27" s="51">
        <f>SUM(K15:K26)</f>
        <v>536155.54200000002</v>
      </c>
      <c r="L27" s="51">
        <f>SUM(L15:L26)</f>
        <v>569975.8428000001</v>
      </c>
      <c r="M27" s="51">
        <f>SUM(M15:M26)</f>
        <v>633213.12600000005</v>
      </c>
    </row>
  </sheetData>
  <mergeCells count="6">
    <mergeCell ref="J4:M4"/>
    <mergeCell ref="A2:G2"/>
    <mergeCell ref="A6:B6"/>
    <mergeCell ref="A7:B7"/>
    <mergeCell ref="A8:B8"/>
    <mergeCell ref="A9:B9"/>
  </mergeCells>
  <pageMargins left="0.7" right="0.7" top="0.75" bottom="0.75" header="0.3" footer="0.3"/>
  <pageSetup paperSize="9" scale="59" fitToHeight="0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AECC2-5D35-4C0A-8487-3FA975D82F5A}">
  <sheetPr>
    <pageSetUpPr fitToPage="1"/>
  </sheetPr>
  <dimension ref="A1:N59"/>
  <sheetViews>
    <sheetView workbookViewId="0">
      <selection activeCell="S7" sqref="S7"/>
    </sheetView>
  </sheetViews>
  <sheetFormatPr defaultRowHeight="15"/>
  <cols>
    <col min="1" max="1" width="18.42578125" style="16" customWidth="1"/>
    <col min="2" max="2" width="14.140625" style="16" customWidth="1"/>
    <col min="3" max="3" width="13.85546875" style="16" customWidth="1"/>
    <col min="4" max="4" width="13.7109375" style="16" customWidth="1"/>
    <col min="5" max="5" width="14" style="16" customWidth="1"/>
    <col min="6" max="6" width="18.7109375" style="16" customWidth="1"/>
    <col min="7" max="7" width="14.42578125" style="16" hidden="1" customWidth="1"/>
    <col min="8" max="8" width="9.5703125" style="16" customWidth="1"/>
    <col min="9" max="16384" width="9.140625" style="16"/>
  </cols>
  <sheetData>
    <row r="1" spans="1:14" ht="23.25" customHeight="1">
      <c r="N1" s="16" t="s">
        <v>91</v>
      </c>
    </row>
    <row r="2" spans="1:14" ht="41.25" customHeight="1">
      <c r="A2" s="93" t="s">
        <v>74</v>
      </c>
      <c r="B2" s="93"/>
      <c r="C2" s="93"/>
      <c r="D2" s="93"/>
      <c r="E2" s="93"/>
      <c r="F2" s="93"/>
      <c r="G2" s="93"/>
    </row>
    <row r="3" spans="1:14" ht="29.25" customHeight="1">
      <c r="H3" s="86" t="s">
        <v>64</v>
      </c>
      <c r="I3" s="86"/>
    </row>
    <row r="4" spans="1:14" s="28" customFormat="1" ht="73.5" customHeight="1">
      <c r="A4" s="25" t="s">
        <v>12</v>
      </c>
      <c r="B4" s="15" t="s">
        <v>8</v>
      </c>
      <c r="C4" s="26" t="s">
        <v>11</v>
      </c>
      <c r="D4" s="27" t="s">
        <v>13</v>
      </c>
      <c r="E4" s="26" t="s">
        <v>5</v>
      </c>
      <c r="F4" s="26" t="s">
        <v>14</v>
      </c>
      <c r="G4" s="26" t="s">
        <v>15</v>
      </c>
      <c r="H4" s="26" t="s">
        <v>63</v>
      </c>
      <c r="I4" s="66" t="s">
        <v>56</v>
      </c>
      <c r="K4" s="85" t="s">
        <v>56</v>
      </c>
      <c r="L4" s="85"/>
      <c r="M4" s="85"/>
      <c r="N4" s="85"/>
    </row>
    <row r="5" spans="1:14" s="33" customFormat="1" ht="14.25">
      <c r="A5" s="29">
        <v>1</v>
      </c>
      <c r="B5" s="30">
        <v>2</v>
      </c>
      <c r="C5" s="31">
        <v>3</v>
      </c>
      <c r="D5" s="32">
        <v>4</v>
      </c>
      <c r="E5" s="31">
        <v>5</v>
      </c>
      <c r="F5" s="31">
        <v>6</v>
      </c>
      <c r="G5" s="31" t="s">
        <v>16</v>
      </c>
      <c r="H5" s="30"/>
      <c r="I5" s="30"/>
      <c r="K5" s="44">
        <v>2026</v>
      </c>
      <c r="L5" s="44">
        <v>2027</v>
      </c>
      <c r="M5" s="44">
        <v>2028</v>
      </c>
      <c r="N5" s="44">
        <v>2029</v>
      </c>
    </row>
    <row r="6" spans="1:14">
      <c r="A6" s="1">
        <v>2026</v>
      </c>
      <c r="B6" s="1" t="s">
        <v>34</v>
      </c>
      <c r="C6" s="1">
        <v>82</v>
      </c>
      <c r="D6" s="2">
        <v>1925.5162560975612</v>
      </c>
      <c r="E6" s="2">
        <v>28.304878048780488</v>
      </c>
      <c r="F6" s="3">
        <v>0.71609756097560984</v>
      </c>
      <c r="G6" s="2">
        <v>1378.86</v>
      </c>
      <c r="H6" s="17"/>
      <c r="I6" s="17"/>
      <c r="J6" s="67" t="s">
        <v>53</v>
      </c>
      <c r="K6" s="22">
        <f>ROUND(SUM(I7:I18),0)</f>
        <v>738367</v>
      </c>
      <c r="L6" s="22">
        <f>SUM(I20:I31)</f>
        <v>696362.39970104769</v>
      </c>
      <c r="M6" s="22">
        <f>ROUND(SUM(I33:I44),0)</f>
        <v>420663</v>
      </c>
      <c r="N6" s="22">
        <f>ROUND(SUM(I46:I57),0)</f>
        <v>469107</v>
      </c>
    </row>
    <row r="7" spans="1:14">
      <c r="A7" s="4">
        <v>2026</v>
      </c>
      <c r="B7" s="4">
        <v>1</v>
      </c>
      <c r="C7" s="4">
        <v>8</v>
      </c>
      <c r="D7" s="5">
        <v>1643.55675</v>
      </c>
      <c r="E7" s="5">
        <v>28.125</v>
      </c>
      <c r="F7" s="6">
        <v>0.71250000000000002</v>
      </c>
      <c r="G7" s="5">
        <v>1171.03</v>
      </c>
      <c r="H7" s="5">
        <v>12</v>
      </c>
      <c r="I7" s="17">
        <f>(C7*(D7*F7))*H7</f>
        <v>112419.28169999999</v>
      </c>
    </row>
    <row r="8" spans="1:14">
      <c r="A8" s="4">
        <v>2026</v>
      </c>
      <c r="B8" s="4">
        <v>2</v>
      </c>
      <c r="C8" s="4">
        <v>7</v>
      </c>
      <c r="D8" s="5">
        <v>2122.7241428571429</v>
      </c>
      <c r="E8" s="5">
        <v>26</v>
      </c>
      <c r="F8" s="6">
        <v>0.67</v>
      </c>
      <c r="G8" s="5">
        <v>1422.23</v>
      </c>
      <c r="H8" s="5">
        <v>11</v>
      </c>
      <c r="I8" s="17">
        <f t="shared" ref="I8:I57" si="0">(C8*(D8*F8))*H8</f>
        <v>109511.33853000001</v>
      </c>
    </row>
    <row r="9" spans="1:14">
      <c r="A9" s="4">
        <v>2026</v>
      </c>
      <c r="B9" s="4">
        <v>3</v>
      </c>
      <c r="C9" s="4">
        <v>7</v>
      </c>
      <c r="D9" s="5">
        <v>1847.3715714285715</v>
      </c>
      <c r="E9" s="5">
        <v>25.571428571428573</v>
      </c>
      <c r="F9" s="6">
        <v>0.66142857142857148</v>
      </c>
      <c r="G9" s="5">
        <v>1221.9000000000001</v>
      </c>
      <c r="H9" s="5">
        <v>10</v>
      </c>
      <c r="I9" s="17">
        <f t="shared" si="0"/>
        <v>85533.303757142872</v>
      </c>
    </row>
    <row r="10" spans="1:14">
      <c r="A10" s="4">
        <v>2026</v>
      </c>
      <c r="B10" s="4">
        <v>4</v>
      </c>
      <c r="C10" s="4">
        <v>6</v>
      </c>
      <c r="D10" s="5">
        <v>2002.5838333333334</v>
      </c>
      <c r="E10" s="5">
        <v>28.666666666666668</v>
      </c>
      <c r="F10" s="6">
        <v>0.72333333333333338</v>
      </c>
      <c r="G10" s="5">
        <v>1448.54</v>
      </c>
      <c r="H10" s="5">
        <v>9</v>
      </c>
      <c r="I10" s="17">
        <f t="shared" si="0"/>
        <v>78220.924530000004</v>
      </c>
    </row>
    <row r="11" spans="1:14">
      <c r="A11" s="4">
        <v>2026</v>
      </c>
      <c r="B11" s="4">
        <v>5</v>
      </c>
      <c r="C11" s="4">
        <v>6</v>
      </c>
      <c r="D11" s="5">
        <v>1937.5728333333334</v>
      </c>
      <c r="E11" s="5">
        <v>28.333333333333332</v>
      </c>
      <c r="F11" s="6">
        <v>0.71666666666666667</v>
      </c>
      <c r="G11" s="5">
        <v>1388.59</v>
      </c>
      <c r="H11" s="5">
        <v>8</v>
      </c>
      <c r="I11" s="17">
        <f t="shared" si="0"/>
        <v>66652.505466666669</v>
      </c>
    </row>
    <row r="12" spans="1:14">
      <c r="A12" s="4">
        <v>2026</v>
      </c>
      <c r="B12" s="4">
        <v>6</v>
      </c>
      <c r="C12" s="4">
        <v>9</v>
      </c>
      <c r="D12" s="5">
        <v>1915.8871111111112</v>
      </c>
      <c r="E12" s="5">
        <v>29</v>
      </c>
      <c r="F12" s="6">
        <v>0.73</v>
      </c>
      <c r="G12" s="5">
        <v>1398.6</v>
      </c>
      <c r="H12" s="5">
        <v>7</v>
      </c>
      <c r="I12" s="17">
        <f t="shared" si="0"/>
        <v>88111.648239999995</v>
      </c>
    </row>
    <row r="13" spans="1:14">
      <c r="A13" s="4">
        <v>2026</v>
      </c>
      <c r="B13" s="4">
        <v>7</v>
      </c>
      <c r="C13" s="4">
        <v>9</v>
      </c>
      <c r="D13" s="5">
        <v>1936.9047777777778</v>
      </c>
      <c r="E13" s="5">
        <v>28.777777777777779</v>
      </c>
      <c r="F13" s="6">
        <v>0.72555555555555562</v>
      </c>
      <c r="G13" s="5">
        <v>1405.33</v>
      </c>
      <c r="H13" s="5">
        <v>6</v>
      </c>
      <c r="I13" s="17">
        <f t="shared" si="0"/>
        <v>75887.929193333344</v>
      </c>
    </row>
    <row r="14" spans="1:14">
      <c r="A14" s="4">
        <v>2026</v>
      </c>
      <c r="B14" s="4">
        <v>8</v>
      </c>
      <c r="C14" s="4">
        <v>9</v>
      </c>
      <c r="D14" s="5">
        <v>1736.942</v>
      </c>
      <c r="E14" s="5">
        <v>26.555555555555557</v>
      </c>
      <c r="F14" s="6">
        <v>0.68111111111111122</v>
      </c>
      <c r="G14" s="5">
        <v>1183.05</v>
      </c>
      <c r="H14" s="5">
        <v>5</v>
      </c>
      <c r="I14" s="17">
        <f t="shared" si="0"/>
        <v>53237.272300000004</v>
      </c>
    </row>
    <row r="15" spans="1:14">
      <c r="A15" s="4">
        <v>2026</v>
      </c>
      <c r="B15" s="4">
        <v>9</v>
      </c>
      <c r="C15" s="4">
        <v>3</v>
      </c>
      <c r="D15" s="5">
        <v>2460.2663333333335</v>
      </c>
      <c r="E15" s="5">
        <v>31.333333333333332</v>
      </c>
      <c r="F15" s="6">
        <v>0.77666666666666673</v>
      </c>
      <c r="G15" s="5">
        <v>1910.81</v>
      </c>
      <c r="H15" s="5">
        <v>4</v>
      </c>
      <c r="I15" s="17">
        <f t="shared" si="0"/>
        <v>22929.682226666671</v>
      </c>
    </row>
    <row r="16" spans="1:14">
      <c r="A16" s="4">
        <v>2026</v>
      </c>
      <c r="B16" s="4">
        <v>10</v>
      </c>
      <c r="C16" s="4">
        <v>2</v>
      </c>
      <c r="D16" s="5">
        <v>2096.4234999999999</v>
      </c>
      <c r="E16" s="5">
        <v>30.5</v>
      </c>
      <c r="F16" s="6">
        <v>0.76</v>
      </c>
      <c r="G16" s="5">
        <v>1593.28</v>
      </c>
      <c r="H16" s="5">
        <v>3</v>
      </c>
      <c r="I16" s="17">
        <f t="shared" si="0"/>
        <v>9559.6911599999985</v>
      </c>
    </row>
    <row r="17" spans="1:9">
      <c r="A17" s="4">
        <v>2026</v>
      </c>
      <c r="B17" s="4">
        <v>11</v>
      </c>
      <c r="C17" s="4">
        <v>9</v>
      </c>
      <c r="D17" s="5">
        <v>1897.2657777777777</v>
      </c>
      <c r="E17" s="5">
        <v>29.888888888888889</v>
      </c>
      <c r="F17" s="6">
        <v>0.74777777777777787</v>
      </c>
      <c r="G17" s="5">
        <v>1418.73</v>
      </c>
      <c r="H17" s="5">
        <v>2</v>
      </c>
      <c r="I17" s="17">
        <f t="shared" si="0"/>
        <v>25537.197368888894</v>
      </c>
    </row>
    <row r="18" spans="1:9">
      <c r="A18" s="4">
        <v>2026</v>
      </c>
      <c r="B18" s="4">
        <v>12</v>
      </c>
      <c r="C18" s="4">
        <v>7</v>
      </c>
      <c r="D18" s="5">
        <v>2050.8037142857142</v>
      </c>
      <c r="E18" s="5">
        <v>30</v>
      </c>
      <c r="F18" s="6">
        <v>0.75</v>
      </c>
      <c r="G18" s="5">
        <v>1538.1</v>
      </c>
      <c r="H18" s="5">
        <v>1</v>
      </c>
      <c r="I18" s="17">
        <f t="shared" si="0"/>
        <v>10766.719500000001</v>
      </c>
    </row>
    <row r="19" spans="1:9">
      <c r="A19" s="1">
        <v>2027</v>
      </c>
      <c r="B19" s="1" t="s">
        <v>34</v>
      </c>
      <c r="C19" s="1">
        <v>73</v>
      </c>
      <c r="D19" s="2">
        <v>1930.5238630136987</v>
      </c>
      <c r="E19" s="2">
        <v>28.095890410958905</v>
      </c>
      <c r="F19" s="3">
        <v>0.71191780821917816</v>
      </c>
      <c r="G19" s="2">
        <v>1374.37</v>
      </c>
      <c r="H19" s="17"/>
      <c r="I19" s="17"/>
    </row>
    <row r="20" spans="1:9">
      <c r="A20" s="4">
        <v>2027</v>
      </c>
      <c r="B20" s="4">
        <v>1</v>
      </c>
      <c r="C20" s="4">
        <v>7</v>
      </c>
      <c r="D20" s="5">
        <v>1782.8629999999998</v>
      </c>
      <c r="E20" s="5">
        <v>28.714285714285715</v>
      </c>
      <c r="F20" s="6">
        <v>0.72428571428571442</v>
      </c>
      <c r="G20" s="5">
        <v>1291.3</v>
      </c>
      <c r="H20" s="5">
        <v>12</v>
      </c>
      <c r="I20" s="17">
        <f t="shared" si="0"/>
        <v>108469.38492000003</v>
      </c>
    </row>
    <row r="21" spans="1:9">
      <c r="A21" s="4">
        <v>2027</v>
      </c>
      <c r="B21" s="4">
        <v>2</v>
      </c>
      <c r="C21" s="4">
        <v>6</v>
      </c>
      <c r="D21" s="5">
        <v>1887.5351666666666</v>
      </c>
      <c r="E21" s="5">
        <v>26.333333333333332</v>
      </c>
      <c r="F21" s="6">
        <v>0.67666666666666675</v>
      </c>
      <c r="G21" s="5">
        <v>1277.23</v>
      </c>
      <c r="H21" s="5">
        <v>11</v>
      </c>
      <c r="I21" s="17">
        <f t="shared" si="0"/>
        <v>84297.320543333335</v>
      </c>
    </row>
    <row r="22" spans="1:9">
      <c r="A22" s="4">
        <v>2027</v>
      </c>
      <c r="B22" s="4">
        <v>3</v>
      </c>
      <c r="C22" s="4">
        <v>9</v>
      </c>
      <c r="D22" s="5">
        <v>2113.2734444444445</v>
      </c>
      <c r="E22" s="5">
        <v>30.444444444444443</v>
      </c>
      <c r="F22" s="6">
        <v>0.75888888888888895</v>
      </c>
      <c r="G22" s="5">
        <v>1603.74</v>
      </c>
      <c r="H22" s="5">
        <v>10</v>
      </c>
      <c r="I22" s="17">
        <f t="shared" si="0"/>
        <v>144336.57625555558</v>
      </c>
    </row>
    <row r="23" spans="1:9">
      <c r="A23" s="4">
        <v>2027</v>
      </c>
      <c r="B23" s="4">
        <v>4</v>
      </c>
      <c r="C23" s="4">
        <v>7</v>
      </c>
      <c r="D23" s="5">
        <v>2015.0205714285714</v>
      </c>
      <c r="E23" s="5">
        <v>27.285714285714285</v>
      </c>
      <c r="F23" s="6">
        <v>0.69571428571428573</v>
      </c>
      <c r="G23" s="5">
        <v>1401.88</v>
      </c>
      <c r="H23" s="5">
        <v>9</v>
      </c>
      <c r="I23" s="17">
        <f t="shared" si="0"/>
        <v>88318.351645714298</v>
      </c>
    </row>
    <row r="24" spans="1:9">
      <c r="A24" s="4">
        <v>2027</v>
      </c>
      <c r="B24" s="4">
        <v>5</v>
      </c>
      <c r="C24" s="4">
        <v>9</v>
      </c>
      <c r="D24" s="5">
        <v>2055.126888888889</v>
      </c>
      <c r="E24" s="5">
        <v>27.555555555555557</v>
      </c>
      <c r="F24" s="6">
        <v>0.70111111111111124</v>
      </c>
      <c r="G24" s="5">
        <v>1440.87</v>
      </c>
      <c r="H24" s="5">
        <v>8</v>
      </c>
      <c r="I24" s="17">
        <f t="shared" si="0"/>
        <v>103742.80535111114</v>
      </c>
    </row>
    <row r="25" spans="1:9">
      <c r="A25" s="4">
        <v>2027</v>
      </c>
      <c r="B25" s="4">
        <v>6</v>
      </c>
      <c r="C25" s="4">
        <v>3</v>
      </c>
      <c r="D25" s="5">
        <v>2000.5113333333331</v>
      </c>
      <c r="E25" s="5">
        <v>28.666666666666668</v>
      </c>
      <c r="F25" s="6">
        <v>0.72333333333333338</v>
      </c>
      <c r="G25" s="5">
        <v>1447.04</v>
      </c>
      <c r="H25" s="5">
        <v>7</v>
      </c>
      <c r="I25" s="17">
        <f t="shared" si="0"/>
        <v>30387.767153333334</v>
      </c>
    </row>
    <row r="26" spans="1:9">
      <c r="A26" s="4">
        <v>2027</v>
      </c>
      <c r="B26" s="4">
        <v>7</v>
      </c>
      <c r="C26" s="4">
        <v>3</v>
      </c>
      <c r="D26" s="5">
        <v>2207.9176666666667</v>
      </c>
      <c r="E26" s="5">
        <v>30</v>
      </c>
      <c r="F26" s="6">
        <v>0.75</v>
      </c>
      <c r="G26" s="5">
        <v>1655.94</v>
      </c>
      <c r="H26" s="5">
        <v>6</v>
      </c>
      <c r="I26" s="17">
        <f t="shared" si="0"/>
        <v>29806.888500000001</v>
      </c>
    </row>
    <row r="27" spans="1:9">
      <c r="A27" s="4">
        <v>2027</v>
      </c>
      <c r="B27" s="4">
        <v>8</v>
      </c>
      <c r="C27" s="4">
        <v>3</v>
      </c>
      <c r="D27" s="5">
        <v>1738.4769999999999</v>
      </c>
      <c r="E27" s="5">
        <v>29.333333333333332</v>
      </c>
      <c r="F27" s="6">
        <v>0.73666666666666669</v>
      </c>
      <c r="G27" s="5">
        <v>1280.68</v>
      </c>
      <c r="H27" s="5">
        <v>5</v>
      </c>
      <c r="I27" s="17">
        <f t="shared" si="0"/>
        <v>19210.170849999999</v>
      </c>
    </row>
    <row r="28" spans="1:9">
      <c r="A28" s="4">
        <v>2027</v>
      </c>
      <c r="B28" s="4">
        <v>9</v>
      </c>
      <c r="C28" s="4">
        <v>8</v>
      </c>
      <c r="D28" s="5">
        <v>1864.5158750000001</v>
      </c>
      <c r="E28" s="5">
        <v>26.875</v>
      </c>
      <c r="F28" s="6">
        <v>0.6875</v>
      </c>
      <c r="G28" s="5">
        <v>1281.8499999999999</v>
      </c>
      <c r="H28" s="5">
        <v>4</v>
      </c>
      <c r="I28" s="17">
        <f t="shared" si="0"/>
        <v>41019.349249999999</v>
      </c>
    </row>
    <row r="29" spans="1:9">
      <c r="A29" s="4">
        <v>2027</v>
      </c>
      <c r="B29" s="4">
        <v>10</v>
      </c>
      <c r="C29" s="4">
        <v>5</v>
      </c>
      <c r="D29" s="5">
        <v>1864.9222000000002</v>
      </c>
      <c r="E29" s="5">
        <v>30.4</v>
      </c>
      <c r="F29" s="6">
        <v>0.75800000000000001</v>
      </c>
      <c r="G29" s="5">
        <v>1413.61</v>
      </c>
      <c r="H29" s="5">
        <v>3</v>
      </c>
      <c r="I29" s="17">
        <f t="shared" si="0"/>
        <v>21204.165414000003</v>
      </c>
    </row>
    <row r="30" spans="1:9">
      <c r="A30" s="4">
        <v>2027</v>
      </c>
      <c r="B30" s="4">
        <v>11</v>
      </c>
      <c r="C30" s="4">
        <v>8</v>
      </c>
      <c r="D30" s="5">
        <v>1787.8869999999999</v>
      </c>
      <c r="E30" s="5">
        <v>25.75</v>
      </c>
      <c r="F30" s="6">
        <v>0.66500000000000004</v>
      </c>
      <c r="G30" s="5">
        <v>1188.94</v>
      </c>
      <c r="H30" s="5">
        <v>2</v>
      </c>
      <c r="I30" s="17">
        <f t="shared" si="0"/>
        <v>19023.117679999999</v>
      </c>
    </row>
    <row r="31" spans="1:9">
      <c r="A31" s="4">
        <v>2027</v>
      </c>
      <c r="B31" s="4">
        <v>12</v>
      </c>
      <c r="C31" s="4">
        <v>5</v>
      </c>
      <c r="D31" s="5">
        <v>1823.5382000000002</v>
      </c>
      <c r="E31" s="5">
        <v>28.4</v>
      </c>
      <c r="F31" s="6">
        <v>0.71799999999999997</v>
      </c>
      <c r="G31" s="5">
        <v>1309.3</v>
      </c>
      <c r="H31" s="5">
        <v>1</v>
      </c>
      <c r="I31" s="17">
        <f t="shared" si="0"/>
        <v>6546.5021380000007</v>
      </c>
    </row>
    <row r="32" spans="1:9">
      <c r="A32" s="1">
        <v>2028</v>
      </c>
      <c r="B32" s="1" t="s">
        <v>34</v>
      </c>
      <c r="C32" s="1">
        <v>54</v>
      </c>
      <c r="D32" s="2">
        <v>1828.0383888888889</v>
      </c>
      <c r="E32" s="2">
        <v>26.851851851851851</v>
      </c>
      <c r="F32" s="3">
        <v>0.68703703703703711</v>
      </c>
      <c r="G32" s="2">
        <v>1255.93</v>
      </c>
      <c r="H32" s="17"/>
      <c r="I32" s="17"/>
    </row>
    <row r="33" spans="1:9">
      <c r="A33" s="4">
        <v>2028</v>
      </c>
      <c r="B33" s="4">
        <v>1</v>
      </c>
      <c r="C33" s="4">
        <v>4</v>
      </c>
      <c r="D33" s="5">
        <v>1781.2570000000001</v>
      </c>
      <c r="E33" s="5">
        <v>29.75</v>
      </c>
      <c r="F33" s="6">
        <v>0.74500000000000011</v>
      </c>
      <c r="G33" s="5">
        <v>1327.04</v>
      </c>
      <c r="H33" s="5">
        <v>12</v>
      </c>
      <c r="I33" s="17">
        <f t="shared" si="0"/>
        <v>63697.750320000006</v>
      </c>
    </row>
    <row r="34" spans="1:9">
      <c r="A34" s="4">
        <v>2028</v>
      </c>
      <c r="B34" s="4">
        <v>2</v>
      </c>
      <c r="C34" s="4">
        <v>6</v>
      </c>
      <c r="D34" s="5">
        <v>1754.0364999999999</v>
      </c>
      <c r="E34" s="5">
        <v>25.833333333333332</v>
      </c>
      <c r="F34" s="6">
        <v>0.66666666666666674</v>
      </c>
      <c r="G34" s="5">
        <v>1169.3599999999999</v>
      </c>
      <c r="H34" s="5">
        <v>11</v>
      </c>
      <c r="I34" s="17">
        <f t="shared" si="0"/>
        <v>77177.606</v>
      </c>
    </row>
    <row r="35" spans="1:9">
      <c r="A35" s="4">
        <v>2028</v>
      </c>
      <c r="B35" s="4">
        <v>3</v>
      </c>
      <c r="C35" s="4">
        <v>5</v>
      </c>
      <c r="D35" s="5">
        <v>2021.8074000000001</v>
      </c>
      <c r="E35" s="5">
        <v>26.2</v>
      </c>
      <c r="F35" s="6">
        <v>0.67400000000000004</v>
      </c>
      <c r="G35" s="5">
        <v>1362.7</v>
      </c>
      <c r="H35" s="5">
        <v>10</v>
      </c>
      <c r="I35" s="17">
        <f t="shared" si="0"/>
        <v>68134.909380000012</v>
      </c>
    </row>
    <row r="36" spans="1:9">
      <c r="A36" s="4">
        <v>2028</v>
      </c>
      <c r="B36" s="4">
        <v>4</v>
      </c>
      <c r="C36" s="4">
        <v>2</v>
      </c>
      <c r="D36" s="5">
        <v>1762.1410000000001</v>
      </c>
      <c r="E36" s="5">
        <v>28.5</v>
      </c>
      <c r="F36" s="6">
        <v>0.72000000000000008</v>
      </c>
      <c r="G36" s="5">
        <v>1268.74</v>
      </c>
      <c r="H36" s="5">
        <v>9</v>
      </c>
      <c r="I36" s="17">
        <f t="shared" si="0"/>
        <v>22837.347360000003</v>
      </c>
    </row>
    <row r="37" spans="1:9">
      <c r="A37" s="4">
        <v>2028</v>
      </c>
      <c r="B37" s="4">
        <v>5</v>
      </c>
      <c r="C37" s="4">
        <v>2</v>
      </c>
      <c r="D37" s="5">
        <v>1617.307</v>
      </c>
      <c r="E37" s="5">
        <v>25</v>
      </c>
      <c r="F37" s="6">
        <v>0.65</v>
      </c>
      <c r="G37" s="5">
        <v>1051.25</v>
      </c>
      <c r="H37" s="5">
        <v>8</v>
      </c>
      <c r="I37" s="17">
        <f t="shared" si="0"/>
        <v>16819.9928</v>
      </c>
    </row>
    <row r="38" spans="1:9">
      <c r="A38" s="4">
        <v>2028</v>
      </c>
      <c r="B38" s="4">
        <v>6</v>
      </c>
      <c r="C38" s="4">
        <v>5</v>
      </c>
      <c r="D38" s="5">
        <v>2002.2457999999999</v>
      </c>
      <c r="E38" s="5">
        <v>29.2</v>
      </c>
      <c r="F38" s="6">
        <v>0.73399999999999999</v>
      </c>
      <c r="G38" s="5">
        <v>1469.65</v>
      </c>
      <c r="H38" s="5">
        <v>7</v>
      </c>
      <c r="I38" s="17">
        <f t="shared" si="0"/>
        <v>51437.694601999996</v>
      </c>
    </row>
    <row r="39" spans="1:9">
      <c r="A39" s="4">
        <v>2028</v>
      </c>
      <c r="B39" s="4">
        <v>7</v>
      </c>
      <c r="C39" s="4">
        <v>7</v>
      </c>
      <c r="D39" s="5">
        <v>1731.5258571428571</v>
      </c>
      <c r="E39" s="5">
        <v>27.571428571428573</v>
      </c>
      <c r="F39" s="6">
        <v>0.70142857142857151</v>
      </c>
      <c r="G39" s="5">
        <v>1214.54</v>
      </c>
      <c r="H39" s="5">
        <v>6</v>
      </c>
      <c r="I39" s="17">
        <f t="shared" si="0"/>
        <v>51010.751751428579</v>
      </c>
    </row>
    <row r="40" spans="1:9">
      <c r="A40" s="4">
        <v>2028</v>
      </c>
      <c r="B40" s="4">
        <v>8</v>
      </c>
      <c r="C40" s="4">
        <v>2</v>
      </c>
      <c r="D40" s="5">
        <v>1576.0305000000001</v>
      </c>
      <c r="E40" s="5">
        <v>21</v>
      </c>
      <c r="F40" s="6">
        <v>0.57000000000000006</v>
      </c>
      <c r="G40" s="5">
        <v>898.34</v>
      </c>
      <c r="H40" s="5">
        <v>5</v>
      </c>
      <c r="I40" s="17">
        <f t="shared" si="0"/>
        <v>8983.3738500000018</v>
      </c>
    </row>
    <row r="41" spans="1:9">
      <c r="A41" s="4">
        <v>2028</v>
      </c>
      <c r="B41" s="4">
        <v>9</v>
      </c>
      <c r="C41" s="4">
        <v>4</v>
      </c>
      <c r="D41" s="5">
        <v>2013.2275</v>
      </c>
      <c r="E41" s="5">
        <v>23.25</v>
      </c>
      <c r="F41" s="6">
        <v>0.61499999999999999</v>
      </c>
      <c r="G41" s="5">
        <v>1238.1300000000001</v>
      </c>
      <c r="H41" s="5">
        <v>4</v>
      </c>
      <c r="I41" s="17">
        <f t="shared" si="0"/>
        <v>19810.158599999999</v>
      </c>
    </row>
    <row r="42" spans="1:9">
      <c r="A42" s="4">
        <v>2028</v>
      </c>
      <c r="B42" s="4">
        <v>10</v>
      </c>
      <c r="C42" s="4">
        <v>6</v>
      </c>
      <c r="D42" s="5">
        <v>1695.3383333333334</v>
      </c>
      <c r="E42" s="5">
        <v>27.333333333333332</v>
      </c>
      <c r="F42" s="6">
        <v>0.69666666666666666</v>
      </c>
      <c r="G42" s="5">
        <v>1181.0899999999999</v>
      </c>
      <c r="H42" s="5">
        <v>3</v>
      </c>
      <c r="I42" s="17">
        <f t="shared" si="0"/>
        <v>21259.542699999998</v>
      </c>
    </row>
    <row r="43" spans="1:9">
      <c r="A43" s="4">
        <v>2028</v>
      </c>
      <c r="B43" s="4">
        <v>11</v>
      </c>
      <c r="C43" s="4">
        <v>4</v>
      </c>
      <c r="D43" s="5">
        <v>1824.3309999999999</v>
      </c>
      <c r="E43" s="5">
        <v>27.5</v>
      </c>
      <c r="F43" s="6">
        <v>0.7</v>
      </c>
      <c r="G43" s="5">
        <v>1277.03</v>
      </c>
      <c r="H43" s="5">
        <v>2</v>
      </c>
      <c r="I43" s="17">
        <f t="shared" si="0"/>
        <v>10216.253599999998</v>
      </c>
    </row>
    <row r="44" spans="1:9">
      <c r="A44" s="4">
        <v>2028</v>
      </c>
      <c r="B44" s="4">
        <v>12</v>
      </c>
      <c r="C44" s="4">
        <v>7</v>
      </c>
      <c r="D44" s="5">
        <v>1912.9511428571427</v>
      </c>
      <c r="E44" s="5">
        <v>27.142857142857142</v>
      </c>
      <c r="F44" s="6">
        <v>0.69285714285714284</v>
      </c>
      <c r="G44" s="5">
        <v>1325.4</v>
      </c>
      <c r="H44" s="5">
        <v>1</v>
      </c>
      <c r="I44" s="17">
        <f t="shared" si="0"/>
        <v>9277.8130428571421</v>
      </c>
    </row>
    <row r="45" spans="1:9">
      <c r="A45" s="1">
        <v>2029</v>
      </c>
      <c r="B45" s="1" t="s">
        <v>34</v>
      </c>
      <c r="C45" s="1">
        <v>52</v>
      </c>
      <c r="D45" s="2">
        <v>1904.3106923076923</v>
      </c>
      <c r="E45" s="2">
        <v>28.25</v>
      </c>
      <c r="F45" s="3">
        <v>0.71500000000000008</v>
      </c>
      <c r="G45" s="2">
        <v>1361.58</v>
      </c>
      <c r="H45" s="17"/>
      <c r="I45" s="17"/>
    </row>
    <row r="46" spans="1:9">
      <c r="A46" s="4">
        <v>2029</v>
      </c>
      <c r="B46" s="4">
        <v>1</v>
      </c>
      <c r="C46" s="4">
        <v>4</v>
      </c>
      <c r="D46" s="5">
        <v>1530.6655000000001</v>
      </c>
      <c r="E46" s="5">
        <v>27.5</v>
      </c>
      <c r="F46" s="6">
        <v>0.7</v>
      </c>
      <c r="G46" s="5">
        <v>1071.47</v>
      </c>
      <c r="H46" s="5">
        <v>12</v>
      </c>
      <c r="I46" s="17">
        <f t="shared" si="0"/>
        <v>51430.360800000002</v>
      </c>
    </row>
    <row r="47" spans="1:9">
      <c r="A47" s="4">
        <v>2029</v>
      </c>
      <c r="B47" s="4">
        <v>2</v>
      </c>
      <c r="C47" s="4">
        <v>4</v>
      </c>
      <c r="D47" s="5">
        <v>1762.9847500000001</v>
      </c>
      <c r="E47" s="5">
        <v>27.75</v>
      </c>
      <c r="F47" s="6">
        <v>0.70499999999999996</v>
      </c>
      <c r="G47" s="5">
        <v>1242.9000000000001</v>
      </c>
      <c r="H47" s="5">
        <v>11</v>
      </c>
      <c r="I47" s="17">
        <f t="shared" si="0"/>
        <v>54687.786945</v>
      </c>
    </row>
    <row r="48" spans="1:9">
      <c r="A48" s="4">
        <v>2029</v>
      </c>
      <c r="B48" s="4">
        <v>3</v>
      </c>
      <c r="C48" s="4">
        <v>4</v>
      </c>
      <c r="D48" s="5">
        <v>1698.9614999999999</v>
      </c>
      <c r="E48" s="5">
        <v>29.5</v>
      </c>
      <c r="F48" s="6">
        <v>0.74</v>
      </c>
      <c r="G48" s="5">
        <v>1257.23</v>
      </c>
      <c r="H48" s="5">
        <v>10</v>
      </c>
      <c r="I48" s="17">
        <f t="shared" si="0"/>
        <v>50289.260399999992</v>
      </c>
    </row>
    <row r="49" spans="1:9">
      <c r="A49" s="4">
        <v>2029</v>
      </c>
      <c r="B49" s="4">
        <v>4</v>
      </c>
      <c r="C49" s="4">
        <v>6</v>
      </c>
      <c r="D49" s="5">
        <v>1719.5603333333331</v>
      </c>
      <c r="E49" s="5">
        <v>28.333333333333332</v>
      </c>
      <c r="F49" s="6">
        <v>0.71666666666666667</v>
      </c>
      <c r="G49" s="5">
        <v>1232.3499999999999</v>
      </c>
      <c r="H49" s="5">
        <v>9</v>
      </c>
      <c r="I49" s="17">
        <f t="shared" si="0"/>
        <v>66546.984899999996</v>
      </c>
    </row>
    <row r="50" spans="1:9">
      <c r="A50" s="4">
        <v>2029</v>
      </c>
      <c r="B50" s="4">
        <v>5</v>
      </c>
      <c r="C50" s="4">
        <v>5</v>
      </c>
      <c r="D50" s="5">
        <v>1868.4344000000001</v>
      </c>
      <c r="E50" s="5">
        <v>27.8</v>
      </c>
      <c r="F50" s="6">
        <v>0.70600000000000007</v>
      </c>
      <c r="G50" s="5">
        <v>1319.11</v>
      </c>
      <c r="H50" s="5">
        <v>8</v>
      </c>
      <c r="I50" s="17">
        <f t="shared" si="0"/>
        <v>52764.587456000008</v>
      </c>
    </row>
    <row r="51" spans="1:9">
      <c r="A51" s="4">
        <v>2029</v>
      </c>
      <c r="B51" s="4">
        <v>6</v>
      </c>
      <c r="C51" s="4">
        <v>7</v>
      </c>
      <c r="D51" s="5">
        <v>1719.4325714285715</v>
      </c>
      <c r="E51" s="5">
        <v>27.285714285714285</v>
      </c>
      <c r="F51" s="6">
        <v>0.69571428571428573</v>
      </c>
      <c r="G51" s="5">
        <v>1196.23</v>
      </c>
      <c r="H51" s="5">
        <v>7</v>
      </c>
      <c r="I51" s="17">
        <f t="shared" si="0"/>
        <v>58615.456360000011</v>
      </c>
    </row>
    <row r="52" spans="1:9">
      <c r="A52" s="4">
        <v>2029</v>
      </c>
      <c r="B52" s="4">
        <v>7</v>
      </c>
      <c r="C52" s="4">
        <v>5</v>
      </c>
      <c r="D52" s="5">
        <v>1922.3317999999999</v>
      </c>
      <c r="E52" s="5">
        <v>26.2</v>
      </c>
      <c r="F52" s="6">
        <v>0.67400000000000004</v>
      </c>
      <c r="G52" s="5">
        <v>1295.6500000000001</v>
      </c>
      <c r="H52" s="5">
        <v>6</v>
      </c>
      <c r="I52" s="17">
        <f t="shared" si="0"/>
        <v>38869.548996000005</v>
      </c>
    </row>
    <row r="53" spans="1:9">
      <c r="A53" s="4">
        <v>2029</v>
      </c>
      <c r="B53" s="4">
        <v>8</v>
      </c>
      <c r="C53" s="4">
        <v>6</v>
      </c>
      <c r="D53" s="5">
        <v>2177.5750000000003</v>
      </c>
      <c r="E53" s="5">
        <v>29.833333333333332</v>
      </c>
      <c r="F53" s="6">
        <v>0.7466666666666667</v>
      </c>
      <c r="G53" s="5">
        <v>1625.92</v>
      </c>
      <c r="H53" s="5">
        <v>5</v>
      </c>
      <c r="I53" s="17">
        <f t="shared" si="0"/>
        <v>48777.680000000008</v>
      </c>
    </row>
    <row r="54" spans="1:9">
      <c r="A54" s="4">
        <v>2029</v>
      </c>
      <c r="B54" s="4">
        <v>9</v>
      </c>
      <c r="C54" s="4">
        <v>4</v>
      </c>
      <c r="D54" s="5">
        <v>1858.9829999999999</v>
      </c>
      <c r="E54" s="5">
        <v>30.5</v>
      </c>
      <c r="F54" s="6">
        <v>0.76</v>
      </c>
      <c r="G54" s="5">
        <v>1412.83</v>
      </c>
      <c r="H54" s="5">
        <v>4</v>
      </c>
      <c r="I54" s="17">
        <f t="shared" si="0"/>
        <v>22605.23328</v>
      </c>
    </row>
    <row r="55" spans="1:9">
      <c r="A55" s="4">
        <v>2029</v>
      </c>
      <c r="B55" s="4">
        <v>10</v>
      </c>
      <c r="C55" s="4">
        <v>3</v>
      </c>
      <c r="D55" s="5">
        <v>1533.8573333333334</v>
      </c>
      <c r="E55" s="5">
        <v>27.666666666666668</v>
      </c>
      <c r="F55" s="6">
        <v>0.70333333333333337</v>
      </c>
      <c r="G55" s="5">
        <v>1078.81</v>
      </c>
      <c r="H55" s="5">
        <v>3</v>
      </c>
      <c r="I55" s="17">
        <f t="shared" si="0"/>
        <v>9709.3169200000011</v>
      </c>
    </row>
    <row r="56" spans="1:9">
      <c r="A56" s="4">
        <v>2029</v>
      </c>
      <c r="B56" s="4">
        <v>11</v>
      </c>
      <c r="C56" s="4">
        <v>2</v>
      </c>
      <c r="D56" s="5">
        <v>3787.9295000000002</v>
      </c>
      <c r="E56" s="5">
        <v>29.5</v>
      </c>
      <c r="F56" s="6">
        <v>0.74</v>
      </c>
      <c r="G56" s="5">
        <v>2803.07</v>
      </c>
      <c r="H56" s="5">
        <v>2</v>
      </c>
      <c r="I56" s="17">
        <f t="shared" si="0"/>
        <v>11212.27132</v>
      </c>
    </row>
    <row r="57" spans="1:9">
      <c r="A57" s="4">
        <v>2029</v>
      </c>
      <c r="B57" s="4">
        <v>12</v>
      </c>
      <c r="C57" s="4">
        <v>2</v>
      </c>
      <c r="D57" s="5">
        <v>2533.8375000000001</v>
      </c>
      <c r="E57" s="5">
        <v>28</v>
      </c>
      <c r="F57" s="6">
        <v>0.71000000000000008</v>
      </c>
      <c r="G57" s="5">
        <v>1799.02</v>
      </c>
      <c r="H57" s="5">
        <v>1</v>
      </c>
      <c r="I57" s="17">
        <f t="shared" si="0"/>
        <v>3598.0492500000005</v>
      </c>
    </row>
    <row r="59" spans="1:9">
      <c r="A59" s="16" t="s">
        <v>73</v>
      </c>
    </row>
  </sheetData>
  <mergeCells count="3">
    <mergeCell ref="A2:G2"/>
    <mergeCell ref="H3:I3"/>
    <mergeCell ref="K4:N4"/>
  </mergeCells>
  <pageMargins left="0.7" right="0.7" top="0.75" bottom="0.75" header="0.3" footer="0.3"/>
  <pageSetup paperSize="9" scale="55" fitToHeight="0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51DB4-B6CB-4115-8761-0C88D0B96BA1}">
  <sheetPr>
    <pageSetUpPr fitToPage="1"/>
  </sheetPr>
  <dimension ref="A1:L15"/>
  <sheetViews>
    <sheetView tabSelected="1" topLeftCell="B1" workbookViewId="0">
      <selection activeCell="R6" sqref="R6"/>
    </sheetView>
  </sheetViews>
  <sheetFormatPr defaultRowHeight="15"/>
  <cols>
    <col min="1" max="1" width="14.42578125" style="16" hidden="1" customWidth="1"/>
    <col min="2" max="2" width="14.42578125" style="16" customWidth="1"/>
    <col min="3" max="3" width="11.28515625" style="16" customWidth="1"/>
    <col min="4" max="4" width="13.42578125" style="16" customWidth="1"/>
    <col min="5" max="5" width="14.5703125" style="16" customWidth="1"/>
    <col min="6" max="6" width="16.7109375" style="16" customWidth="1"/>
    <col min="7" max="7" width="24.42578125" style="16" customWidth="1"/>
    <col min="8" max="16384" width="9.140625" style="16"/>
  </cols>
  <sheetData>
    <row r="1" spans="1:12" ht="8.25" customHeight="1"/>
    <row r="2" spans="1:12" ht="18.75">
      <c r="A2" s="50"/>
      <c r="B2" s="50"/>
      <c r="L2" s="16" t="s">
        <v>92</v>
      </c>
    </row>
    <row r="3" spans="1:12" ht="7.5" customHeight="1"/>
    <row r="4" spans="1:12" s="28" customFormat="1" ht="40.5" customHeight="1">
      <c r="A4" s="98" t="s">
        <v>65</v>
      </c>
      <c r="B4" s="98"/>
      <c r="C4" s="98"/>
      <c r="D4" s="98"/>
      <c r="E4" s="98"/>
      <c r="F4" s="98"/>
      <c r="G4" s="98"/>
    </row>
    <row r="5" spans="1:12" s="33" customFormat="1" ht="15.75" thickBot="1">
      <c r="A5" s="16"/>
      <c r="B5" s="16"/>
      <c r="C5" s="16"/>
      <c r="D5" s="16"/>
      <c r="E5" s="16"/>
      <c r="F5" s="16"/>
      <c r="G5" s="16"/>
    </row>
    <row r="6" spans="1:12" s="46" customFormat="1" ht="135.75" thickBot="1">
      <c r="A6" s="7" t="s">
        <v>12</v>
      </c>
      <c r="B6" s="15" t="s">
        <v>12</v>
      </c>
      <c r="C6" s="15" t="s">
        <v>8</v>
      </c>
      <c r="D6" s="44" t="s">
        <v>35</v>
      </c>
      <c r="E6" s="26" t="s">
        <v>13</v>
      </c>
      <c r="F6" s="26" t="s">
        <v>5</v>
      </c>
      <c r="G6" s="26" t="s">
        <v>14</v>
      </c>
      <c r="I6" s="85" t="s">
        <v>56</v>
      </c>
      <c r="J6" s="85"/>
      <c r="K6" s="85"/>
      <c r="L6" s="85"/>
    </row>
    <row r="7" spans="1:12" s="46" customFormat="1" ht="38.25">
      <c r="A7" s="94" t="s">
        <v>36</v>
      </c>
      <c r="B7" s="96" t="s">
        <v>36</v>
      </c>
      <c r="C7" s="8" t="s">
        <v>17</v>
      </c>
      <c r="D7" s="9" t="s">
        <v>37</v>
      </c>
      <c r="E7" s="8">
        <v>4350.59</v>
      </c>
      <c r="F7" s="8" t="s">
        <v>38</v>
      </c>
      <c r="G7" s="10">
        <v>0.77</v>
      </c>
      <c r="H7" s="33"/>
      <c r="I7" s="68">
        <v>2026</v>
      </c>
      <c r="J7" s="68">
        <v>2027</v>
      </c>
      <c r="K7" s="68">
        <v>2028</v>
      </c>
      <c r="L7" s="68">
        <v>2029</v>
      </c>
    </row>
    <row r="8" spans="1:12" s="24" customFormat="1" ht="16.5" thickBot="1">
      <c r="A8" s="95"/>
      <c r="B8" s="97"/>
      <c r="C8" s="8" t="s">
        <v>27</v>
      </c>
      <c r="D8" s="11">
        <v>1</v>
      </c>
      <c r="E8" s="12">
        <v>4100.3500000000004</v>
      </c>
      <c r="F8" s="8" t="s">
        <v>39</v>
      </c>
      <c r="G8" s="13">
        <v>0.65</v>
      </c>
      <c r="H8" s="67" t="s">
        <v>54</v>
      </c>
      <c r="I8" s="22">
        <f>ROUND((1*(E7*G7))*12+(D8*(E8*G8))*2,0)</f>
        <v>45530</v>
      </c>
      <c r="J8" s="22">
        <f>ROUND((D9*(E9*G9))*8+(D10*(E10*G10))*7+(D11*(E11*G11))*3+(D12*(E12*G12))*2,0)</f>
        <v>53721</v>
      </c>
      <c r="K8" s="22">
        <f>ROUND((D13*(E13*G13))*12+(D14*(E14*G14))*7,0)</f>
        <v>53369</v>
      </c>
      <c r="L8" s="22">
        <f>ROUND((D15*(E15*G15))*7,0)</f>
        <v>18944</v>
      </c>
    </row>
    <row r="9" spans="1:12" ht="15.75">
      <c r="A9" s="94" t="s">
        <v>40</v>
      </c>
      <c r="B9" s="96" t="s">
        <v>40</v>
      </c>
      <c r="C9" s="8" t="s">
        <v>21</v>
      </c>
      <c r="D9" s="11">
        <v>1</v>
      </c>
      <c r="E9" s="12">
        <v>4192.9399999999996</v>
      </c>
      <c r="F9" s="8" t="s">
        <v>41</v>
      </c>
      <c r="G9" s="13">
        <v>0.73</v>
      </c>
    </row>
    <row r="10" spans="1:12" ht="15.75">
      <c r="A10" s="99"/>
      <c r="B10" s="100"/>
      <c r="C10" s="8" t="s">
        <v>22</v>
      </c>
      <c r="D10" s="11">
        <v>1</v>
      </c>
      <c r="E10" s="12">
        <v>3641.94</v>
      </c>
      <c r="F10" s="8" t="s">
        <v>42</v>
      </c>
      <c r="G10" s="13">
        <v>0.71</v>
      </c>
    </row>
    <row r="11" spans="1:12" ht="15.75">
      <c r="A11" s="99"/>
      <c r="B11" s="100"/>
      <c r="C11" s="8" t="s">
        <v>26</v>
      </c>
      <c r="D11" s="11">
        <v>1</v>
      </c>
      <c r="E11" s="12">
        <v>3588.34</v>
      </c>
      <c r="F11" s="8" t="s">
        <v>43</v>
      </c>
      <c r="G11" s="13">
        <v>0.55000000000000004</v>
      </c>
    </row>
    <row r="12" spans="1:12" ht="16.5" thickBot="1">
      <c r="A12" s="95"/>
      <c r="B12" s="97"/>
      <c r="C12" s="8" t="s">
        <v>27</v>
      </c>
      <c r="D12" s="11">
        <v>1</v>
      </c>
      <c r="E12" s="8">
        <v>4272.66</v>
      </c>
      <c r="F12" s="8" t="s">
        <v>44</v>
      </c>
      <c r="G12" s="13">
        <v>0.61</v>
      </c>
    </row>
    <row r="13" spans="1:12" ht="15.75">
      <c r="A13" s="94" t="s">
        <v>45</v>
      </c>
      <c r="B13" s="96" t="s">
        <v>45</v>
      </c>
      <c r="C13" s="8" t="s">
        <v>17</v>
      </c>
      <c r="D13" s="11">
        <v>1</v>
      </c>
      <c r="E13" s="8">
        <v>3665.25</v>
      </c>
      <c r="F13" s="8" t="s">
        <v>46</v>
      </c>
      <c r="G13" s="13">
        <v>0.75</v>
      </c>
    </row>
    <row r="14" spans="1:12" ht="16.5" thickBot="1">
      <c r="A14" s="95"/>
      <c r="B14" s="97"/>
      <c r="C14" s="8" t="s">
        <v>22</v>
      </c>
      <c r="D14" s="11">
        <v>1</v>
      </c>
      <c r="E14" s="8">
        <v>4219.84</v>
      </c>
      <c r="F14" s="8" t="s">
        <v>47</v>
      </c>
      <c r="G14" s="13">
        <v>0.69</v>
      </c>
    </row>
    <row r="15" spans="1:12" ht="16.5" thickBot="1">
      <c r="A15" s="14" t="s">
        <v>48</v>
      </c>
      <c r="B15" s="15" t="s">
        <v>48</v>
      </c>
      <c r="C15" s="8" t="s">
        <v>49</v>
      </c>
      <c r="D15" s="11">
        <v>1</v>
      </c>
      <c r="E15" s="11">
        <v>3811.69</v>
      </c>
      <c r="F15" s="8" t="s">
        <v>42</v>
      </c>
      <c r="G15" s="13">
        <v>0.71</v>
      </c>
    </row>
  </sheetData>
  <mergeCells count="8">
    <mergeCell ref="I6:L6"/>
    <mergeCell ref="A13:A14"/>
    <mergeCell ref="B13:B14"/>
    <mergeCell ref="A4:G4"/>
    <mergeCell ref="A7:A8"/>
    <mergeCell ref="B7:B8"/>
    <mergeCell ref="A9:A12"/>
    <mergeCell ref="B9:B12"/>
  </mergeCells>
  <pageMargins left="0.7" right="0.7" top="0.75" bottom="0.75" header="0.3" footer="0.3"/>
  <pageSetup paperSize="9" scale="6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Vidējais termiņš</vt:lpstr>
      <vt:lpstr>1.piel_TM (IeVP)</vt:lpstr>
      <vt:lpstr>2.piel_Valsts policija</vt:lpstr>
      <vt:lpstr>3.piel_VUGD </vt:lpstr>
      <vt:lpstr>4.piel_Valsts robežsardze</vt:lpstr>
      <vt:lpstr>5.piel_Ieksējās drošības birojs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uldiszvirbulis</dc:creator>
  <cp:keywords/>
  <dc:description/>
  <cp:lastModifiedBy>Inga Ošiņa</cp:lastModifiedBy>
  <cp:lastPrinted>2025-09-22T12:11:54Z</cp:lastPrinted>
  <dcterms:created xsi:type="dcterms:W3CDTF">2017-10-02T05:47:15Z</dcterms:created>
  <dcterms:modified xsi:type="dcterms:W3CDTF">2025-09-26T13:43:13Z</dcterms:modified>
  <cp:category/>
</cp:coreProperties>
</file>